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T:\1.SKOH2\조립장 기안\사외 조립장 개설통보서(최초)\220913\"/>
    </mc:Choice>
  </mc:AlternateContent>
  <bookViews>
    <workbookView xWindow="0" yWindow="0" windowWidth="28800" windowHeight="12252" tabRatio="683" firstSheet="2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3" r:id="rId4"/>
    <sheet name="5. 위험성평가표(최초, 정기, 수시)" sheetId="70" r:id="rId5"/>
    <sheet name="6. 참조자료(유해위험요인, 위험성추정)" sheetId="20" r:id="rId6"/>
    <sheet name="예시)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</externalReferences>
  <definedNames>
    <definedName name="_xlnm._FilterDatabase" localSheetId="3" hidden="1">'4. 전체공사일정표(최초, 정기)'!$A$4:$AF$323</definedName>
    <definedName name="_xlnm._FilterDatabase" hidden="1">#REF!</definedName>
    <definedName name="ACTUAL_RATE">[1]Progress!$B$21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GETT" hidden="1">[2]반송!$A$2:$M$207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>[1]Progress!$B$18</definedName>
    <definedName name="_xlnm.Print_Area" localSheetId="3">'4. 전체공사일정표(최초, 정기)'!$D$1:$CY$323</definedName>
    <definedName name="RNG_ACTUAL_END_DATE_COL_NAME">'4. 전체공사일정표(최초, 정기)'!$Y$3</definedName>
    <definedName name="RNG_ACTUAL_RATE_COL_NAME">'4. 전체공사일정표(최초, 정기)'!$AF$3</definedName>
    <definedName name="RNG_ACTUAL_START_DATE_COL_NAME">'4. 전체공사일정표(최초, 정기)'!$X$3</definedName>
    <definedName name="RNG_ACTUAL_TOTAL_DURATION_COL_NAME">'4. 전체공사일정표(최초, 정기)'!$AA$3</definedName>
    <definedName name="RNG_ACTUAL_TOTAL_WORKLOAD_COL_NAME">'4. 전체공사일정표(최초, 정기)'!$Z$3</definedName>
    <definedName name="RNG_CALENDAR_COL_NAME">'4. 전체공사일정표(최초, 정기)'!$S$3</definedName>
    <definedName name="RNG_DELIVERABLES_COL_NAME">'4. 전체공사일정표(최초, 정기)'!$AD$3</definedName>
    <definedName name="RNG_END_DATE_COL_NAME">'4. 전체공사일정표(최초, 정기)'!$R$3</definedName>
    <definedName name="RNG_ETC_COL_NAME">'4. 전체공사일정표(최초, 정기)'!$O$3</definedName>
    <definedName name="RNG_GANTT_AREA_FIRST_COL_NAME">'4. 전체공사일정표(최초, 정기)'!$AG$4</definedName>
    <definedName name="RNG_PLAN_DURATION_COL_NAME">'4. 전체공사일정표(최초, 정기)'!$W$3</definedName>
    <definedName name="RNG_PLAN_RATE_COL_NAME">'4. 전체공사일정표(최초, 정기)'!$AE$3</definedName>
    <definedName name="RNG_PLAN_WORKLOAD_COL_NAME">'4. 전체공사일정표(최초, 정기)'!$U$3</definedName>
    <definedName name="RNG_RESOURCE_COL_NAME">'4. 전체공사일정표(최초, 정기)'!$AC$3</definedName>
    <definedName name="RNG_RESOURCE_WEIGHT_COL_NAME">'4. 전체공사일정표(최초, 정기)'!$AB$3</definedName>
    <definedName name="RNG_START_DATE_COL_NAME">'4. 전체공사일정표(최초, 정기)'!$Q$3</definedName>
    <definedName name="RNG_TASK_FIRST_COL_NAME">'4. 전체공사일정표(최초, 정기)'!$E$3</definedName>
    <definedName name="RNG_TOTAL_DURATION_COL_NAME">'4. 전체공사일정표(최초, 정기)'!$V$3</definedName>
    <definedName name="RNG_TOTAL_WORKLOAD_COL_NAME">'4. 전체공사일정표(최초, 정기)'!$T$3</definedName>
    <definedName name="RNG_WBS_AREA_LAST_COL_NAME">'4. 전체공사일정표(최초, 정기)'!$AF$3</definedName>
    <definedName name="RNG_WBS_COL_NAME">'4. 전체공사일정표(최초, 정기)'!$D$3</definedName>
    <definedName name="RNG_WBS_LEVEL_COL_NAME">'4. 전체공사일정표(최초, 정기)'!$C$3</definedName>
    <definedName name="TextRefCopyRangeCount" hidden="1">12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02FBC6E6_CD2B_48E2_BC55_64C05A10B473_.wvu.FilterData" localSheetId="3" hidden="1">'4. 전체공사일정표(최초, 정기)'!$E$4:$X$4</definedName>
    <definedName name="Z_0A64F8D9_59E4_4471_A54B_AB6085820F8B_.wvu.FilterData" localSheetId="3" hidden="1">'4. 전체공사일정표(최초, 정기)'!$E$4:$X$4</definedName>
    <definedName name="Z_0A64F8D9_59E4_4471_A54B_AB6085820F8B_.wvu.PrintArea" localSheetId="3" hidden="1">'4. 전체공사일정표(최초, 정기)'!$E$4:$AF$4</definedName>
    <definedName name="Z_0B810681_CC81_4141_9F16_24B3FD4F0FB8_.wvu.FilterData" localSheetId="3" hidden="1">'4. 전체공사일정표(최초, 정기)'!$E$4:$X$4</definedName>
    <definedName name="Z_0B810681_CC81_4141_9F16_24B3FD4F0FB8_.wvu.PrintArea" localSheetId="3" hidden="1">'4. 전체공사일정표(최초, 정기)'!$E$4:$AF$4</definedName>
    <definedName name="Z_45F170B6_3544_43F8_BFC7_D657B723AABC_.wvu.FilterData" localSheetId="3" hidden="1">'4. 전체공사일정표(최초, 정기)'!$E$4:$X$4</definedName>
    <definedName name="Z_45F170B6_3544_43F8_BFC7_D657B723AABC_.wvu.PrintArea" localSheetId="3" hidden="1">'4. 전체공사일정표(최초, 정기)'!$E$4:$AF$4</definedName>
    <definedName name="Z_6C04A49A_6140_42F5_B660_358F3428D555_.wvu.FilterData" localSheetId="3" hidden="1">'4. 전체공사일정표(최초, 정기)'!$E$4:$X$4</definedName>
    <definedName name="Z_6C04A49A_6140_42F5_B660_358F3428D555_.wvu.PrintArea" localSheetId="3" hidden="1">'4. 전체공사일정표(최초, 정기)'!$E$4:$AF$4</definedName>
    <definedName name="Z_717B341C_ADF7_4494_8FE3_F9159C14788B_.wvu.FilterData" localSheetId="3" hidden="1">'4. 전체공사일정표(최초, 정기)'!$E$4:$X$4</definedName>
    <definedName name="Z_96DEAA77_2828_4E97_975A_CF93EF5D9712_.wvu.FilterData" localSheetId="3" hidden="1">'4. 전체공사일정표(최초, 정기)'!$E$4:$X$4</definedName>
    <definedName name="Z_AF9F6769_16BA_4444_B539_537212F9672A_.wvu.FilterData" localSheetId="3" hidden="1">'4. 전체공사일정표(최초, 정기)'!$E$4:$X$4</definedName>
    <definedName name="Z_AF9F6769_16BA_4444_B539_537212F9672A_.wvu.PrintArea" localSheetId="3" hidden="1">'4. 전체공사일정표(최초, 정기)'!$E$4:$AF$4</definedName>
    <definedName name="Z_B0AA3114_3257_4D99_8E15_F0A183B56293_.wvu.FilterData" localSheetId="3" hidden="1">'4. 전체공사일정표(최초, 정기)'!$E$4:$X$4</definedName>
    <definedName name="Z_B4798534_C27D_422C_BD87_0A71D9C8BAA9_.wvu.FilterData" localSheetId="3" hidden="1">'4. 전체공사일정표(최초, 정기)'!$E$4:$X$4</definedName>
    <definedName name="Z_C7B87852_3417_4B82_AD8F_04929FC46960_.wvu.FilterData" localSheetId="3" hidden="1">'4. 전체공사일정표(최초, 정기)'!$E$4:$X$4</definedName>
    <definedName name="Z_CD147E05_78AB_4F1A_996E_7FAB0BB4629B_.wvu.FilterData" localSheetId="3" hidden="1">'4. 전체공사일정표(최초, 정기)'!$E$4:$X$4</definedName>
    <definedName name="Z_F8F33EAC_6737_4237_A48D_05833D89E8C9_.wvu.FilterData" localSheetId="3" hidden="1">'4. 전체공사일정표(최초, 정기)'!$E$4:$X$4</definedName>
    <definedName name="Z_F8F33EAC_6737_4237_A48D_05833D89E8C9_.wvu.PrintArea" localSheetId="3" hidden="1">'4. 전체공사일정표(최초, 정기)'!$E$4:$AF$4</definedName>
    <definedName name="Z_FA644498_2FA7_4E23_AA15_463455A1D2EE_.wvu.FilterData" localSheetId="3" hidden="1">'4. 전체공사일정표(최초, 정기)'!$E$4:$X$4</definedName>
    <definedName name="ㅁㅁㅁㅁ" hidden="1">#REF!</definedName>
    <definedName name="안녕" hidden="1">#REF!</definedName>
  </definedNames>
  <calcPr calcId="162913"/>
</workbook>
</file>

<file path=xl/calcChain.xml><?xml version="1.0" encoding="utf-8"?>
<calcChain xmlns="http://schemas.openxmlformats.org/spreadsheetml/2006/main">
  <c r="P10" i="70" l="1"/>
  <c r="L10" i="70"/>
  <c r="P11" i="70" l="1"/>
  <c r="L11" i="70"/>
  <c r="P12" i="70" l="1"/>
  <c r="L12" i="70"/>
  <c r="P18" i="70"/>
  <c r="L18" i="70"/>
  <c r="P17" i="70"/>
  <c r="L17" i="70"/>
  <c r="P16" i="70"/>
  <c r="L16" i="70"/>
  <c r="P15" i="70"/>
  <c r="L15" i="70"/>
  <c r="P14" i="70"/>
  <c r="L14" i="70"/>
  <c r="P13" i="70"/>
  <c r="L13" i="70"/>
  <c r="P9" i="70"/>
  <c r="L9" i="70"/>
  <c r="P8" i="70"/>
  <c r="L8" i="70"/>
  <c r="P7" i="70"/>
  <c r="L7" i="70"/>
  <c r="P6" i="70"/>
  <c r="L6" i="70"/>
  <c r="CN323" i="113"/>
  <c r="CK323" i="113"/>
  <c r="S323" i="113"/>
  <c r="CL322" i="113"/>
  <c r="CH322" i="113"/>
  <c r="S322" i="113"/>
  <c r="CI321" i="113"/>
  <c r="CD321" i="113"/>
  <c r="S321" i="113"/>
  <c r="CN320" i="113"/>
  <c r="CD320" i="113"/>
  <c r="CN319" i="113"/>
  <c r="CD319" i="113"/>
  <c r="CC318" i="113"/>
  <c r="S318" i="113"/>
  <c r="BZ317" i="113"/>
  <c r="S317" i="113"/>
  <c r="CA316" i="113"/>
  <c r="BW316" i="113"/>
  <c r="S316" i="113"/>
  <c r="CE315" i="113"/>
  <c r="BW315" i="113"/>
  <c r="BZ314" i="113"/>
  <c r="S314" i="113"/>
  <c r="BX313" i="113"/>
  <c r="S313" i="113"/>
  <c r="BY312" i="113"/>
  <c r="BU312" i="113"/>
  <c r="S312" i="113"/>
  <c r="CC311" i="113"/>
  <c r="BU311" i="113"/>
  <c r="CE310" i="113"/>
  <c r="BU310" i="113"/>
  <c r="CJ309" i="113"/>
  <c r="S309" i="113"/>
  <c r="CH308" i="113"/>
  <c r="S308" i="113"/>
  <c r="CK307" i="113"/>
  <c r="CF307" i="113"/>
  <c r="S307" i="113"/>
  <c r="CM306" i="113"/>
  <c r="CF306" i="113"/>
  <c r="CH305" i="113"/>
  <c r="S305" i="113"/>
  <c r="CF304" i="113"/>
  <c r="S304" i="113"/>
  <c r="CG303" i="113"/>
  <c r="CD303" i="113"/>
  <c r="S303" i="113"/>
  <c r="CJ302" i="113"/>
  <c r="CD302" i="113"/>
  <c r="CF301" i="113"/>
  <c r="S301" i="113"/>
  <c r="CD300" i="113"/>
  <c r="S300" i="113"/>
  <c r="CE299" i="113"/>
  <c r="CB299" i="113"/>
  <c r="S299" i="113"/>
  <c r="CH298" i="113"/>
  <c r="CB298" i="113"/>
  <c r="CD297" i="113"/>
  <c r="S297" i="113"/>
  <c r="CA296" i="113"/>
  <c r="S296" i="113"/>
  <c r="CC295" i="113"/>
  <c r="BY295" i="113"/>
  <c r="S295" i="113"/>
  <c r="CF294" i="113"/>
  <c r="BY294" i="113"/>
  <c r="BZ293" i="113"/>
  <c r="S293" i="113"/>
  <c r="BX292" i="113"/>
  <c r="S292" i="113"/>
  <c r="BX291" i="113"/>
  <c r="BU291" i="113"/>
  <c r="S291" i="113"/>
  <c r="CB290" i="113"/>
  <c r="BU290" i="113"/>
  <c r="BU289" i="113"/>
  <c r="S289" i="113"/>
  <c r="BS288" i="113"/>
  <c r="S288" i="113"/>
  <c r="BT287" i="113"/>
  <c r="BQ287" i="113"/>
  <c r="S287" i="113"/>
  <c r="BX286" i="113"/>
  <c r="BQ286" i="113"/>
  <c r="CM285" i="113"/>
  <c r="BQ285" i="113"/>
  <c r="BW284" i="113"/>
  <c r="S284" i="113"/>
  <c r="BT283" i="113"/>
  <c r="S283" i="113"/>
  <c r="BT282" i="113"/>
  <c r="BQ282" i="113"/>
  <c r="S282" i="113"/>
  <c r="BZ281" i="113"/>
  <c r="BQ281" i="113"/>
  <c r="BZ280" i="113"/>
  <c r="BQ280" i="113"/>
  <c r="CK279" i="113"/>
  <c r="CH279" i="113"/>
  <c r="S279" i="113"/>
  <c r="CE278" i="113"/>
  <c r="S278" i="113"/>
  <c r="CF277" i="113"/>
  <c r="CB277" i="113"/>
  <c r="S277" i="113"/>
  <c r="CK276" i="113"/>
  <c r="CB276" i="113"/>
  <c r="CF275" i="113"/>
  <c r="CC275" i="113"/>
  <c r="S275" i="113"/>
  <c r="CD274" i="113"/>
  <c r="BZ274" i="113"/>
  <c r="S274" i="113"/>
  <c r="CA273" i="113"/>
  <c r="BW273" i="113"/>
  <c r="S273" i="113"/>
  <c r="CF272" i="113"/>
  <c r="BW272" i="113"/>
  <c r="CK271" i="113"/>
  <c r="BW271" i="113"/>
  <c r="CF270" i="113"/>
  <c r="BZ270" i="113"/>
  <c r="S270" i="113"/>
  <c r="CA269" i="113"/>
  <c r="BW269" i="113"/>
  <c r="S269" i="113"/>
  <c r="CF268" i="113"/>
  <c r="BW268" i="113"/>
  <c r="BZ267" i="113"/>
  <c r="S267" i="113"/>
  <c r="CA266" i="113"/>
  <c r="BU266" i="113"/>
  <c r="S266" i="113"/>
  <c r="CC265" i="113"/>
  <c r="BU265" i="113"/>
  <c r="BY264" i="113"/>
  <c r="S264" i="113"/>
  <c r="BY263" i="113"/>
  <c r="BS263" i="113"/>
  <c r="S263" i="113"/>
  <c r="CA262" i="113"/>
  <c r="BS262" i="113"/>
  <c r="BS261" i="113"/>
  <c r="S261" i="113"/>
  <c r="BQ260" i="113"/>
  <c r="S260" i="113"/>
  <c r="BT259" i="113"/>
  <c r="BQ259" i="113"/>
  <c r="BS258" i="113"/>
  <c r="S258" i="113"/>
  <c r="BS257" i="113"/>
  <c r="BO257" i="113"/>
  <c r="S257" i="113"/>
  <c r="BU256" i="113"/>
  <c r="BO256" i="113"/>
  <c r="CF255" i="113"/>
  <c r="BO255" i="113"/>
  <c r="CM254" i="113"/>
  <c r="BO254" i="113"/>
  <c r="CM253" i="113"/>
  <c r="BO253" i="113"/>
  <c r="BV252" i="113"/>
  <c r="S252" i="113"/>
  <c r="BV251" i="113"/>
  <c r="BO251" i="113"/>
  <c r="S251" i="113"/>
  <c r="BN250" i="113"/>
  <c r="S250" i="113"/>
  <c r="BW249" i="113"/>
  <c r="BN249" i="113"/>
  <c r="BT248" i="113"/>
  <c r="S248" i="113"/>
  <c r="BT247" i="113"/>
  <c r="BM247" i="113"/>
  <c r="S247" i="113"/>
  <c r="BL246" i="113"/>
  <c r="S246" i="113"/>
  <c r="BU245" i="113"/>
  <c r="BL245" i="113"/>
  <c r="BW244" i="113"/>
  <c r="BL244" i="113"/>
  <c r="CE243" i="113"/>
  <c r="S243" i="113"/>
  <c r="CE242" i="113"/>
  <c r="BX242" i="113"/>
  <c r="S242" i="113"/>
  <c r="BW241" i="113"/>
  <c r="S241" i="113"/>
  <c r="CF240" i="113"/>
  <c r="BW240" i="113"/>
  <c r="CC239" i="113"/>
  <c r="S239" i="113"/>
  <c r="CC238" i="113"/>
  <c r="BV238" i="113"/>
  <c r="S238" i="113"/>
  <c r="BU237" i="113"/>
  <c r="S237" i="113"/>
  <c r="CD236" i="113"/>
  <c r="BU236" i="113"/>
  <c r="CA235" i="113"/>
  <c r="S235" i="113"/>
  <c r="CA234" i="113"/>
  <c r="BS234" i="113"/>
  <c r="S234" i="113"/>
  <c r="BS233" i="113"/>
  <c r="S233" i="113"/>
  <c r="CB232" i="113"/>
  <c r="BS232" i="113"/>
  <c r="BY231" i="113"/>
  <c r="S231" i="113"/>
  <c r="BY230" i="113"/>
  <c r="BQ230" i="113"/>
  <c r="S230" i="113"/>
  <c r="BQ229" i="113"/>
  <c r="S229" i="113"/>
  <c r="BY228" i="113"/>
  <c r="BQ228" i="113"/>
  <c r="BT227" i="113"/>
  <c r="S227" i="113"/>
  <c r="BT226" i="113"/>
  <c r="BM226" i="113"/>
  <c r="S226" i="113"/>
  <c r="BL225" i="113"/>
  <c r="S225" i="113"/>
  <c r="BU224" i="113"/>
  <c r="BL224" i="113"/>
  <c r="BP223" i="113"/>
  <c r="S223" i="113"/>
  <c r="BP222" i="113"/>
  <c r="BI222" i="113"/>
  <c r="S222" i="113"/>
  <c r="BH221" i="113"/>
  <c r="S221" i="113"/>
  <c r="BQ220" i="113"/>
  <c r="BH220" i="113"/>
  <c r="CF219" i="113"/>
  <c r="BH219" i="113"/>
  <c r="BP218" i="113"/>
  <c r="S218" i="113"/>
  <c r="BP217" i="113"/>
  <c r="BI217" i="113"/>
  <c r="S217" i="113"/>
  <c r="BH216" i="113"/>
  <c r="S216" i="113"/>
  <c r="BQ215" i="113"/>
  <c r="BH215" i="113"/>
  <c r="BQ214" i="113"/>
  <c r="BH214" i="113"/>
  <c r="CA213" i="113"/>
  <c r="S213" i="113"/>
  <c r="CA212" i="113"/>
  <c r="BS212" i="113"/>
  <c r="S212" i="113"/>
  <c r="BS211" i="113"/>
  <c r="S211" i="113"/>
  <c r="CB210" i="113"/>
  <c r="BS210" i="113"/>
  <c r="BV209" i="113"/>
  <c r="S209" i="113"/>
  <c r="BV208" i="113"/>
  <c r="BO208" i="113"/>
  <c r="S208" i="113"/>
  <c r="BN207" i="113"/>
  <c r="S207" i="113"/>
  <c r="BW206" i="113"/>
  <c r="BN206" i="113"/>
  <c r="CB205" i="113"/>
  <c r="BN205" i="113"/>
  <c r="BV204" i="113"/>
  <c r="S204" i="113"/>
  <c r="BV203" i="113"/>
  <c r="BO203" i="113"/>
  <c r="S203" i="113"/>
  <c r="BN202" i="113"/>
  <c r="S202" i="113"/>
  <c r="BW201" i="113"/>
  <c r="BN201" i="113"/>
  <c r="BT200" i="113"/>
  <c r="S200" i="113"/>
  <c r="BT199" i="113"/>
  <c r="BM199" i="113"/>
  <c r="S199" i="113"/>
  <c r="BL198" i="113"/>
  <c r="S198" i="113"/>
  <c r="BU197" i="113"/>
  <c r="BL197" i="113"/>
  <c r="BR196" i="113"/>
  <c r="S196" i="113"/>
  <c r="BR195" i="113"/>
  <c r="BK195" i="113"/>
  <c r="S195" i="113"/>
  <c r="BJ194" i="113"/>
  <c r="S194" i="113"/>
  <c r="BS193" i="113"/>
  <c r="BJ193" i="113"/>
  <c r="BP192" i="113"/>
  <c r="S192" i="113"/>
  <c r="BP191" i="113"/>
  <c r="BI191" i="113"/>
  <c r="S191" i="113"/>
  <c r="BH190" i="113"/>
  <c r="S190" i="113"/>
  <c r="BQ189" i="113"/>
  <c r="BH189" i="113"/>
  <c r="BN188" i="113"/>
  <c r="S188" i="113"/>
  <c r="BN187" i="113"/>
  <c r="BG187" i="113"/>
  <c r="S187" i="113"/>
  <c r="BF186" i="113"/>
  <c r="S186" i="113"/>
  <c r="BO185" i="113"/>
  <c r="BF185" i="113"/>
  <c r="BW184" i="113"/>
  <c r="BF184" i="113"/>
  <c r="CF183" i="113"/>
  <c r="BF183" i="113"/>
  <c r="CF182" i="113"/>
  <c r="BF182" i="113"/>
  <c r="BM181" i="113"/>
  <c r="S181" i="113"/>
  <c r="BM180" i="113"/>
  <c r="BK179" i="113"/>
  <c r="S179" i="113"/>
  <c r="BK178" i="113"/>
  <c r="BN177" i="113"/>
  <c r="BK177" i="113"/>
  <c r="BV176" i="113"/>
  <c r="S176" i="113"/>
  <c r="BV175" i="113"/>
  <c r="BT174" i="113"/>
  <c r="S174" i="113"/>
  <c r="BT173" i="113"/>
  <c r="BQ172" i="113"/>
  <c r="S172" i="113"/>
  <c r="BQ171" i="113"/>
  <c r="BO170" i="113"/>
  <c r="S170" i="113"/>
  <c r="BO169" i="113"/>
  <c r="BK168" i="113"/>
  <c r="S168" i="113"/>
  <c r="BK167" i="113"/>
  <c r="BF166" i="113"/>
  <c r="S166" i="113"/>
  <c r="BF165" i="113"/>
  <c r="BW164" i="113"/>
  <c r="BF164" i="113"/>
  <c r="BF163" i="113"/>
  <c r="S163" i="113"/>
  <c r="BF162" i="113"/>
  <c r="BF161" i="113"/>
  <c r="BQ160" i="113"/>
  <c r="S160" i="113"/>
  <c r="BQ159" i="113"/>
  <c r="BM158" i="113"/>
  <c r="S158" i="113"/>
  <c r="BM157" i="113"/>
  <c r="BS156" i="113"/>
  <c r="BM156" i="113"/>
  <c r="BM155" i="113"/>
  <c r="S155" i="113"/>
  <c r="BM154" i="113"/>
  <c r="BK153" i="113"/>
  <c r="S153" i="113"/>
  <c r="BK152" i="113"/>
  <c r="BI151" i="113"/>
  <c r="S151" i="113"/>
  <c r="BI150" i="113"/>
  <c r="BF149" i="113"/>
  <c r="S149" i="113"/>
  <c r="BF148" i="113"/>
  <c r="BD147" i="113"/>
  <c r="S147" i="113"/>
  <c r="BD146" i="113"/>
  <c r="BN145" i="113"/>
  <c r="BD145" i="113"/>
  <c r="BW144" i="113"/>
  <c r="BD144" i="113"/>
  <c r="BW143" i="113"/>
  <c r="BD143" i="113"/>
  <c r="BI142" i="113"/>
  <c r="S142" i="113"/>
  <c r="BI141" i="113"/>
  <c r="BF141" i="113"/>
  <c r="S141" i="113"/>
  <c r="BK140" i="113"/>
  <c r="BF140" i="113"/>
  <c r="BK139" i="113"/>
  <c r="BF139" i="113"/>
  <c r="BE138" i="113"/>
  <c r="S138" i="113"/>
  <c r="BB137" i="113"/>
  <c r="S137" i="113"/>
  <c r="BG136" i="113"/>
  <c r="BB136" i="113"/>
  <c r="BG135" i="113"/>
  <c r="BB135" i="113"/>
  <c r="BE134" i="113"/>
  <c r="S134" i="113"/>
  <c r="BC133" i="113"/>
  <c r="S133" i="113"/>
  <c r="BG132" i="113"/>
  <c r="BC132" i="113"/>
  <c r="BG131" i="113"/>
  <c r="BC131" i="113"/>
  <c r="BK130" i="113"/>
  <c r="S130" i="113"/>
  <c r="BM129" i="113"/>
  <c r="BJ129" i="113"/>
  <c r="S129" i="113"/>
  <c r="BM128" i="113"/>
  <c r="BJ128" i="113"/>
  <c r="BM127" i="113"/>
  <c r="BJ127" i="113"/>
  <c r="BC126" i="113"/>
  <c r="S126" i="113"/>
  <c r="BC125" i="113"/>
  <c r="BC124" i="113"/>
  <c r="BM123" i="113"/>
  <c r="BB123" i="113"/>
  <c r="BM122" i="113"/>
  <c r="BB122" i="113"/>
  <c r="BJ121" i="113"/>
  <c r="S121" i="113"/>
  <c r="BJ120" i="113"/>
  <c r="BF120" i="113"/>
  <c r="S120" i="113"/>
  <c r="BF119" i="113"/>
  <c r="AW119" i="113"/>
  <c r="S119" i="113"/>
  <c r="AW118" i="113"/>
  <c r="AR118" i="113"/>
  <c r="S118" i="113"/>
  <c r="BM117" i="113"/>
  <c r="AR117" i="113"/>
  <c r="BI116" i="113"/>
  <c r="S116" i="113"/>
  <c r="BI115" i="113"/>
  <c r="BD115" i="113"/>
  <c r="S115" i="113"/>
  <c r="BF114" i="113"/>
  <c r="AW114" i="113"/>
  <c r="S114" i="113"/>
  <c r="AW113" i="113"/>
  <c r="AR113" i="113"/>
  <c r="S113" i="113"/>
  <c r="BK112" i="113"/>
  <c r="AR112" i="113"/>
  <c r="BM111" i="113"/>
  <c r="AR111" i="113"/>
  <c r="BS110" i="113"/>
  <c r="S110" i="113"/>
  <c r="BU109" i="113"/>
  <c r="BR109" i="113"/>
  <c r="S109" i="113"/>
  <c r="BF108" i="113"/>
  <c r="AW108" i="113"/>
  <c r="S108" i="113"/>
  <c r="AW107" i="113"/>
  <c r="AR107" i="113"/>
  <c r="S107" i="113"/>
  <c r="BV106" i="113"/>
  <c r="AR106" i="113"/>
  <c r="BT105" i="113"/>
  <c r="BQ105" i="113"/>
  <c r="S105" i="113"/>
  <c r="BS104" i="113"/>
  <c r="BO104" i="113"/>
  <c r="S104" i="113"/>
  <c r="BF103" i="113"/>
  <c r="AW103" i="113"/>
  <c r="S103" i="113"/>
  <c r="AW102" i="113"/>
  <c r="AR102" i="113"/>
  <c r="S102" i="113"/>
  <c r="BT101" i="113"/>
  <c r="AR101" i="113"/>
  <c r="BO100" i="113"/>
  <c r="S100" i="113"/>
  <c r="BP99" i="113"/>
  <c r="BM99" i="113"/>
  <c r="S99" i="113"/>
  <c r="BF98" i="113"/>
  <c r="AW98" i="113"/>
  <c r="S98" i="113"/>
  <c r="AW97" i="113"/>
  <c r="AR97" i="113"/>
  <c r="S97" i="113"/>
  <c r="BQ96" i="113"/>
  <c r="AR96" i="113"/>
  <c r="BL95" i="113"/>
  <c r="S95" i="113"/>
  <c r="BM94" i="113"/>
  <c r="BJ94" i="113"/>
  <c r="S94" i="113"/>
  <c r="BF93" i="113"/>
  <c r="AW93" i="113"/>
  <c r="S93" i="113"/>
  <c r="AW92" i="113"/>
  <c r="AR92" i="113"/>
  <c r="S92" i="113"/>
  <c r="BO91" i="113"/>
  <c r="AR91" i="113"/>
  <c r="BK90" i="113"/>
  <c r="BH90" i="113"/>
  <c r="S90" i="113"/>
  <c r="BI89" i="113"/>
  <c r="BF89" i="113"/>
  <c r="S89" i="113"/>
  <c r="BF88" i="113"/>
  <c r="AW88" i="113"/>
  <c r="S88" i="113"/>
  <c r="AW87" i="113"/>
  <c r="AR87" i="113"/>
  <c r="S87" i="113"/>
  <c r="BK86" i="113"/>
  <c r="AR86" i="113"/>
  <c r="BE85" i="113"/>
  <c r="S85" i="113"/>
  <c r="BC84" i="113"/>
  <c r="S84" i="113"/>
  <c r="BC83" i="113"/>
  <c r="AW83" i="113"/>
  <c r="S83" i="113"/>
  <c r="AW82" i="113"/>
  <c r="AR82" i="113"/>
  <c r="S82" i="113"/>
  <c r="BG81" i="113"/>
  <c r="AR81" i="113"/>
  <c r="BV80" i="113"/>
  <c r="AR80" i="113"/>
  <c r="BG79" i="113"/>
  <c r="BD79" i="113"/>
  <c r="S79" i="113"/>
  <c r="BD78" i="113"/>
  <c r="AY78" i="113"/>
  <c r="S78" i="113"/>
  <c r="AZ77" i="113"/>
  <c r="AS77" i="113"/>
  <c r="S77" i="113"/>
  <c r="BC76" i="113"/>
  <c r="AR76" i="113"/>
  <c r="S76" i="113"/>
  <c r="BG75" i="113"/>
  <c r="AQ75" i="113"/>
  <c r="BG74" i="113"/>
  <c r="AQ74" i="113"/>
  <c r="BO73" i="113"/>
  <c r="S73" i="113"/>
  <c r="BN72" i="113"/>
  <c r="BI72" i="113"/>
  <c r="S72" i="113"/>
  <c r="BJ71" i="113"/>
  <c r="BD71" i="113"/>
  <c r="S71" i="113"/>
  <c r="BJ70" i="113"/>
  <c r="AR70" i="113"/>
  <c r="S70" i="113"/>
  <c r="BQ69" i="113"/>
  <c r="AO69" i="113"/>
  <c r="BM68" i="113"/>
  <c r="BJ68" i="113"/>
  <c r="S68" i="113"/>
  <c r="BJ67" i="113"/>
  <c r="BC67" i="113"/>
  <c r="S67" i="113"/>
  <c r="BD66" i="113"/>
  <c r="AW66" i="113"/>
  <c r="S66" i="113"/>
  <c r="BJ65" i="113"/>
  <c r="AR65" i="113"/>
  <c r="S65" i="113"/>
  <c r="BM64" i="113"/>
  <c r="AN64" i="113"/>
  <c r="BQ63" i="113"/>
  <c r="AO63" i="113"/>
  <c r="BK62" i="113"/>
  <c r="S62" i="113"/>
  <c r="BL61" i="113"/>
  <c r="BI61" i="113"/>
  <c r="S61" i="113"/>
  <c r="AW60" i="113"/>
  <c r="AR60" i="113"/>
  <c r="S60" i="113"/>
  <c r="BM59" i="113"/>
  <c r="AS59" i="113"/>
  <c r="BI58" i="113"/>
  <c r="S58" i="113"/>
  <c r="BI57" i="113"/>
  <c r="BE57" i="113"/>
  <c r="S57" i="113"/>
  <c r="AW56" i="113"/>
  <c r="AR56" i="113"/>
  <c r="S56" i="113"/>
  <c r="BK55" i="113"/>
  <c r="AR55" i="113"/>
  <c r="BI54" i="113"/>
  <c r="BE54" i="113"/>
  <c r="S54" i="113"/>
  <c r="BE53" i="113"/>
  <c r="BA53" i="113"/>
  <c r="S53" i="113"/>
  <c r="AW52" i="113"/>
  <c r="AR52" i="113"/>
  <c r="S52" i="113"/>
  <c r="BI51" i="113"/>
  <c r="AR51" i="113"/>
  <c r="BG50" i="113"/>
  <c r="BA50" i="113"/>
  <c r="S50" i="113"/>
  <c r="AY49" i="113"/>
  <c r="S49" i="113"/>
  <c r="AW48" i="113"/>
  <c r="AR48" i="113"/>
  <c r="S48" i="113"/>
  <c r="BG47" i="113"/>
  <c r="AR47" i="113"/>
  <c r="BD46" i="113"/>
  <c r="AY46" i="113"/>
  <c r="S46" i="113"/>
  <c r="AW45" i="113"/>
  <c r="S45" i="113"/>
  <c r="AW44" i="113"/>
  <c r="AR44" i="113"/>
  <c r="S44" i="113"/>
  <c r="BD43" i="113"/>
  <c r="AR43" i="113"/>
  <c r="BM42" i="113"/>
  <c r="AR42" i="113"/>
  <c r="BV41" i="113"/>
  <c r="AM41" i="113"/>
  <c r="BV40" i="113"/>
  <c r="AM40" i="113"/>
  <c r="AW39" i="113"/>
  <c r="AS39" i="113"/>
  <c r="AW38" i="113"/>
  <c r="AS38" i="113"/>
  <c r="AR37" i="113"/>
  <c r="AW36" i="113"/>
  <c r="AS36" i="113"/>
  <c r="AW35" i="113"/>
  <c r="AS35" i="113"/>
  <c r="AW34" i="113"/>
  <c r="AS34" i="113"/>
  <c r="AR33" i="113"/>
  <c r="AW32" i="113"/>
  <c r="AS32" i="113"/>
  <c r="AU31" i="113"/>
  <c r="AR31" i="113"/>
  <c r="AU30" i="113"/>
  <c r="AR30" i="113"/>
  <c r="AU29" i="113"/>
  <c r="AR29" i="113"/>
  <c r="AU28" i="113"/>
  <c r="AR28" i="113"/>
  <c r="AR27" i="113"/>
  <c r="AR26" i="113"/>
  <c r="AU25" i="113"/>
  <c r="AR25" i="113"/>
  <c r="AU24" i="113"/>
  <c r="AR24" i="113"/>
  <c r="AU23" i="113"/>
  <c r="AR23" i="113"/>
  <c r="AR22" i="113"/>
  <c r="AR21" i="113"/>
  <c r="AR20" i="113"/>
  <c r="AR19" i="113"/>
  <c r="AR18" i="113"/>
  <c r="AR17" i="113"/>
  <c r="AR16" i="113"/>
  <c r="AR15" i="113"/>
  <c r="AR14" i="113"/>
  <c r="AS13" i="113"/>
  <c r="AW12" i="113"/>
  <c r="AS12" i="113"/>
  <c r="AR11" i="113"/>
  <c r="AW10" i="113"/>
  <c r="AS10" i="113"/>
  <c r="AR9" i="113"/>
  <c r="AW8" i="113"/>
  <c r="AS8" i="113"/>
  <c r="AR7" i="113"/>
  <c r="AT6" i="113"/>
  <c r="AT5" i="113"/>
  <c r="AF2" i="113" a="1"/>
  <c r="AF1" i="113" a="1"/>
  <c r="AF1" i="113" l="1"/>
  <c r="AF2" i="113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P5" i="70" l="1"/>
  <c r="L5" i="70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<sst xmlns="http://schemas.openxmlformats.org/spreadsheetml/2006/main" count="9741" uniqueCount="2313">
  <si>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</si>
  <si>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</si>
  <si>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</si>
  <si>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</si>
  <si>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</si>
  <si>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</si>
  <si>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</si>
  <si>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</si>
  <si>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</si>
  <si>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</si>
  <si>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</si>
  <si>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</si>
  <si>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</si>
  <si>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</si>
  <si>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</si>
  <si>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</si>
  <si>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</si>
  <si>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</si>
  <si>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</si>
  <si>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</si>
  <si>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</si>
  <si>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</si>
  <si>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</si>
  <si>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</si>
  <si>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</si>
  <si>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</si>
  <si>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</si>
  <si>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</si>
  <si>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</si>
  <si>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</si>
  <si>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</si>
  <si>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</si>
  <si>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</si>
  <si>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</si>
  <si>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</si>
  <si>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</si>
  <si>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</si>
  <si>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</si>
  <si>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</si>
  <si>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</si>
  <si>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</si>
  <si>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</si>
  <si>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</si>
  <si>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</si>
  <si>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</si>
  <si>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</si>
  <si>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</si>
  <si>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</si>
  <si>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</si>
  <si>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</si>
  <si>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</si>
  <si>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</si>
  <si>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</si>
  <si>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</si>
  <si>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</si>
  <si>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</si>
  <si>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</si>
  <si>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</si>
  <si>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</si>
  <si>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</si>
  <si>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</si>
  <si>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</si>
  <si>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</si>
  <si>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</si>
  <si>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</si>
  <si>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</si>
  <si>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</si>
  <si>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</si>
  <si>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</si>
  <si>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</si>
  <si>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</si>
  <si>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</si>
  <si>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</si>
  <si>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</si>
  <si>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</si>
  <si>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</si>
  <si>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</si>
  <si>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</si>
  <si>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</si>
  <si>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</si>
  <si>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</si>
  <si>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</si>
  <si>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</si>
  <si>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</si>
  <si>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</si>
  <si>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</si>
  <si>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</si>
  <si>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</si>
  <si>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</si>
  <si>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</si>
  <si>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</si>
  <si>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</si>
  <si>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</si>
  <si>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</si>
  <si>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</si>
  <si>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</si>
  <si>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</si>
  <si>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</si>
  <si>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</si>
  <si>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</si>
  <si>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</si>
  <si>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</si>
  <si>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</si>
  <si>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</si>
  <si>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</si>
  <si>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</si>
  <si>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</si>
  <si>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</si>
  <si>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</si>
  <si>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</si>
  <si>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</si>
  <si>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</si>
  <si>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</si>
  <si>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</si>
  <si>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</si>
  <si>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</si>
  <si>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</si>
  <si>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</si>
  <si>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</si>
  <si>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</si>
  <si>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</si>
  <si>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</si>
  <si>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</si>
  <si>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</si>
  <si>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</si>
  <si>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</si>
  <si>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</si>
  <si>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</si>
  <si>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</si>
  <si>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1. 위험성 평가 실시 계획(공사개요)</t>
    <phoneticPr fontId="13" type="noConversion"/>
  </si>
  <si>
    <t>안전관리자</t>
    <phoneticPr fontId="1" type="noConversion"/>
  </si>
  <si>
    <t>2. 위험성 평가 조직 구성</t>
    <phoneticPr fontId="13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</si>
  <si>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</si>
  <si>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</si>
  <si>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</si>
  <si>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</si>
  <si>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</si>
  <si>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</si>
  <si>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</si>
  <si>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</si>
  <si>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</si>
  <si>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</si>
  <si>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</si>
  <si>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</si>
  <si>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</si>
  <si>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</si>
  <si>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</si>
  <si>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</si>
  <si>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</si>
  <si>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</si>
  <si>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</si>
  <si>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</si>
  <si>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</si>
  <si>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</si>
  <si>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</si>
  <si>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</si>
  <si>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</si>
  <si>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</si>
  <si>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</si>
  <si>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</si>
  <si>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</si>
  <si>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</si>
  <si>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</si>
  <si>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</si>
  <si>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</si>
  <si>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</si>
  <si>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</si>
  <si>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</si>
  <si>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</si>
  <si>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</si>
  <si>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</si>
  <si>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</si>
  <si>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</si>
  <si>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</si>
  <si>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</si>
  <si>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</si>
  <si>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</si>
  <si>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</si>
  <si>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</si>
  <si>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</si>
  <si>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</si>
  <si>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</si>
  <si>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</si>
  <si>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</si>
  <si>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</si>
  <si>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</si>
  <si>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</si>
  <si>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</si>
  <si>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</si>
  <si>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</si>
  <si>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</si>
  <si>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</si>
  <si>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</si>
  <si>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</si>
  <si>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</si>
  <si>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</si>
  <si>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</si>
  <si>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</si>
  <si>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</si>
  <si>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</si>
  <si>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</si>
  <si>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</si>
  <si>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</si>
  <si>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</si>
  <si>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</si>
  <si>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</si>
  <si>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</si>
  <si>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</si>
  <si>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</si>
  <si>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</si>
  <si>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</si>
  <si>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</si>
  <si>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</si>
  <si>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</si>
  <si>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</si>
  <si>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</si>
  <si>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</si>
  <si>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</si>
  <si>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</si>
  <si>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</si>
  <si>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</si>
  <si>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</si>
  <si>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</si>
  <si>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</si>
  <si>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</si>
  <si>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</si>
  <si>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</si>
  <si>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</si>
  <si>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</si>
  <si>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</si>
  <si>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</si>
  <si>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</si>
  <si>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</si>
  <si>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</si>
  <si>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</si>
  <si>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</si>
  <si>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</si>
  <si>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</si>
  <si>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</si>
  <si>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</si>
  <si>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</si>
  <si>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</si>
  <si>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</si>
  <si>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</si>
  <si>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</si>
  <si>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</si>
  <si>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</si>
  <si>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</si>
  <si>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</si>
  <si>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</si>
  <si>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</si>
  <si>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</si>
  <si>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</si>
  <si>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</si>
  <si>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</si>
  <si>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</si>
  <si>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</si>
  <si>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</si>
  <si>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</si>
  <si>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</si>
  <si>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</si>
  <si>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</si>
  <si>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</si>
  <si>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</si>
  <si>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</si>
  <si>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</si>
  <si>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</si>
  <si>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</si>
  <si>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</si>
  <si>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</si>
  <si>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</si>
  <si>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</si>
  <si>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</si>
  <si>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</si>
  <si>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</si>
  <si>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</si>
  <si>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</si>
  <si>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</si>
  <si>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</si>
  <si>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</si>
  <si>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</si>
  <si>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</si>
  <si>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</si>
  <si>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</si>
  <si>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</si>
  <si>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</si>
  <si>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</si>
  <si>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</si>
  <si>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</si>
  <si>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</si>
  <si>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</si>
  <si>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</si>
  <si>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</si>
  <si>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</si>
  <si>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</si>
  <si>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</si>
  <si>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</si>
  <si>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</si>
  <si>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</si>
  <si>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</si>
  <si>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</si>
  <si>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</si>
  <si>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</si>
  <si>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</si>
  <si>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</si>
  <si>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</si>
  <si>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</si>
  <si>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</si>
  <si>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</si>
  <si>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</si>
  <si>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</si>
  <si>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</si>
  <si>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</si>
  <si>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</si>
  <si>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</si>
  <si>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</si>
  <si>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</si>
  <si>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</si>
  <si>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</si>
  <si>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</si>
  <si>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</si>
  <si>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</si>
  <si>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</si>
  <si>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</si>
  <si>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</si>
  <si>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</si>
  <si>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</si>
  <si>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</si>
  <si>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</si>
  <si>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</si>
  <si>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</si>
  <si>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</si>
  <si>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</si>
  <si>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</si>
  <si>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</si>
  <si>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</si>
  <si>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</si>
  <si>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</si>
  <si>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</si>
  <si>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</si>
  <si>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</si>
  <si>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</si>
  <si>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</si>
  <si>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</si>
  <si>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</si>
  <si>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</si>
  <si>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</si>
  <si>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</si>
  <si>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</si>
  <si>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</si>
  <si>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</si>
  <si>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</si>
  <si>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</si>
  <si>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</si>
  <si>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</si>
  <si>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</si>
  <si>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</si>
  <si>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</si>
  <si>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</si>
  <si>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</si>
  <si>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</si>
  <si>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</si>
  <si>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</si>
  <si>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</si>
  <si>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</si>
  <si>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</si>
  <si>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</si>
  <si>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</si>
  <si>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</si>
  <si>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</si>
  <si>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</si>
  <si>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</si>
  <si>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</si>
  <si>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</si>
  <si>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</si>
  <si>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</si>
  <si>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</si>
  <si>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</si>
  <si>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</si>
  <si>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</si>
  <si>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</si>
  <si>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</si>
  <si>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</si>
  <si>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</si>
  <si>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</si>
  <si>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</si>
  <si>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</si>
  <si>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</si>
  <si>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</si>
  <si>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</si>
  <si>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</si>
  <si>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</si>
  <si>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</si>
  <si>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</si>
  <si>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</si>
  <si>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</si>
  <si>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</si>
  <si>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</si>
  <si>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</si>
  <si>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</si>
  <si>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</si>
  <si>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</si>
  <si>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</si>
  <si>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</si>
  <si>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</si>
  <si>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</si>
  <si>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</si>
  <si>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</si>
  <si>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</si>
  <si>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</si>
  <si>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</si>
  <si>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</si>
  <si>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</si>
  <si>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</si>
  <si>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</si>
  <si>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</si>
  <si>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</si>
  <si>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</si>
  <si>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</si>
  <si>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</si>
  <si>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</si>
  <si>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</si>
  <si>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</si>
  <si>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</si>
  <si>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</si>
  <si>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</si>
  <si>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</si>
  <si>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</si>
  <si>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</si>
  <si>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</si>
  <si>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</si>
  <si>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</si>
  <si>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</si>
  <si>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</si>
  <si>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</si>
  <si>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</si>
  <si>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</si>
  <si>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</si>
  <si>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</si>
  <si>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</si>
  <si>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</si>
  <si>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</si>
  <si>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</si>
  <si>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</si>
  <si>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</si>
  <si>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</si>
  <si>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</si>
  <si>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</si>
  <si>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</si>
  <si>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</si>
  <si>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</si>
  <si>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</si>
  <si>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</si>
  <si>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</si>
  <si>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</si>
  <si>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</si>
  <si>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</si>
  <si>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</si>
  <si>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</si>
  <si>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</si>
  <si>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</si>
  <si>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</si>
  <si>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</si>
  <si>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</si>
  <si>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</si>
  <si>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</si>
  <si>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</si>
  <si>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</si>
  <si>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</si>
  <si>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</si>
  <si>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</si>
  <si>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</si>
  <si>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</si>
  <si>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</si>
  <si>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</si>
  <si>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</si>
  <si>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</si>
  <si>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</si>
  <si>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</si>
  <si>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</si>
  <si>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</si>
  <si>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</si>
  <si>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</si>
  <si>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</si>
  <si>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</si>
  <si>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</si>
  <si>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</si>
  <si>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</si>
  <si>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</si>
  <si>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</si>
  <si>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</si>
  <si>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</si>
  <si>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</si>
  <si>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</si>
  <si>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</si>
  <si>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</si>
  <si>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</si>
  <si>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</si>
  <si>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</si>
  <si>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</si>
  <si>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</si>
  <si>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</si>
  <si>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</si>
  <si>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</si>
  <si>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</si>
  <si>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</si>
  <si>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</si>
  <si>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</si>
  <si>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</si>
  <si>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</si>
  <si>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</si>
  <si>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</si>
  <si>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</si>
  <si>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</si>
  <si>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</si>
  <si>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</si>
  <si>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</si>
  <si>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</si>
  <si>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</si>
  <si>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</si>
  <si>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</si>
  <si>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</si>
  <si>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</si>
  <si>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</si>
  <si>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</si>
  <si>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</si>
  <si>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</si>
  <si>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</si>
  <si>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</si>
  <si>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</si>
  <si>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</si>
  <si>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</si>
  <si>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</si>
  <si>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</si>
  <si>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</si>
  <si>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</si>
  <si>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</si>
  <si>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</si>
  <si>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</si>
  <si>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</si>
  <si>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</si>
  <si>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</si>
  <si>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</si>
  <si>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</si>
  <si>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</si>
  <si>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</si>
  <si>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</si>
  <si>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</si>
  <si>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</si>
  <si>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</si>
  <si>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</si>
  <si>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</si>
  <si>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</si>
  <si>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</si>
  <si>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</si>
  <si>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</si>
  <si>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</si>
  <si>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</si>
  <si>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</si>
  <si>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</si>
  <si>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</si>
  <si>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</si>
  <si>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</si>
  <si>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</si>
  <si>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</si>
  <si>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</si>
  <si>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</si>
  <si>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</si>
  <si>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</si>
  <si>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</si>
  <si>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</si>
  <si>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</si>
  <si>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</si>
  <si>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</si>
  <si>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</si>
  <si>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</si>
  <si>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</si>
  <si>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</si>
  <si>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</si>
  <si>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</si>
  <si>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</si>
  <si>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</si>
  <si>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</si>
  <si>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</si>
  <si>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</si>
  <si>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</si>
  <si>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</si>
  <si>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</si>
  <si>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</si>
  <si>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</si>
  <si>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</si>
  <si>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</si>
  <si>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</si>
  <si>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</si>
  <si>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</si>
  <si>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</si>
  <si>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</si>
  <si>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</si>
  <si>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</si>
  <si>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</si>
  <si>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</si>
  <si>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</si>
  <si>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</si>
  <si>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</si>
  <si>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</si>
  <si>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</si>
  <si>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</si>
  <si>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</si>
  <si>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</si>
  <si>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</si>
  <si>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</si>
  <si>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</si>
  <si>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</si>
  <si>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</si>
  <si>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</si>
  <si>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</si>
  <si>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</si>
  <si>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</si>
  <si>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</si>
  <si>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</si>
  <si>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</si>
  <si>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</si>
  <si>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</si>
  <si>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</si>
  <si>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</si>
  <si>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</si>
  <si>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</si>
  <si>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</si>
  <si>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</si>
  <si>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</si>
  <si>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</si>
  <si>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</si>
  <si>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</si>
  <si>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</si>
  <si>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</si>
  <si>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</si>
  <si>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</si>
  <si>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</si>
  <si>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</si>
  <si>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</si>
  <si>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</si>
  <si>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</si>
  <si>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</si>
  <si>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</si>
  <si>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</si>
  <si>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</si>
  <si>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</si>
  <si>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</si>
  <si>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</si>
  <si>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</si>
  <si>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</si>
  <si>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</si>
  <si>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</si>
  <si>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</si>
  <si>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</si>
  <si>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</si>
  <si>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</si>
  <si>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</si>
  <si>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</si>
  <si>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</si>
  <si>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</si>
  <si>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</si>
  <si>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</si>
  <si>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</si>
  <si>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</si>
  <si>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</si>
  <si>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</si>
  <si>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</si>
  <si>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</si>
  <si>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</si>
  <si>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</si>
  <si>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</si>
  <si>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</si>
  <si>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</si>
  <si>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</si>
  <si>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</si>
  <si>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</si>
  <si>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</si>
  <si>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</si>
  <si>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</si>
  <si>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</si>
  <si>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</si>
  <si>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</si>
  <si>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</si>
  <si>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</si>
  <si>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</si>
  <si>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</si>
  <si>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</si>
  <si>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</si>
  <si>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</si>
  <si>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</si>
  <si>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</si>
  <si>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</si>
  <si>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</si>
  <si>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</si>
  <si>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</si>
  <si>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</si>
  <si>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</si>
  <si>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</si>
  <si>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</si>
  <si>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</si>
  <si>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</si>
  <si>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</si>
  <si>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</si>
  <si>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</si>
  <si>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</si>
  <si>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</si>
  <si>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</si>
  <si>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</si>
  <si>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</si>
  <si>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</si>
  <si>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</si>
  <si>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</si>
  <si>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</si>
  <si>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</si>
  <si>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</si>
  <si>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</si>
  <si>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</si>
  <si>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</si>
  <si>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</si>
  <si>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</si>
  <si>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</si>
  <si>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</si>
  <si>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</si>
  <si>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</si>
  <si>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</si>
  <si>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</si>
  <si>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</si>
  <si>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</si>
  <si>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</si>
  <si>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</si>
  <si>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</si>
  <si>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</si>
  <si>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</si>
  <si>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</si>
  <si>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</si>
  <si>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</si>
  <si>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</si>
  <si>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</si>
  <si>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</si>
  <si>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</si>
  <si>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</si>
  <si>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</si>
  <si>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</si>
  <si>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</si>
  <si>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</si>
  <si>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</si>
  <si>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</si>
  <si>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</si>
  <si>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</si>
  <si>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</si>
  <si>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</si>
  <si>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</si>
  <si>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</si>
  <si>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</si>
  <si>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</si>
  <si>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</si>
  <si>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</si>
  <si>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</si>
  <si>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</si>
  <si>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</si>
  <si>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</si>
  <si>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</si>
  <si>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</si>
  <si>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</si>
  <si>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</si>
  <si>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</si>
  <si>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</si>
  <si>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</si>
  <si>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</si>
  <si>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</si>
  <si>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</si>
  <si>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</si>
  <si>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</si>
  <si>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</si>
  <si>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</si>
  <si>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</si>
  <si>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</si>
  <si>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</si>
  <si>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</si>
  <si>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</si>
  <si>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</si>
  <si>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</si>
  <si>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</si>
  <si>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</si>
  <si>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</si>
  <si>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</si>
  <si>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</si>
  <si>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</si>
  <si>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</si>
  <si>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</si>
  <si>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</si>
  <si>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</si>
  <si>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</si>
  <si>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</si>
  <si>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</si>
  <si>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</si>
  <si>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</si>
  <si>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</si>
  <si>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</si>
  <si>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</si>
  <si>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</si>
  <si>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</si>
  <si>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</si>
  <si>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</si>
  <si>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</si>
  <si>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</si>
  <si>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</si>
  <si>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</si>
  <si>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</si>
  <si>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</si>
  <si>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</si>
  <si>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</si>
  <si>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</si>
  <si>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</si>
  <si>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</si>
  <si>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</si>
  <si>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</si>
  <si>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</si>
  <si>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</si>
  <si>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</si>
  <si>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</si>
  <si>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</si>
  <si>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</si>
  <si>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</si>
  <si>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</si>
  <si>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</si>
  <si>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</si>
  <si>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</si>
  <si>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</si>
  <si>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</si>
  <si>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</si>
  <si>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</si>
  <si>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</si>
  <si>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</si>
  <si>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</si>
  <si>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</si>
  <si>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</si>
  <si>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</si>
  <si>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</si>
  <si>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</si>
  <si>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</si>
  <si>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</si>
  <si>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</si>
  <si>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</si>
  <si>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</si>
  <si>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</si>
  <si>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</si>
  <si>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</si>
  <si>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</si>
  <si>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</si>
  <si>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</si>
  <si>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</si>
  <si>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</si>
  <si>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</si>
  <si>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</si>
  <si>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</si>
  <si>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</si>
  <si>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</si>
  <si>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</si>
  <si>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40" type="noConversion"/>
  </si>
  <si>
    <t>Race-Way 설치 - 1
(작업 구역 안으로 고소작업대 이동 작업)</t>
    <phoneticPr fontId="1" type="noConversion"/>
  </si>
  <si>
    <t>-</t>
  </si>
  <si>
    <t>1-4. 충돌 위험 부분</t>
    <phoneticPr fontId="40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</si>
  <si>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</si>
  <si>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</si>
  <si>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40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</si>
  <si>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</si>
  <si>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</si>
  <si>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</si>
  <si>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</si>
  <si>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</si>
  <si>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</si>
  <si>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</si>
  <si>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</si>
  <si>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</si>
  <si>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</si>
  <si>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</si>
  <si>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</si>
  <si>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</si>
  <si>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</si>
  <si>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</si>
  <si>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</si>
  <si>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</si>
  <si>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</si>
  <si>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</si>
  <si>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</si>
  <si>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</si>
  <si>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</si>
  <si>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40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</si>
  <si>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</si>
  <si>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</si>
  <si>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</si>
  <si>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</si>
  <si>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</si>
  <si>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</si>
  <si>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</si>
  <si>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</si>
  <si>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</si>
  <si>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</si>
  <si>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</si>
  <si>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</si>
  <si>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</si>
  <si>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</si>
  <si>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</si>
  <si>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40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</si>
  <si>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</si>
  <si>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</si>
  <si>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</si>
  <si>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</si>
  <si>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40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</si>
  <si>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</si>
  <si>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</si>
  <si>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</si>
  <si>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</si>
  <si>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</si>
  <si>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</si>
  <si>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</si>
  <si>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</si>
  <si>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40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</si>
  <si>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</si>
  <si>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</si>
  <si>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</si>
  <si>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</si>
  <si>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</si>
  <si>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</si>
  <si>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</si>
  <si>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</si>
  <si>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</si>
  <si>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</si>
  <si>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</si>
  <si>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</si>
  <si>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</si>
  <si>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</si>
  <si>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</si>
  <si>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</si>
  <si>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</si>
  <si>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</si>
  <si>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</si>
  <si>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</si>
  <si>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</si>
  <si>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</si>
  <si>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</si>
  <si>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</si>
  <si>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</si>
  <si>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</si>
  <si>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</si>
  <si>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</si>
  <si>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</si>
  <si>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</si>
  <si>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</si>
  <si>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</si>
  <si>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41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</si>
  <si>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</si>
  <si>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41" type="noConversion"/>
  </si>
  <si>
    <t>중량물 취급작업</t>
  </si>
  <si>
    <t>체인블럭 불량에 의한 작업 중 중량물 낙하 위험</t>
    <phoneticPr fontId="41" type="noConversion"/>
  </si>
  <si>
    <t>체인 블록 사용상 주의 인식 교육</t>
    <phoneticPr fontId="1" type="noConversion"/>
  </si>
  <si>
    <t>작업 전 체인블럭 이상유무 확인 실시</t>
    <phoneticPr fontId="41" type="noConversion"/>
  </si>
  <si>
    <t>체인블럭 설치 시 하부 작업자 진입으로 인한 안전사고 위험</t>
    <phoneticPr fontId="41" type="noConversion"/>
  </si>
  <si>
    <t>추락 위험 구역 구분 후 작업 실시</t>
    <phoneticPr fontId="1" type="noConversion"/>
  </si>
  <si>
    <t>체인블럭 설치 시 하부 작업 구역 설정 및 현장 통제 실시</t>
    <phoneticPr fontId="41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</si>
  <si>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</si>
  <si>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</si>
  <si>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41" type="noConversion"/>
  </si>
  <si>
    <t>렌탈 사용 교육 실시</t>
    <phoneticPr fontId="1" type="noConversion"/>
  </si>
  <si>
    <t>고소 작업 근로자는 안전벨트 착용 및 고리체결 실시</t>
    <phoneticPr fontId="41" type="noConversion"/>
  </si>
  <si>
    <t>렌치</t>
    <phoneticPr fontId="1" type="noConversion"/>
  </si>
  <si>
    <t>주변 근로자</t>
  </si>
  <si>
    <t>설비 연결시 볼트 및 수공구 낙하 위험</t>
    <phoneticPr fontId="41" type="noConversion"/>
  </si>
  <si>
    <t>수공구 낙하 방지 WIRE 설치</t>
    <phoneticPr fontId="1" type="noConversion"/>
  </si>
  <si>
    <t>작업 구역 설정 후 해당작업 하부 통제 실시</t>
    <phoneticPr fontId="41" type="noConversion"/>
  </si>
  <si>
    <t>TAM Platform 설치 작업</t>
  </si>
  <si>
    <t>과도한 힘</t>
  </si>
  <si>
    <t>중량물 취급 시 1인 작업으로 인한 안전사고 위험</t>
    <phoneticPr fontId="41" type="noConversion"/>
  </si>
  <si>
    <t>중량급 취급 안전 작업 교육 실시</t>
    <phoneticPr fontId="1" type="noConversion"/>
  </si>
  <si>
    <t>중량물 인력 취급은 최소 2인 1조로 작업 실시</t>
    <phoneticPr fontId="41" type="noConversion"/>
  </si>
  <si>
    <t>HAND LIFTER</t>
    <phoneticPr fontId="1" type="noConversion"/>
  </si>
  <si>
    <t>작업(조작) 도구</t>
  </si>
  <si>
    <t>작업자 부주의에 의한 협착 및 중량물 전도 위험</t>
    <phoneticPr fontId="41" type="noConversion"/>
  </si>
  <si>
    <t>작업 전 해당작업에 대한 리뷰 실시 및 소통방법 선정</t>
    <phoneticPr fontId="41" type="noConversion"/>
  </si>
  <si>
    <t>회전체 공도구 작업 시 보호구 가죽장갑 미착용에 의한 말림 위험</t>
    <phoneticPr fontId="41" type="noConversion"/>
  </si>
  <si>
    <t>회전체 공도구 작업은 가죽장갑 착용</t>
    <phoneticPr fontId="41" type="noConversion"/>
  </si>
  <si>
    <t>그레이팅 발판 미설치 구간 안전조치 미실시로 인한 근로자 추락 위험</t>
    <phoneticPr fontId="41" type="noConversion"/>
  </si>
  <si>
    <t>작업 발판 미설치 구간은 P.P로프와 추락주의 타포린을
사용하여 확실한 안전조치를 실시</t>
    <phoneticPr fontId="41" type="noConversion"/>
  </si>
  <si>
    <t>소음</t>
  </si>
  <si>
    <t>드릴작업(소음작업)시 귀마개 미착용으로 인한 난청 위험</t>
    <phoneticPr fontId="41" type="noConversion"/>
  </si>
  <si>
    <t>현장에 귀마개 배치</t>
    <phoneticPr fontId="1" type="noConversion"/>
  </si>
  <si>
    <t>80dB 이상 소음작업은 귀마개를 착용</t>
    <phoneticPr fontId="41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</si>
  <si>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</si>
  <si>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</si>
  <si>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</si>
  <si>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</si>
  <si>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</si>
  <si>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</si>
  <si>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</si>
  <si>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</si>
  <si>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</si>
  <si>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</si>
  <si>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</si>
  <si>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</si>
  <si>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</si>
  <si>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</si>
  <si>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</si>
  <si>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</si>
  <si>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</si>
  <si>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</si>
  <si>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</si>
  <si>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</si>
  <si>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</si>
  <si>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</si>
  <si>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</si>
  <si>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</si>
  <si>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</si>
  <si>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</si>
  <si>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</si>
  <si>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</si>
  <si>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</si>
  <si>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</si>
  <si>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</si>
  <si>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</si>
  <si>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</si>
  <si>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</si>
  <si>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</si>
  <si>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</si>
  <si>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</si>
  <si>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</si>
  <si>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</si>
  <si>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</si>
  <si>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</si>
  <si>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</si>
  <si>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</si>
  <si>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</si>
  <si>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</si>
  <si>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</si>
  <si>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</si>
  <si>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</si>
  <si>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</si>
  <si>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</si>
  <si>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</si>
  <si>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</si>
  <si>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</si>
  <si>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</si>
  <si>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</si>
  <si>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</si>
  <si>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</si>
  <si>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</si>
  <si>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</si>
  <si>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</si>
  <si>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</si>
  <si>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</si>
  <si>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</si>
  <si>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</si>
  <si>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</si>
  <si>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</si>
  <si>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</si>
  <si>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</si>
  <si>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</si>
  <si>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</si>
  <si>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</si>
  <si>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</si>
  <si>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</si>
  <si>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</si>
  <si>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</si>
  <si>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</si>
  <si>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</si>
  <si>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</si>
  <si>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</si>
  <si>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</si>
  <si>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</si>
  <si>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</si>
  <si>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</si>
  <si>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</si>
  <si>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</si>
  <si>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</si>
  <si>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</si>
  <si>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</si>
  <si>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</si>
  <si>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</si>
  <si>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</si>
  <si>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</si>
  <si>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</si>
  <si>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</si>
  <si>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</si>
  <si>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</si>
  <si>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</si>
  <si>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</si>
  <si>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</si>
  <si>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</si>
  <si>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</si>
  <si>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</si>
  <si>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</si>
  <si>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</si>
  <si>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</si>
  <si>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</si>
  <si>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</si>
  <si>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</si>
  <si>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</si>
  <si>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</si>
  <si>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</si>
  <si>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</si>
  <si>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</si>
  <si>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</si>
  <si>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</si>
  <si>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</si>
  <si>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</si>
  <si>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</si>
  <si>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</si>
  <si>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</si>
  <si>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</si>
  <si>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</si>
  <si>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</si>
  <si>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</si>
  <si>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</si>
  <si>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</si>
  <si>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</si>
  <si>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</si>
  <si>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</si>
  <si>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</si>
  <si>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</si>
  <si>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</si>
  <si>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</si>
  <si>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</si>
  <si>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</si>
  <si>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</si>
  <si>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</si>
  <si>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</si>
  <si>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</si>
  <si>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</si>
  <si>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</si>
  <si>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</si>
  <si>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</si>
  <si>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</si>
  <si>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</si>
  <si>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</si>
  <si>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</si>
  <si>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</si>
  <si>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</si>
  <si>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</si>
  <si>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</si>
  <si>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</si>
  <si>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</si>
  <si>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</si>
  <si>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</si>
  <si>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</si>
  <si>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</si>
  <si>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</si>
  <si>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</si>
  <si>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</si>
  <si>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</si>
  <si>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</si>
  <si>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</si>
  <si>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</si>
  <si>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</si>
  <si>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</si>
  <si>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</si>
  <si>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</si>
  <si>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</si>
  <si>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</si>
  <si>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</si>
  <si>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</si>
  <si>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</si>
  <si>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</si>
  <si>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</si>
  <si>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</si>
  <si>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</si>
  <si>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</si>
  <si>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</si>
  <si>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</si>
  <si>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</si>
  <si>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</si>
  <si>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</si>
  <si>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</si>
  <si>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</si>
  <si>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</si>
  <si>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</si>
  <si>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</si>
  <si>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</si>
  <si>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</si>
  <si>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</si>
  <si>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</si>
  <si>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</si>
  <si>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</si>
  <si>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</si>
  <si>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</si>
  <si>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</si>
  <si>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</si>
  <si>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</si>
  <si>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</si>
  <si>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</si>
  <si>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</si>
  <si>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</si>
  <si>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</si>
  <si>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</si>
  <si>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</si>
  <si>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</si>
  <si>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</si>
  <si>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</si>
  <si>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</si>
  <si>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</si>
  <si>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</si>
  <si>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</si>
  <si>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</si>
  <si>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</si>
  <si>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</si>
  <si>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</si>
  <si>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</si>
  <si>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</si>
  <si>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</si>
  <si>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</si>
  <si>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</si>
  <si>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</si>
  <si>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</si>
  <si>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</si>
  <si>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</si>
  <si>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</si>
  <si>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</si>
  <si>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</si>
  <si>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</si>
  <si>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</si>
  <si>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</si>
  <si>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</si>
  <si>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</si>
  <si>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</si>
  <si>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</si>
  <si>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</si>
  <si>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</si>
  <si>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</si>
  <si>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</si>
  <si>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</si>
  <si>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</si>
  <si>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</si>
  <si>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</si>
  <si>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</si>
  <si>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</si>
  <si>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</si>
  <si>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</si>
  <si>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</si>
  <si>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</si>
  <si>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</si>
  <si>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</si>
  <si>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</si>
  <si>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</si>
  <si>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</si>
  <si>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</si>
  <si>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</si>
  <si>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</si>
  <si>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</si>
  <si>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</si>
  <si>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</si>
  <si>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</si>
  <si>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</si>
  <si>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</si>
  <si>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</si>
  <si>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</si>
  <si>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</si>
  <si>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</si>
  <si>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</si>
  <si>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</si>
  <si>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</si>
  <si>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</si>
  <si>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</si>
  <si>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</si>
  <si>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</si>
  <si>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</si>
  <si>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</si>
  <si>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</si>
  <si>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</si>
  <si>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</si>
  <si>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</si>
  <si>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</si>
  <si>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</si>
  <si>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</si>
  <si>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</si>
  <si>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</si>
  <si>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</si>
  <si>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</si>
  <si>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</si>
  <si>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</si>
  <si>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</si>
  <si>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</si>
  <si>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</si>
  <si>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</si>
  <si>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</si>
  <si>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</si>
  <si>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</si>
  <si>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</si>
  <si>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</si>
  <si>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</si>
  <si>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</si>
  <si>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</si>
  <si>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</si>
  <si>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</si>
  <si>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</si>
  <si>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</si>
  <si>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</si>
  <si>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</si>
  <si>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</si>
  <si>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</si>
  <si>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</si>
  <si>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</si>
  <si>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</si>
  <si>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</si>
  <si>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</si>
  <si>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</si>
  <si>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</si>
  <si>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</si>
  <si>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</si>
  <si>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</si>
  <si>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</si>
  <si>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</si>
  <si>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</si>
  <si>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</si>
  <si>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</si>
  <si>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</si>
  <si>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</si>
  <si>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</si>
  <si>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</si>
  <si>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</si>
  <si>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</si>
  <si>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</si>
  <si>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</si>
  <si>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</si>
  <si>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</si>
  <si>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</si>
  <si>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</si>
  <si>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</si>
  <si>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</si>
  <si>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</si>
  <si>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</si>
  <si>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</si>
  <si>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</si>
  <si>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</si>
  <si>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</si>
  <si>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</si>
  <si>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</si>
  <si>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</si>
  <si>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</si>
  <si>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</si>
  <si>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</si>
  <si>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</si>
  <si>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</si>
  <si>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</si>
  <si>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</si>
  <si>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</si>
  <si>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</si>
  <si>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</si>
  <si>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</si>
  <si>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</si>
  <si>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</si>
  <si>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</si>
  <si>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</si>
  <si>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</si>
  <si>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</si>
  <si>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</si>
  <si>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</si>
  <si>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</si>
  <si>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</si>
  <si>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</si>
  <si>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</si>
  <si>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</si>
  <si>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</si>
  <si>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</si>
  <si>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</si>
  <si>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</si>
  <si>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</si>
  <si>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</si>
  <si>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</si>
  <si>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</si>
  <si>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</si>
  <si>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</si>
  <si>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</si>
  <si>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</si>
  <si>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</si>
  <si>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</si>
  <si>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</si>
  <si>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</si>
  <si>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</si>
  <si>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</si>
  <si>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</si>
  <si>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</si>
  <si>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</si>
  <si>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</si>
  <si>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</si>
  <si>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</si>
  <si>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</si>
  <si>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</si>
  <si>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</si>
  <si>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</si>
  <si>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</si>
  <si>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</si>
  <si>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</si>
  <si>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</si>
  <si>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</si>
  <si>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</si>
  <si>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</si>
  <si>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</si>
  <si>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</si>
  <si>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</si>
  <si>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</si>
  <si>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</si>
  <si>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</si>
  <si>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</si>
  <si>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</si>
  <si>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</si>
  <si>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</si>
  <si>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</si>
  <si>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</si>
  <si>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</si>
  <si>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</si>
  <si>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</si>
  <si>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</si>
  <si>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</si>
  <si>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</si>
  <si>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</si>
  <si>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</si>
  <si>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</si>
  <si>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</si>
  <si>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</si>
  <si>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</si>
  <si>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</si>
  <si>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</si>
  <si>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</si>
  <si>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</si>
  <si>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</si>
  <si>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</si>
  <si>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</si>
  <si>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</si>
  <si>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</si>
  <si>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</si>
  <si>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</si>
  <si>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</si>
  <si>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</si>
  <si>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</si>
  <si>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</si>
  <si>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</si>
  <si>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</si>
  <si>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</si>
  <si>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</si>
  <si>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</si>
  <si>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</si>
  <si>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</si>
  <si>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</si>
  <si>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</si>
  <si>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</si>
  <si>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</si>
  <si>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</si>
  <si>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</si>
  <si>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</si>
  <si>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</si>
  <si>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</si>
  <si>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</si>
  <si>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</si>
  <si>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</si>
  <si>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</si>
  <si>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</si>
  <si>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</si>
  <si>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</si>
  <si>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</si>
  <si>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</si>
  <si>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</si>
  <si>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</si>
  <si>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</si>
  <si>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</si>
  <si>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</si>
  <si>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</si>
  <si>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</si>
  <si>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</si>
  <si>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</si>
  <si>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</si>
  <si>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</si>
  <si>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</si>
  <si>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</si>
  <si>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</si>
  <si>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</si>
  <si>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</si>
  <si>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</si>
  <si>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</si>
  <si>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</si>
  <si>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</si>
  <si>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</si>
  <si>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</si>
  <si>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</si>
  <si>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</si>
  <si>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</si>
  <si>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</si>
  <si>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</si>
  <si>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</si>
  <si>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</si>
  <si>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</si>
  <si>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</si>
  <si>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</si>
  <si>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</si>
  <si>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</si>
  <si>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</si>
  <si>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</si>
  <si>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</si>
  <si>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</si>
  <si>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</si>
  <si>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</si>
  <si>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</si>
  <si>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</si>
  <si>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</si>
  <si>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</si>
  <si>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</si>
  <si>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</si>
  <si>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</si>
  <si>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</si>
  <si>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</si>
  <si>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</si>
  <si>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</si>
  <si>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</si>
  <si>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</si>
  <si>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</si>
  <si>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</si>
  <si>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</si>
  <si>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</si>
  <si>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</si>
  <si>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</si>
  <si>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</si>
  <si>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</si>
  <si>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</si>
  <si>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</si>
  <si>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</si>
  <si>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</si>
  <si>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</si>
  <si>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</si>
  <si>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</si>
  <si>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</si>
  <si>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</si>
  <si>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</si>
  <si>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</si>
  <si>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</si>
  <si>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</si>
  <si>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</si>
  <si>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</si>
  <si>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</si>
  <si>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</si>
  <si>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</si>
  <si>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</si>
  <si>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</si>
  <si>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</si>
  <si>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</si>
  <si>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</si>
  <si>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</si>
  <si>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</si>
  <si>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</si>
  <si>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</si>
  <si>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</si>
  <si>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</si>
  <si>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</si>
  <si>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</si>
  <si>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</si>
  <si>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</si>
  <si>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</si>
  <si>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</si>
  <si>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</si>
  <si>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</si>
  <si>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</si>
  <si>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</si>
  <si>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</si>
  <si>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</si>
  <si>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</si>
  <si>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</si>
  <si>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</si>
  <si>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</si>
  <si>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</si>
  <si>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</si>
  <si>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</si>
  <si>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</si>
  <si>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</si>
  <si>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</si>
  <si>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</si>
  <si>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</si>
  <si>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</si>
  <si>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</si>
  <si>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</si>
  <si>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</si>
  <si>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</si>
  <si>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</si>
  <si>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</si>
  <si>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</si>
  <si>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</si>
  <si>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</si>
  <si>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</si>
  <si>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</si>
  <si>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</si>
  <si>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</si>
  <si>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</si>
  <si>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</si>
  <si>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</si>
  <si>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</si>
  <si>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</si>
  <si>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</si>
  <si>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</si>
  <si>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</si>
  <si>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</si>
  <si>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</si>
  <si>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</si>
  <si>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</si>
  <si>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</si>
  <si>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</si>
  <si>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</si>
  <si>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</si>
  <si>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</si>
  <si>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</si>
  <si>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</si>
  <si>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</si>
  <si>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</si>
  <si>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</si>
  <si>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</si>
  <si>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</si>
  <si>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</si>
  <si>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</si>
  <si>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</si>
  <si>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</si>
  <si>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</si>
  <si>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</si>
  <si>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</si>
  <si>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</si>
  <si>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</si>
  <si>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</si>
  <si>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</si>
  <si>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</si>
  <si>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</si>
  <si>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</si>
  <si>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</si>
  <si>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</si>
  <si>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</si>
  <si>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</si>
  <si>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</si>
  <si>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</si>
  <si>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</si>
  <si>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</si>
  <si>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</si>
  <si>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</si>
  <si>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</si>
  <si>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</si>
  <si>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</si>
  <si>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</si>
  <si>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</si>
  <si>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</si>
  <si>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</si>
  <si>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</si>
  <si>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</si>
  <si>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</si>
  <si>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</si>
  <si>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</si>
  <si>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</si>
  <si>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</si>
  <si>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</si>
  <si>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</si>
  <si>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</si>
  <si>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</si>
  <si>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</si>
  <si>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</si>
  <si>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</si>
  <si>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</si>
  <si>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</si>
  <si>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</si>
  <si>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</si>
  <si>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</si>
  <si>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</si>
  <si>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</si>
  <si>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</si>
  <si>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</si>
  <si>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</si>
  <si>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</si>
  <si>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</si>
  <si>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</si>
  <si>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</si>
  <si>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</si>
  <si>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</si>
  <si>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</si>
  <si>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</si>
  <si>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</si>
  <si>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</si>
  <si>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</si>
  <si>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</si>
  <si>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</si>
  <si>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</si>
  <si>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</si>
  <si>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</si>
  <si>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</si>
  <si>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</si>
  <si>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</si>
  <si>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</si>
  <si>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</si>
  <si>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</si>
  <si>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</si>
  <si>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</si>
  <si>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</si>
  <si>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</si>
  <si>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</si>
  <si>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</si>
  <si>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</si>
  <si>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</si>
  <si>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</si>
  <si>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</si>
  <si>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</si>
  <si>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</si>
  <si>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</si>
  <si>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</si>
  <si>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</si>
  <si>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</si>
  <si>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</si>
  <si>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</si>
  <si>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</si>
  <si>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</si>
  <si>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</si>
  <si>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</si>
  <si>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</si>
  <si>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</si>
  <si>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</si>
  <si>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</si>
  <si>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</si>
  <si>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</si>
  <si>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</si>
  <si>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</si>
  <si>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</si>
  <si>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</si>
  <si>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</si>
  <si>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</si>
  <si>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</si>
  <si>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</si>
  <si>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</si>
  <si>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</si>
  <si>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</si>
  <si>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</si>
  <si>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</si>
  <si>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</si>
  <si>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</si>
  <si>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</si>
  <si>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</si>
  <si>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</si>
  <si>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</si>
  <si>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</si>
  <si>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</si>
  <si>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</si>
  <si>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</si>
  <si>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</si>
  <si>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</si>
  <si>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</si>
  <si>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</si>
  <si>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</si>
  <si>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</si>
  <si>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</si>
  <si>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</si>
  <si>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</si>
  <si>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</si>
  <si>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</si>
  <si>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</si>
  <si>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</si>
  <si>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</si>
  <si>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</si>
  <si>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</si>
  <si>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</si>
  <si>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</si>
  <si>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</si>
  <si>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</si>
  <si>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</si>
  <si>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</si>
  <si>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</si>
  <si>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</si>
  <si>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</si>
  <si>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</si>
  <si>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</si>
  <si>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</si>
  <si>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</si>
  <si>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</si>
  <si>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</si>
  <si>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</si>
  <si>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</si>
  <si>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</si>
  <si>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</si>
  <si>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</si>
  <si>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</si>
  <si>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</si>
  <si>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</si>
  <si>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</si>
  <si>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</si>
  <si>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</si>
  <si>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</si>
  <si>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</si>
  <si>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</si>
  <si>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</si>
  <si>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</si>
  <si>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</si>
  <si>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</si>
  <si>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</si>
  <si>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</si>
  <si>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</si>
  <si>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</si>
  <si>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</si>
  <si>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</si>
  <si>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</si>
  <si>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화성 조광일G
아산 고병준S</t>
    <phoneticPr fontId="1" type="noConversion"/>
  </si>
  <si>
    <t>화성 권혜지S
아산 윤은지S</t>
    <phoneticPr fontId="1" type="noConversion"/>
  </si>
  <si>
    <r>
      <t>&lt;공종명&gt;</t>
    </r>
    <r>
      <rPr>
        <sz val="11"/>
        <color theme="0" tint="-0.34998626667073579"/>
        <rFont val="맑은 고딕"/>
        <family val="3"/>
        <charset val="129"/>
        <scheme val="minor"/>
      </rPr>
      <t xml:space="preserve"> (기구)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</si>
  <si>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(전장)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</si>
  <si>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(제어)</t>
    </r>
    <phoneticPr fontId="1" type="noConversion"/>
  </si>
  <si>
    <t>협력사책임자</t>
    <phoneticPr fontId="1" type="noConversion"/>
  </si>
  <si>
    <t>근로자
관리감독자</t>
    <phoneticPr fontId="1" type="noConversion"/>
  </si>
  <si>
    <t>화재</t>
    <phoneticPr fontId="1" type="noConversion"/>
  </si>
  <si>
    <t>에탄올 세첵작업중 주변 불티로 인한 화재발생</t>
    <phoneticPr fontId="1" type="noConversion"/>
  </si>
  <si>
    <t>소화기 비치</t>
    <phoneticPr fontId="1" type="noConversion"/>
  </si>
  <si>
    <t>세척작업과 불티작업 동시작업 금지
세척작업 구역 별도 지정</t>
    <phoneticPr fontId="1" type="noConversion"/>
  </si>
  <si>
    <t>(PJT Code :  7P220302ARECV)</t>
    <phoneticPr fontId="1" type="noConversion"/>
  </si>
  <si>
    <t>2022.    8 .  17 .</t>
    <phoneticPr fontId="1" type="noConversion"/>
  </si>
  <si>
    <t>물류PM3팀
이찬희</t>
    <phoneticPr fontId="1" type="noConversion"/>
  </si>
  <si>
    <t>물류PM3팀
강우종</t>
    <phoneticPr fontId="1" type="noConversion"/>
  </si>
  <si>
    <t>SFA 물류 PM3팀</t>
    <phoneticPr fontId="13" type="noConversion"/>
  </si>
  <si>
    <t>이찬희 과장</t>
    <phoneticPr fontId="13" type="noConversion"/>
  </si>
  <si>
    <t xml:space="preserve">PJT :  SKOH2 Aging Warehouse &amp; Conveyor </t>
    <phoneticPr fontId="1" type="noConversion"/>
  </si>
  <si>
    <t>SKOH2 Aging Warehouse &amp; Conveyor</t>
    <phoneticPr fontId="13" type="noConversion"/>
  </si>
  <si>
    <t>이찬희 / 010-8485-4006</t>
    <phoneticPr fontId="13" type="noConversion"/>
  </si>
  <si>
    <t>충남 천안시 서북구 성환읍 수향리 267-1</t>
    <phoneticPr fontId="13" type="noConversion"/>
  </si>
  <si>
    <t>SKON</t>
    <phoneticPr fontId="13" type="noConversion"/>
  </si>
  <si>
    <t>40명</t>
    <phoneticPr fontId="13" type="noConversion"/>
  </si>
  <si>
    <t>고소작업대(렌탈) 2대, 전동 지게차 4대</t>
    <phoneticPr fontId="1" type="noConversion"/>
  </si>
  <si>
    <t>ADM</t>
    <phoneticPr fontId="13" type="noConversion"/>
  </si>
  <si>
    <t>-. Conveyor &amp; Lifter SET-UP(H/W)
-. PPC MSC, 환적이재기 SET-UP(H/W)</t>
    <phoneticPr fontId="1" type="noConversion"/>
  </si>
  <si>
    <t>이찬희K/PM3T
박영규K/제어6T
박도훈S/제어6T</t>
    <phoneticPr fontId="13" type="noConversion"/>
  </si>
  <si>
    <t>-</t>
    <phoneticPr fontId="1" type="noConversion"/>
  </si>
  <si>
    <t>제작사별 기제출 라인별 상세 일정표</t>
    <phoneticPr fontId="58" type="noConversion"/>
  </si>
  <si>
    <r>
      <t xml:space="preserve">XLGantt 4.5.0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</si>
  <si>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</si>
  <si>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</si>
  <si>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</si>
  <si>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</si>
  <si>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</si>
  <si>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</si>
  <si>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</si>
  <si>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</si>
  <si>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</si>
  <si>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</si>
  <si>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</si>
  <si>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</si>
  <si>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</si>
  <si>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</si>
  <si>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W57</t>
  </si>
  <si>
    <t>reserved</t>
    <phoneticPr fontId="33" type="noConversion"/>
  </si>
  <si>
    <t>task_group</t>
    <phoneticPr fontId="33" type="noConversion"/>
  </si>
  <si>
    <t>wbs_level</t>
    <phoneticPr fontId="33" type="noConversion"/>
  </si>
  <si>
    <t>WBS</t>
    <phoneticPr fontId="33" type="noConversion"/>
  </si>
  <si>
    <t>작업*</t>
    <phoneticPr fontId="33" type="noConversion"/>
  </si>
  <si>
    <t>비고</t>
    <phoneticPr fontId="33" type="noConversion"/>
  </si>
  <si>
    <t xml:space="preserve"> </t>
    <phoneticPr fontId="33" type="noConversion"/>
  </si>
  <si>
    <t>시작일*</t>
    <phoneticPr fontId="33" type="noConversion"/>
  </si>
  <si>
    <t>완료일*</t>
    <phoneticPr fontId="33" type="noConversion"/>
  </si>
  <si>
    <t>Calendar</t>
    <phoneticPr fontId="33" type="noConversion"/>
  </si>
  <si>
    <t>총_x000D_
작업량</t>
    <phoneticPr fontId="33" type="noConversion"/>
  </si>
  <si>
    <t>계획_x000D_
작업량</t>
    <phoneticPr fontId="33" type="noConversion"/>
  </si>
  <si>
    <t>총_x000D_
기간</t>
    <phoneticPr fontId="33" type="noConversion"/>
  </si>
  <si>
    <t>계획_x000D_
기간</t>
    <phoneticPr fontId="33" type="noConversion"/>
  </si>
  <si>
    <t>실제_x000D_
시작일</t>
    <phoneticPr fontId="33" type="noConversion"/>
  </si>
  <si>
    <t>실제_x000D_
완료일</t>
    <phoneticPr fontId="33" type="noConversion"/>
  </si>
  <si>
    <t>실제_x000D_
총작업량</t>
    <phoneticPr fontId="33" type="noConversion"/>
  </si>
  <si>
    <t>실제_x000D_
총기간</t>
    <phoneticPr fontId="33" type="noConversion"/>
  </si>
  <si>
    <t>가중치</t>
    <phoneticPr fontId="33" type="noConversion"/>
  </si>
  <si>
    <t>담당</t>
    <phoneticPr fontId="33" type="noConversion"/>
  </si>
  <si>
    <t>산출물</t>
    <phoneticPr fontId="33" type="noConversion"/>
  </si>
  <si>
    <t>계획</t>
    <phoneticPr fontId="33" type="noConversion"/>
  </si>
  <si>
    <t>실적*</t>
    <phoneticPr fontId="33" type="noConversion"/>
  </si>
  <si>
    <t>05/08
W20</t>
  </si>
  <si>
    <t>06/05
W24</t>
  </si>
  <si>
    <t>07/03
W28</t>
  </si>
  <si>
    <t>07/31
W32</t>
  </si>
  <si>
    <t>08/28
W36</t>
  </si>
  <si>
    <t>09/25
W40</t>
  </si>
  <si>
    <t>10/23
W44</t>
  </si>
  <si>
    <t>11/20
W48</t>
  </si>
  <si>
    <t>12/18
W52</t>
  </si>
  <si>
    <t>2023
W3</t>
  </si>
  <si>
    <t>02/12
W7</t>
  </si>
  <si>
    <t>03/12
W11</t>
  </si>
  <si>
    <t>04/09
W15</t>
  </si>
  <si>
    <t>05/07
W19</t>
  </si>
  <si>
    <t>06/04
W23</t>
  </si>
  <si>
    <t>G</t>
  </si>
  <si>
    <t>1</t>
  </si>
  <si>
    <t>설계</t>
  </si>
  <si>
    <t>1.1</t>
  </si>
  <si>
    <t>SKOH2</t>
  </si>
  <si>
    <t>1.1.1</t>
  </si>
  <si>
    <t>Layout</t>
  </si>
  <si>
    <t>1.1.2</t>
  </si>
  <si>
    <t>Rack</t>
  </si>
  <si>
    <t>R</t>
  </si>
  <si>
    <t>1.1.2.1</t>
  </si>
  <si>
    <t>DR</t>
  </si>
  <si>
    <t>1.1.2.2</t>
  </si>
  <si>
    <t>Aging 창고</t>
  </si>
  <si>
    <t>B</t>
  </si>
  <si>
    <t>1.1.2.2.1</t>
  </si>
  <si>
    <t>Layout 확정 및 기초설계</t>
  </si>
  <si>
    <t>1.1.2.2.2</t>
  </si>
  <si>
    <t>상세설계</t>
  </si>
  <si>
    <t>1.1.3</t>
  </si>
  <si>
    <t>MSC Crane</t>
  </si>
  <si>
    <t>S</t>
  </si>
  <si>
    <t>1.1.3.1</t>
  </si>
  <si>
    <t>장납기 구매품 발주(모터류)</t>
  </si>
  <si>
    <t>1.1.3.2</t>
  </si>
  <si>
    <t>1.1.3.3</t>
  </si>
  <si>
    <t>상온/고온 Aging, 충방전</t>
  </si>
  <si>
    <t>1.1.3.3.1</t>
  </si>
  <si>
    <t>Concept (R/Sketch)</t>
  </si>
  <si>
    <t>1.1.3.3.2</t>
  </si>
  <si>
    <t>Assy</t>
  </si>
  <si>
    <t>1.1.3.3.3</t>
  </si>
  <si>
    <t>Part - (Main Frame)</t>
  </si>
  <si>
    <t>1.1.3.3.4</t>
  </si>
  <si>
    <t>Part - (Carriage/Fork)</t>
  </si>
  <si>
    <t>1.1.3.4</t>
  </si>
  <si>
    <t>PPC</t>
  </si>
  <si>
    <t>F</t>
  </si>
  <si>
    <t>1.1.3.4.1</t>
  </si>
  <si>
    <t>1.1.3.4.2</t>
  </si>
  <si>
    <t>1.1.3.4.3</t>
  </si>
  <si>
    <t>1.1.3.4.4</t>
  </si>
  <si>
    <t>1.1.4</t>
  </si>
  <si>
    <t>환적 이재기</t>
  </si>
  <si>
    <t>T</t>
  </si>
  <si>
    <t>1.1.4.1</t>
  </si>
  <si>
    <t>1.1.4.2</t>
  </si>
  <si>
    <t>Cell 환적 이재기</t>
  </si>
  <si>
    <t>1.1.4.2.1</t>
  </si>
  <si>
    <t xml:space="preserve">Concept </t>
  </si>
  <si>
    <t>1.1.4.2.2</t>
  </si>
  <si>
    <t>1.1.4.2.3</t>
  </si>
  <si>
    <t xml:space="preserve">Part </t>
  </si>
  <si>
    <t>1.1.5</t>
  </si>
  <si>
    <t>Conveyor</t>
  </si>
  <si>
    <t>C</t>
  </si>
  <si>
    <t>1.1.5.1</t>
  </si>
  <si>
    <t>1.1.5.2</t>
  </si>
  <si>
    <t>화성동(All)</t>
  </si>
  <si>
    <t>1.1.5.2.1</t>
  </si>
  <si>
    <t>1.1.6</t>
  </si>
  <si>
    <t>Lifter</t>
  </si>
  <si>
    <t>L</t>
  </si>
  <si>
    <t>1.1.6.1</t>
  </si>
  <si>
    <t>1.1.6.2</t>
  </si>
  <si>
    <t>층간 Lifter</t>
  </si>
  <si>
    <t>1.1.6.2.1</t>
  </si>
  <si>
    <t>2</t>
  </si>
  <si>
    <t>제작</t>
  </si>
  <si>
    <t>2.1</t>
  </si>
  <si>
    <t>2.1.1</t>
  </si>
  <si>
    <t>2.1.1.1</t>
  </si>
  <si>
    <t>상온1,고온1 Aging 창고(전면Deck포함)</t>
  </si>
  <si>
    <t>2.1.1.1.1</t>
  </si>
  <si>
    <t>구매품 발주 및 입고</t>
  </si>
  <si>
    <t>2.1.1.1.2</t>
  </si>
  <si>
    <t>단품 및 Post 제작</t>
  </si>
  <si>
    <t>2.1.1.1.3</t>
  </si>
  <si>
    <t>1차조립</t>
  </si>
  <si>
    <t>2.1.1.2</t>
  </si>
  <si>
    <t>고온2 Aging 창고</t>
  </si>
  <si>
    <t>2.1.1.2.1</t>
  </si>
  <si>
    <t>2.1.1.2.2</t>
  </si>
  <si>
    <t>2.1.1.2.3</t>
  </si>
  <si>
    <t>2.1.1.3</t>
  </si>
  <si>
    <t>상온2-1 Aging 창고</t>
  </si>
  <si>
    <t>J</t>
  </si>
  <si>
    <t>2.1.1.3.1</t>
  </si>
  <si>
    <t>2.1.1.3.2</t>
  </si>
  <si>
    <t>2.1.1.3.3</t>
  </si>
  <si>
    <t>2.1.1.4</t>
  </si>
  <si>
    <t>상온2-2 Aging 창고</t>
  </si>
  <si>
    <t>2.1.1.4.1</t>
  </si>
  <si>
    <t>2.1.1.4.2</t>
  </si>
  <si>
    <t>2.1.1.4.3</t>
  </si>
  <si>
    <t>2.1.1.5</t>
  </si>
  <si>
    <t>RACK 마감자재(후면Deck포함)</t>
  </si>
  <si>
    <t>2.1.1.5.1</t>
  </si>
  <si>
    <t>2.1.1.5.2</t>
  </si>
  <si>
    <t>2.1.1.5.3</t>
  </si>
  <si>
    <t>2.1.2</t>
  </si>
  <si>
    <t>2.1.2.1</t>
  </si>
  <si>
    <t>상온1,고온1,PPC,충방전</t>
  </si>
  <si>
    <t>2.1.2.1.1</t>
  </si>
  <si>
    <t>장납기 구매품 발주 및 입고</t>
  </si>
  <si>
    <t>2.1.2.1.2</t>
  </si>
  <si>
    <t>단품제작</t>
  </si>
  <si>
    <t>2.1.2.1.3</t>
  </si>
  <si>
    <t>기구조립</t>
  </si>
  <si>
    <t>2.1.2.1.4</t>
  </si>
  <si>
    <t>전장조립</t>
  </si>
  <si>
    <t>2.1.2.2</t>
  </si>
  <si>
    <t>상온2,고온2</t>
  </si>
  <si>
    <t>2.1.2.2.1</t>
  </si>
  <si>
    <t>2.1.2.2.2</t>
  </si>
  <si>
    <t>2.1.2.2.3</t>
  </si>
  <si>
    <t>2.1.2.2.4</t>
  </si>
  <si>
    <t>2.1.3</t>
  </si>
  <si>
    <t>2.1.3.1</t>
  </si>
  <si>
    <t>2.1.3.1.1</t>
  </si>
  <si>
    <t>2.1.3.1.2</t>
  </si>
  <si>
    <t>가공품 발주 및 입고</t>
  </si>
  <si>
    <t>2.1.3.1.3</t>
  </si>
  <si>
    <t>2.1.3.1.4</t>
  </si>
  <si>
    <t>2.1.4</t>
  </si>
  <si>
    <t>2.1.4.1</t>
  </si>
  <si>
    <t>PPC&amp;충방-C/V</t>
  </si>
  <si>
    <t>2.1.4.1.1</t>
  </si>
  <si>
    <t>2.1.4.1.2</t>
  </si>
  <si>
    <t>2.1.4.1.3</t>
  </si>
  <si>
    <t>2.1.4.1.4</t>
  </si>
  <si>
    <t>2.1.4.2</t>
  </si>
  <si>
    <t>조립&amp;후단물류-Deck, Lifter</t>
  </si>
  <si>
    <t>2.1.4.2.1</t>
  </si>
  <si>
    <t>2.1.4.2.2</t>
  </si>
  <si>
    <t>2.1.4.2.3</t>
  </si>
  <si>
    <t>2.1.4.2.4</t>
  </si>
  <si>
    <t>2.1.4.3</t>
  </si>
  <si>
    <t>동간물류(1) &amp; 조립후단/Aging - C/V</t>
  </si>
  <si>
    <t>2.1.4.3.1</t>
  </si>
  <si>
    <t>2.1.4.3.2</t>
  </si>
  <si>
    <t>2.1.4.3.3</t>
  </si>
  <si>
    <t>2.1.4.3.4</t>
  </si>
  <si>
    <t>2.1.4.4</t>
  </si>
  <si>
    <t>동간물류(2) &amp; 화성동(1)/NG Line - C/V</t>
  </si>
  <si>
    <t>2.1.4.4.1</t>
  </si>
  <si>
    <t>2.1.4.4.2</t>
  </si>
  <si>
    <t>2.1.4.4.3</t>
  </si>
  <si>
    <t>2.1.4.4.4</t>
  </si>
  <si>
    <t>2.1.4.5</t>
  </si>
  <si>
    <t>조립동(1) &amp; 화성동(2)/후단물류 - C/V</t>
  </si>
  <si>
    <t>2.1.4.5.1</t>
  </si>
  <si>
    <t>2.1.4.5.2</t>
  </si>
  <si>
    <t>2.1.4.5.3</t>
  </si>
  <si>
    <t>2.1.4.5.4</t>
  </si>
  <si>
    <t>2.1.4.6</t>
  </si>
  <si>
    <t>조립동(2) &amp; 화성동(3) - C/V,Fence</t>
  </si>
  <si>
    <t>2.1.4.6.1</t>
  </si>
  <si>
    <t>2.1.4.6.2</t>
  </si>
  <si>
    <t>2.1.4.6.3</t>
  </si>
  <si>
    <t>2.1.4.6.4</t>
  </si>
  <si>
    <t>2.1.5</t>
  </si>
  <si>
    <t>2.1.5.1</t>
  </si>
  <si>
    <t>상온,고온 Aging + PPC,충방전</t>
  </si>
  <si>
    <t>2.1.5.1.1</t>
  </si>
  <si>
    <t>2.1.5.1.2</t>
  </si>
  <si>
    <t>2.1.5.1.3</t>
  </si>
  <si>
    <t>2.1.5.1.4</t>
  </si>
  <si>
    <t>2.1.5.2</t>
  </si>
  <si>
    <t>상온,고온 Aging</t>
  </si>
  <si>
    <t>2.1.5.2.1</t>
  </si>
  <si>
    <t>2.1.5.2.2</t>
  </si>
  <si>
    <t>2.1.5.2.3</t>
  </si>
  <si>
    <t>2.1.5.2.4</t>
  </si>
  <si>
    <t>3</t>
  </si>
  <si>
    <t>FAT</t>
  </si>
  <si>
    <t>3.1</t>
  </si>
  <si>
    <t>3.1.1</t>
  </si>
  <si>
    <t>3.1.1.1</t>
  </si>
  <si>
    <t>RACK &amp; DECK</t>
  </si>
  <si>
    <t>3.1.1.1.1</t>
  </si>
  <si>
    <t>3.1.2</t>
  </si>
  <si>
    <t>3.1.2.1</t>
  </si>
  <si>
    <t>상온+고온Aging+PPC+충방전</t>
  </si>
  <si>
    <t>3.1.2.1.1</t>
  </si>
  <si>
    <t>단동TEST</t>
  </si>
  <si>
    <t>3.1.2.1.2</t>
  </si>
  <si>
    <t>3.1.3</t>
  </si>
  <si>
    <t>3.1.3.1</t>
  </si>
  <si>
    <t>3.1.3.1.1</t>
  </si>
  <si>
    <t>3.1.3.1.2</t>
  </si>
  <si>
    <t>3.1.4</t>
  </si>
  <si>
    <t>3.1.4.1</t>
  </si>
  <si>
    <t>Conveyor TEST &amp; FAT</t>
  </si>
  <si>
    <t>3.1.4.1.1</t>
  </si>
  <si>
    <t>3.1.4.1.2</t>
  </si>
  <si>
    <t>3.1.5</t>
  </si>
  <si>
    <t>3.1.5.1</t>
  </si>
  <si>
    <t>Lifter TEST &amp; FAT</t>
  </si>
  <si>
    <t>3.1.5.1.1</t>
  </si>
  <si>
    <t>3.1.5.1.2</t>
  </si>
  <si>
    <t>4</t>
  </si>
  <si>
    <t>FOB</t>
  </si>
  <si>
    <t>4.1</t>
  </si>
  <si>
    <t>4.1.1</t>
  </si>
  <si>
    <t>4.1.1.1</t>
  </si>
  <si>
    <t>4.1.1.1.1</t>
  </si>
  <si>
    <t>4.1.1.2</t>
  </si>
  <si>
    <t>4.1.1.2.1</t>
  </si>
  <si>
    <t>4.1.1.3</t>
  </si>
  <si>
    <t>4.1.1.3.1</t>
  </si>
  <si>
    <t>4.1.1.4</t>
  </si>
  <si>
    <t>4.1.1.4.1</t>
  </si>
  <si>
    <t>4.1.1.5</t>
  </si>
  <si>
    <t>4.1.1.5.1</t>
  </si>
  <si>
    <t>4.1.2</t>
  </si>
  <si>
    <t>4.1.2.1</t>
  </si>
  <si>
    <t>4.1.2.1.1</t>
  </si>
  <si>
    <t>4.1.2.2</t>
  </si>
  <si>
    <t>4.1.2.2.1</t>
  </si>
  <si>
    <t>4.1.3</t>
  </si>
  <si>
    <t>4.1.3.1</t>
  </si>
  <si>
    <t>Cell 환적 이재기 (24set)</t>
  </si>
  <si>
    <t>4.1.3.1.1</t>
  </si>
  <si>
    <t>4.1.4</t>
  </si>
  <si>
    <t>4.1.4.1</t>
  </si>
  <si>
    <t>4.1.4.1.1</t>
  </si>
  <si>
    <t>4.1.4.2</t>
  </si>
  <si>
    <t>4.1.4.2.1</t>
  </si>
  <si>
    <t>4.1.4.3</t>
  </si>
  <si>
    <t>4.1.4.3.1</t>
  </si>
  <si>
    <t>4.1.4.4</t>
  </si>
  <si>
    <t>4.1.4.4.1</t>
  </si>
  <si>
    <t>4.1.4.5</t>
  </si>
  <si>
    <t>4.1.4.5.1</t>
  </si>
  <si>
    <t>4.1.4.6</t>
  </si>
  <si>
    <t>4.1.4.6.1</t>
  </si>
  <si>
    <t>4.1.5</t>
  </si>
  <si>
    <t>4.1.5.1</t>
  </si>
  <si>
    <t>4.1.5.1.1</t>
  </si>
  <si>
    <t>4.1.5.2</t>
  </si>
  <si>
    <t>4.1.5.2.1</t>
  </si>
  <si>
    <t>5</t>
  </si>
  <si>
    <t>SHIPPING</t>
  </si>
  <si>
    <t>5.1</t>
  </si>
  <si>
    <t>5.1.1</t>
  </si>
  <si>
    <t>5.1.1.1</t>
  </si>
  <si>
    <t>5.1.1.1.1</t>
  </si>
  <si>
    <t>출하 선적</t>
  </si>
  <si>
    <t>5.1.1.1.2</t>
  </si>
  <si>
    <t>화물이동</t>
  </si>
  <si>
    <t>5.1.1.1.3</t>
  </si>
  <si>
    <t>하역 및 반입</t>
  </si>
  <si>
    <t>5.1.1.2</t>
  </si>
  <si>
    <t>5.1.1.2.1</t>
  </si>
  <si>
    <t>5.1.1.2.2</t>
  </si>
  <si>
    <t>5.1.1.2.3</t>
  </si>
  <si>
    <t>5.1.1.3</t>
  </si>
  <si>
    <t>5.1.1.3.1</t>
  </si>
  <si>
    <t>5.1.1.3.2</t>
  </si>
  <si>
    <t>5.1.1.3.3</t>
  </si>
  <si>
    <t>5.1.1.4</t>
  </si>
  <si>
    <t>5.1.1.4.1</t>
  </si>
  <si>
    <t>5.1.1.4.2</t>
  </si>
  <si>
    <t>5.1.1.4.3</t>
  </si>
  <si>
    <t>5.1.1.5</t>
  </si>
  <si>
    <t>5.1.1.5.1</t>
  </si>
  <si>
    <t>5.1.1.5.2</t>
  </si>
  <si>
    <t>5.1.1.5.3</t>
  </si>
  <si>
    <t>5.1.2</t>
  </si>
  <si>
    <t>5.1.2.1</t>
  </si>
  <si>
    <t>5.1.2.1.1</t>
  </si>
  <si>
    <t>5.1.2.1.2</t>
  </si>
  <si>
    <t>5.1.2.1.3</t>
  </si>
  <si>
    <t>5.1.2.2</t>
  </si>
  <si>
    <t>5.1.2.2.1</t>
  </si>
  <si>
    <t>5.1.2.2.2</t>
  </si>
  <si>
    <t>5.1.2.2.3</t>
  </si>
  <si>
    <t>5.1.3</t>
  </si>
  <si>
    <t>5.1.3.1</t>
  </si>
  <si>
    <t>5.1.3.1.1</t>
  </si>
  <si>
    <t>5.1.3.1.2</t>
  </si>
  <si>
    <t>화물이동(부산-&gt;CHS)</t>
  </si>
  <si>
    <t>5.1.3.1.3</t>
  </si>
  <si>
    <t>5.1.4</t>
  </si>
  <si>
    <t>5.1.4.1</t>
  </si>
  <si>
    <t>5.1.4.1.1</t>
  </si>
  <si>
    <t>5.1.4.1.2</t>
  </si>
  <si>
    <t>5.1.4.1.3</t>
  </si>
  <si>
    <t>5.1.4.2</t>
  </si>
  <si>
    <t>5.1.4.2.1</t>
  </si>
  <si>
    <t>5.1.4.2.2</t>
  </si>
  <si>
    <t>5.1.4.2.3</t>
  </si>
  <si>
    <t>5.1.4.3</t>
  </si>
  <si>
    <t>5.1.4.3.1</t>
  </si>
  <si>
    <t>5.1.4.3.2</t>
  </si>
  <si>
    <t>5.1.4.3.3</t>
  </si>
  <si>
    <t>5.1.4.4</t>
  </si>
  <si>
    <t>5.1.4.4.1</t>
  </si>
  <si>
    <t>5.1.4.4.2</t>
  </si>
  <si>
    <t>5.1.4.4.3</t>
  </si>
  <si>
    <t>5.1.4.5</t>
  </si>
  <si>
    <t>5.1.4.5.1</t>
  </si>
  <si>
    <t>5.1.4.5.2</t>
  </si>
  <si>
    <t>5.1.4.5.3</t>
  </si>
  <si>
    <t>5.1.4.6</t>
  </si>
  <si>
    <t>5.1.4.6.1</t>
  </si>
  <si>
    <t>5.1.4.6.2</t>
  </si>
  <si>
    <t>5.1.4.6.3</t>
  </si>
  <si>
    <t>5.1.5</t>
  </si>
  <si>
    <t>5.1.5.1</t>
  </si>
  <si>
    <t>5.1.5.1.1</t>
  </si>
  <si>
    <t>5.1.5.1.2</t>
  </si>
  <si>
    <t>5.1.5.1.3</t>
  </si>
  <si>
    <t>5.1.5.2</t>
  </si>
  <si>
    <t>5.1.5.2.1</t>
  </si>
  <si>
    <t>5.1.5.2.2</t>
  </si>
  <si>
    <t>5.1.5.2.3</t>
  </si>
  <si>
    <t>6</t>
  </si>
  <si>
    <t>SETUP</t>
  </si>
  <si>
    <t>6.1</t>
  </si>
  <si>
    <t>6.1.1</t>
  </si>
  <si>
    <t>6.1.1.1</t>
  </si>
  <si>
    <t>6.1.1.1.1</t>
  </si>
  <si>
    <t>Rack Erection</t>
  </si>
  <si>
    <t>6.1.1.1.2</t>
  </si>
  <si>
    <t>수직조정 및 Impact</t>
  </si>
  <si>
    <t>6.1.1.2</t>
  </si>
  <si>
    <t>6.1.1.2.1</t>
  </si>
  <si>
    <t>6.1.1.2.2</t>
  </si>
  <si>
    <t>6.1.1.3</t>
  </si>
  <si>
    <t>6.1.1.3.1</t>
  </si>
  <si>
    <t>6.1.1.3.2</t>
  </si>
  <si>
    <t>6.1.1.4</t>
  </si>
  <si>
    <t>6.1.1.4.1</t>
  </si>
  <si>
    <t>6.1.1.4.2</t>
  </si>
  <si>
    <t>6.1.1.5</t>
  </si>
  <si>
    <t>6.1.1.5.1</t>
  </si>
  <si>
    <t>6.1.1.5.2</t>
  </si>
  <si>
    <t>수직조정 및 Impact, 마감작업</t>
  </si>
  <si>
    <t>6.1.2</t>
  </si>
  <si>
    <t>6.1.2.1</t>
  </si>
  <si>
    <t>6.1.2.1.1</t>
  </si>
  <si>
    <t>Erection 및 악세서리 설치</t>
  </si>
  <si>
    <t>6.1.2.1.2</t>
  </si>
  <si>
    <t>기내 배선 및  전기제어 공사</t>
  </si>
  <si>
    <t>6.1.2.1.3</t>
  </si>
  <si>
    <t>I/O Check 및 단동 TEST</t>
  </si>
  <si>
    <t>6.1.2.2</t>
  </si>
  <si>
    <t>6.1.2.2.1</t>
  </si>
  <si>
    <t>6.1.2.2.2</t>
  </si>
  <si>
    <t>6.1.2.2.3</t>
  </si>
  <si>
    <t>6.1.3</t>
  </si>
  <si>
    <t>6.1.3.1</t>
  </si>
  <si>
    <t>6.1.3.1.1</t>
  </si>
  <si>
    <t>기구 Set-up</t>
  </si>
  <si>
    <t>6.1.3.1.2</t>
  </si>
  <si>
    <t>기내 배선 및 전장 Set-up</t>
  </si>
  <si>
    <t>6.1.3.1.3</t>
  </si>
  <si>
    <t>I/O Check 및 단동 Test</t>
  </si>
  <si>
    <t>6.1.4</t>
  </si>
  <si>
    <t>6.1.4.1</t>
  </si>
  <si>
    <t>6.1.4.1.1</t>
  </si>
  <si>
    <t>DECK &amp; 기구 Set-up</t>
  </si>
  <si>
    <t>6.1.4.1.2</t>
  </si>
  <si>
    <t>6.1.4.1.3</t>
  </si>
  <si>
    <t>6.1.4.2</t>
  </si>
  <si>
    <t>6.1.4.2.1</t>
  </si>
  <si>
    <t>6.1.4.2.2</t>
  </si>
  <si>
    <t>6.1.4.2.3</t>
  </si>
  <si>
    <t>6.1.4.3</t>
  </si>
  <si>
    <t>6.1.4.3.1</t>
  </si>
  <si>
    <t>6.1.4.3.2</t>
  </si>
  <si>
    <t>6.1.4.3.3</t>
  </si>
  <si>
    <t>6.1.4.4</t>
  </si>
  <si>
    <t>6.1.4.4.1</t>
  </si>
  <si>
    <t>6.1.4.4.2</t>
  </si>
  <si>
    <t>6.1.4.4.3</t>
  </si>
  <si>
    <t>6.1.4.5</t>
  </si>
  <si>
    <t>6.1.4.5.1</t>
  </si>
  <si>
    <t>6.1.4.5.2</t>
  </si>
  <si>
    <t>6.1.4.5.3</t>
  </si>
  <si>
    <t>6.1.4.6</t>
  </si>
  <si>
    <t>6.1.4.6.1</t>
  </si>
  <si>
    <t>기구 Set-up 및 Fence 설치</t>
  </si>
  <si>
    <t>6.1.4.6.2</t>
  </si>
  <si>
    <t>6.1.4.6.3</t>
  </si>
  <si>
    <t>6.1.5</t>
  </si>
  <si>
    <t>6.1.5.1</t>
  </si>
  <si>
    <t>6.1.5.1.1</t>
  </si>
  <si>
    <t>6.1.5.1.2</t>
  </si>
  <si>
    <t>6.1.5.1.3</t>
  </si>
  <si>
    <t>6.1.5.2</t>
  </si>
  <si>
    <t>6.1.5.2.1</t>
  </si>
  <si>
    <t>6.1.5.2.2</t>
  </si>
  <si>
    <t>6.1.5.2.3</t>
  </si>
  <si>
    <t>7</t>
  </si>
  <si>
    <t>연동Test</t>
  </si>
  <si>
    <t>7.1</t>
  </si>
  <si>
    <t>7.1.1</t>
  </si>
  <si>
    <t>SW 현장설치</t>
  </si>
  <si>
    <t>7.1.2</t>
  </si>
  <si>
    <t>Interface Test</t>
  </si>
  <si>
    <t>7.1.3</t>
  </si>
  <si>
    <t>연동 Test 및 사용자운영교육</t>
  </si>
  <si>
    <t>Conveyor &amp; Lifter, PPC MSC, 환적이재기(기구)</t>
    <phoneticPr fontId="13" type="noConversion"/>
  </si>
  <si>
    <t>Conveyor &amp; Lifter, PPC MSC, 환적이재기(전장)</t>
    <phoneticPr fontId="13" type="noConversion"/>
  </si>
  <si>
    <t>오토런</t>
    <phoneticPr fontId="13" type="noConversion"/>
  </si>
  <si>
    <t xml:space="preserve"> 지게차</t>
    <phoneticPr fontId="1" type="noConversion"/>
  </si>
  <si>
    <t>기계/설비(장비)의 낙하, 비래, 전복, 전도 위험</t>
    <phoneticPr fontId="1" type="noConversion"/>
  </si>
  <si>
    <t>3. 세척</t>
    <phoneticPr fontId="1" type="noConversion"/>
  </si>
  <si>
    <t>제품, 대차</t>
    <phoneticPr fontId="1" type="noConversion"/>
  </si>
  <si>
    <t>설비 충돌, 전도 위험</t>
    <phoneticPr fontId="1" type="noConversion"/>
  </si>
  <si>
    <t>사다리</t>
    <phoneticPr fontId="1" type="noConversion"/>
  </si>
  <si>
    <t>상부작업 시 추락 위험</t>
    <phoneticPr fontId="1" type="noConversion"/>
  </si>
  <si>
    <t>지게차, 대차</t>
    <phoneticPr fontId="1" type="noConversion"/>
  </si>
  <si>
    <t>2. 자동반송Test</t>
    <phoneticPr fontId="1" type="noConversion"/>
  </si>
  <si>
    <t>이찬희</t>
    <phoneticPr fontId="1" type="noConversion"/>
  </si>
  <si>
    <t>박영규
박도훈</t>
    <phoneticPr fontId="1" type="noConversion"/>
  </si>
  <si>
    <t>최종문</t>
    <phoneticPr fontId="1" type="noConversion"/>
  </si>
  <si>
    <t>최기철</t>
    <phoneticPr fontId="1" type="noConversion"/>
  </si>
  <si>
    <t>2022. 08. 17.</t>
    <phoneticPr fontId="1" type="noConversion"/>
  </si>
  <si>
    <t>-</t>
    <phoneticPr fontId="1" type="noConversion"/>
  </si>
  <si>
    <t>2022/09/01~2023/02/28</t>
    <phoneticPr fontId="13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</si>
  <si>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</si>
  <si>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</si>
  <si>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</si>
  <si>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호이스트</t>
    <phoneticPr fontId="1" type="noConversion"/>
  </si>
  <si>
    <t>전동공구 사용간 부주의로 인한 절상,
신체손상위험</t>
    <phoneticPr fontId="1" type="noConversion"/>
  </si>
  <si>
    <t>공정명: CV&amp;LF 조립</t>
    <phoneticPr fontId="1" type="noConversion"/>
  </si>
  <si>
    <t>5. 호이스트 사용(조립 공통)</t>
    <phoneticPr fontId="1" type="noConversion"/>
  </si>
  <si>
    <t>6. C/V &amp; Lifter 조립</t>
    <phoneticPr fontId="1" type="noConversion"/>
  </si>
  <si>
    <t>윈치,사다리</t>
    <phoneticPr fontId="1" type="noConversion"/>
  </si>
  <si>
    <t>4. 상부 작업 및 자재 양중(공통)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</si>
</sst>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176" formatCode="0_);[Red]\(0\)"/>
    <numFmt numFmtId="177" formatCode="mm&quot;월&quot;\ dd&quot;일&quot;"/>
    <numFmt numFmtId="178" formatCode="0.0_);[Red]\(0.0\)"/>
    <numFmt numFmtId="179" formatCode="0.0"/>
    <numFmt numFmtId="180" formatCode="dd"/>
  </numFmts>
  <fonts count="6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249977111117893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b/>
      <sz val="16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8"/>
      <name val="굴림"/>
      <family val="2"/>
      <charset val="129"/>
    </font>
    <font>
      <u/>
      <sz val="11"/>
      <color theme="10"/>
      <name val="돋움"/>
      <family val="3"/>
      <charset val="129"/>
    </font>
    <font>
      <b/>
      <sz val="13"/>
      <color rgb="FFFF8800"/>
      <name val="Calibri"/>
      <family val="2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CC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177" fontId="4" fillId="9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0" fontId="38" fillId="9" borderId="5" xfId="0" applyFont="1" applyFill="1" applyBorder="1" applyAlignment="1">
      <alignment horizontal="center" vertical="center" wrapText="1"/>
    </xf>
    <xf numFmtId="0" fontId="38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9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8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45" fillId="7" borderId="5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left" vertical="center" wrapText="1"/>
    </xf>
    <xf numFmtId="0" fontId="44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>
      <alignment vertical="center"/>
    </xf>
    <xf numFmtId="0" fontId="49" fillId="0" borderId="0" xfId="0" applyFont="1" applyFill="1">
      <alignment vertical="center"/>
    </xf>
    <xf numFmtId="0" fontId="49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8" fillId="9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6" fillId="13" borderId="0" xfId="6" applyFont="1" applyFill="1" applyBorder="1" applyAlignment="1">
      <alignment horizontal="left" vertical="top"/>
    </xf>
    <xf numFmtId="0" fontId="56" fillId="13" borderId="0" xfId="6" applyFont="1" applyFill="1" applyBorder="1" applyAlignment="1">
      <alignment horizontal="left" vertical="center"/>
    </xf>
    <xf numFmtId="0" fontId="57" fillId="13" borderId="0" xfId="6" applyFont="1" applyFill="1" applyBorder="1" applyAlignment="1">
      <alignment horizontal="left" vertical="top"/>
    </xf>
    <xf numFmtId="0" fontId="57" fillId="13" borderId="0" xfId="7" applyFont="1" applyFill="1" applyBorder="1" applyAlignment="1">
      <alignment horizontal="right" vertical="center"/>
    </xf>
    <xf numFmtId="0" fontId="60" fillId="13" borderId="0" xfId="7" applyFont="1" applyFill="1" applyBorder="1" applyAlignment="1">
      <alignment horizontal="left" vertical="center"/>
    </xf>
    <xf numFmtId="0" fontId="59" fillId="13" borderId="0" xfId="7" applyFill="1" applyBorder="1" applyAlignment="1">
      <alignment horizontal="left" vertical="center"/>
    </xf>
    <xf numFmtId="0" fontId="29" fillId="13" borderId="0" xfId="6" applyFont="1" applyFill="1" applyBorder="1" applyAlignment="1">
      <alignment horizontal="left" vertical="center"/>
    </xf>
    <xf numFmtId="0" fontId="63" fillId="13" borderId="0" xfId="7" applyNumberFormat="1" applyFont="1" applyFill="1" applyBorder="1" applyAlignment="1">
      <alignment horizontal="right" vertical="center"/>
    </xf>
    <xf numFmtId="0" fontId="64" fillId="13" borderId="0" xfId="6" applyFont="1" applyFill="1" applyBorder="1" applyAlignment="1">
      <alignment horizontal="left" vertical="center"/>
    </xf>
    <xf numFmtId="14" fontId="35" fillId="16" borderId="84" xfId="8" applyNumberFormat="1" applyFont="1" applyFill="1" applyBorder="1" applyAlignment="1" applyProtection="1">
      <alignment horizontal="center" vertical="center"/>
    </xf>
    <xf numFmtId="0" fontId="29" fillId="0" borderId="0" xfId="6" applyFont="1" applyFill="1" applyBorder="1" applyAlignment="1">
      <alignment horizontal="left" vertical="center"/>
    </xf>
    <xf numFmtId="14" fontId="35" fillId="17" borderId="84" xfId="8" applyNumberFormat="1" applyFont="1" applyFill="1" applyBorder="1" applyAlignment="1" applyProtection="1">
      <alignment horizontal="center" vertical="center"/>
    </xf>
    <xf numFmtId="180" fontId="66" fillId="15" borderId="86" xfId="8" applyNumberFormat="1" applyFont="1" applyFill="1" applyBorder="1" applyAlignment="1" applyProtection="1">
      <alignment horizontal="center" vertical="center"/>
    </xf>
    <xf numFmtId="180" fontId="66" fillId="15" borderId="87" xfId="8" applyNumberFormat="1" applyFont="1" applyFill="1" applyBorder="1" applyAlignment="1" applyProtection="1">
      <alignment horizontal="center" vertical="center"/>
    </xf>
    <xf numFmtId="180" fontId="66" fillId="15" borderId="88" xfId="8" applyNumberFormat="1" applyFont="1" applyFill="1" applyBorder="1" applyAlignment="1" applyProtection="1">
      <alignment horizontal="center" vertical="center"/>
    </xf>
    <xf numFmtId="0" fontId="67" fillId="0" borderId="0" xfId="8" applyFont="1" applyFill="1" applyBorder="1" applyAlignment="1" applyProtection="1">
      <alignment horizontal="left" vertical="center"/>
    </xf>
    <xf numFmtId="0" fontId="29" fillId="0" borderId="0" xfId="8" applyFont="1" applyFill="1" applyBorder="1" applyAlignment="1" applyProtection="1">
      <alignment horizontal="left" vertical="center"/>
    </xf>
    <xf numFmtId="0" fontId="29" fillId="0" borderId="89" xfId="8" applyFont="1" applyFill="1" applyBorder="1" applyAlignment="1" applyProtection="1">
      <alignment vertical="top"/>
      <protection locked="0"/>
    </xf>
    <xf numFmtId="0" fontId="29" fillId="0" borderId="89" xfId="8" quotePrefix="1" applyFont="1" applyFill="1" applyBorder="1" applyAlignment="1" applyProtection="1">
      <alignment horizontal="right" vertical="top"/>
      <protection locked="0"/>
    </xf>
    <xf numFmtId="0" fontId="29" fillId="0" borderId="89" xfId="8" applyFont="1" applyFill="1" applyBorder="1" applyAlignment="1" applyProtection="1">
      <alignment horizontal="left" vertical="top"/>
      <protection locked="0"/>
    </xf>
    <xf numFmtId="0" fontId="29" fillId="0" borderId="89" xfId="8" applyFont="1" applyFill="1" applyBorder="1" applyAlignment="1" applyProtection="1">
      <alignment horizontal="center" vertical="center"/>
      <protection locked="0"/>
    </xf>
    <xf numFmtId="14" fontId="29" fillId="9" borderId="89" xfId="8" applyNumberFormat="1" applyFont="1" applyFill="1" applyBorder="1" applyAlignment="1" applyProtection="1">
      <alignment horizontal="center" vertical="top"/>
      <protection locked="0"/>
    </xf>
    <xf numFmtId="0" fontId="29" fillId="0" borderId="89" xfId="8" applyNumberFormat="1" applyFont="1" applyFill="1" applyBorder="1" applyAlignment="1" applyProtection="1">
      <alignment horizontal="center" vertical="top"/>
      <protection locked="0"/>
    </xf>
    <xf numFmtId="178" fontId="29" fillId="0" borderId="89" xfId="8" applyNumberFormat="1" applyFont="1" applyFill="1" applyBorder="1" applyAlignment="1" applyProtection="1">
      <alignment horizontal="center" vertical="top"/>
      <protection locked="0"/>
    </xf>
    <xf numFmtId="14" fontId="29" fillId="0" borderId="89" xfId="8" applyNumberFormat="1" applyFont="1" applyFill="1" applyBorder="1" applyAlignment="1" applyProtection="1">
      <alignment horizontal="center" vertical="top"/>
      <protection locked="0"/>
    </xf>
    <xf numFmtId="179" fontId="29" fillId="0" borderId="89" xfId="8" applyNumberFormat="1" applyFont="1" applyFill="1" applyBorder="1" applyAlignment="1" applyProtection="1">
      <alignment horizontal="center" vertical="top"/>
      <protection locked="0"/>
    </xf>
    <xf numFmtId="1" fontId="29" fillId="0" borderId="89" xfId="8" applyNumberFormat="1" applyFont="1" applyFill="1" applyBorder="1" applyAlignment="1" applyProtection="1">
      <alignment horizontal="center" vertical="top"/>
      <protection locked="0"/>
    </xf>
    <xf numFmtId="14" fontId="29" fillId="0" borderId="89" xfId="8" applyNumberFormat="1" applyFont="1" applyFill="1" applyBorder="1" applyAlignment="1" applyProtection="1">
      <alignment horizontal="left" vertical="top"/>
      <protection locked="0"/>
    </xf>
    <xf numFmtId="10" fontId="29" fillId="0" borderId="89" xfId="10" applyNumberFormat="1" applyFont="1" applyFill="1" applyBorder="1" applyAlignment="1" applyProtection="1">
      <alignment horizontal="right" vertical="top" wrapText="1"/>
      <protection locked="0"/>
    </xf>
    <xf numFmtId="10" fontId="36" fillId="10" borderId="89" xfId="10" applyNumberFormat="1" applyFont="1" applyFill="1" applyBorder="1" applyAlignment="1" applyProtection="1">
      <alignment horizontal="right" vertical="top"/>
      <protection locked="0"/>
    </xf>
    <xf numFmtId="0" fontId="29" fillId="0" borderId="90" xfId="8" applyFont="1" applyFill="1" applyBorder="1" applyAlignment="1" applyProtection="1">
      <alignment horizontal="left" vertical="center"/>
      <protection locked="0"/>
    </xf>
    <xf numFmtId="0" fontId="29" fillId="0" borderId="91" xfId="8" applyFont="1" applyFill="1" applyBorder="1" applyAlignment="1" applyProtection="1">
      <alignment horizontal="left" vertical="center"/>
      <protection locked="0"/>
    </xf>
    <xf numFmtId="0" fontId="29" fillId="0" borderId="92" xfId="8" applyFont="1" applyFill="1" applyBorder="1" applyAlignment="1" applyProtection="1">
      <alignment horizontal="left" vertical="center"/>
      <protection locked="0"/>
    </xf>
    <xf numFmtId="10" fontId="29" fillId="10" borderId="89" xfId="10" applyNumberFormat="1" applyFont="1" applyFill="1" applyBorder="1" applyAlignment="1" applyProtection="1">
      <alignment horizontal="right" vertical="top"/>
      <protection locked="0"/>
    </xf>
    <xf numFmtId="10" fontId="36" fillId="18" borderId="89" xfId="10" applyNumberFormat="1" applyFont="1" applyFill="1" applyBorder="1" applyAlignment="1" applyProtection="1">
      <alignment horizontal="right" vertical="top"/>
      <protection locked="0"/>
    </xf>
    <xf numFmtId="10" fontId="29" fillId="18" borderId="89" xfId="10" applyNumberFormat="1" applyFont="1" applyFill="1" applyBorder="1" applyAlignment="1" applyProtection="1">
      <alignment horizontal="right" vertical="top"/>
      <protection locked="0"/>
    </xf>
    <xf numFmtId="0" fontId="29" fillId="0" borderId="89" xfId="8" applyFont="1" applyFill="1" applyBorder="1" applyAlignment="1" applyProtection="1">
      <alignment horizontal="center" vertical="top"/>
      <protection locked="0"/>
    </xf>
    <xf numFmtId="0" fontId="29" fillId="0" borderId="89" xfId="8" applyNumberFormat="1" applyFont="1" applyFill="1" applyBorder="1" applyAlignment="1" applyProtection="1">
      <alignment horizontal="left" vertical="top"/>
      <protection locked="0"/>
    </xf>
    <xf numFmtId="0" fontId="29" fillId="11" borderId="89" xfId="8" applyFont="1" applyFill="1" applyBorder="1" applyAlignment="1" applyProtection="1">
      <alignment horizontal="left" vertical="top"/>
      <protection locked="0"/>
    </xf>
    <xf numFmtId="0" fontId="29" fillId="9" borderId="89" xfId="8" applyFont="1" applyFill="1" applyBorder="1" applyAlignment="1" applyProtection="1">
      <alignment horizontal="left" vertical="top"/>
      <protection locked="0"/>
    </xf>
    <xf numFmtId="10" fontId="29" fillId="13" borderId="89" xfId="10" applyNumberFormat="1" applyFont="1" applyFill="1" applyBorder="1" applyAlignment="1" applyProtection="1">
      <alignment horizontal="right" vertical="top"/>
      <protection locked="0"/>
    </xf>
    <xf numFmtId="0" fontId="36" fillId="4" borderId="89" xfId="8" quotePrefix="1" applyFont="1" applyFill="1" applyBorder="1" applyAlignment="1" applyProtection="1">
      <alignment horizontal="right" vertical="top"/>
      <protection locked="0"/>
    </xf>
    <xf numFmtId="0" fontId="36" fillId="4" borderId="89" xfId="8" applyFont="1" applyFill="1" applyBorder="1" applyAlignment="1" applyProtection="1">
      <alignment horizontal="left" vertical="top"/>
      <protection locked="0"/>
    </xf>
    <xf numFmtId="0" fontId="36" fillId="4" borderId="89" xfId="8" applyFont="1" applyFill="1" applyBorder="1" applyAlignment="1" applyProtection="1">
      <alignment horizontal="center" vertical="top"/>
      <protection locked="0"/>
    </xf>
    <xf numFmtId="14" fontId="36" fillId="4" borderId="89" xfId="8" applyNumberFormat="1" applyFont="1" applyFill="1" applyBorder="1" applyAlignment="1" applyProtection="1">
      <alignment horizontal="center" vertical="top"/>
      <protection locked="0"/>
    </xf>
    <xf numFmtId="0" fontId="36" fillId="4" borderId="89" xfId="8" applyNumberFormat="1" applyFont="1" applyFill="1" applyBorder="1" applyAlignment="1" applyProtection="1">
      <alignment horizontal="center" vertical="top"/>
      <protection locked="0"/>
    </xf>
    <xf numFmtId="178" fontId="36" fillId="4" borderId="89" xfId="8" applyNumberFormat="1" applyFont="1" applyFill="1" applyBorder="1" applyAlignment="1" applyProtection="1">
      <alignment horizontal="center" vertical="top"/>
      <protection locked="0"/>
    </xf>
    <xf numFmtId="179" fontId="36" fillId="4" borderId="89" xfId="8" applyNumberFormat="1" applyFont="1" applyFill="1" applyBorder="1" applyAlignment="1" applyProtection="1">
      <alignment horizontal="center" vertical="top"/>
      <protection locked="0"/>
    </xf>
    <xf numFmtId="1" fontId="36" fillId="4" borderId="89" xfId="8" applyNumberFormat="1" applyFont="1" applyFill="1" applyBorder="1" applyAlignment="1" applyProtection="1">
      <alignment horizontal="center" vertical="top"/>
      <protection locked="0"/>
    </xf>
    <xf numFmtId="14" fontId="36" fillId="4" borderId="89" xfId="8" applyNumberFormat="1" applyFont="1" applyFill="1" applyBorder="1" applyAlignment="1" applyProtection="1">
      <alignment horizontal="left" vertical="top"/>
      <protection locked="0"/>
    </xf>
    <xf numFmtId="10" fontId="36" fillId="4" borderId="89" xfId="10" applyNumberFormat="1" applyFont="1" applyFill="1" applyBorder="1" applyAlignment="1" applyProtection="1">
      <alignment horizontal="right" vertical="top" wrapText="1"/>
      <protection locked="0"/>
    </xf>
    <xf numFmtId="0" fontId="36" fillId="4" borderId="89" xfId="8" applyFont="1" applyFill="1" applyBorder="1" applyAlignment="1" applyProtection="1">
      <alignment horizontal="center" vertical="center"/>
      <protection locked="0"/>
    </xf>
    <xf numFmtId="10" fontId="36" fillId="13" borderId="89" xfId="10" applyNumberFormat="1" applyFont="1" applyFill="1" applyBorder="1" applyAlignment="1" applyProtection="1">
      <alignment horizontal="right" vertical="top"/>
      <protection locked="0"/>
    </xf>
    <xf numFmtId="0" fontId="42" fillId="0" borderId="89" xfId="8" applyFont="1" applyFill="1" applyBorder="1" applyAlignment="1" applyProtection="1">
      <alignment horizontal="left" vertical="top"/>
      <protection locked="0"/>
    </xf>
    <xf numFmtId="0" fontId="36" fillId="0" borderId="89" xfId="8" quotePrefix="1" applyFont="1" applyFill="1" applyBorder="1" applyAlignment="1" applyProtection="1">
      <alignment horizontal="right" vertical="top"/>
      <protection locked="0"/>
    </xf>
    <xf numFmtId="0" fontId="36" fillId="0" borderId="89" xfId="8" applyFont="1" applyFill="1" applyBorder="1" applyAlignment="1" applyProtection="1">
      <alignment horizontal="left" vertical="top"/>
      <protection locked="0"/>
    </xf>
    <xf numFmtId="0" fontId="36" fillId="0" borderId="89" xfId="8" applyFont="1" applyFill="1" applyBorder="1" applyAlignment="1" applyProtection="1">
      <alignment horizontal="center" vertical="top"/>
      <protection locked="0"/>
    </xf>
    <xf numFmtId="14" fontId="36" fillId="0" borderId="89" xfId="8" applyNumberFormat="1" applyFont="1" applyFill="1" applyBorder="1" applyAlignment="1" applyProtection="1">
      <alignment horizontal="center" vertical="top"/>
      <protection locked="0"/>
    </xf>
    <xf numFmtId="0" fontId="36" fillId="0" borderId="89" xfId="8" applyNumberFormat="1" applyFont="1" applyFill="1" applyBorder="1" applyAlignment="1" applyProtection="1">
      <alignment horizontal="center" vertical="top"/>
      <protection locked="0"/>
    </xf>
    <xf numFmtId="178" fontId="36" fillId="0" borderId="89" xfId="8" applyNumberFormat="1" applyFont="1" applyFill="1" applyBorder="1" applyAlignment="1" applyProtection="1">
      <alignment horizontal="center" vertical="top"/>
      <protection locked="0"/>
    </xf>
    <xf numFmtId="179" fontId="36" fillId="0" borderId="89" xfId="8" applyNumberFormat="1" applyFont="1" applyFill="1" applyBorder="1" applyAlignment="1" applyProtection="1">
      <alignment horizontal="center" vertical="top"/>
      <protection locked="0"/>
    </xf>
    <xf numFmtId="1" fontId="36" fillId="0" borderId="89" xfId="8" applyNumberFormat="1" applyFont="1" applyFill="1" applyBorder="1" applyAlignment="1" applyProtection="1">
      <alignment horizontal="center" vertical="top"/>
      <protection locked="0"/>
    </xf>
    <xf numFmtId="0" fontId="36" fillId="0" borderId="89" xfId="8" applyNumberFormat="1" applyFont="1" applyFill="1" applyBorder="1" applyAlignment="1" applyProtection="1">
      <alignment horizontal="left" vertical="top"/>
      <protection locked="0"/>
    </xf>
    <xf numFmtId="14" fontId="36" fillId="0" borderId="89" xfId="8" applyNumberFormat="1" applyFont="1" applyFill="1" applyBorder="1" applyAlignment="1" applyProtection="1">
      <alignment horizontal="left" vertical="top"/>
      <protection locked="0"/>
    </xf>
    <xf numFmtId="10" fontId="36" fillId="0" borderId="89" xfId="10" applyNumberFormat="1" applyFont="1" applyFill="1" applyBorder="1" applyAlignment="1" applyProtection="1">
      <alignment horizontal="right" vertical="top" wrapText="1"/>
      <protection locked="0"/>
    </xf>
    <xf numFmtId="0" fontId="29" fillId="0" borderId="93" xfId="8" applyFont="1" applyFill="1" applyBorder="1" applyAlignment="1" applyProtection="1">
      <alignment vertical="top"/>
      <protection locked="0"/>
    </xf>
    <xf numFmtId="0" fontId="29" fillId="0" borderId="93" xfId="8" applyFont="1" applyFill="1" applyBorder="1" applyAlignment="1" applyProtection="1">
      <alignment horizontal="right" vertical="top"/>
      <protection locked="0"/>
    </xf>
    <xf numFmtId="0" fontId="29" fillId="0" borderId="93" xfId="8" applyFont="1" applyFill="1" applyBorder="1" applyAlignment="1" applyProtection="1">
      <alignment horizontal="left" vertical="top"/>
      <protection locked="0"/>
    </xf>
    <xf numFmtId="0" fontId="29" fillId="0" borderId="93" xfId="8" applyFont="1" applyFill="1" applyBorder="1" applyAlignment="1" applyProtection="1">
      <alignment horizontal="center" vertical="center"/>
      <protection locked="0"/>
    </xf>
    <xf numFmtId="14" fontId="29" fillId="0" borderId="93" xfId="8" applyNumberFormat="1" applyFont="1" applyFill="1" applyBorder="1" applyAlignment="1" applyProtection="1">
      <alignment horizontal="center" vertical="top"/>
      <protection locked="0"/>
    </xf>
    <xf numFmtId="0" fontId="29" fillId="0" borderId="93" xfId="8" applyNumberFormat="1" applyFont="1" applyFill="1" applyBorder="1" applyAlignment="1" applyProtection="1">
      <alignment horizontal="center" vertical="top"/>
      <protection locked="0"/>
    </xf>
    <xf numFmtId="178" fontId="29" fillId="0" borderId="93" xfId="8" applyNumberFormat="1" applyFont="1" applyFill="1" applyBorder="1" applyAlignment="1" applyProtection="1">
      <alignment horizontal="center" vertical="top"/>
      <protection locked="0"/>
    </xf>
    <xf numFmtId="179" fontId="29" fillId="0" borderId="93" xfId="8" applyNumberFormat="1" applyFont="1" applyFill="1" applyBorder="1" applyAlignment="1" applyProtection="1">
      <alignment horizontal="center" vertical="top"/>
      <protection locked="0"/>
    </xf>
    <xf numFmtId="1" fontId="29" fillId="0" borderId="93" xfId="8" applyNumberFormat="1" applyFont="1" applyFill="1" applyBorder="1" applyAlignment="1" applyProtection="1">
      <alignment horizontal="center" vertical="top"/>
      <protection locked="0"/>
    </xf>
    <xf numFmtId="14" fontId="29" fillId="0" borderId="93" xfId="8" applyNumberFormat="1" applyFont="1" applyFill="1" applyBorder="1" applyAlignment="1" applyProtection="1">
      <alignment horizontal="left" vertical="top"/>
      <protection locked="0"/>
    </xf>
    <xf numFmtId="10" fontId="29" fillId="0" borderId="93" xfId="9" applyNumberFormat="1" applyFont="1" applyFill="1" applyBorder="1" applyAlignment="1" applyProtection="1">
      <alignment horizontal="right" vertical="top" wrapText="1"/>
      <protection locked="0"/>
    </xf>
    <xf numFmtId="10" fontId="29" fillId="0" borderId="93" xfId="9" applyNumberFormat="1" applyFont="1" applyFill="1" applyBorder="1" applyAlignment="1" applyProtection="1">
      <alignment horizontal="right" vertical="top"/>
      <protection locked="0"/>
    </xf>
    <xf numFmtId="0" fontId="29" fillId="0" borderId="94" xfId="8" applyFont="1" applyFill="1" applyBorder="1" applyAlignment="1" applyProtection="1">
      <alignment horizontal="left" vertical="center"/>
      <protection locked="0"/>
    </xf>
    <xf numFmtId="0" fontId="29" fillId="0" borderId="95" xfId="8" applyFont="1" applyFill="1" applyBorder="1" applyAlignment="1" applyProtection="1">
      <alignment vertical="top"/>
      <protection locked="0"/>
    </xf>
    <xf numFmtId="0" fontId="29" fillId="0" borderId="95" xfId="8" applyFont="1" applyFill="1" applyBorder="1" applyAlignment="1" applyProtection="1">
      <alignment horizontal="right" vertical="top"/>
      <protection locked="0"/>
    </xf>
    <xf numFmtId="0" fontId="29" fillId="0" borderId="95" xfId="8" applyFont="1" applyFill="1" applyBorder="1" applyAlignment="1" applyProtection="1">
      <alignment horizontal="left" vertical="top"/>
      <protection locked="0"/>
    </xf>
    <xf numFmtId="0" fontId="29" fillId="0" borderId="95" xfId="8" applyFont="1" applyFill="1" applyBorder="1" applyAlignment="1" applyProtection="1">
      <alignment horizontal="center" vertical="center"/>
      <protection locked="0"/>
    </xf>
    <xf numFmtId="14" fontId="29" fillId="0" borderId="95" xfId="8" applyNumberFormat="1" applyFont="1" applyFill="1" applyBorder="1" applyAlignment="1" applyProtection="1">
      <alignment horizontal="center" vertical="top"/>
      <protection locked="0"/>
    </xf>
    <xf numFmtId="178" fontId="29" fillId="0" borderId="95" xfId="8" applyNumberFormat="1" applyFont="1" applyFill="1" applyBorder="1" applyAlignment="1" applyProtection="1">
      <alignment horizontal="center" vertical="top"/>
      <protection locked="0"/>
    </xf>
    <xf numFmtId="179" fontId="29" fillId="0" borderId="95" xfId="8" applyNumberFormat="1" applyFont="1" applyFill="1" applyBorder="1" applyAlignment="1" applyProtection="1">
      <alignment horizontal="center" vertical="top"/>
      <protection locked="0"/>
    </xf>
    <xf numFmtId="1" fontId="29" fillId="0" borderId="95" xfId="8" applyNumberFormat="1" applyFont="1" applyFill="1" applyBorder="1" applyAlignment="1" applyProtection="1">
      <alignment horizontal="center" vertical="top"/>
      <protection locked="0"/>
    </xf>
    <xf numFmtId="0" fontId="29" fillId="0" borderId="95" xfId="8" applyNumberFormat="1" applyFont="1" applyFill="1" applyBorder="1" applyAlignment="1" applyProtection="1">
      <alignment horizontal="center" vertical="top"/>
      <protection locked="0"/>
    </xf>
    <xf numFmtId="14" fontId="29" fillId="0" borderId="95" xfId="8" applyNumberFormat="1" applyFont="1" applyFill="1" applyBorder="1" applyAlignment="1" applyProtection="1">
      <alignment horizontal="left" vertical="top"/>
      <protection locked="0"/>
    </xf>
    <xf numFmtId="10" fontId="29" fillId="0" borderId="95" xfId="9" applyNumberFormat="1" applyFont="1" applyFill="1" applyBorder="1" applyAlignment="1" applyProtection="1">
      <alignment horizontal="right" vertical="top" wrapText="1"/>
      <protection locked="0"/>
    </xf>
    <xf numFmtId="10" fontId="29" fillId="0" borderId="95" xfId="9" applyNumberFormat="1" applyFont="1" applyFill="1" applyBorder="1" applyAlignment="1" applyProtection="1">
      <alignment horizontal="right" vertical="top"/>
      <protection locked="0"/>
    </xf>
    <xf numFmtId="0" fontId="11" fillId="9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3" fillId="9" borderId="10" xfId="0" applyFont="1" applyFill="1" applyBorder="1" applyAlignment="1">
      <alignment horizontal="left" vertical="center" wrapText="1"/>
    </xf>
    <xf numFmtId="0" fontId="23" fillId="0" borderId="1" xfId="5" applyFont="1" applyBorder="1" applyAlignment="1">
      <alignment horizontal="left" vertical="center" wrapText="1"/>
    </xf>
    <xf numFmtId="0" fontId="23" fillId="0" borderId="1" xfId="5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4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4" fillId="0" borderId="75" xfId="1" applyFont="1" applyBorder="1" applyAlignment="1">
      <alignment horizontal="center" vertical="center" wrapText="1"/>
    </xf>
    <xf numFmtId="0" fontId="34" fillId="0" borderId="76" xfId="1" applyFont="1" applyBorder="1" applyAlignment="1">
      <alignment horizontal="center" vertical="center" wrapText="1"/>
    </xf>
    <xf numFmtId="0" fontId="34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5" fillId="15" borderId="87" xfId="6" applyFont="1" applyFill="1" applyBorder="1" applyAlignment="1">
      <alignment horizontal="left" vertical="center" wrapText="1"/>
    </xf>
    <xf numFmtId="0" fontId="65" fillId="15" borderId="87" xfId="6" applyFont="1" applyFill="1" applyBorder="1" applyAlignment="1">
      <alignment horizontal="left" vertical="center"/>
    </xf>
    <xf numFmtId="0" fontId="65" fillId="15" borderId="88" xfId="6" applyFont="1" applyFill="1" applyBorder="1" applyAlignment="1">
      <alignment horizontal="left" vertical="center"/>
    </xf>
    <xf numFmtId="14" fontId="35" fillId="16" borderId="84" xfId="8" applyNumberFormat="1" applyFont="1" applyFill="1" applyBorder="1" applyAlignment="1" applyProtection="1">
      <alignment horizontal="center" vertical="center"/>
    </xf>
    <xf numFmtId="14" fontId="35" fillId="17" borderId="84" xfId="8" applyNumberFormat="1" applyFont="1" applyFill="1" applyBorder="1" applyAlignment="1" applyProtection="1">
      <alignment horizontal="center" vertical="center"/>
    </xf>
    <xf numFmtId="0" fontId="35" fillId="16" borderId="84" xfId="8" applyFont="1" applyFill="1" applyBorder="1" applyAlignment="1" applyProtection="1">
      <alignment horizontal="center" vertical="center"/>
    </xf>
    <xf numFmtId="0" fontId="35" fillId="17" borderId="84" xfId="8" applyFont="1" applyFill="1" applyBorder="1" applyAlignment="1" applyProtection="1">
      <alignment horizontal="center" vertical="center"/>
    </xf>
    <xf numFmtId="10" fontId="35" fillId="15" borderId="84" xfId="9" applyNumberFormat="1" applyFont="1" applyFill="1" applyBorder="1" applyAlignment="1" applyProtection="1">
      <alignment horizontal="center" vertical="center" wrapText="1"/>
    </xf>
    <xf numFmtId="10" fontId="35" fillId="17" borderId="84" xfId="9" applyNumberFormat="1" applyFont="1" applyFill="1" applyBorder="1" applyAlignment="1" applyProtection="1">
      <alignment horizontal="center" vertical="center" wrapText="1"/>
    </xf>
    <xf numFmtId="10" fontId="35" fillId="16" borderId="85" xfId="9" applyNumberFormat="1" applyFont="1" applyFill="1" applyBorder="1" applyAlignment="1" applyProtection="1">
      <alignment horizontal="center" vertical="center" wrapText="1"/>
    </xf>
    <xf numFmtId="10" fontId="35" fillId="17" borderId="85" xfId="9" applyNumberFormat="1" applyFont="1" applyFill="1" applyBorder="1" applyAlignment="1" applyProtection="1">
      <alignment horizontal="center" vertical="center" wrapText="1"/>
    </xf>
    <xf numFmtId="0" fontId="65" fillId="15" borderId="86" xfId="6" applyFont="1" applyFill="1" applyBorder="1" applyAlignment="1">
      <alignment horizontal="left" vertical="center" wrapText="1"/>
    </xf>
    <xf numFmtId="176" fontId="35" fillId="16" borderId="84" xfId="8" applyNumberFormat="1" applyFont="1" applyFill="1" applyBorder="1" applyAlignment="1" applyProtection="1">
      <alignment horizontal="center" vertical="center"/>
    </xf>
    <xf numFmtId="176" fontId="35" fillId="17" borderId="84" xfId="8" applyNumberFormat="1" applyFont="1" applyFill="1" applyBorder="1" applyAlignment="1" applyProtection="1">
      <alignment horizontal="center" vertical="center"/>
    </xf>
    <xf numFmtId="0" fontId="35" fillId="16" borderId="84" xfId="8" applyNumberFormat="1" applyFont="1" applyFill="1" applyBorder="1" applyAlignment="1" applyProtection="1">
      <alignment horizontal="center" vertical="center"/>
    </xf>
    <xf numFmtId="0" fontId="35" fillId="17" borderId="84" xfId="8" applyNumberFormat="1" applyFont="1" applyFill="1" applyBorder="1" applyAlignment="1" applyProtection="1">
      <alignment horizontal="center" vertical="center"/>
    </xf>
    <xf numFmtId="178" fontId="35" fillId="15" borderId="84" xfId="8" applyNumberFormat="1" applyFont="1" applyFill="1" applyBorder="1" applyAlignment="1" applyProtection="1">
      <alignment horizontal="center" vertical="center" wrapText="1"/>
    </xf>
    <xf numFmtId="178" fontId="35" fillId="17" borderId="84" xfId="8" applyNumberFormat="1" applyFont="1" applyFill="1" applyBorder="1" applyAlignment="1" applyProtection="1">
      <alignment horizontal="center" vertical="center" wrapText="1"/>
    </xf>
    <xf numFmtId="178" fontId="35" fillId="15" borderId="84" xfId="8" applyNumberFormat="1" applyFont="1" applyFill="1" applyBorder="1" applyAlignment="1" applyProtection="1">
      <alignment horizontal="center" vertical="top" wrapText="1"/>
    </xf>
    <xf numFmtId="178" fontId="35" fillId="17" borderId="84" xfId="8" applyNumberFormat="1" applyFont="1" applyFill="1" applyBorder="1" applyAlignment="1" applyProtection="1">
      <alignment horizontal="center" vertical="top" wrapText="1"/>
    </xf>
    <xf numFmtId="14" fontId="35" fillId="16" borderId="84" xfId="8" applyNumberFormat="1" applyFont="1" applyFill="1" applyBorder="1" applyAlignment="1" applyProtection="1">
      <alignment horizontal="center" vertical="center" wrapText="1"/>
    </xf>
    <xf numFmtId="179" fontId="35" fillId="15" borderId="84" xfId="8" applyNumberFormat="1" applyFont="1" applyFill="1" applyBorder="1" applyAlignment="1" applyProtection="1">
      <alignment horizontal="center" vertical="center" wrapText="1"/>
    </xf>
    <xf numFmtId="179" fontId="35" fillId="17" borderId="84" xfId="8" applyNumberFormat="1" applyFont="1" applyFill="1" applyBorder="1" applyAlignment="1" applyProtection="1">
      <alignment horizontal="center" vertical="center" wrapText="1"/>
    </xf>
    <xf numFmtId="1" fontId="35" fillId="15" borderId="84" xfId="8" applyNumberFormat="1" applyFont="1" applyFill="1" applyBorder="1" applyAlignment="1" applyProtection="1">
      <alignment horizontal="center" vertical="center" wrapText="1"/>
    </xf>
    <xf numFmtId="1" fontId="35" fillId="17" borderId="84" xfId="8" applyNumberFormat="1" applyFont="1" applyFill="1" applyBorder="1" applyAlignment="1" applyProtection="1">
      <alignment horizontal="center" vertical="center" wrapText="1"/>
    </xf>
    <xf numFmtId="0" fontId="64" fillId="13" borderId="0" xfId="6" applyFont="1" applyFill="1" applyBorder="1" applyAlignment="1">
      <alignment horizontal="left" vertical="center"/>
    </xf>
    <xf numFmtId="0" fontId="35" fillId="14" borderId="83" xfId="8" applyFont="1" applyFill="1" applyBorder="1" applyAlignment="1" applyProtection="1">
      <alignment horizontal="center" vertical="center" wrapText="1"/>
    </xf>
    <xf numFmtId="0" fontId="35" fillId="14" borderId="0" xfId="8" applyFont="1" applyFill="1" applyBorder="1" applyAlignment="1" applyProtection="1">
      <alignment horizontal="center" vertical="center" wrapText="1"/>
    </xf>
    <xf numFmtId="0" fontId="35" fillId="14" borderId="84" xfId="8" applyFont="1" applyFill="1" applyBorder="1" applyAlignment="1" applyProtection="1">
      <alignment horizontal="center" vertical="center"/>
    </xf>
    <xf numFmtId="0" fontId="35" fillId="14" borderId="9" xfId="8" applyFont="1" applyFill="1" applyBorder="1" applyAlignment="1" applyProtection="1">
      <alignment horizontal="center" vertical="center"/>
    </xf>
    <xf numFmtId="0" fontId="35" fillId="14" borderId="84" xfId="8" applyFont="1" applyFill="1" applyBorder="1" applyAlignment="1" applyProtection="1">
      <alignment horizontal="center" vertical="center" wrapText="1"/>
    </xf>
    <xf numFmtId="0" fontId="35" fillId="15" borderId="84" xfId="8" applyFont="1" applyFill="1" applyBorder="1" applyAlignment="1" applyProtection="1">
      <alignment horizontal="center" vertical="center"/>
    </xf>
    <xf numFmtId="0" fontId="35" fillId="16" borderId="85" xfId="8" applyFont="1" applyFill="1" applyBorder="1" applyAlignment="1" applyProtection="1">
      <alignment horizontal="center" vertical="center"/>
    </xf>
    <xf numFmtId="0" fontId="35" fillId="17" borderId="0" xfId="8" applyFont="1" applyFill="1" applyBorder="1" applyAlignment="1" applyProtection="1">
      <alignment horizontal="center" vertical="center"/>
    </xf>
    <xf numFmtId="0" fontId="35" fillId="17" borderId="85" xfId="8" applyFont="1" applyFill="1" applyBorder="1" applyAlignment="1" applyProtection="1">
      <alignment horizontal="center" vertical="center"/>
    </xf>
    <xf numFmtId="0" fontId="32" fillId="13" borderId="0" xfId="6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7" fillId="8" borderId="5" xfId="1" applyFont="1" applyFill="1" applyBorder="1" applyAlignment="1">
      <alignment horizontal="center" vertical="center"/>
    </xf>
    <xf numFmtId="0" fontId="47" fillId="8" borderId="6" xfId="1" applyFont="1" applyFill="1" applyBorder="1" applyAlignment="1">
      <alignment horizontal="center" vertical="center"/>
    </xf>
    <xf numFmtId="0" fontId="47" fillId="0" borderId="5" xfId="1" applyFont="1" applyFill="1" applyBorder="1" applyAlignment="1">
      <alignment horizontal="center" vertical="center"/>
    </xf>
    <xf numFmtId="0" fontId="47" fillId="0" borderId="7" xfId="1" applyFont="1" applyFill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/>
    </xf>
    <xf numFmtId="0" fontId="47" fillId="8" borderId="2" xfId="1" applyFont="1" applyFill="1" applyBorder="1" applyAlignment="1">
      <alignment horizontal="center" vertical="center" wrapText="1"/>
    </xf>
    <xf numFmtId="0" fontId="47" fillId="8" borderId="3" xfId="1" applyFont="1" applyFill="1" applyBorder="1" applyAlignment="1">
      <alignment horizontal="center" vertical="center" wrapText="1"/>
    </xf>
    <xf numFmtId="0" fontId="47" fillId="8" borderId="33" xfId="1" applyFont="1" applyFill="1" applyBorder="1" applyAlignment="1">
      <alignment horizontal="center" vertical="center" wrapText="1"/>
    </xf>
    <xf numFmtId="0" fontId="47" fillId="8" borderId="4" xfId="1" applyFont="1" applyFill="1" applyBorder="1" applyAlignment="1">
      <alignment horizontal="center" vertical="center" wrapText="1"/>
    </xf>
    <xf numFmtId="0" fontId="47" fillId="8" borderId="0" xfId="1" applyFont="1" applyFill="1" applyBorder="1" applyAlignment="1">
      <alignment horizontal="center" vertical="center" wrapText="1"/>
    </xf>
    <xf numFmtId="0" fontId="47" fillId="8" borderId="38" xfId="1" applyFont="1" applyFill="1" applyBorder="1" applyAlignment="1">
      <alignment horizontal="center" vertical="center" wrapText="1"/>
    </xf>
    <xf numFmtId="0" fontId="47" fillId="8" borderId="51" xfId="1" applyFont="1" applyFill="1" applyBorder="1" applyAlignment="1">
      <alignment horizontal="center" vertical="center" wrapText="1"/>
    </xf>
    <xf numFmtId="0" fontId="47" fillId="8" borderId="52" xfId="1" applyFont="1" applyFill="1" applyBorder="1" applyAlignment="1">
      <alignment horizontal="center" vertical="center" wrapText="1"/>
    </xf>
    <xf numFmtId="0" fontId="47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11">
    <cellStyle name="강조색5 2" xfId="6"/>
    <cellStyle name="백분율 2" xfId="9"/>
    <cellStyle name="백분율 3" xfId="10"/>
    <cellStyle name="표준" xfId="0" builtinId="0"/>
    <cellStyle name="표준 16" xfId="4"/>
    <cellStyle name="표준 2" xfId="3"/>
    <cellStyle name="표준 2 2" xfId="1"/>
    <cellStyle name="표준 2 2 2" xfId="8"/>
    <cellStyle name="표준 3" xfId="5"/>
    <cellStyle name="표준 8" xfId="2"/>
    <cellStyle name="하이퍼링크" xfId="7" builtinId="8"/>
  </cellStyles>
  <dxfs count="2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3822">
          <a:extLst>
            <a:ext uri="{FF2B5EF4-FFF2-40B4-BE49-F238E27FC236}">
              <a16:creationId xmlns:a16="http://schemas.microsoft.com/office/drawing/2014/main" id="{001A3C5A-D18D-48E4-ABB8-72C6A2CAA0A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007">
          <a:extLst>
            <a:ext uri="{FF2B5EF4-FFF2-40B4-BE49-F238E27FC236}">
              <a16:creationId xmlns:a16="http://schemas.microsoft.com/office/drawing/2014/main" id="{4F5D8845-CA7E-497E-A8F4-40FA27ABE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23032">
          <a:extLst>
            <a:ext uri="{FF2B5EF4-FFF2-40B4-BE49-F238E27FC236}">
              <a16:creationId xmlns:a16="http://schemas.microsoft.com/office/drawing/2014/main" id="{F2A0302E-BED7-45C3-B1F1-8D894C0958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23037">
          <a:extLst>
            <a:ext uri="{FF2B5EF4-FFF2-40B4-BE49-F238E27FC236}">
              <a16:creationId xmlns:a16="http://schemas.microsoft.com/office/drawing/2014/main" id="{AE75C788-8D0C-40F2-9A8D-C17329F8B6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761999</xdr:colOff>
      <xdr:row>3</xdr:row>
      <xdr:rowOff>76073</xdr:rowOff>
    </xdr:from>
    <xdr:to>
      <xdr:col>47</xdr:col>
      <xdr:colOff>761999</xdr:colOff>
      <xdr:row>322</xdr:row>
      <xdr:rowOff>190499</xdr:rowOff>
    </xdr:to>
    <xdr:cxnSp macro="">
      <xdr:nvCxnSpPr>
        <xdr:cNvPr id="6" name="직선 화살표 연결선 5"/>
        <xdr:cNvCxnSpPr/>
      </xdr:nvCxnSpPr>
      <xdr:spPr>
        <a:xfrm>
          <a:off x="13380719" y="754253"/>
          <a:ext cx="0" cy="60769626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761999</xdr:colOff>
      <xdr:row>3</xdr:row>
      <xdr:rowOff>76073</xdr:rowOff>
    </xdr:from>
    <xdr:to>
      <xdr:col>63</xdr:col>
      <xdr:colOff>761999</xdr:colOff>
      <xdr:row>322</xdr:row>
      <xdr:rowOff>190499</xdr:rowOff>
    </xdr:to>
    <xdr:cxnSp macro="">
      <xdr:nvCxnSpPr>
        <xdr:cNvPr id="7" name="직선 화살표 연결선 6"/>
        <xdr:cNvCxnSpPr/>
      </xdr:nvCxnSpPr>
      <xdr:spPr>
        <a:xfrm>
          <a:off x="15697199" y="754253"/>
          <a:ext cx="0" cy="60769626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761999</xdr:colOff>
      <xdr:row>3</xdr:row>
      <xdr:rowOff>76073</xdr:rowOff>
    </xdr:from>
    <xdr:to>
      <xdr:col>79</xdr:col>
      <xdr:colOff>761999</xdr:colOff>
      <xdr:row>322</xdr:row>
      <xdr:rowOff>190499</xdr:rowOff>
    </xdr:to>
    <xdr:cxnSp macro="">
      <xdr:nvCxnSpPr>
        <xdr:cNvPr id="8" name="직선 화살표 연결선 7"/>
        <xdr:cNvCxnSpPr/>
      </xdr:nvCxnSpPr>
      <xdr:spPr>
        <a:xfrm>
          <a:off x="18013679" y="754253"/>
          <a:ext cx="0" cy="60769626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82731</xdr:colOff>
      <xdr:row>3</xdr:row>
      <xdr:rowOff>76073</xdr:rowOff>
    </xdr:from>
    <xdr:to>
      <xdr:col>43</xdr:col>
      <xdr:colOff>82731</xdr:colOff>
      <xdr:row>322</xdr:row>
      <xdr:rowOff>190499</xdr:rowOff>
    </xdr:to>
    <xdr:cxnSp macro="">
      <xdr:nvCxnSpPr>
        <xdr:cNvPr id="9" name="직선 화살표 연결선 8"/>
        <xdr:cNvCxnSpPr/>
      </xdr:nvCxnSpPr>
      <xdr:spPr>
        <a:xfrm>
          <a:off x="12739551" y="754253"/>
          <a:ext cx="0" cy="60769626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20682</xdr:colOff>
      <xdr:row>322</xdr:row>
      <xdr:rowOff>38099</xdr:rowOff>
    </xdr:from>
    <xdr:to>
      <xdr:col>91</xdr:col>
      <xdr:colOff>125367</xdr:colOff>
      <xdr:row>322</xdr:row>
      <xdr:rowOff>152399</xdr:rowOff>
    </xdr:to>
    <xdr:sp macro="" textlink="">
      <xdr:nvSpPr>
        <xdr:cNvPr id="10" name="319"/>
        <xdr:cNvSpPr/>
      </xdr:nvSpPr>
      <xdr:spPr>
        <a:xfrm>
          <a:off x="19192602" y="61371479"/>
          <a:ext cx="5390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20682</xdr:colOff>
      <xdr:row>322</xdr:row>
      <xdr:rowOff>95249</xdr:rowOff>
    </xdr:from>
    <xdr:to>
      <xdr:col>88</xdr:col>
      <xdr:colOff>20682</xdr:colOff>
      <xdr:row>322</xdr:row>
      <xdr:rowOff>95249</xdr:rowOff>
    </xdr:to>
    <xdr:cxnSp macro="">
      <xdr:nvCxnSpPr>
        <xdr:cNvPr id="11" name="직선 화살표 연결선 10"/>
        <xdr:cNvCxnSpPr/>
      </xdr:nvCxnSpPr>
      <xdr:spPr>
        <a:xfrm>
          <a:off x="19192602" y="6142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321</xdr:row>
      <xdr:rowOff>38099</xdr:rowOff>
    </xdr:from>
    <xdr:to>
      <xdr:col>89</xdr:col>
      <xdr:colOff>1270</xdr:colOff>
      <xdr:row>321</xdr:row>
      <xdr:rowOff>152399</xdr:rowOff>
    </xdr:to>
    <xdr:sp macro="" textlink="">
      <xdr:nvSpPr>
        <xdr:cNvPr id="12" name="318"/>
        <xdr:cNvSpPr/>
      </xdr:nvSpPr>
      <xdr:spPr>
        <a:xfrm>
          <a:off x="18861677" y="611809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321</xdr:row>
      <xdr:rowOff>95249</xdr:rowOff>
    </xdr:from>
    <xdr:to>
      <xdr:col>85</xdr:col>
      <xdr:colOff>124097</xdr:colOff>
      <xdr:row>321</xdr:row>
      <xdr:rowOff>95249</xdr:rowOff>
    </xdr:to>
    <xdr:cxnSp macro="">
      <xdr:nvCxnSpPr>
        <xdr:cNvPr id="13" name="직선 화살표 연결선 12"/>
        <xdr:cNvCxnSpPr/>
      </xdr:nvCxnSpPr>
      <xdr:spPr>
        <a:xfrm>
          <a:off x="18861677" y="6123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82732</xdr:colOff>
      <xdr:row>320</xdr:row>
      <xdr:rowOff>38099</xdr:rowOff>
    </xdr:from>
    <xdr:to>
      <xdr:col>86</xdr:col>
      <xdr:colOff>1270</xdr:colOff>
      <xdr:row>320</xdr:row>
      <xdr:rowOff>152399</xdr:rowOff>
    </xdr:to>
    <xdr:sp macro="" textlink="">
      <xdr:nvSpPr>
        <xdr:cNvPr id="14" name="317"/>
        <xdr:cNvSpPr/>
      </xdr:nvSpPr>
      <xdr:spPr>
        <a:xfrm>
          <a:off x="18241192" y="60990479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82732</xdr:colOff>
      <xdr:row>320</xdr:row>
      <xdr:rowOff>95249</xdr:rowOff>
    </xdr:from>
    <xdr:to>
      <xdr:col>81</xdr:col>
      <xdr:colOff>82732</xdr:colOff>
      <xdr:row>320</xdr:row>
      <xdr:rowOff>95249</xdr:rowOff>
    </xdr:to>
    <xdr:cxnSp macro="">
      <xdr:nvCxnSpPr>
        <xdr:cNvPr id="15" name="직선 화살표 연결선 14"/>
        <xdr:cNvCxnSpPr/>
      </xdr:nvCxnSpPr>
      <xdr:spPr>
        <a:xfrm>
          <a:off x="18241192" y="6104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82732</xdr:colOff>
      <xdr:row>319</xdr:row>
      <xdr:rowOff>38099</xdr:rowOff>
    </xdr:from>
    <xdr:to>
      <xdr:col>91</xdr:col>
      <xdr:colOff>125367</xdr:colOff>
      <xdr:row>319</xdr:row>
      <xdr:rowOff>152399</xdr:rowOff>
    </xdr:to>
    <xdr:sp macro="" textlink="">
      <xdr:nvSpPr>
        <xdr:cNvPr id="16" name="316"/>
        <xdr:cNvSpPr/>
      </xdr:nvSpPr>
      <xdr:spPr>
        <a:xfrm>
          <a:off x="18241192" y="60799979"/>
          <a:ext cx="149043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82732</xdr:colOff>
      <xdr:row>319</xdr:row>
      <xdr:rowOff>95249</xdr:rowOff>
    </xdr:from>
    <xdr:to>
      <xdr:col>81</xdr:col>
      <xdr:colOff>82732</xdr:colOff>
      <xdr:row>319</xdr:row>
      <xdr:rowOff>95249</xdr:rowOff>
    </xdr:to>
    <xdr:cxnSp macro="">
      <xdr:nvCxnSpPr>
        <xdr:cNvPr id="17" name="직선 화살표 연결선 16"/>
        <xdr:cNvCxnSpPr/>
      </xdr:nvCxnSpPr>
      <xdr:spPr>
        <a:xfrm>
          <a:off x="18241192" y="6085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82732</xdr:colOff>
      <xdr:row>318</xdr:row>
      <xdr:rowOff>38099</xdr:rowOff>
    </xdr:from>
    <xdr:to>
      <xdr:col>91</xdr:col>
      <xdr:colOff>125367</xdr:colOff>
      <xdr:row>318</xdr:row>
      <xdr:rowOff>152399</xdr:rowOff>
    </xdr:to>
    <xdr:sp macro="" textlink="">
      <xdr:nvSpPr>
        <xdr:cNvPr id="18" name="315"/>
        <xdr:cNvSpPr/>
      </xdr:nvSpPr>
      <xdr:spPr>
        <a:xfrm>
          <a:off x="18241192" y="60609479"/>
          <a:ext cx="149043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82732</xdr:colOff>
      <xdr:row>318</xdr:row>
      <xdr:rowOff>95249</xdr:rowOff>
    </xdr:from>
    <xdr:to>
      <xdr:col>81</xdr:col>
      <xdr:colOff>82732</xdr:colOff>
      <xdr:row>318</xdr:row>
      <xdr:rowOff>95249</xdr:rowOff>
    </xdr:to>
    <xdr:cxnSp macro="">
      <xdr:nvCxnSpPr>
        <xdr:cNvPr id="19" name="직선 화살표 연결선 18"/>
        <xdr:cNvCxnSpPr/>
      </xdr:nvCxnSpPr>
      <xdr:spPr>
        <a:xfrm>
          <a:off x="18241192" y="6066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317</xdr:row>
      <xdr:rowOff>38099</xdr:rowOff>
    </xdr:from>
    <xdr:to>
      <xdr:col>82</xdr:col>
      <xdr:colOff>42636</xdr:colOff>
      <xdr:row>317</xdr:row>
      <xdr:rowOff>152399</xdr:rowOff>
    </xdr:to>
    <xdr:sp macro="" textlink="">
      <xdr:nvSpPr>
        <xdr:cNvPr id="20" name="314"/>
        <xdr:cNvSpPr/>
      </xdr:nvSpPr>
      <xdr:spPr>
        <a:xfrm>
          <a:off x="18013680" y="60418979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317</xdr:row>
      <xdr:rowOff>95249</xdr:rowOff>
    </xdr:from>
    <xdr:to>
      <xdr:col>80</xdr:col>
      <xdr:colOff>0</xdr:colOff>
      <xdr:row>317</xdr:row>
      <xdr:rowOff>95249</xdr:rowOff>
    </xdr:to>
    <xdr:cxnSp macro="">
      <xdr:nvCxnSpPr>
        <xdr:cNvPr id="21" name="직선 화살표 연결선 20"/>
        <xdr:cNvCxnSpPr/>
      </xdr:nvCxnSpPr>
      <xdr:spPr>
        <a:xfrm>
          <a:off x="18013680" y="6047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316</xdr:row>
      <xdr:rowOff>38099</xdr:rowOff>
    </xdr:from>
    <xdr:to>
      <xdr:col>80</xdr:col>
      <xdr:colOff>1270</xdr:colOff>
      <xdr:row>316</xdr:row>
      <xdr:rowOff>152399</xdr:rowOff>
    </xdr:to>
    <xdr:sp macro="" textlink="">
      <xdr:nvSpPr>
        <xdr:cNvPr id="22" name="313"/>
        <xdr:cNvSpPr/>
      </xdr:nvSpPr>
      <xdr:spPr>
        <a:xfrm>
          <a:off x="17682755" y="60228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316</xdr:row>
      <xdr:rowOff>95249</xdr:rowOff>
    </xdr:from>
    <xdr:to>
      <xdr:col>77</xdr:col>
      <xdr:colOff>103415</xdr:colOff>
      <xdr:row>316</xdr:row>
      <xdr:rowOff>95249</xdr:rowOff>
    </xdr:to>
    <xdr:cxnSp macro="">
      <xdr:nvCxnSpPr>
        <xdr:cNvPr id="23" name="직선 화살표 연결선 22"/>
        <xdr:cNvCxnSpPr/>
      </xdr:nvCxnSpPr>
      <xdr:spPr>
        <a:xfrm>
          <a:off x="17682755" y="6028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315</xdr:row>
      <xdr:rowOff>38099</xdr:rowOff>
    </xdr:from>
    <xdr:to>
      <xdr:col>78</xdr:col>
      <xdr:colOff>125367</xdr:colOff>
      <xdr:row>315</xdr:row>
      <xdr:rowOff>152399</xdr:rowOff>
    </xdr:to>
    <xdr:sp macro="" textlink="">
      <xdr:nvSpPr>
        <xdr:cNvPr id="24" name="312"/>
        <xdr:cNvSpPr/>
      </xdr:nvSpPr>
      <xdr:spPr>
        <a:xfrm>
          <a:off x="17227731" y="60037979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315</xdr:row>
      <xdr:rowOff>95249</xdr:rowOff>
    </xdr:from>
    <xdr:to>
      <xdr:col>74</xdr:col>
      <xdr:colOff>82731</xdr:colOff>
      <xdr:row>315</xdr:row>
      <xdr:rowOff>95249</xdr:rowOff>
    </xdr:to>
    <xdr:cxnSp macro="">
      <xdr:nvCxnSpPr>
        <xdr:cNvPr id="25" name="직선 화살표 연결선 24"/>
        <xdr:cNvCxnSpPr/>
      </xdr:nvCxnSpPr>
      <xdr:spPr>
        <a:xfrm>
          <a:off x="17227731" y="6009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314</xdr:row>
      <xdr:rowOff>38099</xdr:rowOff>
    </xdr:from>
    <xdr:to>
      <xdr:col>82</xdr:col>
      <xdr:colOff>42636</xdr:colOff>
      <xdr:row>314</xdr:row>
      <xdr:rowOff>152399</xdr:rowOff>
    </xdr:to>
    <xdr:sp macro="" textlink="">
      <xdr:nvSpPr>
        <xdr:cNvPr id="26" name="311"/>
        <xdr:cNvSpPr/>
      </xdr:nvSpPr>
      <xdr:spPr>
        <a:xfrm>
          <a:off x="17227731" y="59847479"/>
          <a:ext cx="111814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314</xdr:row>
      <xdr:rowOff>95249</xdr:rowOff>
    </xdr:from>
    <xdr:to>
      <xdr:col>74</xdr:col>
      <xdr:colOff>82731</xdr:colOff>
      <xdr:row>314</xdr:row>
      <xdr:rowOff>95249</xdr:rowOff>
    </xdr:to>
    <xdr:cxnSp macro="">
      <xdr:nvCxnSpPr>
        <xdr:cNvPr id="27" name="직선 화살표 연결선 26"/>
        <xdr:cNvCxnSpPr/>
      </xdr:nvCxnSpPr>
      <xdr:spPr>
        <a:xfrm>
          <a:off x="17227731" y="5990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124097</xdr:colOff>
      <xdr:row>313</xdr:row>
      <xdr:rowOff>38099</xdr:rowOff>
    </xdr:from>
    <xdr:to>
      <xdr:col>80</xdr:col>
      <xdr:colOff>21952</xdr:colOff>
      <xdr:row>313</xdr:row>
      <xdr:rowOff>152399</xdr:rowOff>
    </xdr:to>
    <xdr:sp macro="" textlink="">
      <xdr:nvSpPr>
        <xdr:cNvPr id="28" name="310"/>
        <xdr:cNvSpPr/>
      </xdr:nvSpPr>
      <xdr:spPr>
        <a:xfrm>
          <a:off x="17703437" y="59656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124097</xdr:colOff>
      <xdr:row>313</xdr:row>
      <xdr:rowOff>95249</xdr:rowOff>
    </xdr:from>
    <xdr:to>
      <xdr:col>77</xdr:col>
      <xdr:colOff>124097</xdr:colOff>
      <xdr:row>313</xdr:row>
      <xdr:rowOff>95249</xdr:rowOff>
    </xdr:to>
    <xdr:cxnSp macro="">
      <xdr:nvCxnSpPr>
        <xdr:cNvPr id="29" name="직선 화살표 연결선 28"/>
        <xdr:cNvCxnSpPr/>
      </xdr:nvCxnSpPr>
      <xdr:spPr>
        <a:xfrm>
          <a:off x="17703437" y="5971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82732</xdr:colOff>
      <xdr:row>312</xdr:row>
      <xdr:rowOff>38099</xdr:rowOff>
    </xdr:from>
    <xdr:to>
      <xdr:col>77</xdr:col>
      <xdr:colOff>125367</xdr:colOff>
      <xdr:row>312</xdr:row>
      <xdr:rowOff>152399</xdr:rowOff>
    </xdr:to>
    <xdr:sp macro="" textlink="">
      <xdr:nvSpPr>
        <xdr:cNvPr id="30" name="309"/>
        <xdr:cNvSpPr/>
      </xdr:nvSpPr>
      <xdr:spPr>
        <a:xfrm>
          <a:off x="17372512" y="59466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82732</xdr:colOff>
      <xdr:row>312</xdr:row>
      <xdr:rowOff>95249</xdr:rowOff>
    </xdr:from>
    <xdr:to>
      <xdr:col>75</xdr:col>
      <xdr:colOff>82732</xdr:colOff>
      <xdr:row>312</xdr:row>
      <xdr:rowOff>95249</xdr:rowOff>
    </xdr:to>
    <xdr:cxnSp macro="">
      <xdr:nvCxnSpPr>
        <xdr:cNvPr id="31" name="직선 화살표 연결선 30"/>
        <xdr:cNvCxnSpPr/>
      </xdr:nvCxnSpPr>
      <xdr:spPr>
        <a:xfrm>
          <a:off x="17372512" y="5952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311</xdr:row>
      <xdr:rowOff>38099</xdr:rowOff>
    </xdr:from>
    <xdr:to>
      <xdr:col>76</xdr:col>
      <xdr:colOff>104684</xdr:colOff>
      <xdr:row>311</xdr:row>
      <xdr:rowOff>152399</xdr:rowOff>
    </xdr:to>
    <xdr:sp macro="" textlink="">
      <xdr:nvSpPr>
        <xdr:cNvPr id="32" name="308"/>
        <xdr:cNvSpPr/>
      </xdr:nvSpPr>
      <xdr:spPr>
        <a:xfrm>
          <a:off x="16917488" y="59275979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311</xdr:row>
      <xdr:rowOff>95249</xdr:rowOff>
    </xdr:from>
    <xdr:to>
      <xdr:col>72</xdr:col>
      <xdr:colOff>62048</xdr:colOff>
      <xdr:row>311</xdr:row>
      <xdr:rowOff>95249</xdr:rowOff>
    </xdr:to>
    <xdr:cxnSp macro="">
      <xdr:nvCxnSpPr>
        <xdr:cNvPr id="33" name="직선 화살표 연결선 32"/>
        <xdr:cNvCxnSpPr/>
      </xdr:nvCxnSpPr>
      <xdr:spPr>
        <a:xfrm>
          <a:off x="16917488" y="5933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310</xdr:row>
      <xdr:rowOff>38099</xdr:rowOff>
    </xdr:from>
    <xdr:to>
      <xdr:col>80</xdr:col>
      <xdr:colOff>21952</xdr:colOff>
      <xdr:row>310</xdr:row>
      <xdr:rowOff>152399</xdr:rowOff>
    </xdr:to>
    <xdr:sp macro="" textlink="">
      <xdr:nvSpPr>
        <xdr:cNvPr id="34" name="307"/>
        <xdr:cNvSpPr/>
      </xdr:nvSpPr>
      <xdr:spPr>
        <a:xfrm>
          <a:off x="16917488" y="59085479"/>
          <a:ext cx="111814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310</xdr:row>
      <xdr:rowOff>95249</xdr:rowOff>
    </xdr:from>
    <xdr:to>
      <xdr:col>72</xdr:col>
      <xdr:colOff>62048</xdr:colOff>
      <xdr:row>310</xdr:row>
      <xdr:rowOff>95249</xdr:rowOff>
    </xdr:to>
    <xdr:cxnSp macro="">
      <xdr:nvCxnSpPr>
        <xdr:cNvPr id="35" name="직선 화살표 연결선 34"/>
        <xdr:cNvCxnSpPr/>
      </xdr:nvCxnSpPr>
      <xdr:spPr>
        <a:xfrm>
          <a:off x="16917488" y="5914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309</xdr:row>
      <xdr:rowOff>38099</xdr:rowOff>
    </xdr:from>
    <xdr:to>
      <xdr:col>82</xdr:col>
      <xdr:colOff>42636</xdr:colOff>
      <xdr:row>309</xdr:row>
      <xdr:rowOff>152399</xdr:rowOff>
    </xdr:to>
    <xdr:sp macro="" textlink="">
      <xdr:nvSpPr>
        <xdr:cNvPr id="36" name="306"/>
        <xdr:cNvSpPr/>
      </xdr:nvSpPr>
      <xdr:spPr>
        <a:xfrm>
          <a:off x="16917488" y="58894979"/>
          <a:ext cx="142838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309</xdr:row>
      <xdr:rowOff>95249</xdr:rowOff>
    </xdr:from>
    <xdr:to>
      <xdr:col>72</xdr:col>
      <xdr:colOff>62048</xdr:colOff>
      <xdr:row>309</xdr:row>
      <xdr:rowOff>95249</xdr:rowOff>
    </xdr:to>
    <xdr:cxnSp macro="">
      <xdr:nvCxnSpPr>
        <xdr:cNvPr id="37" name="직선 화살표 연결선 36"/>
        <xdr:cNvCxnSpPr/>
      </xdr:nvCxnSpPr>
      <xdr:spPr>
        <a:xfrm>
          <a:off x="16917488" y="5895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103415</xdr:colOff>
      <xdr:row>308</xdr:row>
      <xdr:rowOff>38099</xdr:rowOff>
    </xdr:from>
    <xdr:to>
      <xdr:col>90</xdr:col>
      <xdr:colOff>1270</xdr:colOff>
      <xdr:row>308</xdr:row>
      <xdr:rowOff>152399</xdr:rowOff>
    </xdr:to>
    <xdr:sp macro="" textlink="">
      <xdr:nvSpPr>
        <xdr:cNvPr id="38" name="305"/>
        <xdr:cNvSpPr/>
      </xdr:nvSpPr>
      <xdr:spPr>
        <a:xfrm>
          <a:off x="19130555" y="58704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103415</xdr:colOff>
      <xdr:row>308</xdr:row>
      <xdr:rowOff>95249</xdr:rowOff>
    </xdr:from>
    <xdr:to>
      <xdr:col>87</xdr:col>
      <xdr:colOff>103415</xdr:colOff>
      <xdr:row>308</xdr:row>
      <xdr:rowOff>95249</xdr:rowOff>
    </xdr:to>
    <xdr:cxnSp macro="">
      <xdr:nvCxnSpPr>
        <xdr:cNvPr id="39" name="직선 화살표 연결선 38"/>
        <xdr:cNvCxnSpPr/>
      </xdr:nvCxnSpPr>
      <xdr:spPr>
        <a:xfrm>
          <a:off x="19130555" y="5876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82732</xdr:colOff>
      <xdr:row>307</xdr:row>
      <xdr:rowOff>38099</xdr:rowOff>
    </xdr:from>
    <xdr:to>
      <xdr:col>87</xdr:col>
      <xdr:colOff>125367</xdr:colOff>
      <xdr:row>307</xdr:row>
      <xdr:rowOff>152399</xdr:rowOff>
    </xdr:to>
    <xdr:sp macro="" textlink="">
      <xdr:nvSpPr>
        <xdr:cNvPr id="40" name="304"/>
        <xdr:cNvSpPr/>
      </xdr:nvSpPr>
      <xdr:spPr>
        <a:xfrm>
          <a:off x="18820312" y="58513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82732</xdr:colOff>
      <xdr:row>307</xdr:row>
      <xdr:rowOff>95249</xdr:rowOff>
    </xdr:from>
    <xdr:to>
      <xdr:col>85</xdr:col>
      <xdr:colOff>82732</xdr:colOff>
      <xdr:row>307</xdr:row>
      <xdr:rowOff>95249</xdr:rowOff>
    </xdr:to>
    <xdr:cxnSp macro="">
      <xdr:nvCxnSpPr>
        <xdr:cNvPr id="41" name="직선 화살표 연결선 40"/>
        <xdr:cNvCxnSpPr/>
      </xdr:nvCxnSpPr>
      <xdr:spPr>
        <a:xfrm>
          <a:off x="18820312" y="5857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82731</xdr:colOff>
      <xdr:row>306</xdr:row>
      <xdr:rowOff>38099</xdr:rowOff>
    </xdr:from>
    <xdr:to>
      <xdr:col>88</xdr:col>
      <xdr:colOff>104683</xdr:colOff>
      <xdr:row>306</xdr:row>
      <xdr:rowOff>152399</xdr:rowOff>
    </xdr:to>
    <xdr:sp macro="" textlink="">
      <xdr:nvSpPr>
        <xdr:cNvPr id="42" name="303"/>
        <xdr:cNvSpPr/>
      </xdr:nvSpPr>
      <xdr:spPr>
        <a:xfrm>
          <a:off x="18530751" y="58323479"/>
          <a:ext cx="7458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82731</xdr:colOff>
      <xdr:row>306</xdr:row>
      <xdr:rowOff>95249</xdr:rowOff>
    </xdr:from>
    <xdr:to>
      <xdr:col>83</xdr:col>
      <xdr:colOff>82731</xdr:colOff>
      <xdr:row>306</xdr:row>
      <xdr:rowOff>95249</xdr:rowOff>
    </xdr:to>
    <xdr:cxnSp macro="">
      <xdr:nvCxnSpPr>
        <xdr:cNvPr id="43" name="직선 화살표 연결선 42"/>
        <xdr:cNvCxnSpPr/>
      </xdr:nvCxnSpPr>
      <xdr:spPr>
        <a:xfrm>
          <a:off x="18530751" y="5838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82731</xdr:colOff>
      <xdr:row>305</xdr:row>
      <xdr:rowOff>38099</xdr:rowOff>
    </xdr:from>
    <xdr:to>
      <xdr:col>90</xdr:col>
      <xdr:colOff>1270</xdr:colOff>
      <xdr:row>305</xdr:row>
      <xdr:rowOff>152399</xdr:rowOff>
    </xdr:to>
    <xdr:sp macro="" textlink="">
      <xdr:nvSpPr>
        <xdr:cNvPr id="44" name="302"/>
        <xdr:cNvSpPr/>
      </xdr:nvSpPr>
      <xdr:spPr>
        <a:xfrm>
          <a:off x="18530751" y="58132979"/>
          <a:ext cx="9319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82731</xdr:colOff>
      <xdr:row>305</xdr:row>
      <xdr:rowOff>95249</xdr:rowOff>
    </xdr:from>
    <xdr:to>
      <xdr:col>83</xdr:col>
      <xdr:colOff>82731</xdr:colOff>
      <xdr:row>305</xdr:row>
      <xdr:rowOff>95249</xdr:rowOff>
    </xdr:to>
    <xdr:cxnSp macro="">
      <xdr:nvCxnSpPr>
        <xdr:cNvPr id="45" name="직선 화살표 연결선 44"/>
        <xdr:cNvCxnSpPr/>
      </xdr:nvCxnSpPr>
      <xdr:spPr>
        <a:xfrm>
          <a:off x="18530751" y="5819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82732</xdr:colOff>
      <xdr:row>304</xdr:row>
      <xdr:rowOff>38099</xdr:rowOff>
    </xdr:from>
    <xdr:to>
      <xdr:col>87</xdr:col>
      <xdr:colOff>125367</xdr:colOff>
      <xdr:row>304</xdr:row>
      <xdr:rowOff>152399</xdr:rowOff>
    </xdr:to>
    <xdr:sp macro="" textlink="">
      <xdr:nvSpPr>
        <xdr:cNvPr id="46" name="301"/>
        <xdr:cNvSpPr/>
      </xdr:nvSpPr>
      <xdr:spPr>
        <a:xfrm>
          <a:off x="18820312" y="57942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82732</xdr:colOff>
      <xdr:row>304</xdr:row>
      <xdr:rowOff>95249</xdr:rowOff>
    </xdr:from>
    <xdr:to>
      <xdr:col>85</xdr:col>
      <xdr:colOff>82732</xdr:colOff>
      <xdr:row>304</xdr:row>
      <xdr:rowOff>95249</xdr:rowOff>
    </xdr:to>
    <xdr:cxnSp macro="">
      <xdr:nvCxnSpPr>
        <xdr:cNvPr id="47" name="직선 화살표 연결선 46"/>
        <xdr:cNvCxnSpPr/>
      </xdr:nvCxnSpPr>
      <xdr:spPr>
        <a:xfrm>
          <a:off x="18820312" y="5799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62049</xdr:colOff>
      <xdr:row>303</xdr:row>
      <xdr:rowOff>38099</xdr:rowOff>
    </xdr:from>
    <xdr:to>
      <xdr:col>85</xdr:col>
      <xdr:colOff>104684</xdr:colOff>
      <xdr:row>303</xdr:row>
      <xdr:rowOff>152399</xdr:rowOff>
    </xdr:to>
    <xdr:sp macro="" textlink="">
      <xdr:nvSpPr>
        <xdr:cNvPr id="48" name="300"/>
        <xdr:cNvSpPr/>
      </xdr:nvSpPr>
      <xdr:spPr>
        <a:xfrm>
          <a:off x="18510069" y="57751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62049</xdr:colOff>
      <xdr:row>303</xdr:row>
      <xdr:rowOff>95249</xdr:rowOff>
    </xdr:from>
    <xdr:to>
      <xdr:col>83</xdr:col>
      <xdr:colOff>62049</xdr:colOff>
      <xdr:row>303</xdr:row>
      <xdr:rowOff>95249</xdr:rowOff>
    </xdr:to>
    <xdr:cxnSp macro="">
      <xdr:nvCxnSpPr>
        <xdr:cNvPr id="49" name="직선 화살표 연결선 48"/>
        <xdr:cNvCxnSpPr/>
      </xdr:nvCxnSpPr>
      <xdr:spPr>
        <a:xfrm>
          <a:off x="18510069" y="5780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41366</xdr:colOff>
      <xdr:row>302</xdr:row>
      <xdr:rowOff>38099</xdr:rowOff>
    </xdr:from>
    <xdr:to>
      <xdr:col>84</xdr:col>
      <xdr:colOff>63319</xdr:colOff>
      <xdr:row>302</xdr:row>
      <xdr:rowOff>152399</xdr:rowOff>
    </xdr:to>
    <xdr:sp macro="" textlink="">
      <xdr:nvSpPr>
        <xdr:cNvPr id="50" name="299"/>
        <xdr:cNvSpPr/>
      </xdr:nvSpPr>
      <xdr:spPr>
        <a:xfrm>
          <a:off x="18199826" y="575614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41366</xdr:colOff>
      <xdr:row>302</xdr:row>
      <xdr:rowOff>95249</xdr:rowOff>
    </xdr:from>
    <xdr:to>
      <xdr:col>81</xdr:col>
      <xdr:colOff>41366</xdr:colOff>
      <xdr:row>302</xdr:row>
      <xdr:rowOff>95249</xdr:rowOff>
    </xdr:to>
    <xdr:cxnSp macro="">
      <xdr:nvCxnSpPr>
        <xdr:cNvPr id="51" name="직선 화살표 연결선 50"/>
        <xdr:cNvCxnSpPr/>
      </xdr:nvCxnSpPr>
      <xdr:spPr>
        <a:xfrm>
          <a:off x="18199826" y="5761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41366</xdr:colOff>
      <xdr:row>301</xdr:row>
      <xdr:rowOff>38099</xdr:rowOff>
    </xdr:from>
    <xdr:to>
      <xdr:col>87</xdr:col>
      <xdr:colOff>125367</xdr:colOff>
      <xdr:row>301</xdr:row>
      <xdr:rowOff>152399</xdr:rowOff>
    </xdr:to>
    <xdr:sp macro="" textlink="">
      <xdr:nvSpPr>
        <xdr:cNvPr id="52" name="298"/>
        <xdr:cNvSpPr/>
      </xdr:nvSpPr>
      <xdr:spPr>
        <a:xfrm>
          <a:off x="18199826" y="57370979"/>
          <a:ext cx="952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41366</xdr:colOff>
      <xdr:row>301</xdr:row>
      <xdr:rowOff>95249</xdr:rowOff>
    </xdr:from>
    <xdr:to>
      <xdr:col>81</xdr:col>
      <xdr:colOff>41366</xdr:colOff>
      <xdr:row>301</xdr:row>
      <xdr:rowOff>95249</xdr:rowOff>
    </xdr:to>
    <xdr:cxnSp macro="">
      <xdr:nvCxnSpPr>
        <xdr:cNvPr id="53" name="직선 화살표 연결선 52"/>
        <xdr:cNvCxnSpPr/>
      </xdr:nvCxnSpPr>
      <xdr:spPr>
        <a:xfrm>
          <a:off x="18199826" y="5742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20682</xdr:colOff>
      <xdr:row>300</xdr:row>
      <xdr:rowOff>38099</xdr:rowOff>
    </xdr:from>
    <xdr:to>
      <xdr:col>85</xdr:col>
      <xdr:colOff>63319</xdr:colOff>
      <xdr:row>300</xdr:row>
      <xdr:rowOff>152399</xdr:rowOff>
    </xdr:to>
    <xdr:sp macro="" textlink="">
      <xdr:nvSpPr>
        <xdr:cNvPr id="54" name="297"/>
        <xdr:cNvSpPr/>
      </xdr:nvSpPr>
      <xdr:spPr>
        <a:xfrm>
          <a:off x="18468702" y="57180479"/>
          <a:ext cx="3321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20682</xdr:colOff>
      <xdr:row>300</xdr:row>
      <xdr:rowOff>95249</xdr:rowOff>
    </xdr:from>
    <xdr:to>
      <xdr:col>83</xdr:col>
      <xdr:colOff>20682</xdr:colOff>
      <xdr:row>300</xdr:row>
      <xdr:rowOff>95249</xdr:rowOff>
    </xdr:to>
    <xdr:cxnSp macro="">
      <xdr:nvCxnSpPr>
        <xdr:cNvPr id="55" name="직선 화살표 연결선 54"/>
        <xdr:cNvCxnSpPr/>
      </xdr:nvCxnSpPr>
      <xdr:spPr>
        <a:xfrm>
          <a:off x="18468702" y="5723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299</xdr:row>
      <xdr:rowOff>38099</xdr:rowOff>
    </xdr:from>
    <xdr:to>
      <xdr:col>83</xdr:col>
      <xdr:colOff>42636</xdr:colOff>
      <xdr:row>299</xdr:row>
      <xdr:rowOff>152399</xdr:rowOff>
    </xdr:to>
    <xdr:sp macro="" textlink="">
      <xdr:nvSpPr>
        <xdr:cNvPr id="56" name="296"/>
        <xdr:cNvSpPr/>
      </xdr:nvSpPr>
      <xdr:spPr>
        <a:xfrm>
          <a:off x="18158461" y="56989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</xdr:colOff>
      <xdr:row>299</xdr:row>
      <xdr:rowOff>95249</xdr:rowOff>
    </xdr:from>
    <xdr:to>
      <xdr:col>81</xdr:col>
      <xdr:colOff>1</xdr:colOff>
      <xdr:row>299</xdr:row>
      <xdr:rowOff>95249</xdr:rowOff>
    </xdr:to>
    <xdr:cxnSp macro="">
      <xdr:nvCxnSpPr>
        <xdr:cNvPr id="57" name="직선 화살표 연결선 56"/>
        <xdr:cNvCxnSpPr/>
      </xdr:nvCxnSpPr>
      <xdr:spPr>
        <a:xfrm>
          <a:off x="18158461" y="5704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298</xdr:row>
      <xdr:rowOff>38099</xdr:rowOff>
    </xdr:from>
    <xdr:to>
      <xdr:col>82</xdr:col>
      <xdr:colOff>21953</xdr:colOff>
      <xdr:row>298</xdr:row>
      <xdr:rowOff>152399</xdr:rowOff>
    </xdr:to>
    <xdr:sp macro="" textlink="">
      <xdr:nvSpPr>
        <xdr:cNvPr id="58" name="295"/>
        <xdr:cNvSpPr/>
      </xdr:nvSpPr>
      <xdr:spPr>
        <a:xfrm>
          <a:off x="17868900" y="567994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298</xdr:row>
      <xdr:rowOff>95249</xdr:rowOff>
    </xdr:from>
    <xdr:to>
      <xdr:col>79</xdr:col>
      <xdr:colOff>0</xdr:colOff>
      <xdr:row>298</xdr:row>
      <xdr:rowOff>95249</xdr:rowOff>
    </xdr:to>
    <xdr:cxnSp macro="">
      <xdr:nvCxnSpPr>
        <xdr:cNvPr id="59" name="직선 화살표 연결선 58"/>
        <xdr:cNvCxnSpPr/>
      </xdr:nvCxnSpPr>
      <xdr:spPr>
        <a:xfrm>
          <a:off x="17868900" y="5685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297</xdr:row>
      <xdr:rowOff>38099</xdr:rowOff>
    </xdr:from>
    <xdr:to>
      <xdr:col>85</xdr:col>
      <xdr:colOff>63319</xdr:colOff>
      <xdr:row>297</xdr:row>
      <xdr:rowOff>152399</xdr:rowOff>
    </xdr:to>
    <xdr:sp macro="" textlink="">
      <xdr:nvSpPr>
        <xdr:cNvPr id="60" name="294"/>
        <xdr:cNvSpPr/>
      </xdr:nvSpPr>
      <xdr:spPr>
        <a:xfrm>
          <a:off x="17868900" y="56608979"/>
          <a:ext cx="9319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297</xdr:row>
      <xdr:rowOff>95249</xdr:rowOff>
    </xdr:from>
    <xdr:to>
      <xdr:col>79</xdr:col>
      <xdr:colOff>0</xdr:colOff>
      <xdr:row>297</xdr:row>
      <xdr:rowOff>95249</xdr:rowOff>
    </xdr:to>
    <xdr:cxnSp macro="">
      <xdr:nvCxnSpPr>
        <xdr:cNvPr id="61" name="직선 화살표 연결선 60"/>
        <xdr:cNvCxnSpPr/>
      </xdr:nvCxnSpPr>
      <xdr:spPr>
        <a:xfrm>
          <a:off x="17868900" y="5666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296</xdr:row>
      <xdr:rowOff>38099</xdr:rowOff>
    </xdr:from>
    <xdr:to>
      <xdr:col>83</xdr:col>
      <xdr:colOff>21952</xdr:colOff>
      <xdr:row>296</xdr:row>
      <xdr:rowOff>152399</xdr:rowOff>
    </xdr:to>
    <xdr:sp macro="" textlink="">
      <xdr:nvSpPr>
        <xdr:cNvPr id="62" name="293"/>
        <xdr:cNvSpPr/>
      </xdr:nvSpPr>
      <xdr:spPr>
        <a:xfrm>
          <a:off x="18158461" y="56418479"/>
          <a:ext cx="3115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</xdr:colOff>
      <xdr:row>296</xdr:row>
      <xdr:rowOff>95249</xdr:rowOff>
    </xdr:from>
    <xdr:to>
      <xdr:col>81</xdr:col>
      <xdr:colOff>1</xdr:colOff>
      <xdr:row>296</xdr:row>
      <xdr:rowOff>95249</xdr:rowOff>
    </xdr:to>
    <xdr:cxnSp macro="">
      <xdr:nvCxnSpPr>
        <xdr:cNvPr id="63" name="직선 화살표 연결선 62"/>
        <xdr:cNvCxnSpPr/>
      </xdr:nvCxnSpPr>
      <xdr:spPr>
        <a:xfrm>
          <a:off x="18158461" y="5647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124098</xdr:colOff>
      <xdr:row>295</xdr:row>
      <xdr:rowOff>38099</xdr:rowOff>
    </xdr:from>
    <xdr:to>
      <xdr:col>81</xdr:col>
      <xdr:colOff>21953</xdr:colOff>
      <xdr:row>295</xdr:row>
      <xdr:rowOff>152399</xdr:rowOff>
    </xdr:to>
    <xdr:sp macro="" textlink="">
      <xdr:nvSpPr>
        <xdr:cNvPr id="64" name="292"/>
        <xdr:cNvSpPr/>
      </xdr:nvSpPr>
      <xdr:spPr>
        <a:xfrm>
          <a:off x="17848218" y="56227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124098</xdr:colOff>
      <xdr:row>295</xdr:row>
      <xdr:rowOff>95249</xdr:rowOff>
    </xdr:from>
    <xdr:to>
      <xdr:col>78</xdr:col>
      <xdr:colOff>124098</xdr:colOff>
      <xdr:row>295</xdr:row>
      <xdr:rowOff>95249</xdr:rowOff>
    </xdr:to>
    <xdr:cxnSp macro="">
      <xdr:nvCxnSpPr>
        <xdr:cNvPr id="65" name="직선 화살표 연결선 64"/>
        <xdr:cNvCxnSpPr/>
      </xdr:nvCxnSpPr>
      <xdr:spPr>
        <a:xfrm>
          <a:off x="17848218" y="5628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124097</xdr:colOff>
      <xdr:row>294</xdr:row>
      <xdr:rowOff>38099</xdr:rowOff>
    </xdr:from>
    <xdr:to>
      <xdr:col>80</xdr:col>
      <xdr:colOff>1270</xdr:colOff>
      <xdr:row>294</xdr:row>
      <xdr:rowOff>152399</xdr:rowOff>
    </xdr:to>
    <xdr:sp macro="" textlink="">
      <xdr:nvSpPr>
        <xdr:cNvPr id="66" name="291"/>
        <xdr:cNvSpPr/>
      </xdr:nvSpPr>
      <xdr:spPr>
        <a:xfrm>
          <a:off x="17558657" y="560374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124097</xdr:colOff>
      <xdr:row>294</xdr:row>
      <xdr:rowOff>95249</xdr:rowOff>
    </xdr:from>
    <xdr:to>
      <xdr:col>76</xdr:col>
      <xdr:colOff>124097</xdr:colOff>
      <xdr:row>294</xdr:row>
      <xdr:rowOff>95249</xdr:rowOff>
    </xdr:to>
    <xdr:cxnSp macro="">
      <xdr:nvCxnSpPr>
        <xdr:cNvPr id="67" name="직선 화살표 연결선 66"/>
        <xdr:cNvCxnSpPr/>
      </xdr:nvCxnSpPr>
      <xdr:spPr>
        <a:xfrm>
          <a:off x="17558657" y="5609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124097</xdr:colOff>
      <xdr:row>293</xdr:row>
      <xdr:rowOff>38099</xdr:rowOff>
    </xdr:from>
    <xdr:to>
      <xdr:col>83</xdr:col>
      <xdr:colOff>21952</xdr:colOff>
      <xdr:row>293</xdr:row>
      <xdr:rowOff>152399</xdr:rowOff>
    </xdr:to>
    <xdr:sp macro="" textlink="">
      <xdr:nvSpPr>
        <xdr:cNvPr id="68" name="290"/>
        <xdr:cNvSpPr/>
      </xdr:nvSpPr>
      <xdr:spPr>
        <a:xfrm>
          <a:off x="17558657" y="55846979"/>
          <a:ext cx="91131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124097</xdr:colOff>
      <xdr:row>293</xdr:row>
      <xdr:rowOff>95249</xdr:rowOff>
    </xdr:from>
    <xdr:to>
      <xdr:col>76</xdr:col>
      <xdr:colOff>124097</xdr:colOff>
      <xdr:row>293</xdr:row>
      <xdr:rowOff>95249</xdr:rowOff>
    </xdr:to>
    <xdr:cxnSp macro="">
      <xdr:nvCxnSpPr>
        <xdr:cNvPr id="69" name="직선 화살표 연결선 68"/>
        <xdr:cNvCxnSpPr/>
      </xdr:nvCxnSpPr>
      <xdr:spPr>
        <a:xfrm>
          <a:off x="17558657" y="5590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20683</xdr:colOff>
      <xdr:row>292</xdr:row>
      <xdr:rowOff>38099</xdr:rowOff>
    </xdr:from>
    <xdr:to>
      <xdr:col>79</xdr:col>
      <xdr:colOff>63319</xdr:colOff>
      <xdr:row>292</xdr:row>
      <xdr:rowOff>152399</xdr:rowOff>
    </xdr:to>
    <xdr:sp macro="" textlink="">
      <xdr:nvSpPr>
        <xdr:cNvPr id="70" name="289"/>
        <xdr:cNvSpPr/>
      </xdr:nvSpPr>
      <xdr:spPr>
        <a:xfrm>
          <a:off x="17600023" y="55656479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20683</xdr:colOff>
      <xdr:row>292</xdr:row>
      <xdr:rowOff>95249</xdr:rowOff>
    </xdr:from>
    <xdr:to>
      <xdr:col>77</xdr:col>
      <xdr:colOff>20683</xdr:colOff>
      <xdr:row>292</xdr:row>
      <xdr:rowOff>95249</xdr:rowOff>
    </xdr:to>
    <xdr:cxnSp macro="">
      <xdr:nvCxnSpPr>
        <xdr:cNvPr id="71" name="직선 화살표 연결선 70"/>
        <xdr:cNvCxnSpPr/>
      </xdr:nvCxnSpPr>
      <xdr:spPr>
        <a:xfrm>
          <a:off x="17600023" y="5571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291</xdr:row>
      <xdr:rowOff>38099</xdr:rowOff>
    </xdr:from>
    <xdr:to>
      <xdr:col>77</xdr:col>
      <xdr:colOff>42636</xdr:colOff>
      <xdr:row>291</xdr:row>
      <xdr:rowOff>152399</xdr:rowOff>
    </xdr:to>
    <xdr:sp macro="" textlink="">
      <xdr:nvSpPr>
        <xdr:cNvPr id="72" name="288"/>
        <xdr:cNvSpPr/>
      </xdr:nvSpPr>
      <xdr:spPr>
        <a:xfrm>
          <a:off x="17289780" y="55465979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291</xdr:row>
      <xdr:rowOff>95249</xdr:rowOff>
    </xdr:from>
    <xdr:to>
      <xdr:col>75</xdr:col>
      <xdr:colOff>0</xdr:colOff>
      <xdr:row>291</xdr:row>
      <xdr:rowOff>95249</xdr:rowOff>
    </xdr:to>
    <xdr:cxnSp macro="">
      <xdr:nvCxnSpPr>
        <xdr:cNvPr id="73" name="직선 화살표 연결선 72"/>
        <xdr:cNvCxnSpPr/>
      </xdr:nvCxnSpPr>
      <xdr:spPr>
        <a:xfrm>
          <a:off x="17289780" y="5552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290</xdr:row>
      <xdr:rowOff>38099</xdr:rowOff>
    </xdr:from>
    <xdr:to>
      <xdr:col>75</xdr:col>
      <xdr:colOff>84001</xdr:colOff>
      <xdr:row>290</xdr:row>
      <xdr:rowOff>152399</xdr:rowOff>
    </xdr:to>
    <xdr:sp macro="" textlink="">
      <xdr:nvSpPr>
        <xdr:cNvPr id="74" name="287"/>
        <xdr:cNvSpPr/>
      </xdr:nvSpPr>
      <xdr:spPr>
        <a:xfrm>
          <a:off x="16917488" y="552754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290</xdr:row>
      <xdr:rowOff>95249</xdr:rowOff>
    </xdr:from>
    <xdr:to>
      <xdr:col>72</xdr:col>
      <xdr:colOff>62048</xdr:colOff>
      <xdr:row>290</xdr:row>
      <xdr:rowOff>95249</xdr:rowOff>
    </xdr:to>
    <xdr:cxnSp macro="">
      <xdr:nvCxnSpPr>
        <xdr:cNvPr id="75" name="직선 화살표 연결선 74"/>
        <xdr:cNvCxnSpPr/>
      </xdr:nvCxnSpPr>
      <xdr:spPr>
        <a:xfrm>
          <a:off x="16917488" y="5533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289</xdr:row>
      <xdr:rowOff>38099</xdr:rowOff>
    </xdr:from>
    <xdr:to>
      <xdr:col>79</xdr:col>
      <xdr:colOff>63319</xdr:colOff>
      <xdr:row>289</xdr:row>
      <xdr:rowOff>152399</xdr:rowOff>
    </xdr:to>
    <xdr:sp macro="" textlink="">
      <xdr:nvSpPr>
        <xdr:cNvPr id="76" name="286"/>
        <xdr:cNvSpPr/>
      </xdr:nvSpPr>
      <xdr:spPr>
        <a:xfrm>
          <a:off x="16917488" y="55084979"/>
          <a:ext cx="10147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289</xdr:row>
      <xdr:rowOff>95249</xdr:rowOff>
    </xdr:from>
    <xdr:to>
      <xdr:col>72</xdr:col>
      <xdr:colOff>62048</xdr:colOff>
      <xdr:row>289</xdr:row>
      <xdr:rowOff>95249</xdr:rowOff>
    </xdr:to>
    <xdr:cxnSp macro="">
      <xdr:nvCxnSpPr>
        <xdr:cNvPr id="77" name="직선 화살표 연결선 76"/>
        <xdr:cNvCxnSpPr/>
      </xdr:nvCxnSpPr>
      <xdr:spPr>
        <a:xfrm>
          <a:off x="16917488" y="5514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124097</xdr:colOff>
      <xdr:row>288</xdr:row>
      <xdr:rowOff>38099</xdr:rowOff>
    </xdr:from>
    <xdr:to>
      <xdr:col>75</xdr:col>
      <xdr:colOff>21952</xdr:colOff>
      <xdr:row>288</xdr:row>
      <xdr:rowOff>152399</xdr:rowOff>
    </xdr:to>
    <xdr:sp macro="" textlink="">
      <xdr:nvSpPr>
        <xdr:cNvPr id="78" name="285"/>
        <xdr:cNvSpPr/>
      </xdr:nvSpPr>
      <xdr:spPr>
        <a:xfrm>
          <a:off x="16979537" y="54894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124097</xdr:colOff>
      <xdr:row>288</xdr:row>
      <xdr:rowOff>95249</xdr:rowOff>
    </xdr:from>
    <xdr:to>
      <xdr:col>72</xdr:col>
      <xdr:colOff>124097</xdr:colOff>
      <xdr:row>288</xdr:row>
      <xdr:rowOff>95249</xdr:rowOff>
    </xdr:to>
    <xdr:cxnSp macro="">
      <xdr:nvCxnSpPr>
        <xdr:cNvPr id="79" name="직선 화살표 연결선 78"/>
        <xdr:cNvCxnSpPr/>
      </xdr:nvCxnSpPr>
      <xdr:spPr>
        <a:xfrm>
          <a:off x="16979537" y="5495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103414</xdr:colOff>
      <xdr:row>287</xdr:row>
      <xdr:rowOff>38099</xdr:rowOff>
    </xdr:from>
    <xdr:to>
      <xdr:col>73</xdr:col>
      <xdr:colOff>1269</xdr:colOff>
      <xdr:row>287</xdr:row>
      <xdr:rowOff>152399</xdr:rowOff>
    </xdr:to>
    <xdr:sp macro="" textlink="">
      <xdr:nvSpPr>
        <xdr:cNvPr id="80" name="284"/>
        <xdr:cNvSpPr/>
      </xdr:nvSpPr>
      <xdr:spPr>
        <a:xfrm>
          <a:off x="16669294" y="54703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103414</xdr:colOff>
      <xdr:row>287</xdr:row>
      <xdr:rowOff>95249</xdr:rowOff>
    </xdr:from>
    <xdr:to>
      <xdr:col>70</xdr:col>
      <xdr:colOff>103414</xdr:colOff>
      <xdr:row>287</xdr:row>
      <xdr:rowOff>95249</xdr:rowOff>
    </xdr:to>
    <xdr:cxnSp macro="">
      <xdr:nvCxnSpPr>
        <xdr:cNvPr id="81" name="직선 화살표 연결선 80"/>
        <xdr:cNvCxnSpPr/>
      </xdr:nvCxnSpPr>
      <xdr:spPr>
        <a:xfrm>
          <a:off x="16669294" y="5476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286</xdr:row>
      <xdr:rowOff>38099</xdr:rowOff>
    </xdr:from>
    <xdr:to>
      <xdr:col>71</xdr:col>
      <xdr:colOff>42635</xdr:colOff>
      <xdr:row>286</xdr:row>
      <xdr:rowOff>152399</xdr:rowOff>
    </xdr:to>
    <xdr:sp macro="" textlink="">
      <xdr:nvSpPr>
        <xdr:cNvPr id="82" name="283"/>
        <xdr:cNvSpPr/>
      </xdr:nvSpPr>
      <xdr:spPr>
        <a:xfrm>
          <a:off x="16297002" y="545134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286</xdr:row>
      <xdr:rowOff>95249</xdr:rowOff>
    </xdr:from>
    <xdr:to>
      <xdr:col>68</xdr:col>
      <xdr:colOff>20682</xdr:colOff>
      <xdr:row>286</xdr:row>
      <xdr:rowOff>95249</xdr:rowOff>
    </xdr:to>
    <xdr:cxnSp macro="">
      <xdr:nvCxnSpPr>
        <xdr:cNvPr id="83" name="직선 화살표 연결선 82"/>
        <xdr:cNvCxnSpPr/>
      </xdr:nvCxnSpPr>
      <xdr:spPr>
        <a:xfrm>
          <a:off x="16297002" y="5457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285</xdr:row>
      <xdr:rowOff>38099</xdr:rowOff>
    </xdr:from>
    <xdr:to>
      <xdr:col>75</xdr:col>
      <xdr:colOff>21952</xdr:colOff>
      <xdr:row>285</xdr:row>
      <xdr:rowOff>152399</xdr:rowOff>
    </xdr:to>
    <xdr:sp macro="" textlink="">
      <xdr:nvSpPr>
        <xdr:cNvPr id="84" name="282"/>
        <xdr:cNvSpPr/>
      </xdr:nvSpPr>
      <xdr:spPr>
        <a:xfrm>
          <a:off x="16297002" y="54322979"/>
          <a:ext cx="101473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285</xdr:row>
      <xdr:rowOff>95249</xdr:rowOff>
    </xdr:from>
    <xdr:to>
      <xdr:col>68</xdr:col>
      <xdr:colOff>20682</xdr:colOff>
      <xdr:row>285</xdr:row>
      <xdr:rowOff>95249</xdr:rowOff>
    </xdr:to>
    <xdr:cxnSp macro="">
      <xdr:nvCxnSpPr>
        <xdr:cNvPr id="85" name="직선 화살표 연결선 84"/>
        <xdr:cNvCxnSpPr/>
      </xdr:nvCxnSpPr>
      <xdr:spPr>
        <a:xfrm>
          <a:off x="16297002" y="5438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284</xdr:row>
      <xdr:rowOff>38099</xdr:rowOff>
    </xdr:from>
    <xdr:to>
      <xdr:col>90</xdr:col>
      <xdr:colOff>1270</xdr:colOff>
      <xdr:row>284</xdr:row>
      <xdr:rowOff>152399</xdr:rowOff>
    </xdr:to>
    <xdr:sp macro="" textlink="">
      <xdr:nvSpPr>
        <xdr:cNvPr id="86" name="281"/>
        <xdr:cNvSpPr/>
      </xdr:nvSpPr>
      <xdr:spPr>
        <a:xfrm>
          <a:off x="16297002" y="54132479"/>
          <a:ext cx="31657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284</xdr:row>
      <xdr:rowOff>95249</xdr:rowOff>
    </xdr:from>
    <xdr:to>
      <xdr:col>68</xdr:col>
      <xdr:colOff>20682</xdr:colOff>
      <xdr:row>284</xdr:row>
      <xdr:rowOff>95249</xdr:rowOff>
    </xdr:to>
    <xdr:cxnSp macro="">
      <xdr:nvCxnSpPr>
        <xdr:cNvPr id="87" name="직선 화살표 연결선 86"/>
        <xdr:cNvCxnSpPr/>
      </xdr:nvCxnSpPr>
      <xdr:spPr>
        <a:xfrm>
          <a:off x="16297002" y="5418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103414</xdr:colOff>
      <xdr:row>283</xdr:row>
      <xdr:rowOff>38099</xdr:rowOff>
    </xdr:from>
    <xdr:to>
      <xdr:col>77</xdr:col>
      <xdr:colOff>104684</xdr:colOff>
      <xdr:row>283</xdr:row>
      <xdr:rowOff>152399</xdr:rowOff>
    </xdr:to>
    <xdr:sp macro="" textlink="">
      <xdr:nvSpPr>
        <xdr:cNvPr id="88" name="280"/>
        <xdr:cNvSpPr/>
      </xdr:nvSpPr>
      <xdr:spPr>
        <a:xfrm>
          <a:off x="17248414" y="53941979"/>
          <a:ext cx="4356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103414</xdr:colOff>
      <xdr:row>283</xdr:row>
      <xdr:rowOff>95249</xdr:rowOff>
    </xdr:from>
    <xdr:to>
      <xdr:col>74</xdr:col>
      <xdr:colOff>103414</xdr:colOff>
      <xdr:row>283</xdr:row>
      <xdr:rowOff>95249</xdr:rowOff>
    </xdr:to>
    <xdr:cxnSp macro="">
      <xdr:nvCxnSpPr>
        <xdr:cNvPr id="89" name="직선 화살표 연결선 88"/>
        <xdr:cNvCxnSpPr/>
      </xdr:nvCxnSpPr>
      <xdr:spPr>
        <a:xfrm>
          <a:off x="17248414" y="5399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103414</xdr:colOff>
      <xdr:row>282</xdr:row>
      <xdr:rowOff>38099</xdr:rowOff>
    </xdr:from>
    <xdr:to>
      <xdr:col>74</xdr:col>
      <xdr:colOff>125368</xdr:colOff>
      <xdr:row>282</xdr:row>
      <xdr:rowOff>152399</xdr:rowOff>
    </xdr:to>
    <xdr:sp macro="" textlink="">
      <xdr:nvSpPr>
        <xdr:cNvPr id="90" name="279"/>
        <xdr:cNvSpPr/>
      </xdr:nvSpPr>
      <xdr:spPr>
        <a:xfrm>
          <a:off x="16814074" y="53751479"/>
          <a:ext cx="45629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103414</xdr:colOff>
      <xdr:row>282</xdr:row>
      <xdr:rowOff>95249</xdr:rowOff>
    </xdr:from>
    <xdr:to>
      <xdr:col>71</xdr:col>
      <xdr:colOff>103414</xdr:colOff>
      <xdr:row>282</xdr:row>
      <xdr:rowOff>95249</xdr:rowOff>
    </xdr:to>
    <xdr:cxnSp macro="">
      <xdr:nvCxnSpPr>
        <xdr:cNvPr id="91" name="직선 화살표 연결선 90"/>
        <xdr:cNvCxnSpPr/>
      </xdr:nvCxnSpPr>
      <xdr:spPr>
        <a:xfrm>
          <a:off x="16814074" y="5380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281</xdr:row>
      <xdr:rowOff>38099</xdr:rowOff>
    </xdr:from>
    <xdr:to>
      <xdr:col>71</xdr:col>
      <xdr:colOff>125367</xdr:colOff>
      <xdr:row>281</xdr:row>
      <xdr:rowOff>152399</xdr:rowOff>
    </xdr:to>
    <xdr:sp macro="" textlink="">
      <xdr:nvSpPr>
        <xdr:cNvPr id="92" name="278"/>
        <xdr:cNvSpPr/>
      </xdr:nvSpPr>
      <xdr:spPr>
        <a:xfrm>
          <a:off x="16297002" y="53560979"/>
          <a:ext cx="5390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281</xdr:row>
      <xdr:rowOff>95249</xdr:rowOff>
    </xdr:from>
    <xdr:to>
      <xdr:col>68</xdr:col>
      <xdr:colOff>20682</xdr:colOff>
      <xdr:row>281</xdr:row>
      <xdr:rowOff>95249</xdr:rowOff>
    </xdr:to>
    <xdr:cxnSp macro="">
      <xdr:nvCxnSpPr>
        <xdr:cNvPr id="93" name="직선 화살표 연결선 92"/>
        <xdr:cNvCxnSpPr/>
      </xdr:nvCxnSpPr>
      <xdr:spPr>
        <a:xfrm>
          <a:off x="16297002" y="5361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280</xdr:row>
      <xdr:rowOff>38099</xdr:rowOff>
    </xdr:from>
    <xdr:to>
      <xdr:col>77</xdr:col>
      <xdr:colOff>104684</xdr:colOff>
      <xdr:row>280</xdr:row>
      <xdr:rowOff>152399</xdr:rowOff>
    </xdr:to>
    <xdr:sp macro="" textlink="">
      <xdr:nvSpPr>
        <xdr:cNvPr id="94" name="277"/>
        <xdr:cNvSpPr/>
      </xdr:nvSpPr>
      <xdr:spPr>
        <a:xfrm>
          <a:off x="16297002" y="53370479"/>
          <a:ext cx="138702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280</xdr:row>
      <xdr:rowOff>95249</xdr:rowOff>
    </xdr:from>
    <xdr:to>
      <xdr:col>68</xdr:col>
      <xdr:colOff>20682</xdr:colOff>
      <xdr:row>280</xdr:row>
      <xdr:rowOff>95249</xdr:rowOff>
    </xdr:to>
    <xdr:cxnSp macro="">
      <xdr:nvCxnSpPr>
        <xdr:cNvPr id="95" name="직선 화살표 연결선 94"/>
        <xdr:cNvCxnSpPr/>
      </xdr:nvCxnSpPr>
      <xdr:spPr>
        <a:xfrm>
          <a:off x="16297002" y="5342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279</xdr:row>
      <xdr:rowOff>38099</xdr:rowOff>
    </xdr:from>
    <xdr:to>
      <xdr:col>77</xdr:col>
      <xdr:colOff>104684</xdr:colOff>
      <xdr:row>279</xdr:row>
      <xdr:rowOff>152399</xdr:rowOff>
    </xdr:to>
    <xdr:sp macro="" textlink="">
      <xdr:nvSpPr>
        <xdr:cNvPr id="96" name="276"/>
        <xdr:cNvSpPr/>
      </xdr:nvSpPr>
      <xdr:spPr>
        <a:xfrm>
          <a:off x="16297002" y="53179979"/>
          <a:ext cx="138702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279</xdr:row>
      <xdr:rowOff>95249</xdr:rowOff>
    </xdr:from>
    <xdr:to>
      <xdr:col>68</xdr:col>
      <xdr:colOff>20682</xdr:colOff>
      <xdr:row>279</xdr:row>
      <xdr:rowOff>95249</xdr:rowOff>
    </xdr:to>
    <xdr:cxnSp macro="">
      <xdr:nvCxnSpPr>
        <xdr:cNvPr id="97" name="직선 화살표 연결선 96"/>
        <xdr:cNvCxnSpPr/>
      </xdr:nvCxnSpPr>
      <xdr:spPr>
        <a:xfrm>
          <a:off x="16297002" y="5323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20683</xdr:colOff>
      <xdr:row>278</xdr:row>
      <xdr:rowOff>38099</xdr:rowOff>
    </xdr:from>
    <xdr:to>
      <xdr:col>88</xdr:col>
      <xdr:colOff>1269</xdr:colOff>
      <xdr:row>278</xdr:row>
      <xdr:rowOff>152399</xdr:rowOff>
    </xdr:to>
    <xdr:sp macro="" textlink="">
      <xdr:nvSpPr>
        <xdr:cNvPr id="98" name="275"/>
        <xdr:cNvSpPr/>
      </xdr:nvSpPr>
      <xdr:spPr>
        <a:xfrm>
          <a:off x="18758263" y="52989479"/>
          <a:ext cx="4149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20683</xdr:colOff>
      <xdr:row>278</xdr:row>
      <xdr:rowOff>95249</xdr:rowOff>
    </xdr:from>
    <xdr:to>
      <xdr:col>85</xdr:col>
      <xdr:colOff>20683</xdr:colOff>
      <xdr:row>278</xdr:row>
      <xdr:rowOff>95249</xdr:rowOff>
    </xdr:to>
    <xdr:cxnSp macro="">
      <xdr:nvCxnSpPr>
        <xdr:cNvPr id="99" name="직선 화살표 연결선 98"/>
        <xdr:cNvCxnSpPr/>
      </xdr:nvCxnSpPr>
      <xdr:spPr>
        <a:xfrm>
          <a:off x="18758263" y="5304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82731</xdr:colOff>
      <xdr:row>277</xdr:row>
      <xdr:rowOff>38099</xdr:rowOff>
    </xdr:from>
    <xdr:to>
      <xdr:col>85</xdr:col>
      <xdr:colOff>125366</xdr:colOff>
      <xdr:row>277</xdr:row>
      <xdr:rowOff>152399</xdr:rowOff>
    </xdr:to>
    <xdr:sp macro="" textlink="">
      <xdr:nvSpPr>
        <xdr:cNvPr id="100" name="274"/>
        <xdr:cNvSpPr/>
      </xdr:nvSpPr>
      <xdr:spPr>
        <a:xfrm>
          <a:off x="18385971" y="52798979"/>
          <a:ext cx="47697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82731</xdr:colOff>
      <xdr:row>277</xdr:row>
      <xdr:rowOff>95249</xdr:rowOff>
    </xdr:from>
    <xdr:to>
      <xdr:col>82</xdr:col>
      <xdr:colOff>82731</xdr:colOff>
      <xdr:row>277</xdr:row>
      <xdr:rowOff>95249</xdr:rowOff>
    </xdr:to>
    <xdr:cxnSp macro="">
      <xdr:nvCxnSpPr>
        <xdr:cNvPr id="101" name="직선 화살표 연결선 100"/>
        <xdr:cNvCxnSpPr/>
      </xdr:nvCxnSpPr>
      <xdr:spPr>
        <a:xfrm>
          <a:off x="18385971" y="5285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276</xdr:row>
      <xdr:rowOff>38099</xdr:rowOff>
    </xdr:from>
    <xdr:to>
      <xdr:col>83</xdr:col>
      <xdr:colOff>21952</xdr:colOff>
      <xdr:row>276</xdr:row>
      <xdr:rowOff>152399</xdr:rowOff>
    </xdr:to>
    <xdr:sp macro="" textlink="">
      <xdr:nvSpPr>
        <xdr:cNvPr id="102" name="273"/>
        <xdr:cNvSpPr/>
      </xdr:nvSpPr>
      <xdr:spPr>
        <a:xfrm>
          <a:off x="17868900" y="52608479"/>
          <a:ext cx="6010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276</xdr:row>
      <xdr:rowOff>95249</xdr:rowOff>
    </xdr:from>
    <xdr:to>
      <xdr:col>79</xdr:col>
      <xdr:colOff>0</xdr:colOff>
      <xdr:row>276</xdr:row>
      <xdr:rowOff>95249</xdr:rowOff>
    </xdr:to>
    <xdr:cxnSp macro="">
      <xdr:nvCxnSpPr>
        <xdr:cNvPr id="103" name="직선 화살표 연결선 102"/>
        <xdr:cNvCxnSpPr/>
      </xdr:nvCxnSpPr>
      <xdr:spPr>
        <a:xfrm>
          <a:off x="17868900" y="5266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275</xdr:row>
      <xdr:rowOff>38099</xdr:rowOff>
    </xdr:from>
    <xdr:to>
      <xdr:col>88</xdr:col>
      <xdr:colOff>1269</xdr:colOff>
      <xdr:row>275</xdr:row>
      <xdr:rowOff>152399</xdr:rowOff>
    </xdr:to>
    <xdr:sp macro="" textlink="">
      <xdr:nvSpPr>
        <xdr:cNvPr id="104" name="272"/>
        <xdr:cNvSpPr/>
      </xdr:nvSpPr>
      <xdr:spPr>
        <a:xfrm>
          <a:off x="17868900" y="52417979"/>
          <a:ext cx="13042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275</xdr:row>
      <xdr:rowOff>95249</xdr:rowOff>
    </xdr:from>
    <xdr:to>
      <xdr:col>79</xdr:col>
      <xdr:colOff>0</xdr:colOff>
      <xdr:row>275</xdr:row>
      <xdr:rowOff>95249</xdr:rowOff>
    </xdr:to>
    <xdr:cxnSp macro="">
      <xdr:nvCxnSpPr>
        <xdr:cNvPr id="105" name="직선 화살표 연결선 104"/>
        <xdr:cNvCxnSpPr/>
      </xdr:nvCxnSpPr>
      <xdr:spPr>
        <a:xfrm>
          <a:off x="17868900" y="5247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20683</xdr:colOff>
      <xdr:row>274</xdr:row>
      <xdr:rowOff>38099</xdr:rowOff>
    </xdr:from>
    <xdr:to>
      <xdr:col>83</xdr:col>
      <xdr:colOff>21952</xdr:colOff>
      <xdr:row>274</xdr:row>
      <xdr:rowOff>152399</xdr:rowOff>
    </xdr:to>
    <xdr:sp macro="" textlink="">
      <xdr:nvSpPr>
        <xdr:cNvPr id="106" name="271"/>
        <xdr:cNvSpPr/>
      </xdr:nvSpPr>
      <xdr:spPr>
        <a:xfrm>
          <a:off x="18034363" y="52227479"/>
          <a:ext cx="4356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20683</xdr:colOff>
      <xdr:row>274</xdr:row>
      <xdr:rowOff>95249</xdr:rowOff>
    </xdr:from>
    <xdr:to>
      <xdr:col>80</xdr:col>
      <xdr:colOff>20683</xdr:colOff>
      <xdr:row>274</xdr:row>
      <xdr:rowOff>95249</xdr:rowOff>
    </xdr:to>
    <xdr:cxnSp macro="">
      <xdr:nvCxnSpPr>
        <xdr:cNvPr id="107" name="직선 화살표 연결선 106"/>
        <xdr:cNvCxnSpPr/>
      </xdr:nvCxnSpPr>
      <xdr:spPr>
        <a:xfrm>
          <a:off x="18034363" y="5228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124097</xdr:colOff>
      <xdr:row>273</xdr:row>
      <xdr:rowOff>38099</xdr:rowOff>
    </xdr:from>
    <xdr:to>
      <xdr:col>81</xdr:col>
      <xdr:colOff>1270</xdr:colOff>
      <xdr:row>273</xdr:row>
      <xdr:rowOff>152399</xdr:rowOff>
    </xdr:to>
    <xdr:sp macro="" textlink="">
      <xdr:nvSpPr>
        <xdr:cNvPr id="108" name="270"/>
        <xdr:cNvSpPr/>
      </xdr:nvSpPr>
      <xdr:spPr>
        <a:xfrm>
          <a:off x="17703437" y="52036979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124097</xdr:colOff>
      <xdr:row>273</xdr:row>
      <xdr:rowOff>95249</xdr:rowOff>
    </xdr:from>
    <xdr:to>
      <xdr:col>77</xdr:col>
      <xdr:colOff>124097</xdr:colOff>
      <xdr:row>273</xdr:row>
      <xdr:rowOff>95249</xdr:rowOff>
    </xdr:to>
    <xdr:cxnSp macro="">
      <xdr:nvCxnSpPr>
        <xdr:cNvPr id="109" name="직선 화살표 연결선 108"/>
        <xdr:cNvCxnSpPr/>
      </xdr:nvCxnSpPr>
      <xdr:spPr>
        <a:xfrm>
          <a:off x="17703437" y="5209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272</xdr:row>
      <xdr:rowOff>38099</xdr:rowOff>
    </xdr:from>
    <xdr:to>
      <xdr:col>78</xdr:col>
      <xdr:colOff>63318</xdr:colOff>
      <xdr:row>272</xdr:row>
      <xdr:rowOff>152399</xdr:rowOff>
    </xdr:to>
    <xdr:sp macro="" textlink="">
      <xdr:nvSpPr>
        <xdr:cNvPr id="110" name="269"/>
        <xdr:cNvSpPr/>
      </xdr:nvSpPr>
      <xdr:spPr>
        <a:xfrm>
          <a:off x="17227731" y="51846479"/>
          <a:ext cx="5597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272</xdr:row>
      <xdr:rowOff>95249</xdr:rowOff>
    </xdr:from>
    <xdr:to>
      <xdr:col>74</xdr:col>
      <xdr:colOff>82731</xdr:colOff>
      <xdr:row>272</xdr:row>
      <xdr:rowOff>95249</xdr:rowOff>
    </xdr:to>
    <xdr:cxnSp macro="">
      <xdr:nvCxnSpPr>
        <xdr:cNvPr id="111" name="직선 화살표 연결선 110"/>
        <xdr:cNvCxnSpPr/>
      </xdr:nvCxnSpPr>
      <xdr:spPr>
        <a:xfrm>
          <a:off x="17227731" y="5190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271</xdr:row>
      <xdr:rowOff>38099</xdr:rowOff>
    </xdr:from>
    <xdr:to>
      <xdr:col>83</xdr:col>
      <xdr:colOff>21952</xdr:colOff>
      <xdr:row>271</xdr:row>
      <xdr:rowOff>152399</xdr:rowOff>
    </xdr:to>
    <xdr:sp macro="" textlink="">
      <xdr:nvSpPr>
        <xdr:cNvPr id="112" name="268"/>
        <xdr:cNvSpPr/>
      </xdr:nvSpPr>
      <xdr:spPr>
        <a:xfrm>
          <a:off x="17227731" y="51655979"/>
          <a:ext cx="1242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271</xdr:row>
      <xdr:rowOff>95249</xdr:rowOff>
    </xdr:from>
    <xdr:to>
      <xdr:col>74</xdr:col>
      <xdr:colOff>82731</xdr:colOff>
      <xdr:row>271</xdr:row>
      <xdr:rowOff>95249</xdr:rowOff>
    </xdr:to>
    <xdr:cxnSp macro="">
      <xdr:nvCxnSpPr>
        <xdr:cNvPr id="113" name="직선 화살표 연결선 112"/>
        <xdr:cNvCxnSpPr/>
      </xdr:nvCxnSpPr>
      <xdr:spPr>
        <a:xfrm>
          <a:off x="17227731" y="5171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270</xdr:row>
      <xdr:rowOff>38099</xdr:rowOff>
    </xdr:from>
    <xdr:to>
      <xdr:col>88</xdr:col>
      <xdr:colOff>1269</xdr:colOff>
      <xdr:row>270</xdr:row>
      <xdr:rowOff>152399</xdr:rowOff>
    </xdr:to>
    <xdr:sp macro="" textlink="">
      <xdr:nvSpPr>
        <xdr:cNvPr id="114" name="267"/>
        <xdr:cNvSpPr/>
      </xdr:nvSpPr>
      <xdr:spPr>
        <a:xfrm>
          <a:off x="17227731" y="51465479"/>
          <a:ext cx="194545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270</xdr:row>
      <xdr:rowOff>95249</xdr:rowOff>
    </xdr:from>
    <xdr:to>
      <xdr:col>74</xdr:col>
      <xdr:colOff>82731</xdr:colOff>
      <xdr:row>270</xdr:row>
      <xdr:rowOff>95249</xdr:rowOff>
    </xdr:to>
    <xdr:cxnSp macro="">
      <xdr:nvCxnSpPr>
        <xdr:cNvPr id="115" name="직선 화살표 연결선 114"/>
        <xdr:cNvCxnSpPr/>
      </xdr:nvCxnSpPr>
      <xdr:spPr>
        <a:xfrm>
          <a:off x="17227731" y="5152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269</xdr:row>
      <xdr:rowOff>38099</xdr:rowOff>
    </xdr:from>
    <xdr:to>
      <xdr:col>83</xdr:col>
      <xdr:colOff>21952</xdr:colOff>
      <xdr:row>269</xdr:row>
      <xdr:rowOff>152399</xdr:rowOff>
    </xdr:to>
    <xdr:sp macro="" textlink="">
      <xdr:nvSpPr>
        <xdr:cNvPr id="116" name="266"/>
        <xdr:cNvSpPr/>
      </xdr:nvSpPr>
      <xdr:spPr>
        <a:xfrm>
          <a:off x="17682755" y="51274979"/>
          <a:ext cx="7872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269</xdr:row>
      <xdr:rowOff>95249</xdr:rowOff>
    </xdr:from>
    <xdr:to>
      <xdr:col>77</xdr:col>
      <xdr:colOff>103415</xdr:colOff>
      <xdr:row>269</xdr:row>
      <xdr:rowOff>95249</xdr:rowOff>
    </xdr:to>
    <xdr:cxnSp macro="">
      <xdr:nvCxnSpPr>
        <xdr:cNvPr id="117" name="직선 화살표 연결선 116"/>
        <xdr:cNvCxnSpPr/>
      </xdr:nvCxnSpPr>
      <xdr:spPr>
        <a:xfrm>
          <a:off x="17682755" y="5133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268</xdr:row>
      <xdr:rowOff>38099</xdr:rowOff>
    </xdr:from>
    <xdr:to>
      <xdr:col>78</xdr:col>
      <xdr:colOff>42636</xdr:colOff>
      <xdr:row>268</xdr:row>
      <xdr:rowOff>152399</xdr:rowOff>
    </xdr:to>
    <xdr:sp macro="" textlink="">
      <xdr:nvSpPr>
        <xdr:cNvPr id="118" name="265"/>
        <xdr:cNvSpPr/>
      </xdr:nvSpPr>
      <xdr:spPr>
        <a:xfrm>
          <a:off x="17227731" y="51084479"/>
          <a:ext cx="5390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268</xdr:row>
      <xdr:rowOff>95249</xdr:rowOff>
    </xdr:from>
    <xdr:to>
      <xdr:col>74</xdr:col>
      <xdr:colOff>82731</xdr:colOff>
      <xdr:row>268</xdr:row>
      <xdr:rowOff>95249</xdr:rowOff>
    </xdr:to>
    <xdr:cxnSp macro="">
      <xdr:nvCxnSpPr>
        <xdr:cNvPr id="119" name="직선 화살표 연결선 118"/>
        <xdr:cNvCxnSpPr/>
      </xdr:nvCxnSpPr>
      <xdr:spPr>
        <a:xfrm>
          <a:off x="17227731" y="5114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82731</xdr:colOff>
      <xdr:row>267</xdr:row>
      <xdr:rowOff>38099</xdr:rowOff>
    </xdr:from>
    <xdr:to>
      <xdr:col>83</xdr:col>
      <xdr:colOff>21952</xdr:colOff>
      <xdr:row>267</xdr:row>
      <xdr:rowOff>152399</xdr:rowOff>
    </xdr:to>
    <xdr:sp macro="" textlink="">
      <xdr:nvSpPr>
        <xdr:cNvPr id="120" name="264"/>
        <xdr:cNvSpPr/>
      </xdr:nvSpPr>
      <xdr:spPr>
        <a:xfrm>
          <a:off x="17227731" y="50893979"/>
          <a:ext cx="1242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82731</xdr:colOff>
      <xdr:row>267</xdr:row>
      <xdr:rowOff>95249</xdr:rowOff>
    </xdr:from>
    <xdr:to>
      <xdr:col>74</xdr:col>
      <xdr:colOff>82731</xdr:colOff>
      <xdr:row>267</xdr:row>
      <xdr:rowOff>95249</xdr:rowOff>
    </xdr:to>
    <xdr:cxnSp macro="">
      <xdr:nvCxnSpPr>
        <xdr:cNvPr id="121" name="직선 화살표 연결선 120"/>
        <xdr:cNvCxnSpPr/>
      </xdr:nvCxnSpPr>
      <xdr:spPr>
        <a:xfrm>
          <a:off x="17227731" y="5095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266</xdr:row>
      <xdr:rowOff>38099</xdr:rowOff>
    </xdr:from>
    <xdr:to>
      <xdr:col>80</xdr:col>
      <xdr:colOff>1270</xdr:colOff>
      <xdr:row>266</xdr:row>
      <xdr:rowOff>152399</xdr:rowOff>
    </xdr:to>
    <xdr:sp macro="" textlink="">
      <xdr:nvSpPr>
        <xdr:cNvPr id="122" name="263"/>
        <xdr:cNvSpPr/>
      </xdr:nvSpPr>
      <xdr:spPr>
        <a:xfrm>
          <a:off x="17682755" y="507034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266</xdr:row>
      <xdr:rowOff>95249</xdr:rowOff>
    </xdr:from>
    <xdr:to>
      <xdr:col>77</xdr:col>
      <xdr:colOff>103415</xdr:colOff>
      <xdr:row>266</xdr:row>
      <xdr:rowOff>95249</xdr:rowOff>
    </xdr:to>
    <xdr:cxnSp macro="">
      <xdr:nvCxnSpPr>
        <xdr:cNvPr id="123" name="직선 화살표 연결선 122"/>
        <xdr:cNvCxnSpPr/>
      </xdr:nvCxnSpPr>
      <xdr:spPr>
        <a:xfrm>
          <a:off x="17682755" y="5076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265</xdr:row>
      <xdr:rowOff>38099</xdr:rowOff>
    </xdr:from>
    <xdr:to>
      <xdr:col>78</xdr:col>
      <xdr:colOff>42636</xdr:colOff>
      <xdr:row>265</xdr:row>
      <xdr:rowOff>152399</xdr:rowOff>
    </xdr:to>
    <xdr:sp macro="" textlink="">
      <xdr:nvSpPr>
        <xdr:cNvPr id="124" name="262"/>
        <xdr:cNvSpPr/>
      </xdr:nvSpPr>
      <xdr:spPr>
        <a:xfrm>
          <a:off x="16917488" y="50512979"/>
          <a:ext cx="849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265</xdr:row>
      <xdr:rowOff>95249</xdr:rowOff>
    </xdr:from>
    <xdr:to>
      <xdr:col>72</xdr:col>
      <xdr:colOff>62048</xdr:colOff>
      <xdr:row>265</xdr:row>
      <xdr:rowOff>95249</xdr:rowOff>
    </xdr:to>
    <xdr:cxnSp macro="">
      <xdr:nvCxnSpPr>
        <xdr:cNvPr id="125" name="직선 화살표 연결선 124"/>
        <xdr:cNvCxnSpPr/>
      </xdr:nvCxnSpPr>
      <xdr:spPr>
        <a:xfrm>
          <a:off x="16917488" y="5057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264</xdr:row>
      <xdr:rowOff>38099</xdr:rowOff>
    </xdr:from>
    <xdr:to>
      <xdr:col>80</xdr:col>
      <xdr:colOff>1270</xdr:colOff>
      <xdr:row>264</xdr:row>
      <xdr:rowOff>152399</xdr:rowOff>
    </xdr:to>
    <xdr:sp macro="" textlink="">
      <xdr:nvSpPr>
        <xdr:cNvPr id="126" name="261"/>
        <xdr:cNvSpPr/>
      </xdr:nvSpPr>
      <xdr:spPr>
        <a:xfrm>
          <a:off x="16917488" y="50322479"/>
          <a:ext cx="10974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264</xdr:row>
      <xdr:rowOff>95249</xdr:rowOff>
    </xdr:from>
    <xdr:to>
      <xdr:col>72</xdr:col>
      <xdr:colOff>62048</xdr:colOff>
      <xdr:row>264</xdr:row>
      <xdr:rowOff>95249</xdr:rowOff>
    </xdr:to>
    <xdr:cxnSp macro="">
      <xdr:nvCxnSpPr>
        <xdr:cNvPr id="127" name="직선 화살표 연결선 126"/>
        <xdr:cNvCxnSpPr/>
      </xdr:nvCxnSpPr>
      <xdr:spPr>
        <a:xfrm>
          <a:off x="16917488" y="5037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41366</xdr:colOff>
      <xdr:row>263</xdr:row>
      <xdr:rowOff>38099</xdr:rowOff>
    </xdr:from>
    <xdr:to>
      <xdr:col>78</xdr:col>
      <xdr:colOff>84001</xdr:colOff>
      <xdr:row>263</xdr:row>
      <xdr:rowOff>152399</xdr:rowOff>
    </xdr:to>
    <xdr:sp macro="" textlink="">
      <xdr:nvSpPr>
        <xdr:cNvPr id="128" name="260"/>
        <xdr:cNvSpPr/>
      </xdr:nvSpPr>
      <xdr:spPr>
        <a:xfrm>
          <a:off x="17475926" y="50131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41366</xdr:colOff>
      <xdr:row>263</xdr:row>
      <xdr:rowOff>95249</xdr:rowOff>
    </xdr:from>
    <xdr:to>
      <xdr:col>76</xdr:col>
      <xdr:colOff>41366</xdr:colOff>
      <xdr:row>263</xdr:row>
      <xdr:rowOff>95249</xdr:rowOff>
    </xdr:to>
    <xdr:cxnSp macro="">
      <xdr:nvCxnSpPr>
        <xdr:cNvPr id="129" name="직선 화살표 연결선 128"/>
        <xdr:cNvCxnSpPr/>
      </xdr:nvCxnSpPr>
      <xdr:spPr>
        <a:xfrm>
          <a:off x="17475926" y="5018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41365</xdr:colOff>
      <xdr:row>262</xdr:row>
      <xdr:rowOff>38099</xdr:rowOff>
    </xdr:from>
    <xdr:to>
      <xdr:col>76</xdr:col>
      <xdr:colOff>125367</xdr:colOff>
      <xdr:row>262</xdr:row>
      <xdr:rowOff>152399</xdr:rowOff>
    </xdr:to>
    <xdr:sp macro="" textlink="">
      <xdr:nvSpPr>
        <xdr:cNvPr id="130" name="259"/>
        <xdr:cNvSpPr/>
      </xdr:nvSpPr>
      <xdr:spPr>
        <a:xfrm>
          <a:off x="16607245" y="49941479"/>
          <a:ext cx="9526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41365</xdr:colOff>
      <xdr:row>262</xdr:row>
      <xdr:rowOff>95249</xdr:rowOff>
    </xdr:from>
    <xdr:to>
      <xdr:col>70</xdr:col>
      <xdr:colOff>41365</xdr:colOff>
      <xdr:row>262</xdr:row>
      <xdr:rowOff>95249</xdr:rowOff>
    </xdr:to>
    <xdr:cxnSp macro="">
      <xdr:nvCxnSpPr>
        <xdr:cNvPr id="131" name="직선 화살표 연결선 130"/>
        <xdr:cNvCxnSpPr/>
      </xdr:nvCxnSpPr>
      <xdr:spPr>
        <a:xfrm>
          <a:off x="16607245" y="4999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41365</xdr:colOff>
      <xdr:row>261</xdr:row>
      <xdr:rowOff>38099</xdr:rowOff>
    </xdr:from>
    <xdr:to>
      <xdr:col>78</xdr:col>
      <xdr:colOff>84001</xdr:colOff>
      <xdr:row>261</xdr:row>
      <xdr:rowOff>152399</xdr:rowOff>
    </xdr:to>
    <xdr:sp macro="" textlink="">
      <xdr:nvSpPr>
        <xdr:cNvPr id="132" name="258"/>
        <xdr:cNvSpPr/>
      </xdr:nvSpPr>
      <xdr:spPr>
        <a:xfrm>
          <a:off x="16607245" y="49750979"/>
          <a:ext cx="12008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41365</xdr:colOff>
      <xdr:row>261</xdr:row>
      <xdr:rowOff>95249</xdr:rowOff>
    </xdr:from>
    <xdr:to>
      <xdr:col>70</xdr:col>
      <xdr:colOff>41365</xdr:colOff>
      <xdr:row>261</xdr:row>
      <xdr:rowOff>95249</xdr:rowOff>
    </xdr:to>
    <xdr:cxnSp macro="">
      <xdr:nvCxnSpPr>
        <xdr:cNvPr id="133" name="직선 화살표 연결선 132"/>
        <xdr:cNvCxnSpPr/>
      </xdr:nvCxnSpPr>
      <xdr:spPr>
        <a:xfrm>
          <a:off x="16607245" y="4980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260</xdr:row>
      <xdr:rowOff>38099</xdr:rowOff>
    </xdr:from>
    <xdr:to>
      <xdr:col>71</xdr:col>
      <xdr:colOff>84002</xdr:colOff>
      <xdr:row>260</xdr:row>
      <xdr:rowOff>152399</xdr:rowOff>
    </xdr:to>
    <xdr:sp macro="" textlink="">
      <xdr:nvSpPr>
        <xdr:cNvPr id="134" name="257"/>
        <xdr:cNvSpPr/>
      </xdr:nvSpPr>
      <xdr:spPr>
        <a:xfrm>
          <a:off x="16565880" y="49560479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0</xdr:colOff>
      <xdr:row>260</xdr:row>
      <xdr:rowOff>95249</xdr:rowOff>
    </xdr:from>
    <xdr:to>
      <xdr:col>70</xdr:col>
      <xdr:colOff>0</xdr:colOff>
      <xdr:row>260</xdr:row>
      <xdr:rowOff>95249</xdr:rowOff>
    </xdr:to>
    <xdr:cxnSp macro="">
      <xdr:nvCxnSpPr>
        <xdr:cNvPr id="135" name="직선 화살표 연결선 134"/>
        <xdr:cNvCxnSpPr/>
      </xdr:nvCxnSpPr>
      <xdr:spPr>
        <a:xfrm>
          <a:off x="16565880" y="4961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259</xdr:row>
      <xdr:rowOff>38099</xdr:rowOff>
    </xdr:from>
    <xdr:to>
      <xdr:col>70</xdr:col>
      <xdr:colOff>84001</xdr:colOff>
      <xdr:row>259</xdr:row>
      <xdr:rowOff>152399</xdr:rowOff>
    </xdr:to>
    <xdr:sp macro="" textlink="">
      <xdr:nvSpPr>
        <xdr:cNvPr id="136" name="256"/>
        <xdr:cNvSpPr/>
      </xdr:nvSpPr>
      <xdr:spPr>
        <a:xfrm>
          <a:off x="16297002" y="49369979"/>
          <a:ext cx="3528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259</xdr:row>
      <xdr:rowOff>95249</xdr:rowOff>
    </xdr:from>
    <xdr:to>
      <xdr:col>68</xdr:col>
      <xdr:colOff>20682</xdr:colOff>
      <xdr:row>259</xdr:row>
      <xdr:rowOff>95249</xdr:rowOff>
    </xdr:to>
    <xdr:cxnSp macro="">
      <xdr:nvCxnSpPr>
        <xdr:cNvPr id="137" name="직선 화살표 연결선 136"/>
        <xdr:cNvCxnSpPr/>
      </xdr:nvCxnSpPr>
      <xdr:spPr>
        <a:xfrm>
          <a:off x="16297002" y="4942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258</xdr:row>
      <xdr:rowOff>38099</xdr:rowOff>
    </xdr:from>
    <xdr:to>
      <xdr:col>71</xdr:col>
      <xdr:colOff>84002</xdr:colOff>
      <xdr:row>258</xdr:row>
      <xdr:rowOff>152399</xdr:rowOff>
    </xdr:to>
    <xdr:sp macro="" textlink="">
      <xdr:nvSpPr>
        <xdr:cNvPr id="138" name="255"/>
        <xdr:cNvSpPr/>
      </xdr:nvSpPr>
      <xdr:spPr>
        <a:xfrm>
          <a:off x="16297002" y="49179479"/>
          <a:ext cx="49766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258</xdr:row>
      <xdr:rowOff>95249</xdr:rowOff>
    </xdr:from>
    <xdr:to>
      <xdr:col>68</xdr:col>
      <xdr:colOff>20682</xdr:colOff>
      <xdr:row>258</xdr:row>
      <xdr:rowOff>95249</xdr:rowOff>
    </xdr:to>
    <xdr:cxnSp macro="">
      <xdr:nvCxnSpPr>
        <xdr:cNvPr id="139" name="직선 화살표 연결선 138"/>
        <xdr:cNvCxnSpPr/>
      </xdr:nvCxnSpPr>
      <xdr:spPr>
        <a:xfrm>
          <a:off x="16297002" y="4923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62049</xdr:colOff>
      <xdr:row>257</xdr:row>
      <xdr:rowOff>38099</xdr:rowOff>
    </xdr:from>
    <xdr:to>
      <xdr:col>72</xdr:col>
      <xdr:colOff>104684</xdr:colOff>
      <xdr:row>257</xdr:row>
      <xdr:rowOff>152399</xdr:rowOff>
    </xdr:to>
    <xdr:sp macro="" textlink="">
      <xdr:nvSpPr>
        <xdr:cNvPr id="140" name="254"/>
        <xdr:cNvSpPr/>
      </xdr:nvSpPr>
      <xdr:spPr>
        <a:xfrm>
          <a:off x="16627929" y="48988979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62049</xdr:colOff>
      <xdr:row>257</xdr:row>
      <xdr:rowOff>95249</xdr:rowOff>
    </xdr:from>
    <xdr:to>
      <xdr:col>70</xdr:col>
      <xdr:colOff>62049</xdr:colOff>
      <xdr:row>257</xdr:row>
      <xdr:rowOff>95249</xdr:rowOff>
    </xdr:to>
    <xdr:cxnSp macro="">
      <xdr:nvCxnSpPr>
        <xdr:cNvPr id="141" name="직선 화살표 연결선 140"/>
        <xdr:cNvCxnSpPr/>
      </xdr:nvCxnSpPr>
      <xdr:spPr>
        <a:xfrm>
          <a:off x="16627929" y="4904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256</xdr:row>
      <xdr:rowOff>38099</xdr:rowOff>
    </xdr:from>
    <xdr:to>
      <xdr:col>70</xdr:col>
      <xdr:colOff>125366</xdr:colOff>
      <xdr:row>256</xdr:row>
      <xdr:rowOff>152399</xdr:rowOff>
    </xdr:to>
    <xdr:sp macro="" textlink="">
      <xdr:nvSpPr>
        <xdr:cNvPr id="142" name="253"/>
        <xdr:cNvSpPr/>
      </xdr:nvSpPr>
      <xdr:spPr>
        <a:xfrm>
          <a:off x="16048808" y="48798479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256</xdr:row>
      <xdr:rowOff>95249</xdr:rowOff>
    </xdr:from>
    <xdr:to>
      <xdr:col>66</xdr:col>
      <xdr:colOff>62048</xdr:colOff>
      <xdr:row>256</xdr:row>
      <xdr:rowOff>95249</xdr:rowOff>
    </xdr:to>
    <xdr:cxnSp macro="">
      <xdr:nvCxnSpPr>
        <xdr:cNvPr id="143" name="직선 화살표 연결선 142"/>
        <xdr:cNvCxnSpPr/>
      </xdr:nvCxnSpPr>
      <xdr:spPr>
        <a:xfrm>
          <a:off x="16048808" y="4885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255</xdr:row>
      <xdr:rowOff>38099</xdr:rowOff>
    </xdr:from>
    <xdr:to>
      <xdr:col>72</xdr:col>
      <xdr:colOff>104684</xdr:colOff>
      <xdr:row>255</xdr:row>
      <xdr:rowOff>152399</xdr:rowOff>
    </xdr:to>
    <xdr:sp macro="" textlink="">
      <xdr:nvSpPr>
        <xdr:cNvPr id="144" name="252"/>
        <xdr:cNvSpPr/>
      </xdr:nvSpPr>
      <xdr:spPr>
        <a:xfrm>
          <a:off x="16048808" y="48607979"/>
          <a:ext cx="91131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255</xdr:row>
      <xdr:rowOff>95249</xdr:rowOff>
    </xdr:from>
    <xdr:to>
      <xdr:col>66</xdr:col>
      <xdr:colOff>62048</xdr:colOff>
      <xdr:row>255</xdr:row>
      <xdr:rowOff>95249</xdr:rowOff>
    </xdr:to>
    <xdr:cxnSp macro="">
      <xdr:nvCxnSpPr>
        <xdr:cNvPr id="145" name="직선 화살표 연결선 144"/>
        <xdr:cNvCxnSpPr/>
      </xdr:nvCxnSpPr>
      <xdr:spPr>
        <a:xfrm>
          <a:off x="16048808" y="4866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254</xdr:row>
      <xdr:rowOff>38099</xdr:rowOff>
    </xdr:from>
    <xdr:to>
      <xdr:col>83</xdr:col>
      <xdr:colOff>21952</xdr:colOff>
      <xdr:row>254</xdr:row>
      <xdr:rowOff>152399</xdr:rowOff>
    </xdr:to>
    <xdr:sp macro="" textlink="">
      <xdr:nvSpPr>
        <xdr:cNvPr id="146" name="251"/>
        <xdr:cNvSpPr/>
      </xdr:nvSpPr>
      <xdr:spPr>
        <a:xfrm>
          <a:off x="16048808" y="48417479"/>
          <a:ext cx="242116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254</xdr:row>
      <xdr:rowOff>95249</xdr:rowOff>
    </xdr:from>
    <xdr:to>
      <xdr:col>66</xdr:col>
      <xdr:colOff>62048</xdr:colOff>
      <xdr:row>254</xdr:row>
      <xdr:rowOff>95249</xdr:rowOff>
    </xdr:to>
    <xdr:cxnSp macro="">
      <xdr:nvCxnSpPr>
        <xdr:cNvPr id="147" name="직선 화살표 연결선 146"/>
        <xdr:cNvCxnSpPr/>
      </xdr:nvCxnSpPr>
      <xdr:spPr>
        <a:xfrm>
          <a:off x="16048808" y="4847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253</xdr:row>
      <xdr:rowOff>38099</xdr:rowOff>
    </xdr:from>
    <xdr:to>
      <xdr:col>90</xdr:col>
      <xdr:colOff>1270</xdr:colOff>
      <xdr:row>253</xdr:row>
      <xdr:rowOff>152399</xdr:rowOff>
    </xdr:to>
    <xdr:sp macro="" textlink="">
      <xdr:nvSpPr>
        <xdr:cNvPr id="148" name="250"/>
        <xdr:cNvSpPr/>
      </xdr:nvSpPr>
      <xdr:spPr>
        <a:xfrm>
          <a:off x="16048808" y="48226979"/>
          <a:ext cx="341394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253</xdr:row>
      <xdr:rowOff>95249</xdr:rowOff>
    </xdr:from>
    <xdr:to>
      <xdr:col>66</xdr:col>
      <xdr:colOff>62048</xdr:colOff>
      <xdr:row>253</xdr:row>
      <xdr:rowOff>95249</xdr:rowOff>
    </xdr:to>
    <xdr:cxnSp macro="">
      <xdr:nvCxnSpPr>
        <xdr:cNvPr id="149" name="직선 화살표 연결선 148"/>
        <xdr:cNvCxnSpPr/>
      </xdr:nvCxnSpPr>
      <xdr:spPr>
        <a:xfrm>
          <a:off x="16048808" y="4828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252</xdr:row>
      <xdr:rowOff>38099</xdr:rowOff>
    </xdr:from>
    <xdr:to>
      <xdr:col>90</xdr:col>
      <xdr:colOff>1270</xdr:colOff>
      <xdr:row>252</xdr:row>
      <xdr:rowOff>152399</xdr:rowOff>
    </xdr:to>
    <xdr:sp macro="" textlink="">
      <xdr:nvSpPr>
        <xdr:cNvPr id="150" name="249"/>
        <xdr:cNvSpPr/>
      </xdr:nvSpPr>
      <xdr:spPr>
        <a:xfrm>
          <a:off x="16048808" y="48036479"/>
          <a:ext cx="341394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252</xdr:row>
      <xdr:rowOff>95249</xdr:rowOff>
    </xdr:from>
    <xdr:to>
      <xdr:col>66</xdr:col>
      <xdr:colOff>62048</xdr:colOff>
      <xdr:row>252</xdr:row>
      <xdr:rowOff>95249</xdr:rowOff>
    </xdr:to>
    <xdr:cxnSp macro="">
      <xdr:nvCxnSpPr>
        <xdr:cNvPr id="151" name="직선 화살표 연결선 150"/>
        <xdr:cNvCxnSpPr/>
      </xdr:nvCxnSpPr>
      <xdr:spPr>
        <a:xfrm>
          <a:off x="16048808" y="4809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103414</xdr:colOff>
      <xdr:row>251</xdr:row>
      <xdr:rowOff>38099</xdr:rowOff>
    </xdr:from>
    <xdr:to>
      <xdr:col>74</xdr:col>
      <xdr:colOff>84001</xdr:colOff>
      <xdr:row>251</xdr:row>
      <xdr:rowOff>152399</xdr:rowOff>
    </xdr:to>
    <xdr:sp macro="" textlink="">
      <xdr:nvSpPr>
        <xdr:cNvPr id="152" name="248"/>
        <xdr:cNvSpPr/>
      </xdr:nvSpPr>
      <xdr:spPr>
        <a:xfrm>
          <a:off x="17103634" y="478459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103414</xdr:colOff>
      <xdr:row>251</xdr:row>
      <xdr:rowOff>95249</xdr:rowOff>
    </xdr:from>
    <xdr:to>
      <xdr:col>73</xdr:col>
      <xdr:colOff>103414</xdr:colOff>
      <xdr:row>251</xdr:row>
      <xdr:rowOff>95249</xdr:rowOff>
    </xdr:to>
    <xdr:cxnSp macro="">
      <xdr:nvCxnSpPr>
        <xdr:cNvPr id="153" name="직선 화살표 연결선 152"/>
        <xdr:cNvCxnSpPr/>
      </xdr:nvCxnSpPr>
      <xdr:spPr>
        <a:xfrm>
          <a:off x="17103634" y="4790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250</xdr:row>
      <xdr:rowOff>38099</xdr:rowOff>
    </xdr:from>
    <xdr:to>
      <xdr:col>73</xdr:col>
      <xdr:colOff>104683</xdr:colOff>
      <xdr:row>250</xdr:row>
      <xdr:rowOff>152399</xdr:rowOff>
    </xdr:to>
    <xdr:sp macro="" textlink="">
      <xdr:nvSpPr>
        <xdr:cNvPr id="154" name="247"/>
        <xdr:cNvSpPr/>
      </xdr:nvSpPr>
      <xdr:spPr>
        <a:xfrm>
          <a:off x="16048808" y="476554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250</xdr:row>
      <xdr:rowOff>95249</xdr:rowOff>
    </xdr:from>
    <xdr:to>
      <xdr:col>66</xdr:col>
      <xdr:colOff>62048</xdr:colOff>
      <xdr:row>250</xdr:row>
      <xdr:rowOff>95249</xdr:rowOff>
    </xdr:to>
    <xdr:cxnSp macro="">
      <xdr:nvCxnSpPr>
        <xdr:cNvPr id="155" name="직선 화살표 연결선 154"/>
        <xdr:cNvCxnSpPr/>
      </xdr:nvCxnSpPr>
      <xdr:spPr>
        <a:xfrm>
          <a:off x="16048808" y="4771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249</xdr:row>
      <xdr:rowOff>38099</xdr:rowOff>
    </xdr:from>
    <xdr:to>
      <xdr:col>66</xdr:col>
      <xdr:colOff>84002</xdr:colOff>
      <xdr:row>249</xdr:row>
      <xdr:rowOff>152399</xdr:rowOff>
    </xdr:to>
    <xdr:sp macro="" textlink="">
      <xdr:nvSpPr>
        <xdr:cNvPr id="156" name="246"/>
        <xdr:cNvSpPr/>
      </xdr:nvSpPr>
      <xdr:spPr>
        <a:xfrm>
          <a:off x="15945394" y="474649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249</xdr:row>
      <xdr:rowOff>95249</xdr:rowOff>
    </xdr:from>
    <xdr:to>
      <xdr:col>65</xdr:col>
      <xdr:colOff>103414</xdr:colOff>
      <xdr:row>249</xdr:row>
      <xdr:rowOff>95249</xdr:rowOff>
    </xdr:to>
    <xdr:cxnSp macro="">
      <xdr:nvCxnSpPr>
        <xdr:cNvPr id="157" name="직선 화살표 연결선 156"/>
        <xdr:cNvCxnSpPr/>
      </xdr:nvCxnSpPr>
      <xdr:spPr>
        <a:xfrm>
          <a:off x="15945394" y="4752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248</xdr:row>
      <xdr:rowOff>38099</xdr:rowOff>
    </xdr:from>
    <xdr:to>
      <xdr:col>74</xdr:col>
      <xdr:colOff>84001</xdr:colOff>
      <xdr:row>248</xdr:row>
      <xdr:rowOff>152399</xdr:rowOff>
    </xdr:to>
    <xdr:sp macro="" textlink="">
      <xdr:nvSpPr>
        <xdr:cNvPr id="158" name="245"/>
        <xdr:cNvSpPr/>
      </xdr:nvSpPr>
      <xdr:spPr>
        <a:xfrm>
          <a:off x="15945394" y="472744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248</xdr:row>
      <xdr:rowOff>95249</xdr:rowOff>
    </xdr:from>
    <xdr:to>
      <xdr:col>65</xdr:col>
      <xdr:colOff>103414</xdr:colOff>
      <xdr:row>248</xdr:row>
      <xdr:rowOff>95249</xdr:rowOff>
    </xdr:to>
    <xdr:cxnSp macro="">
      <xdr:nvCxnSpPr>
        <xdr:cNvPr id="159" name="직선 화살표 연결선 158"/>
        <xdr:cNvCxnSpPr/>
      </xdr:nvCxnSpPr>
      <xdr:spPr>
        <a:xfrm>
          <a:off x="15945394" y="4733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82732</xdr:colOff>
      <xdr:row>247</xdr:row>
      <xdr:rowOff>38099</xdr:rowOff>
    </xdr:from>
    <xdr:to>
      <xdr:col>72</xdr:col>
      <xdr:colOff>63318</xdr:colOff>
      <xdr:row>247</xdr:row>
      <xdr:rowOff>152399</xdr:rowOff>
    </xdr:to>
    <xdr:sp macro="" textlink="">
      <xdr:nvSpPr>
        <xdr:cNvPr id="160" name="244"/>
        <xdr:cNvSpPr/>
      </xdr:nvSpPr>
      <xdr:spPr>
        <a:xfrm>
          <a:off x="16793392" y="47083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82732</xdr:colOff>
      <xdr:row>247</xdr:row>
      <xdr:rowOff>95249</xdr:rowOff>
    </xdr:from>
    <xdr:to>
      <xdr:col>71</xdr:col>
      <xdr:colOff>82732</xdr:colOff>
      <xdr:row>247</xdr:row>
      <xdr:rowOff>95249</xdr:rowOff>
    </xdr:to>
    <xdr:cxnSp macro="">
      <xdr:nvCxnSpPr>
        <xdr:cNvPr id="161" name="직선 화살표 연결선 160"/>
        <xdr:cNvCxnSpPr/>
      </xdr:nvCxnSpPr>
      <xdr:spPr>
        <a:xfrm>
          <a:off x="16793392" y="4714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246</xdr:row>
      <xdr:rowOff>38099</xdr:rowOff>
    </xdr:from>
    <xdr:to>
      <xdr:col>71</xdr:col>
      <xdr:colOff>84002</xdr:colOff>
      <xdr:row>246</xdr:row>
      <xdr:rowOff>152399</xdr:rowOff>
    </xdr:to>
    <xdr:sp macro="" textlink="">
      <xdr:nvSpPr>
        <xdr:cNvPr id="162" name="243"/>
        <xdr:cNvSpPr/>
      </xdr:nvSpPr>
      <xdr:spPr>
        <a:xfrm>
          <a:off x="15738566" y="468934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246</xdr:row>
      <xdr:rowOff>95249</xdr:rowOff>
    </xdr:from>
    <xdr:to>
      <xdr:col>64</xdr:col>
      <xdr:colOff>41366</xdr:colOff>
      <xdr:row>246</xdr:row>
      <xdr:rowOff>95249</xdr:rowOff>
    </xdr:to>
    <xdr:cxnSp macro="">
      <xdr:nvCxnSpPr>
        <xdr:cNvPr id="163" name="직선 화살표 연결선 162"/>
        <xdr:cNvCxnSpPr/>
      </xdr:nvCxnSpPr>
      <xdr:spPr>
        <a:xfrm>
          <a:off x="15738566" y="4695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245</xdr:row>
      <xdr:rowOff>38099</xdr:rowOff>
    </xdr:from>
    <xdr:to>
      <xdr:col>64</xdr:col>
      <xdr:colOff>63319</xdr:colOff>
      <xdr:row>245</xdr:row>
      <xdr:rowOff>152399</xdr:rowOff>
    </xdr:to>
    <xdr:sp macro="" textlink="">
      <xdr:nvSpPr>
        <xdr:cNvPr id="164" name="242"/>
        <xdr:cNvSpPr/>
      </xdr:nvSpPr>
      <xdr:spPr>
        <a:xfrm>
          <a:off x="15635151" y="467029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245</xdr:row>
      <xdr:rowOff>95249</xdr:rowOff>
    </xdr:from>
    <xdr:to>
      <xdr:col>63</xdr:col>
      <xdr:colOff>82731</xdr:colOff>
      <xdr:row>245</xdr:row>
      <xdr:rowOff>95249</xdr:rowOff>
    </xdr:to>
    <xdr:cxnSp macro="">
      <xdr:nvCxnSpPr>
        <xdr:cNvPr id="165" name="직선 화살표 연결선 164"/>
        <xdr:cNvCxnSpPr/>
      </xdr:nvCxnSpPr>
      <xdr:spPr>
        <a:xfrm>
          <a:off x="15635151" y="4676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244</xdr:row>
      <xdr:rowOff>38099</xdr:rowOff>
    </xdr:from>
    <xdr:to>
      <xdr:col>72</xdr:col>
      <xdr:colOff>63318</xdr:colOff>
      <xdr:row>244</xdr:row>
      <xdr:rowOff>152399</xdr:rowOff>
    </xdr:to>
    <xdr:sp macro="" textlink="">
      <xdr:nvSpPr>
        <xdr:cNvPr id="166" name="241"/>
        <xdr:cNvSpPr/>
      </xdr:nvSpPr>
      <xdr:spPr>
        <a:xfrm>
          <a:off x="15635151" y="465124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244</xdr:row>
      <xdr:rowOff>95249</xdr:rowOff>
    </xdr:from>
    <xdr:to>
      <xdr:col>63</xdr:col>
      <xdr:colOff>82731</xdr:colOff>
      <xdr:row>244</xdr:row>
      <xdr:rowOff>95249</xdr:rowOff>
    </xdr:to>
    <xdr:cxnSp macro="">
      <xdr:nvCxnSpPr>
        <xdr:cNvPr id="167" name="직선 화살표 연결선 166"/>
        <xdr:cNvCxnSpPr/>
      </xdr:nvCxnSpPr>
      <xdr:spPr>
        <a:xfrm>
          <a:off x="15635151" y="4656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243</xdr:row>
      <xdr:rowOff>38099</xdr:rowOff>
    </xdr:from>
    <xdr:to>
      <xdr:col>74</xdr:col>
      <xdr:colOff>84001</xdr:colOff>
      <xdr:row>243</xdr:row>
      <xdr:rowOff>152399</xdr:rowOff>
    </xdr:to>
    <xdr:sp macro="" textlink="">
      <xdr:nvSpPr>
        <xdr:cNvPr id="168" name="240"/>
        <xdr:cNvSpPr/>
      </xdr:nvSpPr>
      <xdr:spPr>
        <a:xfrm>
          <a:off x="15635151" y="46321979"/>
          <a:ext cx="15938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243</xdr:row>
      <xdr:rowOff>95249</xdr:rowOff>
    </xdr:from>
    <xdr:to>
      <xdr:col>63</xdr:col>
      <xdr:colOff>82731</xdr:colOff>
      <xdr:row>243</xdr:row>
      <xdr:rowOff>95249</xdr:rowOff>
    </xdr:to>
    <xdr:cxnSp macro="">
      <xdr:nvCxnSpPr>
        <xdr:cNvPr id="169" name="직선 화살표 연결선 168"/>
        <xdr:cNvCxnSpPr/>
      </xdr:nvCxnSpPr>
      <xdr:spPr>
        <a:xfrm>
          <a:off x="15635151" y="4637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103415</xdr:colOff>
      <xdr:row>242</xdr:row>
      <xdr:rowOff>38099</xdr:rowOff>
    </xdr:from>
    <xdr:to>
      <xdr:col>83</xdr:col>
      <xdr:colOff>84001</xdr:colOff>
      <xdr:row>242</xdr:row>
      <xdr:rowOff>152399</xdr:rowOff>
    </xdr:to>
    <xdr:sp macro="" textlink="">
      <xdr:nvSpPr>
        <xdr:cNvPr id="170" name="239"/>
        <xdr:cNvSpPr/>
      </xdr:nvSpPr>
      <xdr:spPr>
        <a:xfrm>
          <a:off x="18406655" y="46131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103415</xdr:colOff>
      <xdr:row>242</xdr:row>
      <xdr:rowOff>95249</xdr:rowOff>
    </xdr:from>
    <xdr:to>
      <xdr:col>82</xdr:col>
      <xdr:colOff>103415</xdr:colOff>
      <xdr:row>242</xdr:row>
      <xdr:rowOff>95249</xdr:rowOff>
    </xdr:to>
    <xdr:cxnSp macro="">
      <xdr:nvCxnSpPr>
        <xdr:cNvPr id="171" name="직선 화살표 연결선 170"/>
        <xdr:cNvCxnSpPr/>
      </xdr:nvCxnSpPr>
      <xdr:spPr>
        <a:xfrm>
          <a:off x="18406655" y="4618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62049</xdr:colOff>
      <xdr:row>241</xdr:row>
      <xdr:rowOff>38099</xdr:rowOff>
    </xdr:from>
    <xdr:to>
      <xdr:col>82</xdr:col>
      <xdr:colOff>104684</xdr:colOff>
      <xdr:row>241</xdr:row>
      <xdr:rowOff>152399</xdr:rowOff>
    </xdr:to>
    <xdr:sp macro="" textlink="">
      <xdr:nvSpPr>
        <xdr:cNvPr id="172" name="238"/>
        <xdr:cNvSpPr/>
      </xdr:nvSpPr>
      <xdr:spPr>
        <a:xfrm>
          <a:off x="17351829" y="459409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62049</xdr:colOff>
      <xdr:row>241</xdr:row>
      <xdr:rowOff>95249</xdr:rowOff>
    </xdr:from>
    <xdr:to>
      <xdr:col>75</xdr:col>
      <xdr:colOff>62049</xdr:colOff>
      <xdr:row>241</xdr:row>
      <xdr:rowOff>95249</xdr:rowOff>
    </xdr:to>
    <xdr:cxnSp macro="">
      <xdr:nvCxnSpPr>
        <xdr:cNvPr id="173" name="직선 화살표 연결선 172"/>
        <xdr:cNvCxnSpPr/>
      </xdr:nvCxnSpPr>
      <xdr:spPr>
        <a:xfrm>
          <a:off x="17351829" y="4599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103414</xdr:colOff>
      <xdr:row>240</xdr:row>
      <xdr:rowOff>38099</xdr:rowOff>
    </xdr:from>
    <xdr:to>
      <xdr:col>75</xdr:col>
      <xdr:colOff>84001</xdr:colOff>
      <xdr:row>240</xdr:row>
      <xdr:rowOff>152399</xdr:rowOff>
    </xdr:to>
    <xdr:sp macro="" textlink="">
      <xdr:nvSpPr>
        <xdr:cNvPr id="174" name="237"/>
        <xdr:cNvSpPr/>
      </xdr:nvSpPr>
      <xdr:spPr>
        <a:xfrm>
          <a:off x="17248414" y="457504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103414</xdr:colOff>
      <xdr:row>240</xdr:row>
      <xdr:rowOff>95249</xdr:rowOff>
    </xdr:from>
    <xdr:to>
      <xdr:col>74</xdr:col>
      <xdr:colOff>103414</xdr:colOff>
      <xdr:row>240</xdr:row>
      <xdr:rowOff>95249</xdr:rowOff>
    </xdr:to>
    <xdr:cxnSp macro="">
      <xdr:nvCxnSpPr>
        <xdr:cNvPr id="175" name="직선 화살표 연결선 174"/>
        <xdr:cNvCxnSpPr/>
      </xdr:nvCxnSpPr>
      <xdr:spPr>
        <a:xfrm>
          <a:off x="17248414" y="4580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103414</xdr:colOff>
      <xdr:row>239</xdr:row>
      <xdr:rowOff>38099</xdr:rowOff>
    </xdr:from>
    <xdr:to>
      <xdr:col>83</xdr:col>
      <xdr:colOff>84001</xdr:colOff>
      <xdr:row>239</xdr:row>
      <xdr:rowOff>152399</xdr:rowOff>
    </xdr:to>
    <xdr:sp macro="" textlink="">
      <xdr:nvSpPr>
        <xdr:cNvPr id="176" name="236"/>
        <xdr:cNvSpPr/>
      </xdr:nvSpPr>
      <xdr:spPr>
        <a:xfrm>
          <a:off x="17248414" y="45559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103414</xdr:colOff>
      <xdr:row>239</xdr:row>
      <xdr:rowOff>95249</xdr:rowOff>
    </xdr:from>
    <xdr:to>
      <xdr:col>74</xdr:col>
      <xdr:colOff>103414</xdr:colOff>
      <xdr:row>239</xdr:row>
      <xdr:rowOff>95249</xdr:rowOff>
    </xdr:to>
    <xdr:cxnSp macro="">
      <xdr:nvCxnSpPr>
        <xdr:cNvPr id="177" name="직선 화살표 연결선 176"/>
        <xdr:cNvCxnSpPr/>
      </xdr:nvCxnSpPr>
      <xdr:spPr>
        <a:xfrm>
          <a:off x="17248414" y="4561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62049</xdr:colOff>
      <xdr:row>238</xdr:row>
      <xdr:rowOff>38099</xdr:rowOff>
    </xdr:from>
    <xdr:to>
      <xdr:col>81</xdr:col>
      <xdr:colOff>42635</xdr:colOff>
      <xdr:row>238</xdr:row>
      <xdr:rowOff>152399</xdr:rowOff>
    </xdr:to>
    <xdr:sp macro="" textlink="">
      <xdr:nvSpPr>
        <xdr:cNvPr id="178" name="235"/>
        <xdr:cNvSpPr/>
      </xdr:nvSpPr>
      <xdr:spPr>
        <a:xfrm>
          <a:off x="18075729" y="45369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62049</xdr:colOff>
      <xdr:row>238</xdr:row>
      <xdr:rowOff>95249</xdr:rowOff>
    </xdr:from>
    <xdr:to>
      <xdr:col>80</xdr:col>
      <xdr:colOff>62049</xdr:colOff>
      <xdr:row>238</xdr:row>
      <xdr:rowOff>95249</xdr:rowOff>
    </xdr:to>
    <xdr:cxnSp macro="">
      <xdr:nvCxnSpPr>
        <xdr:cNvPr id="179" name="직선 화살표 연결선 178"/>
        <xdr:cNvCxnSpPr/>
      </xdr:nvCxnSpPr>
      <xdr:spPr>
        <a:xfrm>
          <a:off x="18075729" y="4542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20682</xdr:colOff>
      <xdr:row>237</xdr:row>
      <xdr:rowOff>38099</xdr:rowOff>
    </xdr:from>
    <xdr:to>
      <xdr:col>80</xdr:col>
      <xdr:colOff>63319</xdr:colOff>
      <xdr:row>237</xdr:row>
      <xdr:rowOff>152399</xdr:rowOff>
    </xdr:to>
    <xdr:sp macro="" textlink="">
      <xdr:nvSpPr>
        <xdr:cNvPr id="180" name="234"/>
        <xdr:cNvSpPr/>
      </xdr:nvSpPr>
      <xdr:spPr>
        <a:xfrm>
          <a:off x="17020902" y="45178979"/>
          <a:ext cx="1056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20682</xdr:colOff>
      <xdr:row>237</xdr:row>
      <xdr:rowOff>95249</xdr:rowOff>
    </xdr:from>
    <xdr:to>
      <xdr:col>73</xdr:col>
      <xdr:colOff>20682</xdr:colOff>
      <xdr:row>237</xdr:row>
      <xdr:rowOff>95249</xdr:rowOff>
    </xdr:to>
    <xdr:cxnSp macro="">
      <xdr:nvCxnSpPr>
        <xdr:cNvPr id="181" name="직선 화살표 연결선 180"/>
        <xdr:cNvCxnSpPr/>
      </xdr:nvCxnSpPr>
      <xdr:spPr>
        <a:xfrm>
          <a:off x="17020902" y="4523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236</xdr:row>
      <xdr:rowOff>38099</xdr:rowOff>
    </xdr:from>
    <xdr:to>
      <xdr:col>73</xdr:col>
      <xdr:colOff>42636</xdr:colOff>
      <xdr:row>236</xdr:row>
      <xdr:rowOff>152399</xdr:rowOff>
    </xdr:to>
    <xdr:sp macro="" textlink="">
      <xdr:nvSpPr>
        <xdr:cNvPr id="182" name="233"/>
        <xdr:cNvSpPr/>
      </xdr:nvSpPr>
      <xdr:spPr>
        <a:xfrm>
          <a:off x="16917488" y="449884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236</xdr:row>
      <xdr:rowOff>95249</xdr:rowOff>
    </xdr:from>
    <xdr:to>
      <xdr:col>72</xdr:col>
      <xdr:colOff>62048</xdr:colOff>
      <xdr:row>236</xdr:row>
      <xdr:rowOff>95249</xdr:rowOff>
    </xdr:to>
    <xdr:cxnSp macro="">
      <xdr:nvCxnSpPr>
        <xdr:cNvPr id="183" name="직선 화살표 연결선 182"/>
        <xdr:cNvCxnSpPr/>
      </xdr:nvCxnSpPr>
      <xdr:spPr>
        <a:xfrm>
          <a:off x="16917488" y="4504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62048</xdr:colOff>
      <xdr:row>235</xdr:row>
      <xdr:rowOff>38099</xdr:rowOff>
    </xdr:from>
    <xdr:to>
      <xdr:col>81</xdr:col>
      <xdr:colOff>42635</xdr:colOff>
      <xdr:row>235</xdr:row>
      <xdr:rowOff>152399</xdr:rowOff>
    </xdr:to>
    <xdr:sp macro="" textlink="">
      <xdr:nvSpPr>
        <xdr:cNvPr id="184" name="232"/>
        <xdr:cNvSpPr/>
      </xdr:nvSpPr>
      <xdr:spPr>
        <a:xfrm>
          <a:off x="16917488" y="44797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62048</xdr:colOff>
      <xdr:row>235</xdr:row>
      <xdr:rowOff>95249</xdr:rowOff>
    </xdr:from>
    <xdr:to>
      <xdr:col>72</xdr:col>
      <xdr:colOff>62048</xdr:colOff>
      <xdr:row>235</xdr:row>
      <xdr:rowOff>95249</xdr:rowOff>
    </xdr:to>
    <xdr:cxnSp macro="">
      <xdr:nvCxnSpPr>
        <xdr:cNvPr id="185" name="직선 화살표 연결선 184"/>
        <xdr:cNvCxnSpPr/>
      </xdr:nvCxnSpPr>
      <xdr:spPr>
        <a:xfrm>
          <a:off x="16917488" y="4485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20682</xdr:colOff>
      <xdr:row>234</xdr:row>
      <xdr:rowOff>38099</xdr:rowOff>
    </xdr:from>
    <xdr:to>
      <xdr:col>79</xdr:col>
      <xdr:colOff>1270</xdr:colOff>
      <xdr:row>234</xdr:row>
      <xdr:rowOff>152399</xdr:rowOff>
    </xdr:to>
    <xdr:sp macro="" textlink="">
      <xdr:nvSpPr>
        <xdr:cNvPr id="186" name="231"/>
        <xdr:cNvSpPr/>
      </xdr:nvSpPr>
      <xdr:spPr>
        <a:xfrm>
          <a:off x="17744802" y="446074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20682</xdr:colOff>
      <xdr:row>234</xdr:row>
      <xdr:rowOff>95249</xdr:rowOff>
    </xdr:from>
    <xdr:to>
      <xdr:col>78</xdr:col>
      <xdr:colOff>20682</xdr:colOff>
      <xdr:row>234</xdr:row>
      <xdr:rowOff>95249</xdr:rowOff>
    </xdr:to>
    <xdr:cxnSp macro="">
      <xdr:nvCxnSpPr>
        <xdr:cNvPr id="187" name="직선 화살표 연결선 186"/>
        <xdr:cNvCxnSpPr/>
      </xdr:nvCxnSpPr>
      <xdr:spPr>
        <a:xfrm>
          <a:off x="17744802" y="4466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124097</xdr:colOff>
      <xdr:row>233</xdr:row>
      <xdr:rowOff>38099</xdr:rowOff>
    </xdr:from>
    <xdr:to>
      <xdr:col>78</xdr:col>
      <xdr:colOff>21952</xdr:colOff>
      <xdr:row>233</xdr:row>
      <xdr:rowOff>152399</xdr:rowOff>
    </xdr:to>
    <xdr:sp macro="" textlink="">
      <xdr:nvSpPr>
        <xdr:cNvPr id="188" name="230"/>
        <xdr:cNvSpPr/>
      </xdr:nvSpPr>
      <xdr:spPr>
        <a:xfrm>
          <a:off x="16689977" y="444169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124097</xdr:colOff>
      <xdr:row>233</xdr:row>
      <xdr:rowOff>95249</xdr:rowOff>
    </xdr:from>
    <xdr:to>
      <xdr:col>70</xdr:col>
      <xdr:colOff>124097</xdr:colOff>
      <xdr:row>233</xdr:row>
      <xdr:rowOff>95249</xdr:rowOff>
    </xdr:to>
    <xdr:cxnSp macro="">
      <xdr:nvCxnSpPr>
        <xdr:cNvPr id="189" name="직선 화살표 연결선 188"/>
        <xdr:cNvCxnSpPr/>
      </xdr:nvCxnSpPr>
      <xdr:spPr>
        <a:xfrm>
          <a:off x="16689977" y="4447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20683</xdr:colOff>
      <xdr:row>232</xdr:row>
      <xdr:rowOff>38099</xdr:rowOff>
    </xdr:from>
    <xdr:to>
      <xdr:col>71</xdr:col>
      <xdr:colOff>1270</xdr:colOff>
      <xdr:row>232</xdr:row>
      <xdr:rowOff>152399</xdr:rowOff>
    </xdr:to>
    <xdr:sp macro="" textlink="">
      <xdr:nvSpPr>
        <xdr:cNvPr id="190" name="229"/>
        <xdr:cNvSpPr/>
      </xdr:nvSpPr>
      <xdr:spPr>
        <a:xfrm>
          <a:off x="16586563" y="442264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20683</xdr:colOff>
      <xdr:row>232</xdr:row>
      <xdr:rowOff>95249</xdr:rowOff>
    </xdr:from>
    <xdr:to>
      <xdr:col>70</xdr:col>
      <xdr:colOff>20683</xdr:colOff>
      <xdr:row>232</xdr:row>
      <xdr:rowOff>95249</xdr:rowOff>
    </xdr:to>
    <xdr:cxnSp macro="">
      <xdr:nvCxnSpPr>
        <xdr:cNvPr id="191" name="직선 화살표 연결선 190"/>
        <xdr:cNvCxnSpPr/>
      </xdr:nvCxnSpPr>
      <xdr:spPr>
        <a:xfrm>
          <a:off x="16586563" y="4428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20683</xdr:colOff>
      <xdr:row>231</xdr:row>
      <xdr:rowOff>38099</xdr:rowOff>
    </xdr:from>
    <xdr:to>
      <xdr:col>79</xdr:col>
      <xdr:colOff>1270</xdr:colOff>
      <xdr:row>231</xdr:row>
      <xdr:rowOff>152399</xdr:rowOff>
    </xdr:to>
    <xdr:sp macro="" textlink="">
      <xdr:nvSpPr>
        <xdr:cNvPr id="192" name="228"/>
        <xdr:cNvSpPr/>
      </xdr:nvSpPr>
      <xdr:spPr>
        <a:xfrm>
          <a:off x="16586563" y="44035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20683</xdr:colOff>
      <xdr:row>231</xdr:row>
      <xdr:rowOff>95249</xdr:rowOff>
    </xdr:from>
    <xdr:to>
      <xdr:col>70</xdr:col>
      <xdr:colOff>20683</xdr:colOff>
      <xdr:row>231</xdr:row>
      <xdr:rowOff>95249</xdr:rowOff>
    </xdr:to>
    <xdr:cxnSp macro="">
      <xdr:nvCxnSpPr>
        <xdr:cNvPr id="193" name="직선 화살표 연결선 192"/>
        <xdr:cNvCxnSpPr/>
      </xdr:nvCxnSpPr>
      <xdr:spPr>
        <a:xfrm>
          <a:off x="16586563" y="4409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</xdr:colOff>
      <xdr:row>230</xdr:row>
      <xdr:rowOff>38099</xdr:rowOff>
    </xdr:from>
    <xdr:to>
      <xdr:col>76</xdr:col>
      <xdr:colOff>125367</xdr:colOff>
      <xdr:row>230</xdr:row>
      <xdr:rowOff>152399</xdr:rowOff>
    </xdr:to>
    <xdr:sp macro="" textlink="">
      <xdr:nvSpPr>
        <xdr:cNvPr id="194" name="227"/>
        <xdr:cNvSpPr/>
      </xdr:nvSpPr>
      <xdr:spPr>
        <a:xfrm>
          <a:off x="17434561" y="43845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</xdr:colOff>
      <xdr:row>230</xdr:row>
      <xdr:rowOff>95249</xdr:rowOff>
    </xdr:from>
    <xdr:to>
      <xdr:col>76</xdr:col>
      <xdr:colOff>1</xdr:colOff>
      <xdr:row>230</xdr:row>
      <xdr:rowOff>95249</xdr:rowOff>
    </xdr:to>
    <xdr:cxnSp macro="">
      <xdr:nvCxnSpPr>
        <xdr:cNvPr id="195" name="직선 화살표 연결선 194"/>
        <xdr:cNvCxnSpPr/>
      </xdr:nvCxnSpPr>
      <xdr:spPr>
        <a:xfrm>
          <a:off x="17434561" y="4390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103414</xdr:colOff>
      <xdr:row>229</xdr:row>
      <xdr:rowOff>38099</xdr:rowOff>
    </xdr:from>
    <xdr:to>
      <xdr:col>76</xdr:col>
      <xdr:colOff>1270</xdr:colOff>
      <xdr:row>229</xdr:row>
      <xdr:rowOff>152399</xdr:rowOff>
    </xdr:to>
    <xdr:sp macro="" textlink="">
      <xdr:nvSpPr>
        <xdr:cNvPr id="196" name="226"/>
        <xdr:cNvSpPr/>
      </xdr:nvSpPr>
      <xdr:spPr>
        <a:xfrm>
          <a:off x="16379734" y="436549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103414</xdr:colOff>
      <xdr:row>229</xdr:row>
      <xdr:rowOff>95249</xdr:rowOff>
    </xdr:from>
    <xdr:to>
      <xdr:col>68</xdr:col>
      <xdr:colOff>103414</xdr:colOff>
      <xdr:row>229</xdr:row>
      <xdr:rowOff>95249</xdr:rowOff>
    </xdr:to>
    <xdr:cxnSp macro="">
      <xdr:nvCxnSpPr>
        <xdr:cNvPr id="197" name="직선 화살표 연결선 196"/>
        <xdr:cNvCxnSpPr/>
      </xdr:nvCxnSpPr>
      <xdr:spPr>
        <a:xfrm>
          <a:off x="16379734" y="4371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228</xdr:row>
      <xdr:rowOff>38099</xdr:rowOff>
    </xdr:from>
    <xdr:to>
      <xdr:col>68</xdr:col>
      <xdr:colOff>125367</xdr:colOff>
      <xdr:row>228</xdr:row>
      <xdr:rowOff>152399</xdr:rowOff>
    </xdr:to>
    <xdr:sp macro="" textlink="">
      <xdr:nvSpPr>
        <xdr:cNvPr id="198" name="225"/>
        <xdr:cNvSpPr/>
      </xdr:nvSpPr>
      <xdr:spPr>
        <a:xfrm>
          <a:off x="16276320" y="434644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228</xdr:row>
      <xdr:rowOff>95249</xdr:rowOff>
    </xdr:from>
    <xdr:to>
      <xdr:col>68</xdr:col>
      <xdr:colOff>0</xdr:colOff>
      <xdr:row>228</xdr:row>
      <xdr:rowOff>95249</xdr:rowOff>
    </xdr:to>
    <xdr:cxnSp macro="">
      <xdr:nvCxnSpPr>
        <xdr:cNvPr id="199" name="직선 화살표 연결선 198"/>
        <xdr:cNvCxnSpPr/>
      </xdr:nvCxnSpPr>
      <xdr:spPr>
        <a:xfrm>
          <a:off x="16276320" y="4352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227</xdr:row>
      <xdr:rowOff>38099</xdr:rowOff>
    </xdr:from>
    <xdr:to>
      <xdr:col>76</xdr:col>
      <xdr:colOff>125367</xdr:colOff>
      <xdr:row>227</xdr:row>
      <xdr:rowOff>152399</xdr:rowOff>
    </xdr:to>
    <xdr:sp macro="" textlink="">
      <xdr:nvSpPr>
        <xdr:cNvPr id="200" name="224"/>
        <xdr:cNvSpPr/>
      </xdr:nvSpPr>
      <xdr:spPr>
        <a:xfrm>
          <a:off x="16276320" y="43273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227</xdr:row>
      <xdr:rowOff>95249</xdr:rowOff>
    </xdr:from>
    <xdr:to>
      <xdr:col>68</xdr:col>
      <xdr:colOff>0</xdr:colOff>
      <xdr:row>227</xdr:row>
      <xdr:rowOff>95249</xdr:rowOff>
    </xdr:to>
    <xdr:cxnSp macro="">
      <xdr:nvCxnSpPr>
        <xdr:cNvPr id="201" name="직선 화살표 연결선 200"/>
        <xdr:cNvCxnSpPr/>
      </xdr:nvCxnSpPr>
      <xdr:spPr>
        <a:xfrm>
          <a:off x="16276320" y="4333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82732</xdr:colOff>
      <xdr:row>226</xdr:row>
      <xdr:rowOff>38099</xdr:rowOff>
    </xdr:from>
    <xdr:to>
      <xdr:col>72</xdr:col>
      <xdr:colOff>63318</xdr:colOff>
      <xdr:row>226</xdr:row>
      <xdr:rowOff>152399</xdr:rowOff>
    </xdr:to>
    <xdr:sp macro="" textlink="">
      <xdr:nvSpPr>
        <xdr:cNvPr id="202" name="223"/>
        <xdr:cNvSpPr/>
      </xdr:nvSpPr>
      <xdr:spPr>
        <a:xfrm>
          <a:off x="16793392" y="43083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82732</xdr:colOff>
      <xdr:row>226</xdr:row>
      <xdr:rowOff>95249</xdr:rowOff>
    </xdr:from>
    <xdr:to>
      <xdr:col>71</xdr:col>
      <xdr:colOff>82732</xdr:colOff>
      <xdr:row>226</xdr:row>
      <xdr:rowOff>95249</xdr:rowOff>
    </xdr:to>
    <xdr:cxnSp macro="">
      <xdr:nvCxnSpPr>
        <xdr:cNvPr id="203" name="직선 화살표 연결선 202"/>
        <xdr:cNvCxnSpPr/>
      </xdr:nvCxnSpPr>
      <xdr:spPr>
        <a:xfrm>
          <a:off x="16793392" y="4314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225</xdr:row>
      <xdr:rowOff>38099</xdr:rowOff>
    </xdr:from>
    <xdr:to>
      <xdr:col>71</xdr:col>
      <xdr:colOff>84002</xdr:colOff>
      <xdr:row>225</xdr:row>
      <xdr:rowOff>152399</xdr:rowOff>
    </xdr:to>
    <xdr:sp macro="" textlink="">
      <xdr:nvSpPr>
        <xdr:cNvPr id="204" name="222"/>
        <xdr:cNvSpPr/>
      </xdr:nvSpPr>
      <xdr:spPr>
        <a:xfrm>
          <a:off x="15738566" y="428929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225</xdr:row>
      <xdr:rowOff>95249</xdr:rowOff>
    </xdr:from>
    <xdr:to>
      <xdr:col>64</xdr:col>
      <xdr:colOff>41366</xdr:colOff>
      <xdr:row>225</xdr:row>
      <xdr:rowOff>95249</xdr:rowOff>
    </xdr:to>
    <xdr:cxnSp macro="">
      <xdr:nvCxnSpPr>
        <xdr:cNvPr id="205" name="직선 화살표 연결선 204"/>
        <xdr:cNvCxnSpPr/>
      </xdr:nvCxnSpPr>
      <xdr:spPr>
        <a:xfrm>
          <a:off x="15738566" y="4295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224</xdr:row>
      <xdr:rowOff>38099</xdr:rowOff>
    </xdr:from>
    <xdr:to>
      <xdr:col>64</xdr:col>
      <xdr:colOff>63319</xdr:colOff>
      <xdr:row>224</xdr:row>
      <xdr:rowOff>152399</xdr:rowOff>
    </xdr:to>
    <xdr:sp macro="" textlink="">
      <xdr:nvSpPr>
        <xdr:cNvPr id="206" name="221"/>
        <xdr:cNvSpPr/>
      </xdr:nvSpPr>
      <xdr:spPr>
        <a:xfrm>
          <a:off x="15635151" y="427024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224</xdr:row>
      <xdr:rowOff>95249</xdr:rowOff>
    </xdr:from>
    <xdr:to>
      <xdr:col>63</xdr:col>
      <xdr:colOff>82731</xdr:colOff>
      <xdr:row>224</xdr:row>
      <xdr:rowOff>95249</xdr:rowOff>
    </xdr:to>
    <xdr:cxnSp macro="">
      <xdr:nvCxnSpPr>
        <xdr:cNvPr id="207" name="직선 화살표 연결선 206"/>
        <xdr:cNvCxnSpPr/>
      </xdr:nvCxnSpPr>
      <xdr:spPr>
        <a:xfrm>
          <a:off x="15635151" y="4275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223</xdr:row>
      <xdr:rowOff>38099</xdr:rowOff>
    </xdr:from>
    <xdr:to>
      <xdr:col>72</xdr:col>
      <xdr:colOff>63318</xdr:colOff>
      <xdr:row>223</xdr:row>
      <xdr:rowOff>152399</xdr:rowOff>
    </xdr:to>
    <xdr:sp macro="" textlink="">
      <xdr:nvSpPr>
        <xdr:cNvPr id="208" name="220"/>
        <xdr:cNvSpPr/>
      </xdr:nvSpPr>
      <xdr:spPr>
        <a:xfrm>
          <a:off x="15635151" y="42511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223</xdr:row>
      <xdr:rowOff>95249</xdr:rowOff>
    </xdr:from>
    <xdr:to>
      <xdr:col>63</xdr:col>
      <xdr:colOff>82731</xdr:colOff>
      <xdr:row>223</xdr:row>
      <xdr:rowOff>95249</xdr:rowOff>
    </xdr:to>
    <xdr:cxnSp macro="">
      <xdr:nvCxnSpPr>
        <xdr:cNvPr id="209" name="직선 화살표 연결선 208"/>
        <xdr:cNvCxnSpPr/>
      </xdr:nvCxnSpPr>
      <xdr:spPr>
        <a:xfrm>
          <a:off x="15635151" y="4256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41366</xdr:colOff>
      <xdr:row>222</xdr:row>
      <xdr:rowOff>38099</xdr:rowOff>
    </xdr:from>
    <xdr:to>
      <xdr:col>68</xdr:col>
      <xdr:colOff>21952</xdr:colOff>
      <xdr:row>222</xdr:row>
      <xdr:rowOff>152399</xdr:rowOff>
    </xdr:to>
    <xdr:sp macro="" textlink="">
      <xdr:nvSpPr>
        <xdr:cNvPr id="210" name="219"/>
        <xdr:cNvSpPr/>
      </xdr:nvSpPr>
      <xdr:spPr>
        <a:xfrm>
          <a:off x="16172906" y="42321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41366</xdr:colOff>
      <xdr:row>222</xdr:row>
      <xdr:rowOff>95249</xdr:rowOff>
    </xdr:from>
    <xdr:to>
      <xdr:col>67</xdr:col>
      <xdr:colOff>41366</xdr:colOff>
      <xdr:row>222</xdr:row>
      <xdr:rowOff>95249</xdr:rowOff>
    </xdr:to>
    <xdr:cxnSp macro="">
      <xdr:nvCxnSpPr>
        <xdr:cNvPr id="211" name="직선 화살표 연결선 210"/>
        <xdr:cNvCxnSpPr/>
      </xdr:nvCxnSpPr>
      <xdr:spPr>
        <a:xfrm>
          <a:off x="16172906" y="4237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221</xdr:row>
      <xdr:rowOff>38099</xdr:rowOff>
    </xdr:from>
    <xdr:to>
      <xdr:col>67</xdr:col>
      <xdr:colOff>42636</xdr:colOff>
      <xdr:row>221</xdr:row>
      <xdr:rowOff>152399</xdr:rowOff>
    </xdr:to>
    <xdr:sp macro="" textlink="">
      <xdr:nvSpPr>
        <xdr:cNvPr id="212" name="218"/>
        <xdr:cNvSpPr/>
      </xdr:nvSpPr>
      <xdr:spPr>
        <a:xfrm>
          <a:off x="15118080" y="421309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221</xdr:row>
      <xdr:rowOff>95249</xdr:rowOff>
    </xdr:from>
    <xdr:to>
      <xdr:col>60</xdr:col>
      <xdr:colOff>0</xdr:colOff>
      <xdr:row>221</xdr:row>
      <xdr:rowOff>95249</xdr:rowOff>
    </xdr:to>
    <xdr:cxnSp macro="">
      <xdr:nvCxnSpPr>
        <xdr:cNvPr id="213" name="직선 화살표 연결선 212"/>
        <xdr:cNvCxnSpPr/>
      </xdr:nvCxnSpPr>
      <xdr:spPr>
        <a:xfrm>
          <a:off x="15118080" y="4218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220</xdr:row>
      <xdr:rowOff>38099</xdr:rowOff>
    </xdr:from>
    <xdr:to>
      <xdr:col>60</xdr:col>
      <xdr:colOff>21952</xdr:colOff>
      <xdr:row>220</xdr:row>
      <xdr:rowOff>152399</xdr:rowOff>
    </xdr:to>
    <xdr:sp macro="" textlink="">
      <xdr:nvSpPr>
        <xdr:cNvPr id="214" name="217"/>
        <xdr:cNvSpPr/>
      </xdr:nvSpPr>
      <xdr:spPr>
        <a:xfrm>
          <a:off x="15014666" y="419404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220</xdr:row>
      <xdr:rowOff>95249</xdr:rowOff>
    </xdr:from>
    <xdr:to>
      <xdr:col>59</xdr:col>
      <xdr:colOff>41366</xdr:colOff>
      <xdr:row>220</xdr:row>
      <xdr:rowOff>95249</xdr:rowOff>
    </xdr:to>
    <xdr:cxnSp macro="">
      <xdr:nvCxnSpPr>
        <xdr:cNvPr id="215" name="직선 화살표 연결선 214"/>
        <xdr:cNvCxnSpPr/>
      </xdr:nvCxnSpPr>
      <xdr:spPr>
        <a:xfrm>
          <a:off x="15014666" y="4199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219</xdr:row>
      <xdr:rowOff>38099</xdr:rowOff>
    </xdr:from>
    <xdr:to>
      <xdr:col>68</xdr:col>
      <xdr:colOff>21952</xdr:colOff>
      <xdr:row>219</xdr:row>
      <xdr:rowOff>152399</xdr:rowOff>
    </xdr:to>
    <xdr:sp macro="" textlink="">
      <xdr:nvSpPr>
        <xdr:cNvPr id="216" name="216"/>
        <xdr:cNvSpPr/>
      </xdr:nvSpPr>
      <xdr:spPr>
        <a:xfrm>
          <a:off x="15014666" y="41749979"/>
          <a:ext cx="128360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219</xdr:row>
      <xdr:rowOff>95249</xdr:rowOff>
    </xdr:from>
    <xdr:to>
      <xdr:col>59</xdr:col>
      <xdr:colOff>41366</xdr:colOff>
      <xdr:row>219</xdr:row>
      <xdr:rowOff>95249</xdr:rowOff>
    </xdr:to>
    <xdr:cxnSp macro="">
      <xdr:nvCxnSpPr>
        <xdr:cNvPr id="217" name="직선 화살표 연결선 216"/>
        <xdr:cNvCxnSpPr/>
      </xdr:nvCxnSpPr>
      <xdr:spPr>
        <a:xfrm>
          <a:off x="15014666" y="4180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218</xdr:row>
      <xdr:rowOff>38099</xdr:rowOff>
    </xdr:from>
    <xdr:to>
      <xdr:col>83</xdr:col>
      <xdr:colOff>84001</xdr:colOff>
      <xdr:row>218</xdr:row>
      <xdr:rowOff>152399</xdr:rowOff>
    </xdr:to>
    <xdr:sp macro="" textlink="">
      <xdr:nvSpPr>
        <xdr:cNvPr id="218" name="215"/>
        <xdr:cNvSpPr/>
      </xdr:nvSpPr>
      <xdr:spPr>
        <a:xfrm>
          <a:off x="15014666" y="41559479"/>
          <a:ext cx="351735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218</xdr:row>
      <xdr:rowOff>95249</xdr:rowOff>
    </xdr:from>
    <xdr:to>
      <xdr:col>59</xdr:col>
      <xdr:colOff>41366</xdr:colOff>
      <xdr:row>218</xdr:row>
      <xdr:rowOff>95249</xdr:rowOff>
    </xdr:to>
    <xdr:cxnSp macro="">
      <xdr:nvCxnSpPr>
        <xdr:cNvPr id="219" name="직선 화살표 연결선 218"/>
        <xdr:cNvCxnSpPr/>
      </xdr:nvCxnSpPr>
      <xdr:spPr>
        <a:xfrm>
          <a:off x="15014666" y="4161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41366</xdr:colOff>
      <xdr:row>217</xdr:row>
      <xdr:rowOff>38099</xdr:rowOff>
    </xdr:from>
    <xdr:to>
      <xdr:col>68</xdr:col>
      <xdr:colOff>21952</xdr:colOff>
      <xdr:row>217</xdr:row>
      <xdr:rowOff>152399</xdr:rowOff>
    </xdr:to>
    <xdr:sp macro="" textlink="">
      <xdr:nvSpPr>
        <xdr:cNvPr id="220" name="214"/>
        <xdr:cNvSpPr/>
      </xdr:nvSpPr>
      <xdr:spPr>
        <a:xfrm>
          <a:off x="16172906" y="41368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41366</xdr:colOff>
      <xdr:row>217</xdr:row>
      <xdr:rowOff>95249</xdr:rowOff>
    </xdr:from>
    <xdr:to>
      <xdr:col>67</xdr:col>
      <xdr:colOff>41366</xdr:colOff>
      <xdr:row>217</xdr:row>
      <xdr:rowOff>95249</xdr:rowOff>
    </xdr:to>
    <xdr:cxnSp macro="">
      <xdr:nvCxnSpPr>
        <xdr:cNvPr id="221" name="직선 화살표 연결선 220"/>
        <xdr:cNvCxnSpPr/>
      </xdr:nvCxnSpPr>
      <xdr:spPr>
        <a:xfrm>
          <a:off x="16172906" y="4142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216</xdr:row>
      <xdr:rowOff>38099</xdr:rowOff>
    </xdr:from>
    <xdr:to>
      <xdr:col>67</xdr:col>
      <xdr:colOff>42636</xdr:colOff>
      <xdr:row>216</xdr:row>
      <xdr:rowOff>152399</xdr:rowOff>
    </xdr:to>
    <xdr:sp macro="" textlink="">
      <xdr:nvSpPr>
        <xdr:cNvPr id="222" name="213"/>
        <xdr:cNvSpPr/>
      </xdr:nvSpPr>
      <xdr:spPr>
        <a:xfrm>
          <a:off x="15118080" y="411784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216</xdr:row>
      <xdr:rowOff>95249</xdr:rowOff>
    </xdr:from>
    <xdr:to>
      <xdr:col>60</xdr:col>
      <xdr:colOff>0</xdr:colOff>
      <xdr:row>216</xdr:row>
      <xdr:rowOff>95249</xdr:rowOff>
    </xdr:to>
    <xdr:cxnSp macro="">
      <xdr:nvCxnSpPr>
        <xdr:cNvPr id="223" name="직선 화살표 연결선 222"/>
        <xdr:cNvCxnSpPr/>
      </xdr:nvCxnSpPr>
      <xdr:spPr>
        <a:xfrm>
          <a:off x="15118080" y="4123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215</xdr:row>
      <xdr:rowOff>38099</xdr:rowOff>
    </xdr:from>
    <xdr:to>
      <xdr:col>60</xdr:col>
      <xdr:colOff>21952</xdr:colOff>
      <xdr:row>215</xdr:row>
      <xdr:rowOff>152399</xdr:rowOff>
    </xdr:to>
    <xdr:sp macro="" textlink="">
      <xdr:nvSpPr>
        <xdr:cNvPr id="224" name="212"/>
        <xdr:cNvSpPr/>
      </xdr:nvSpPr>
      <xdr:spPr>
        <a:xfrm>
          <a:off x="15014666" y="40987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215</xdr:row>
      <xdr:rowOff>95249</xdr:rowOff>
    </xdr:from>
    <xdr:to>
      <xdr:col>59</xdr:col>
      <xdr:colOff>41366</xdr:colOff>
      <xdr:row>215</xdr:row>
      <xdr:rowOff>95249</xdr:rowOff>
    </xdr:to>
    <xdr:cxnSp macro="">
      <xdr:nvCxnSpPr>
        <xdr:cNvPr id="225" name="직선 화살표 연결선 224"/>
        <xdr:cNvCxnSpPr/>
      </xdr:nvCxnSpPr>
      <xdr:spPr>
        <a:xfrm>
          <a:off x="15014666" y="4104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214</xdr:row>
      <xdr:rowOff>38099</xdr:rowOff>
    </xdr:from>
    <xdr:to>
      <xdr:col>68</xdr:col>
      <xdr:colOff>21952</xdr:colOff>
      <xdr:row>214</xdr:row>
      <xdr:rowOff>152399</xdr:rowOff>
    </xdr:to>
    <xdr:sp macro="" textlink="">
      <xdr:nvSpPr>
        <xdr:cNvPr id="226" name="211"/>
        <xdr:cNvSpPr/>
      </xdr:nvSpPr>
      <xdr:spPr>
        <a:xfrm>
          <a:off x="15014666" y="40797479"/>
          <a:ext cx="128360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214</xdr:row>
      <xdr:rowOff>95249</xdr:rowOff>
    </xdr:from>
    <xdr:to>
      <xdr:col>59</xdr:col>
      <xdr:colOff>41366</xdr:colOff>
      <xdr:row>214</xdr:row>
      <xdr:rowOff>95249</xdr:rowOff>
    </xdr:to>
    <xdr:cxnSp macro="">
      <xdr:nvCxnSpPr>
        <xdr:cNvPr id="227" name="직선 화살표 연결선 226"/>
        <xdr:cNvCxnSpPr/>
      </xdr:nvCxnSpPr>
      <xdr:spPr>
        <a:xfrm>
          <a:off x="15014666" y="4085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213</xdr:row>
      <xdr:rowOff>38099</xdr:rowOff>
    </xdr:from>
    <xdr:to>
      <xdr:col>68</xdr:col>
      <xdr:colOff>21952</xdr:colOff>
      <xdr:row>213</xdr:row>
      <xdr:rowOff>152399</xdr:rowOff>
    </xdr:to>
    <xdr:sp macro="" textlink="">
      <xdr:nvSpPr>
        <xdr:cNvPr id="228" name="210"/>
        <xdr:cNvSpPr/>
      </xdr:nvSpPr>
      <xdr:spPr>
        <a:xfrm>
          <a:off x="15014666" y="40606979"/>
          <a:ext cx="128360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213</xdr:row>
      <xdr:rowOff>95249</xdr:rowOff>
    </xdr:from>
    <xdr:to>
      <xdr:col>59</xdr:col>
      <xdr:colOff>41366</xdr:colOff>
      <xdr:row>213</xdr:row>
      <xdr:rowOff>95249</xdr:rowOff>
    </xdr:to>
    <xdr:cxnSp macro="">
      <xdr:nvCxnSpPr>
        <xdr:cNvPr id="229" name="직선 화살표 연결선 228"/>
        <xdr:cNvCxnSpPr/>
      </xdr:nvCxnSpPr>
      <xdr:spPr>
        <a:xfrm>
          <a:off x="15014666" y="4066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20682</xdr:colOff>
      <xdr:row>212</xdr:row>
      <xdr:rowOff>38099</xdr:rowOff>
    </xdr:from>
    <xdr:to>
      <xdr:col>79</xdr:col>
      <xdr:colOff>1270</xdr:colOff>
      <xdr:row>212</xdr:row>
      <xdr:rowOff>152399</xdr:rowOff>
    </xdr:to>
    <xdr:sp macro="" textlink="">
      <xdr:nvSpPr>
        <xdr:cNvPr id="230" name="209"/>
        <xdr:cNvSpPr/>
      </xdr:nvSpPr>
      <xdr:spPr>
        <a:xfrm>
          <a:off x="17744802" y="404164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20682</xdr:colOff>
      <xdr:row>212</xdr:row>
      <xdr:rowOff>95249</xdr:rowOff>
    </xdr:from>
    <xdr:to>
      <xdr:col>78</xdr:col>
      <xdr:colOff>20682</xdr:colOff>
      <xdr:row>212</xdr:row>
      <xdr:rowOff>95249</xdr:rowOff>
    </xdr:to>
    <xdr:cxnSp macro="">
      <xdr:nvCxnSpPr>
        <xdr:cNvPr id="231" name="직선 화살표 연결선 230"/>
        <xdr:cNvCxnSpPr/>
      </xdr:nvCxnSpPr>
      <xdr:spPr>
        <a:xfrm>
          <a:off x="17744802" y="4047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124097</xdr:colOff>
      <xdr:row>211</xdr:row>
      <xdr:rowOff>38099</xdr:rowOff>
    </xdr:from>
    <xdr:to>
      <xdr:col>78</xdr:col>
      <xdr:colOff>21952</xdr:colOff>
      <xdr:row>211</xdr:row>
      <xdr:rowOff>152399</xdr:rowOff>
    </xdr:to>
    <xdr:sp macro="" textlink="">
      <xdr:nvSpPr>
        <xdr:cNvPr id="232" name="208"/>
        <xdr:cNvSpPr/>
      </xdr:nvSpPr>
      <xdr:spPr>
        <a:xfrm>
          <a:off x="16689977" y="402259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124097</xdr:colOff>
      <xdr:row>211</xdr:row>
      <xdr:rowOff>95249</xdr:rowOff>
    </xdr:from>
    <xdr:to>
      <xdr:col>70</xdr:col>
      <xdr:colOff>124097</xdr:colOff>
      <xdr:row>211</xdr:row>
      <xdr:rowOff>95249</xdr:rowOff>
    </xdr:to>
    <xdr:cxnSp macro="">
      <xdr:nvCxnSpPr>
        <xdr:cNvPr id="233" name="직선 화살표 연결선 232"/>
        <xdr:cNvCxnSpPr/>
      </xdr:nvCxnSpPr>
      <xdr:spPr>
        <a:xfrm>
          <a:off x="16689977" y="4028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20683</xdr:colOff>
      <xdr:row>210</xdr:row>
      <xdr:rowOff>38099</xdr:rowOff>
    </xdr:from>
    <xdr:to>
      <xdr:col>71</xdr:col>
      <xdr:colOff>1270</xdr:colOff>
      <xdr:row>210</xdr:row>
      <xdr:rowOff>152399</xdr:rowOff>
    </xdr:to>
    <xdr:sp macro="" textlink="">
      <xdr:nvSpPr>
        <xdr:cNvPr id="234" name="207"/>
        <xdr:cNvSpPr/>
      </xdr:nvSpPr>
      <xdr:spPr>
        <a:xfrm>
          <a:off x="16586563" y="400354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20683</xdr:colOff>
      <xdr:row>210</xdr:row>
      <xdr:rowOff>95249</xdr:rowOff>
    </xdr:from>
    <xdr:to>
      <xdr:col>70</xdr:col>
      <xdr:colOff>20683</xdr:colOff>
      <xdr:row>210</xdr:row>
      <xdr:rowOff>95249</xdr:rowOff>
    </xdr:to>
    <xdr:cxnSp macro="">
      <xdr:nvCxnSpPr>
        <xdr:cNvPr id="235" name="직선 화살표 연결선 234"/>
        <xdr:cNvCxnSpPr/>
      </xdr:nvCxnSpPr>
      <xdr:spPr>
        <a:xfrm>
          <a:off x="16586563" y="4009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20683</xdr:colOff>
      <xdr:row>209</xdr:row>
      <xdr:rowOff>38099</xdr:rowOff>
    </xdr:from>
    <xdr:to>
      <xdr:col>79</xdr:col>
      <xdr:colOff>1270</xdr:colOff>
      <xdr:row>209</xdr:row>
      <xdr:rowOff>152399</xdr:rowOff>
    </xdr:to>
    <xdr:sp macro="" textlink="">
      <xdr:nvSpPr>
        <xdr:cNvPr id="236" name="206"/>
        <xdr:cNvSpPr/>
      </xdr:nvSpPr>
      <xdr:spPr>
        <a:xfrm>
          <a:off x="16586563" y="39844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20683</xdr:colOff>
      <xdr:row>209</xdr:row>
      <xdr:rowOff>95249</xdr:rowOff>
    </xdr:from>
    <xdr:to>
      <xdr:col>70</xdr:col>
      <xdr:colOff>20683</xdr:colOff>
      <xdr:row>209</xdr:row>
      <xdr:rowOff>95249</xdr:rowOff>
    </xdr:to>
    <xdr:cxnSp macro="">
      <xdr:nvCxnSpPr>
        <xdr:cNvPr id="237" name="직선 화살표 연결선 236"/>
        <xdr:cNvCxnSpPr/>
      </xdr:nvCxnSpPr>
      <xdr:spPr>
        <a:xfrm>
          <a:off x="16586563" y="3990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103414</xdr:colOff>
      <xdr:row>208</xdr:row>
      <xdr:rowOff>38099</xdr:rowOff>
    </xdr:from>
    <xdr:to>
      <xdr:col>74</xdr:col>
      <xdr:colOff>84001</xdr:colOff>
      <xdr:row>208</xdr:row>
      <xdr:rowOff>152399</xdr:rowOff>
    </xdr:to>
    <xdr:sp macro="" textlink="">
      <xdr:nvSpPr>
        <xdr:cNvPr id="238" name="205"/>
        <xdr:cNvSpPr/>
      </xdr:nvSpPr>
      <xdr:spPr>
        <a:xfrm>
          <a:off x="17103634" y="396544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103414</xdr:colOff>
      <xdr:row>208</xdr:row>
      <xdr:rowOff>95249</xdr:rowOff>
    </xdr:from>
    <xdr:to>
      <xdr:col>73</xdr:col>
      <xdr:colOff>103414</xdr:colOff>
      <xdr:row>208</xdr:row>
      <xdr:rowOff>95249</xdr:rowOff>
    </xdr:to>
    <xdr:cxnSp macro="">
      <xdr:nvCxnSpPr>
        <xdr:cNvPr id="239" name="직선 화살표 연결선 238"/>
        <xdr:cNvCxnSpPr/>
      </xdr:nvCxnSpPr>
      <xdr:spPr>
        <a:xfrm>
          <a:off x="17103634" y="3971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207</xdr:row>
      <xdr:rowOff>38099</xdr:rowOff>
    </xdr:from>
    <xdr:to>
      <xdr:col>73</xdr:col>
      <xdr:colOff>104683</xdr:colOff>
      <xdr:row>207</xdr:row>
      <xdr:rowOff>152399</xdr:rowOff>
    </xdr:to>
    <xdr:sp macro="" textlink="">
      <xdr:nvSpPr>
        <xdr:cNvPr id="240" name="204"/>
        <xdr:cNvSpPr/>
      </xdr:nvSpPr>
      <xdr:spPr>
        <a:xfrm>
          <a:off x="16048808" y="394639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207</xdr:row>
      <xdr:rowOff>95249</xdr:rowOff>
    </xdr:from>
    <xdr:to>
      <xdr:col>66</xdr:col>
      <xdr:colOff>62048</xdr:colOff>
      <xdr:row>207</xdr:row>
      <xdr:rowOff>95249</xdr:rowOff>
    </xdr:to>
    <xdr:cxnSp macro="">
      <xdr:nvCxnSpPr>
        <xdr:cNvPr id="241" name="직선 화살표 연결선 240"/>
        <xdr:cNvCxnSpPr/>
      </xdr:nvCxnSpPr>
      <xdr:spPr>
        <a:xfrm>
          <a:off x="16048808" y="3952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206</xdr:row>
      <xdr:rowOff>38099</xdr:rowOff>
    </xdr:from>
    <xdr:to>
      <xdr:col>66</xdr:col>
      <xdr:colOff>84002</xdr:colOff>
      <xdr:row>206</xdr:row>
      <xdr:rowOff>152399</xdr:rowOff>
    </xdr:to>
    <xdr:sp macro="" textlink="">
      <xdr:nvSpPr>
        <xdr:cNvPr id="242" name="203"/>
        <xdr:cNvSpPr/>
      </xdr:nvSpPr>
      <xdr:spPr>
        <a:xfrm>
          <a:off x="15945394" y="392734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206</xdr:row>
      <xdr:rowOff>95249</xdr:rowOff>
    </xdr:from>
    <xdr:to>
      <xdr:col>65</xdr:col>
      <xdr:colOff>103414</xdr:colOff>
      <xdr:row>206</xdr:row>
      <xdr:rowOff>95249</xdr:rowOff>
    </xdr:to>
    <xdr:cxnSp macro="">
      <xdr:nvCxnSpPr>
        <xdr:cNvPr id="243" name="직선 화살표 연결선 242"/>
        <xdr:cNvCxnSpPr/>
      </xdr:nvCxnSpPr>
      <xdr:spPr>
        <a:xfrm>
          <a:off x="15945394" y="3933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205</xdr:row>
      <xdr:rowOff>38099</xdr:rowOff>
    </xdr:from>
    <xdr:to>
      <xdr:col>74</xdr:col>
      <xdr:colOff>84001</xdr:colOff>
      <xdr:row>205</xdr:row>
      <xdr:rowOff>152399</xdr:rowOff>
    </xdr:to>
    <xdr:sp macro="" textlink="">
      <xdr:nvSpPr>
        <xdr:cNvPr id="244" name="202"/>
        <xdr:cNvSpPr/>
      </xdr:nvSpPr>
      <xdr:spPr>
        <a:xfrm>
          <a:off x="15945394" y="390829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205</xdr:row>
      <xdr:rowOff>95249</xdr:rowOff>
    </xdr:from>
    <xdr:to>
      <xdr:col>65</xdr:col>
      <xdr:colOff>103414</xdr:colOff>
      <xdr:row>205</xdr:row>
      <xdr:rowOff>95249</xdr:rowOff>
    </xdr:to>
    <xdr:cxnSp macro="">
      <xdr:nvCxnSpPr>
        <xdr:cNvPr id="245" name="직선 화살표 연결선 244"/>
        <xdr:cNvCxnSpPr/>
      </xdr:nvCxnSpPr>
      <xdr:spPr>
        <a:xfrm>
          <a:off x="15945394" y="3914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204</xdr:row>
      <xdr:rowOff>38099</xdr:rowOff>
    </xdr:from>
    <xdr:to>
      <xdr:col>79</xdr:col>
      <xdr:colOff>1270</xdr:colOff>
      <xdr:row>204</xdr:row>
      <xdr:rowOff>152399</xdr:rowOff>
    </xdr:to>
    <xdr:sp macro="" textlink="">
      <xdr:nvSpPr>
        <xdr:cNvPr id="246" name="201"/>
        <xdr:cNvSpPr/>
      </xdr:nvSpPr>
      <xdr:spPr>
        <a:xfrm>
          <a:off x="15945394" y="38892479"/>
          <a:ext cx="19247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204</xdr:row>
      <xdr:rowOff>95249</xdr:rowOff>
    </xdr:from>
    <xdr:to>
      <xdr:col>65</xdr:col>
      <xdr:colOff>103414</xdr:colOff>
      <xdr:row>204</xdr:row>
      <xdr:rowOff>95249</xdr:rowOff>
    </xdr:to>
    <xdr:cxnSp macro="">
      <xdr:nvCxnSpPr>
        <xdr:cNvPr id="247" name="직선 화살표 연결선 246"/>
        <xdr:cNvCxnSpPr/>
      </xdr:nvCxnSpPr>
      <xdr:spPr>
        <a:xfrm>
          <a:off x="15945394" y="3894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103414</xdr:colOff>
      <xdr:row>203</xdr:row>
      <xdr:rowOff>38099</xdr:rowOff>
    </xdr:from>
    <xdr:to>
      <xdr:col>74</xdr:col>
      <xdr:colOff>84001</xdr:colOff>
      <xdr:row>203</xdr:row>
      <xdr:rowOff>152399</xdr:rowOff>
    </xdr:to>
    <xdr:sp macro="" textlink="">
      <xdr:nvSpPr>
        <xdr:cNvPr id="248" name="200"/>
        <xdr:cNvSpPr/>
      </xdr:nvSpPr>
      <xdr:spPr>
        <a:xfrm>
          <a:off x="17103634" y="38701979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103414</xdr:colOff>
      <xdr:row>203</xdr:row>
      <xdr:rowOff>95249</xdr:rowOff>
    </xdr:from>
    <xdr:to>
      <xdr:col>73</xdr:col>
      <xdr:colOff>103414</xdr:colOff>
      <xdr:row>203</xdr:row>
      <xdr:rowOff>95249</xdr:rowOff>
    </xdr:to>
    <xdr:cxnSp macro="">
      <xdr:nvCxnSpPr>
        <xdr:cNvPr id="249" name="직선 화살표 연결선 248"/>
        <xdr:cNvCxnSpPr/>
      </xdr:nvCxnSpPr>
      <xdr:spPr>
        <a:xfrm>
          <a:off x="17103634" y="3875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62048</xdr:colOff>
      <xdr:row>202</xdr:row>
      <xdr:rowOff>38099</xdr:rowOff>
    </xdr:from>
    <xdr:to>
      <xdr:col>73</xdr:col>
      <xdr:colOff>104683</xdr:colOff>
      <xdr:row>202</xdr:row>
      <xdr:rowOff>152399</xdr:rowOff>
    </xdr:to>
    <xdr:sp macro="" textlink="">
      <xdr:nvSpPr>
        <xdr:cNvPr id="250" name="199"/>
        <xdr:cNvSpPr/>
      </xdr:nvSpPr>
      <xdr:spPr>
        <a:xfrm>
          <a:off x="16048808" y="385114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62048</xdr:colOff>
      <xdr:row>202</xdr:row>
      <xdr:rowOff>95249</xdr:rowOff>
    </xdr:from>
    <xdr:to>
      <xdr:col>66</xdr:col>
      <xdr:colOff>62048</xdr:colOff>
      <xdr:row>202</xdr:row>
      <xdr:rowOff>95249</xdr:rowOff>
    </xdr:to>
    <xdr:cxnSp macro="">
      <xdr:nvCxnSpPr>
        <xdr:cNvPr id="251" name="직선 화살표 연결선 250"/>
        <xdr:cNvCxnSpPr/>
      </xdr:nvCxnSpPr>
      <xdr:spPr>
        <a:xfrm>
          <a:off x="16048808" y="3856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201</xdr:row>
      <xdr:rowOff>38099</xdr:rowOff>
    </xdr:from>
    <xdr:to>
      <xdr:col>66</xdr:col>
      <xdr:colOff>84002</xdr:colOff>
      <xdr:row>201</xdr:row>
      <xdr:rowOff>152399</xdr:rowOff>
    </xdr:to>
    <xdr:sp macro="" textlink="">
      <xdr:nvSpPr>
        <xdr:cNvPr id="252" name="198"/>
        <xdr:cNvSpPr/>
      </xdr:nvSpPr>
      <xdr:spPr>
        <a:xfrm>
          <a:off x="15945394" y="383209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201</xdr:row>
      <xdr:rowOff>95249</xdr:rowOff>
    </xdr:from>
    <xdr:to>
      <xdr:col>65</xdr:col>
      <xdr:colOff>103414</xdr:colOff>
      <xdr:row>201</xdr:row>
      <xdr:rowOff>95249</xdr:rowOff>
    </xdr:to>
    <xdr:cxnSp macro="">
      <xdr:nvCxnSpPr>
        <xdr:cNvPr id="253" name="직선 화살표 연결선 252"/>
        <xdr:cNvCxnSpPr/>
      </xdr:nvCxnSpPr>
      <xdr:spPr>
        <a:xfrm>
          <a:off x="15945394" y="3837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103414</xdr:colOff>
      <xdr:row>200</xdr:row>
      <xdr:rowOff>38099</xdr:rowOff>
    </xdr:from>
    <xdr:to>
      <xdr:col>74</xdr:col>
      <xdr:colOff>84001</xdr:colOff>
      <xdr:row>200</xdr:row>
      <xdr:rowOff>152399</xdr:rowOff>
    </xdr:to>
    <xdr:sp macro="" textlink="">
      <xdr:nvSpPr>
        <xdr:cNvPr id="254" name="197"/>
        <xdr:cNvSpPr/>
      </xdr:nvSpPr>
      <xdr:spPr>
        <a:xfrm>
          <a:off x="15945394" y="381304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103414</xdr:colOff>
      <xdr:row>200</xdr:row>
      <xdr:rowOff>95249</xdr:rowOff>
    </xdr:from>
    <xdr:to>
      <xdr:col>65</xdr:col>
      <xdr:colOff>103414</xdr:colOff>
      <xdr:row>200</xdr:row>
      <xdr:rowOff>95249</xdr:rowOff>
    </xdr:to>
    <xdr:cxnSp macro="">
      <xdr:nvCxnSpPr>
        <xdr:cNvPr id="255" name="직선 화살표 연결선 254"/>
        <xdr:cNvCxnSpPr/>
      </xdr:nvCxnSpPr>
      <xdr:spPr>
        <a:xfrm>
          <a:off x="15945394" y="3818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82732</xdr:colOff>
      <xdr:row>199</xdr:row>
      <xdr:rowOff>38099</xdr:rowOff>
    </xdr:from>
    <xdr:to>
      <xdr:col>72</xdr:col>
      <xdr:colOff>63318</xdr:colOff>
      <xdr:row>199</xdr:row>
      <xdr:rowOff>152399</xdr:rowOff>
    </xdr:to>
    <xdr:sp macro="" textlink="">
      <xdr:nvSpPr>
        <xdr:cNvPr id="256" name="196"/>
        <xdr:cNvSpPr/>
      </xdr:nvSpPr>
      <xdr:spPr>
        <a:xfrm>
          <a:off x="16793392" y="37939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82732</xdr:colOff>
      <xdr:row>199</xdr:row>
      <xdr:rowOff>95249</xdr:rowOff>
    </xdr:from>
    <xdr:to>
      <xdr:col>71</xdr:col>
      <xdr:colOff>82732</xdr:colOff>
      <xdr:row>199</xdr:row>
      <xdr:rowOff>95249</xdr:rowOff>
    </xdr:to>
    <xdr:cxnSp macro="">
      <xdr:nvCxnSpPr>
        <xdr:cNvPr id="257" name="직선 화살표 연결선 256"/>
        <xdr:cNvCxnSpPr/>
      </xdr:nvCxnSpPr>
      <xdr:spPr>
        <a:xfrm>
          <a:off x="16793392" y="3799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198</xdr:row>
      <xdr:rowOff>38099</xdr:rowOff>
    </xdr:from>
    <xdr:to>
      <xdr:col>71</xdr:col>
      <xdr:colOff>84002</xdr:colOff>
      <xdr:row>198</xdr:row>
      <xdr:rowOff>152399</xdr:rowOff>
    </xdr:to>
    <xdr:sp macro="" textlink="">
      <xdr:nvSpPr>
        <xdr:cNvPr id="258" name="195"/>
        <xdr:cNvSpPr/>
      </xdr:nvSpPr>
      <xdr:spPr>
        <a:xfrm>
          <a:off x="15738566" y="377494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198</xdr:row>
      <xdr:rowOff>95249</xdr:rowOff>
    </xdr:from>
    <xdr:to>
      <xdr:col>64</xdr:col>
      <xdr:colOff>41366</xdr:colOff>
      <xdr:row>198</xdr:row>
      <xdr:rowOff>95249</xdr:rowOff>
    </xdr:to>
    <xdr:cxnSp macro="">
      <xdr:nvCxnSpPr>
        <xdr:cNvPr id="259" name="직선 화살표 연결선 258"/>
        <xdr:cNvCxnSpPr/>
      </xdr:nvCxnSpPr>
      <xdr:spPr>
        <a:xfrm>
          <a:off x="15738566" y="3780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197</xdr:row>
      <xdr:rowOff>38099</xdr:rowOff>
    </xdr:from>
    <xdr:to>
      <xdr:col>64</xdr:col>
      <xdr:colOff>63319</xdr:colOff>
      <xdr:row>197</xdr:row>
      <xdr:rowOff>152399</xdr:rowOff>
    </xdr:to>
    <xdr:sp macro="" textlink="">
      <xdr:nvSpPr>
        <xdr:cNvPr id="260" name="194"/>
        <xdr:cNvSpPr/>
      </xdr:nvSpPr>
      <xdr:spPr>
        <a:xfrm>
          <a:off x="15635151" y="375589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197</xdr:row>
      <xdr:rowOff>95249</xdr:rowOff>
    </xdr:from>
    <xdr:to>
      <xdr:col>63</xdr:col>
      <xdr:colOff>82731</xdr:colOff>
      <xdr:row>197</xdr:row>
      <xdr:rowOff>95249</xdr:rowOff>
    </xdr:to>
    <xdr:cxnSp macro="">
      <xdr:nvCxnSpPr>
        <xdr:cNvPr id="261" name="직선 화살표 연결선 260"/>
        <xdr:cNvCxnSpPr/>
      </xdr:nvCxnSpPr>
      <xdr:spPr>
        <a:xfrm>
          <a:off x="15635151" y="3761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82731</xdr:colOff>
      <xdr:row>196</xdr:row>
      <xdr:rowOff>38099</xdr:rowOff>
    </xdr:from>
    <xdr:to>
      <xdr:col>72</xdr:col>
      <xdr:colOff>63318</xdr:colOff>
      <xdr:row>196</xdr:row>
      <xdr:rowOff>152399</xdr:rowOff>
    </xdr:to>
    <xdr:sp macro="" textlink="">
      <xdr:nvSpPr>
        <xdr:cNvPr id="262" name="193"/>
        <xdr:cNvSpPr/>
      </xdr:nvSpPr>
      <xdr:spPr>
        <a:xfrm>
          <a:off x="15635151" y="373684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82731</xdr:colOff>
      <xdr:row>196</xdr:row>
      <xdr:rowOff>95249</xdr:rowOff>
    </xdr:from>
    <xdr:to>
      <xdr:col>63</xdr:col>
      <xdr:colOff>82731</xdr:colOff>
      <xdr:row>196</xdr:row>
      <xdr:rowOff>95249</xdr:rowOff>
    </xdr:to>
    <xdr:cxnSp macro="">
      <xdr:nvCxnSpPr>
        <xdr:cNvPr id="263" name="직선 화살표 연결선 262"/>
        <xdr:cNvCxnSpPr/>
      </xdr:nvCxnSpPr>
      <xdr:spPr>
        <a:xfrm>
          <a:off x="15635151" y="3742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62049</xdr:colOff>
      <xdr:row>195</xdr:row>
      <xdr:rowOff>38099</xdr:rowOff>
    </xdr:from>
    <xdr:to>
      <xdr:col>70</xdr:col>
      <xdr:colOff>42635</xdr:colOff>
      <xdr:row>195</xdr:row>
      <xdr:rowOff>152399</xdr:rowOff>
    </xdr:to>
    <xdr:sp macro="" textlink="">
      <xdr:nvSpPr>
        <xdr:cNvPr id="264" name="192"/>
        <xdr:cNvSpPr/>
      </xdr:nvSpPr>
      <xdr:spPr>
        <a:xfrm>
          <a:off x="16483149" y="37177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62049</xdr:colOff>
      <xdr:row>195</xdr:row>
      <xdr:rowOff>95249</xdr:rowOff>
    </xdr:from>
    <xdr:to>
      <xdr:col>69</xdr:col>
      <xdr:colOff>62049</xdr:colOff>
      <xdr:row>195</xdr:row>
      <xdr:rowOff>95249</xdr:rowOff>
    </xdr:to>
    <xdr:cxnSp macro="">
      <xdr:nvCxnSpPr>
        <xdr:cNvPr id="265" name="직선 화살표 연결선 264"/>
        <xdr:cNvCxnSpPr/>
      </xdr:nvCxnSpPr>
      <xdr:spPr>
        <a:xfrm>
          <a:off x="16483149" y="3723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194</xdr:row>
      <xdr:rowOff>38099</xdr:rowOff>
    </xdr:from>
    <xdr:to>
      <xdr:col>69</xdr:col>
      <xdr:colOff>63319</xdr:colOff>
      <xdr:row>194</xdr:row>
      <xdr:rowOff>152399</xdr:rowOff>
    </xdr:to>
    <xdr:sp macro="" textlink="">
      <xdr:nvSpPr>
        <xdr:cNvPr id="266" name="191"/>
        <xdr:cNvSpPr/>
      </xdr:nvSpPr>
      <xdr:spPr>
        <a:xfrm>
          <a:off x="15428323" y="369874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194</xdr:row>
      <xdr:rowOff>95249</xdr:rowOff>
    </xdr:from>
    <xdr:to>
      <xdr:col>62</xdr:col>
      <xdr:colOff>20683</xdr:colOff>
      <xdr:row>194</xdr:row>
      <xdr:rowOff>95249</xdr:rowOff>
    </xdr:to>
    <xdr:cxnSp macro="">
      <xdr:nvCxnSpPr>
        <xdr:cNvPr id="267" name="직선 화살표 연결선 266"/>
        <xdr:cNvCxnSpPr/>
      </xdr:nvCxnSpPr>
      <xdr:spPr>
        <a:xfrm>
          <a:off x="15428323" y="3704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62048</xdr:colOff>
      <xdr:row>193</xdr:row>
      <xdr:rowOff>38099</xdr:rowOff>
    </xdr:from>
    <xdr:to>
      <xdr:col>62</xdr:col>
      <xdr:colOff>42636</xdr:colOff>
      <xdr:row>193</xdr:row>
      <xdr:rowOff>152399</xdr:rowOff>
    </xdr:to>
    <xdr:sp macro="" textlink="">
      <xdr:nvSpPr>
        <xdr:cNvPr id="268" name="190"/>
        <xdr:cNvSpPr/>
      </xdr:nvSpPr>
      <xdr:spPr>
        <a:xfrm>
          <a:off x="15324908" y="36796979"/>
          <a:ext cx="1253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62048</xdr:colOff>
      <xdr:row>193</xdr:row>
      <xdr:rowOff>95249</xdr:rowOff>
    </xdr:from>
    <xdr:to>
      <xdr:col>61</xdr:col>
      <xdr:colOff>62048</xdr:colOff>
      <xdr:row>193</xdr:row>
      <xdr:rowOff>95249</xdr:rowOff>
    </xdr:to>
    <xdr:cxnSp macro="">
      <xdr:nvCxnSpPr>
        <xdr:cNvPr id="269" name="직선 화살표 연결선 268"/>
        <xdr:cNvCxnSpPr/>
      </xdr:nvCxnSpPr>
      <xdr:spPr>
        <a:xfrm>
          <a:off x="15324908" y="3685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62048</xdr:colOff>
      <xdr:row>192</xdr:row>
      <xdr:rowOff>38099</xdr:rowOff>
    </xdr:from>
    <xdr:to>
      <xdr:col>70</xdr:col>
      <xdr:colOff>42635</xdr:colOff>
      <xdr:row>192</xdr:row>
      <xdr:rowOff>152399</xdr:rowOff>
    </xdr:to>
    <xdr:sp macro="" textlink="">
      <xdr:nvSpPr>
        <xdr:cNvPr id="270" name="189"/>
        <xdr:cNvSpPr/>
      </xdr:nvSpPr>
      <xdr:spPr>
        <a:xfrm>
          <a:off x="15324908" y="36606479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62048</xdr:colOff>
      <xdr:row>192</xdr:row>
      <xdr:rowOff>95249</xdr:rowOff>
    </xdr:from>
    <xdr:to>
      <xdr:col>61</xdr:col>
      <xdr:colOff>62048</xdr:colOff>
      <xdr:row>192</xdr:row>
      <xdr:rowOff>95249</xdr:rowOff>
    </xdr:to>
    <xdr:cxnSp macro="">
      <xdr:nvCxnSpPr>
        <xdr:cNvPr id="271" name="직선 화살표 연결선 270"/>
        <xdr:cNvCxnSpPr/>
      </xdr:nvCxnSpPr>
      <xdr:spPr>
        <a:xfrm>
          <a:off x="15324908" y="3666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41366</xdr:colOff>
      <xdr:row>191</xdr:row>
      <xdr:rowOff>38099</xdr:rowOff>
    </xdr:from>
    <xdr:to>
      <xdr:col>68</xdr:col>
      <xdr:colOff>21952</xdr:colOff>
      <xdr:row>191</xdr:row>
      <xdr:rowOff>152399</xdr:rowOff>
    </xdr:to>
    <xdr:sp macro="" textlink="">
      <xdr:nvSpPr>
        <xdr:cNvPr id="272" name="188"/>
        <xdr:cNvSpPr/>
      </xdr:nvSpPr>
      <xdr:spPr>
        <a:xfrm>
          <a:off x="16172906" y="36415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41366</xdr:colOff>
      <xdr:row>191</xdr:row>
      <xdr:rowOff>95249</xdr:rowOff>
    </xdr:from>
    <xdr:to>
      <xdr:col>67</xdr:col>
      <xdr:colOff>41366</xdr:colOff>
      <xdr:row>191</xdr:row>
      <xdr:rowOff>95249</xdr:rowOff>
    </xdr:to>
    <xdr:cxnSp macro="">
      <xdr:nvCxnSpPr>
        <xdr:cNvPr id="273" name="직선 화살표 연결선 272"/>
        <xdr:cNvCxnSpPr/>
      </xdr:nvCxnSpPr>
      <xdr:spPr>
        <a:xfrm>
          <a:off x="16172906" y="3647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190</xdr:row>
      <xdr:rowOff>38099</xdr:rowOff>
    </xdr:from>
    <xdr:to>
      <xdr:col>67</xdr:col>
      <xdr:colOff>42636</xdr:colOff>
      <xdr:row>190</xdr:row>
      <xdr:rowOff>152399</xdr:rowOff>
    </xdr:to>
    <xdr:sp macro="" textlink="">
      <xdr:nvSpPr>
        <xdr:cNvPr id="274" name="187"/>
        <xdr:cNvSpPr/>
      </xdr:nvSpPr>
      <xdr:spPr>
        <a:xfrm>
          <a:off x="15118080" y="36225479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190</xdr:row>
      <xdr:rowOff>95249</xdr:rowOff>
    </xdr:from>
    <xdr:to>
      <xdr:col>60</xdr:col>
      <xdr:colOff>0</xdr:colOff>
      <xdr:row>190</xdr:row>
      <xdr:rowOff>95249</xdr:rowOff>
    </xdr:to>
    <xdr:cxnSp macro="">
      <xdr:nvCxnSpPr>
        <xdr:cNvPr id="275" name="직선 화살표 연결선 274"/>
        <xdr:cNvCxnSpPr/>
      </xdr:nvCxnSpPr>
      <xdr:spPr>
        <a:xfrm>
          <a:off x="15118080" y="3628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189</xdr:row>
      <xdr:rowOff>38099</xdr:rowOff>
    </xdr:from>
    <xdr:to>
      <xdr:col>60</xdr:col>
      <xdr:colOff>21952</xdr:colOff>
      <xdr:row>189</xdr:row>
      <xdr:rowOff>152399</xdr:rowOff>
    </xdr:to>
    <xdr:sp macro="" textlink="">
      <xdr:nvSpPr>
        <xdr:cNvPr id="276" name="186"/>
        <xdr:cNvSpPr/>
      </xdr:nvSpPr>
      <xdr:spPr>
        <a:xfrm>
          <a:off x="15014666" y="36034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189</xdr:row>
      <xdr:rowOff>95249</xdr:rowOff>
    </xdr:from>
    <xdr:to>
      <xdr:col>59</xdr:col>
      <xdr:colOff>41366</xdr:colOff>
      <xdr:row>189</xdr:row>
      <xdr:rowOff>95249</xdr:rowOff>
    </xdr:to>
    <xdr:cxnSp macro="">
      <xdr:nvCxnSpPr>
        <xdr:cNvPr id="277" name="직선 화살표 연결선 276"/>
        <xdr:cNvCxnSpPr/>
      </xdr:nvCxnSpPr>
      <xdr:spPr>
        <a:xfrm>
          <a:off x="15014666" y="3609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188</xdr:row>
      <xdr:rowOff>38099</xdr:rowOff>
    </xdr:from>
    <xdr:to>
      <xdr:col>68</xdr:col>
      <xdr:colOff>21952</xdr:colOff>
      <xdr:row>188</xdr:row>
      <xdr:rowOff>152399</xdr:rowOff>
    </xdr:to>
    <xdr:sp macro="" textlink="">
      <xdr:nvSpPr>
        <xdr:cNvPr id="278" name="185"/>
        <xdr:cNvSpPr/>
      </xdr:nvSpPr>
      <xdr:spPr>
        <a:xfrm>
          <a:off x="15014666" y="35844479"/>
          <a:ext cx="128360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188</xdr:row>
      <xdr:rowOff>95249</xdr:rowOff>
    </xdr:from>
    <xdr:to>
      <xdr:col>59</xdr:col>
      <xdr:colOff>41366</xdr:colOff>
      <xdr:row>188</xdr:row>
      <xdr:rowOff>95249</xdr:rowOff>
    </xdr:to>
    <xdr:cxnSp macro="">
      <xdr:nvCxnSpPr>
        <xdr:cNvPr id="279" name="직선 화살표 연결선 278"/>
        <xdr:cNvCxnSpPr/>
      </xdr:nvCxnSpPr>
      <xdr:spPr>
        <a:xfrm>
          <a:off x="15014666" y="3590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41365</xdr:colOff>
      <xdr:row>187</xdr:row>
      <xdr:rowOff>38099</xdr:rowOff>
    </xdr:from>
    <xdr:to>
      <xdr:col>66</xdr:col>
      <xdr:colOff>63318</xdr:colOff>
      <xdr:row>187</xdr:row>
      <xdr:rowOff>152399</xdr:rowOff>
    </xdr:to>
    <xdr:sp macro="" textlink="">
      <xdr:nvSpPr>
        <xdr:cNvPr id="280" name="184"/>
        <xdr:cNvSpPr/>
      </xdr:nvSpPr>
      <xdr:spPr>
        <a:xfrm>
          <a:off x="15883345" y="35653979"/>
          <a:ext cx="1667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41365</xdr:colOff>
      <xdr:row>187</xdr:row>
      <xdr:rowOff>95249</xdr:rowOff>
    </xdr:from>
    <xdr:to>
      <xdr:col>65</xdr:col>
      <xdr:colOff>41365</xdr:colOff>
      <xdr:row>187</xdr:row>
      <xdr:rowOff>95249</xdr:rowOff>
    </xdr:to>
    <xdr:cxnSp macro="">
      <xdr:nvCxnSpPr>
        <xdr:cNvPr id="281" name="직선 화살표 연결선 280"/>
        <xdr:cNvCxnSpPr/>
      </xdr:nvCxnSpPr>
      <xdr:spPr>
        <a:xfrm>
          <a:off x="15883345" y="3571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186</xdr:row>
      <xdr:rowOff>38099</xdr:rowOff>
    </xdr:from>
    <xdr:to>
      <xdr:col>65</xdr:col>
      <xdr:colOff>42635</xdr:colOff>
      <xdr:row>186</xdr:row>
      <xdr:rowOff>152399</xdr:rowOff>
    </xdr:to>
    <xdr:sp macro="" textlink="">
      <xdr:nvSpPr>
        <xdr:cNvPr id="282" name="183"/>
        <xdr:cNvSpPr/>
      </xdr:nvSpPr>
      <xdr:spPr>
        <a:xfrm>
          <a:off x="14828520" y="35463479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0</xdr:colOff>
      <xdr:row>186</xdr:row>
      <xdr:rowOff>95249</xdr:rowOff>
    </xdr:from>
    <xdr:to>
      <xdr:col>58</xdr:col>
      <xdr:colOff>0</xdr:colOff>
      <xdr:row>186</xdr:row>
      <xdr:rowOff>95249</xdr:rowOff>
    </xdr:to>
    <xdr:cxnSp macro="">
      <xdr:nvCxnSpPr>
        <xdr:cNvPr id="283" name="직선 화살표 연결선 282"/>
        <xdr:cNvCxnSpPr/>
      </xdr:nvCxnSpPr>
      <xdr:spPr>
        <a:xfrm>
          <a:off x="14828520" y="3552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185</xdr:row>
      <xdr:rowOff>38099</xdr:rowOff>
    </xdr:from>
    <xdr:to>
      <xdr:col>58</xdr:col>
      <xdr:colOff>21952</xdr:colOff>
      <xdr:row>185</xdr:row>
      <xdr:rowOff>152399</xdr:rowOff>
    </xdr:to>
    <xdr:sp macro="" textlink="">
      <xdr:nvSpPr>
        <xdr:cNvPr id="284" name="182"/>
        <xdr:cNvSpPr/>
      </xdr:nvSpPr>
      <xdr:spPr>
        <a:xfrm>
          <a:off x="14725106" y="35272979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185</xdr:row>
      <xdr:rowOff>95249</xdr:rowOff>
    </xdr:from>
    <xdr:to>
      <xdr:col>57</xdr:col>
      <xdr:colOff>41366</xdr:colOff>
      <xdr:row>185</xdr:row>
      <xdr:rowOff>95249</xdr:rowOff>
    </xdr:to>
    <xdr:cxnSp macro="">
      <xdr:nvCxnSpPr>
        <xdr:cNvPr id="285" name="직선 화살표 연결선 284"/>
        <xdr:cNvCxnSpPr/>
      </xdr:nvCxnSpPr>
      <xdr:spPr>
        <a:xfrm>
          <a:off x="14725106" y="3533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184</xdr:row>
      <xdr:rowOff>38099</xdr:rowOff>
    </xdr:from>
    <xdr:to>
      <xdr:col>66</xdr:col>
      <xdr:colOff>63318</xdr:colOff>
      <xdr:row>184</xdr:row>
      <xdr:rowOff>152399</xdr:rowOff>
    </xdr:to>
    <xdr:sp macro="" textlink="">
      <xdr:nvSpPr>
        <xdr:cNvPr id="286" name="181"/>
        <xdr:cNvSpPr/>
      </xdr:nvSpPr>
      <xdr:spPr>
        <a:xfrm>
          <a:off x="14725106" y="35082479"/>
          <a:ext cx="13249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184</xdr:row>
      <xdr:rowOff>95249</xdr:rowOff>
    </xdr:from>
    <xdr:to>
      <xdr:col>57</xdr:col>
      <xdr:colOff>41366</xdr:colOff>
      <xdr:row>184</xdr:row>
      <xdr:rowOff>95249</xdr:rowOff>
    </xdr:to>
    <xdr:cxnSp macro="">
      <xdr:nvCxnSpPr>
        <xdr:cNvPr id="287" name="직선 화살표 연결선 286"/>
        <xdr:cNvCxnSpPr/>
      </xdr:nvCxnSpPr>
      <xdr:spPr>
        <a:xfrm>
          <a:off x="14725106" y="3513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183</xdr:row>
      <xdr:rowOff>38099</xdr:rowOff>
    </xdr:from>
    <xdr:to>
      <xdr:col>74</xdr:col>
      <xdr:colOff>84001</xdr:colOff>
      <xdr:row>183</xdr:row>
      <xdr:rowOff>152399</xdr:rowOff>
    </xdr:to>
    <xdr:sp macro="" textlink="">
      <xdr:nvSpPr>
        <xdr:cNvPr id="288" name="180"/>
        <xdr:cNvSpPr/>
      </xdr:nvSpPr>
      <xdr:spPr>
        <a:xfrm>
          <a:off x="14725106" y="34891979"/>
          <a:ext cx="250389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183</xdr:row>
      <xdr:rowOff>95249</xdr:rowOff>
    </xdr:from>
    <xdr:to>
      <xdr:col>57</xdr:col>
      <xdr:colOff>41366</xdr:colOff>
      <xdr:row>183</xdr:row>
      <xdr:rowOff>95249</xdr:rowOff>
    </xdr:to>
    <xdr:cxnSp macro="">
      <xdr:nvCxnSpPr>
        <xdr:cNvPr id="289" name="직선 화살표 연결선 288"/>
        <xdr:cNvCxnSpPr/>
      </xdr:nvCxnSpPr>
      <xdr:spPr>
        <a:xfrm>
          <a:off x="14725106" y="3494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182</xdr:row>
      <xdr:rowOff>38099</xdr:rowOff>
    </xdr:from>
    <xdr:to>
      <xdr:col>83</xdr:col>
      <xdr:colOff>84001</xdr:colOff>
      <xdr:row>182</xdr:row>
      <xdr:rowOff>152399</xdr:rowOff>
    </xdr:to>
    <xdr:sp macro="" textlink="">
      <xdr:nvSpPr>
        <xdr:cNvPr id="290" name="179"/>
        <xdr:cNvSpPr/>
      </xdr:nvSpPr>
      <xdr:spPr>
        <a:xfrm>
          <a:off x="14725106" y="34701479"/>
          <a:ext cx="380691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182</xdr:row>
      <xdr:rowOff>95249</xdr:rowOff>
    </xdr:from>
    <xdr:to>
      <xdr:col>57</xdr:col>
      <xdr:colOff>41366</xdr:colOff>
      <xdr:row>182</xdr:row>
      <xdr:rowOff>95249</xdr:rowOff>
    </xdr:to>
    <xdr:cxnSp macro="">
      <xdr:nvCxnSpPr>
        <xdr:cNvPr id="291" name="직선 화살표 연결선 290"/>
        <xdr:cNvCxnSpPr/>
      </xdr:nvCxnSpPr>
      <xdr:spPr>
        <a:xfrm>
          <a:off x="14725106" y="3475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181</xdr:row>
      <xdr:rowOff>38099</xdr:rowOff>
    </xdr:from>
    <xdr:to>
      <xdr:col>83</xdr:col>
      <xdr:colOff>84001</xdr:colOff>
      <xdr:row>181</xdr:row>
      <xdr:rowOff>152399</xdr:rowOff>
    </xdr:to>
    <xdr:sp macro="" textlink="">
      <xdr:nvSpPr>
        <xdr:cNvPr id="292" name="178"/>
        <xdr:cNvSpPr/>
      </xdr:nvSpPr>
      <xdr:spPr>
        <a:xfrm>
          <a:off x="14725106" y="34510979"/>
          <a:ext cx="380691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181</xdr:row>
      <xdr:rowOff>95249</xdr:rowOff>
    </xdr:from>
    <xdr:to>
      <xdr:col>57</xdr:col>
      <xdr:colOff>41366</xdr:colOff>
      <xdr:row>181</xdr:row>
      <xdr:rowOff>95249</xdr:rowOff>
    </xdr:to>
    <xdr:cxnSp macro="">
      <xdr:nvCxnSpPr>
        <xdr:cNvPr id="293" name="직선 화살표 연결선 292"/>
        <xdr:cNvCxnSpPr/>
      </xdr:nvCxnSpPr>
      <xdr:spPr>
        <a:xfrm>
          <a:off x="14725106" y="3456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180</xdr:row>
      <xdr:rowOff>38099</xdr:rowOff>
    </xdr:from>
    <xdr:to>
      <xdr:col>65</xdr:col>
      <xdr:colOff>104684</xdr:colOff>
      <xdr:row>180</xdr:row>
      <xdr:rowOff>152399</xdr:rowOff>
    </xdr:to>
    <xdr:sp macro="" textlink="">
      <xdr:nvSpPr>
        <xdr:cNvPr id="294" name="177"/>
        <xdr:cNvSpPr/>
      </xdr:nvSpPr>
      <xdr:spPr>
        <a:xfrm>
          <a:off x="15738566" y="343204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180</xdr:row>
      <xdr:rowOff>95249</xdr:rowOff>
    </xdr:from>
    <xdr:to>
      <xdr:col>64</xdr:col>
      <xdr:colOff>41366</xdr:colOff>
      <xdr:row>180</xdr:row>
      <xdr:rowOff>95249</xdr:rowOff>
    </xdr:to>
    <xdr:cxnSp macro="">
      <xdr:nvCxnSpPr>
        <xdr:cNvPr id="295" name="직선 화살표 연결선 294"/>
        <xdr:cNvCxnSpPr/>
      </xdr:nvCxnSpPr>
      <xdr:spPr>
        <a:xfrm>
          <a:off x="15738566" y="3437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179</xdr:row>
      <xdr:rowOff>38099</xdr:rowOff>
    </xdr:from>
    <xdr:to>
      <xdr:col>65</xdr:col>
      <xdr:colOff>104684</xdr:colOff>
      <xdr:row>179</xdr:row>
      <xdr:rowOff>152399</xdr:rowOff>
    </xdr:to>
    <xdr:sp macro="" textlink="">
      <xdr:nvSpPr>
        <xdr:cNvPr id="296" name="176"/>
        <xdr:cNvSpPr/>
      </xdr:nvSpPr>
      <xdr:spPr>
        <a:xfrm>
          <a:off x="15738566" y="341299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179</xdr:row>
      <xdr:rowOff>95249</xdr:rowOff>
    </xdr:from>
    <xdr:to>
      <xdr:col>64</xdr:col>
      <xdr:colOff>41366</xdr:colOff>
      <xdr:row>179</xdr:row>
      <xdr:rowOff>95249</xdr:rowOff>
    </xdr:to>
    <xdr:cxnSp macro="">
      <xdr:nvCxnSpPr>
        <xdr:cNvPr id="297" name="직선 화살표 연결선 296"/>
        <xdr:cNvCxnSpPr/>
      </xdr:nvCxnSpPr>
      <xdr:spPr>
        <a:xfrm>
          <a:off x="15738566" y="3418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178</xdr:row>
      <xdr:rowOff>38099</xdr:rowOff>
    </xdr:from>
    <xdr:to>
      <xdr:col>63</xdr:col>
      <xdr:colOff>84001</xdr:colOff>
      <xdr:row>178</xdr:row>
      <xdr:rowOff>152399</xdr:rowOff>
    </xdr:to>
    <xdr:sp macro="" textlink="">
      <xdr:nvSpPr>
        <xdr:cNvPr id="298" name="175"/>
        <xdr:cNvSpPr/>
      </xdr:nvSpPr>
      <xdr:spPr>
        <a:xfrm>
          <a:off x="15428323" y="339394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178</xdr:row>
      <xdr:rowOff>95249</xdr:rowOff>
    </xdr:from>
    <xdr:to>
      <xdr:col>62</xdr:col>
      <xdr:colOff>20683</xdr:colOff>
      <xdr:row>178</xdr:row>
      <xdr:rowOff>95249</xdr:rowOff>
    </xdr:to>
    <xdr:cxnSp macro="">
      <xdr:nvCxnSpPr>
        <xdr:cNvPr id="299" name="직선 화살표 연결선 298"/>
        <xdr:cNvCxnSpPr/>
      </xdr:nvCxnSpPr>
      <xdr:spPr>
        <a:xfrm>
          <a:off x="15428323" y="3399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177</xdr:row>
      <xdr:rowOff>38099</xdr:rowOff>
    </xdr:from>
    <xdr:to>
      <xdr:col>63</xdr:col>
      <xdr:colOff>84001</xdr:colOff>
      <xdr:row>177</xdr:row>
      <xdr:rowOff>152399</xdr:rowOff>
    </xdr:to>
    <xdr:sp macro="" textlink="">
      <xdr:nvSpPr>
        <xdr:cNvPr id="300" name="174"/>
        <xdr:cNvSpPr/>
      </xdr:nvSpPr>
      <xdr:spPr>
        <a:xfrm>
          <a:off x="15428323" y="337489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177</xdr:row>
      <xdr:rowOff>95249</xdr:rowOff>
    </xdr:from>
    <xdr:to>
      <xdr:col>62</xdr:col>
      <xdr:colOff>20683</xdr:colOff>
      <xdr:row>177</xdr:row>
      <xdr:rowOff>95249</xdr:rowOff>
    </xdr:to>
    <xdr:cxnSp macro="">
      <xdr:nvCxnSpPr>
        <xdr:cNvPr id="301" name="직선 화살표 연결선 300"/>
        <xdr:cNvCxnSpPr/>
      </xdr:nvCxnSpPr>
      <xdr:spPr>
        <a:xfrm>
          <a:off x="15428323" y="3380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176</xdr:row>
      <xdr:rowOff>38099</xdr:rowOff>
    </xdr:from>
    <xdr:to>
      <xdr:col>65</xdr:col>
      <xdr:colOff>104684</xdr:colOff>
      <xdr:row>176</xdr:row>
      <xdr:rowOff>152399</xdr:rowOff>
    </xdr:to>
    <xdr:sp macro="" textlink="">
      <xdr:nvSpPr>
        <xdr:cNvPr id="302" name="173"/>
        <xdr:cNvSpPr/>
      </xdr:nvSpPr>
      <xdr:spPr>
        <a:xfrm>
          <a:off x="15428323" y="33558479"/>
          <a:ext cx="5183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176</xdr:row>
      <xdr:rowOff>95249</xdr:rowOff>
    </xdr:from>
    <xdr:to>
      <xdr:col>62</xdr:col>
      <xdr:colOff>20683</xdr:colOff>
      <xdr:row>176</xdr:row>
      <xdr:rowOff>95249</xdr:rowOff>
    </xdr:to>
    <xdr:cxnSp macro="">
      <xdr:nvCxnSpPr>
        <xdr:cNvPr id="303" name="직선 화살표 연결선 302"/>
        <xdr:cNvCxnSpPr/>
      </xdr:nvCxnSpPr>
      <xdr:spPr>
        <a:xfrm>
          <a:off x="15428323" y="3361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62049</xdr:colOff>
      <xdr:row>175</xdr:row>
      <xdr:rowOff>38099</xdr:rowOff>
    </xdr:from>
    <xdr:to>
      <xdr:col>74</xdr:col>
      <xdr:colOff>125368</xdr:colOff>
      <xdr:row>175</xdr:row>
      <xdr:rowOff>152399</xdr:rowOff>
    </xdr:to>
    <xdr:sp macro="" textlink="">
      <xdr:nvSpPr>
        <xdr:cNvPr id="304" name="172"/>
        <xdr:cNvSpPr/>
      </xdr:nvSpPr>
      <xdr:spPr>
        <a:xfrm>
          <a:off x="17062269" y="33367979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62049</xdr:colOff>
      <xdr:row>175</xdr:row>
      <xdr:rowOff>95249</xdr:rowOff>
    </xdr:from>
    <xdr:to>
      <xdr:col>73</xdr:col>
      <xdr:colOff>62049</xdr:colOff>
      <xdr:row>175</xdr:row>
      <xdr:rowOff>95249</xdr:rowOff>
    </xdr:to>
    <xdr:cxnSp macro="">
      <xdr:nvCxnSpPr>
        <xdr:cNvPr id="305" name="직선 화살표 연결선 304"/>
        <xdr:cNvCxnSpPr/>
      </xdr:nvCxnSpPr>
      <xdr:spPr>
        <a:xfrm>
          <a:off x="17062269" y="3342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62049</xdr:colOff>
      <xdr:row>174</xdr:row>
      <xdr:rowOff>38099</xdr:rowOff>
    </xdr:from>
    <xdr:to>
      <xdr:col>74</xdr:col>
      <xdr:colOff>125368</xdr:colOff>
      <xdr:row>174</xdr:row>
      <xdr:rowOff>152399</xdr:rowOff>
    </xdr:to>
    <xdr:sp macro="" textlink="">
      <xdr:nvSpPr>
        <xdr:cNvPr id="306" name="171"/>
        <xdr:cNvSpPr/>
      </xdr:nvSpPr>
      <xdr:spPr>
        <a:xfrm>
          <a:off x="17062269" y="33177479"/>
          <a:ext cx="2080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62049</xdr:colOff>
      <xdr:row>174</xdr:row>
      <xdr:rowOff>95249</xdr:rowOff>
    </xdr:from>
    <xdr:to>
      <xdr:col>73</xdr:col>
      <xdr:colOff>62049</xdr:colOff>
      <xdr:row>174</xdr:row>
      <xdr:rowOff>95249</xdr:rowOff>
    </xdr:to>
    <xdr:cxnSp macro="">
      <xdr:nvCxnSpPr>
        <xdr:cNvPr id="307" name="직선 화살표 연결선 306"/>
        <xdr:cNvCxnSpPr/>
      </xdr:nvCxnSpPr>
      <xdr:spPr>
        <a:xfrm>
          <a:off x="17062269" y="3323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</xdr:colOff>
      <xdr:row>173</xdr:row>
      <xdr:rowOff>38099</xdr:rowOff>
    </xdr:from>
    <xdr:to>
      <xdr:col>72</xdr:col>
      <xdr:colOff>63318</xdr:colOff>
      <xdr:row>173</xdr:row>
      <xdr:rowOff>152399</xdr:rowOff>
    </xdr:to>
    <xdr:sp macro="" textlink="">
      <xdr:nvSpPr>
        <xdr:cNvPr id="308" name="170"/>
        <xdr:cNvSpPr/>
      </xdr:nvSpPr>
      <xdr:spPr>
        <a:xfrm>
          <a:off x="16710661" y="32986979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1</xdr:colOff>
      <xdr:row>173</xdr:row>
      <xdr:rowOff>95249</xdr:rowOff>
    </xdr:from>
    <xdr:to>
      <xdr:col>71</xdr:col>
      <xdr:colOff>1</xdr:colOff>
      <xdr:row>173</xdr:row>
      <xdr:rowOff>95249</xdr:rowOff>
    </xdr:to>
    <xdr:cxnSp macro="">
      <xdr:nvCxnSpPr>
        <xdr:cNvPr id="309" name="직선 화살표 연결선 308"/>
        <xdr:cNvCxnSpPr/>
      </xdr:nvCxnSpPr>
      <xdr:spPr>
        <a:xfrm>
          <a:off x="16710661" y="3304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</xdr:colOff>
      <xdr:row>172</xdr:row>
      <xdr:rowOff>38099</xdr:rowOff>
    </xdr:from>
    <xdr:to>
      <xdr:col>72</xdr:col>
      <xdr:colOff>63318</xdr:colOff>
      <xdr:row>172</xdr:row>
      <xdr:rowOff>152399</xdr:rowOff>
    </xdr:to>
    <xdr:sp macro="" textlink="">
      <xdr:nvSpPr>
        <xdr:cNvPr id="310" name="169"/>
        <xdr:cNvSpPr/>
      </xdr:nvSpPr>
      <xdr:spPr>
        <a:xfrm>
          <a:off x="16710661" y="32796479"/>
          <a:ext cx="208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1</xdr:colOff>
      <xdr:row>172</xdr:row>
      <xdr:rowOff>95249</xdr:rowOff>
    </xdr:from>
    <xdr:to>
      <xdr:col>71</xdr:col>
      <xdr:colOff>1</xdr:colOff>
      <xdr:row>172</xdr:row>
      <xdr:rowOff>95249</xdr:rowOff>
    </xdr:to>
    <xdr:cxnSp macro="">
      <xdr:nvCxnSpPr>
        <xdr:cNvPr id="311" name="직선 화살표 연결선 310"/>
        <xdr:cNvCxnSpPr/>
      </xdr:nvCxnSpPr>
      <xdr:spPr>
        <a:xfrm>
          <a:off x="16710661" y="3285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103414</xdr:colOff>
      <xdr:row>171</xdr:row>
      <xdr:rowOff>38099</xdr:rowOff>
    </xdr:from>
    <xdr:to>
      <xdr:col>70</xdr:col>
      <xdr:colOff>21952</xdr:colOff>
      <xdr:row>171</xdr:row>
      <xdr:rowOff>152399</xdr:rowOff>
    </xdr:to>
    <xdr:sp macro="" textlink="">
      <xdr:nvSpPr>
        <xdr:cNvPr id="312" name="168"/>
        <xdr:cNvSpPr/>
      </xdr:nvSpPr>
      <xdr:spPr>
        <a:xfrm>
          <a:off x="16379734" y="326059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103414</xdr:colOff>
      <xdr:row>171</xdr:row>
      <xdr:rowOff>95249</xdr:rowOff>
    </xdr:from>
    <xdr:to>
      <xdr:col>68</xdr:col>
      <xdr:colOff>103414</xdr:colOff>
      <xdr:row>171</xdr:row>
      <xdr:rowOff>95249</xdr:rowOff>
    </xdr:to>
    <xdr:cxnSp macro="">
      <xdr:nvCxnSpPr>
        <xdr:cNvPr id="313" name="직선 화살표 연결선 312"/>
        <xdr:cNvCxnSpPr/>
      </xdr:nvCxnSpPr>
      <xdr:spPr>
        <a:xfrm>
          <a:off x="16379734" y="3266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103414</xdr:colOff>
      <xdr:row>170</xdr:row>
      <xdr:rowOff>38099</xdr:rowOff>
    </xdr:from>
    <xdr:to>
      <xdr:col>70</xdr:col>
      <xdr:colOff>21952</xdr:colOff>
      <xdr:row>170</xdr:row>
      <xdr:rowOff>152399</xdr:rowOff>
    </xdr:to>
    <xdr:sp macro="" textlink="">
      <xdr:nvSpPr>
        <xdr:cNvPr id="314" name="167"/>
        <xdr:cNvSpPr/>
      </xdr:nvSpPr>
      <xdr:spPr>
        <a:xfrm>
          <a:off x="16379734" y="324154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103414</xdr:colOff>
      <xdr:row>170</xdr:row>
      <xdr:rowOff>95249</xdr:rowOff>
    </xdr:from>
    <xdr:to>
      <xdr:col>68</xdr:col>
      <xdr:colOff>103414</xdr:colOff>
      <xdr:row>170</xdr:row>
      <xdr:rowOff>95249</xdr:rowOff>
    </xdr:to>
    <xdr:cxnSp macro="">
      <xdr:nvCxnSpPr>
        <xdr:cNvPr id="315" name="직선 화살표 연결선 314"/>
        <xdr:cNvCxnSpPr/>
      </xdr:nvCxnSpPr>
      <xdr:spPr>
        <a:xfrm>
          <a:off x="16379734" y="3247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82732</xdr:colOff>
      <xdr:row>169</xdr:row>
      <xdr:rowOff>38099</xdr:rowOff>
    </xdr:from>
    <xdr:to>
      <xdr:col>68</xdr:col>
      <xdr:colOff>1269</xdr:colOff>
      <xdr:row>169</xdr:row>
      <xdr:rowOff>152399</xdr:rowOff>
    </xdr:to>
    <xdr:sp macro="" textlink="">
      <xdr:nvSpPr>
        <xdr:cNvPr id="316" name="166"/>
        <xdr:cNvSpPr/>
      </xdr:nvSpPr>
      <xdr:spPr>
        <a:xfrm>
          <a:off x="16069492" y="32224979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82732</xdr:colOff>
      <xdr:row>169</xdr:row>
      <xdr:rowOff>95249</xdr:rowOff>
    </xdr:from>
    <xdr:to>
      <xdr:col>66</xdr:col>
      <xdr:colOff>82732</xdr:colOff>
      <xdr:row>169</xdr:row>
      <xdr:rowOff>95249</xdr:rowOff>
    </xdr:to>
    <xdr:cxnSp macro="">
      <xdr:nvCxnSpPr>
        <xdr:cNvPr id="317" name="직선 화살표 연결선 316"/>
        <xdr:cNvCxnSpPr/>
      </xdr:nvCxnSpPr>
      <xdr:spPr>
        <a:xfrm>
          <a:off x="16069492" y="3228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82732</xdr:colOff>
      <xdr:row>168</xdr:row>
      <xdr:rowOff>38099</xdr:rowOff>
    </xdr:from>
    <xdr:to>
      <xdr:col>68</xdr:col>
      <xdr:colOff>1269</xdr:colOff>
      <xdr:row>168</xdr:row>
      <xdr:rowOff>152399</xdr:rowOff>
    </xdr:to>
    <xdr:sp macro="" textlink="">
      <xdr:nvSpPr>
        <xdr:cNvPr id="318" name="165"/>
        <xdr:cNvSpPr/>
      </xdr:nvSpPr>
      <xdr:spPr>
        <a:xfrm>
          <a:off x="16069492" y="32034479"/>
          <a:ext cx="208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82732</xdr:colOff>
      <xdr:row>168</xdr:row>
      <xdr:rowOff>95249</xdr:rowOff>
    </xdr:from>
    <xdr:to>
      <xdr:col>66</xdr:col>
      <xdr:colOff>82732</xdr:colOff>
      <xdr:row>168</xdr:row>
      <xdr:rowOff>95249</xdr:rowOff>
    </xdr:to>
    <xdr:cxnSp macro="">
      <xdr:nvCxnSpPr>
        <xdr:cNvPr id="319" name="직선 화살표 연결선 318"/>
        <xdr:cNvCxnSpPr/>
      </xdr:nvCxnSpPr>
      <xdr:spPr>
        <a:xfrm>
          <a:off x="16069492" y="3209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167</xdr:row>
      <xdr:rowOff>38099</xdr:rowOff>
    </xdr:from>
    <xdr:to>
      <xdr:col>63</xdr:col>
      <xdr:colOff>84001</xdr:colOff>
      <xdr:row>167</xdr:row>
      <xdr:rowOff>152399</xdr:rowOff>
    </xdr:to>
    <xdr:sp macro="" textlink="">
      <xdr:nvSpPr>
        <xdr:cNvPr id="320" name="164"/>
        <xdr:cNvSpPr/>
      </xdr:nvSpPr>
      <xdr:spPr>
        <a:xfrm>
          <a:off x="15428323" y="318439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167</xdr:row>
      <xdr:rowOff>95249</xdr:rowOff>
    </xdr:from>
    <xdr:to>
      <xdr:col>62</xdr:col>
      <xdr:colOff>20683</xdr:colOff>
      <xdr:row>167</xdr:row>
      <xdr:rowOff>95249</xdr:rowOff>
    </xdr:to>
    <xdr:cxnSp macro="">
      <xdr:nvCxnSpPr>
        <xdr:cNvPr id="321" name="직선 화살표 연결선 320"/>
        <xdr:cNvCxnSpPr/>
      </xdr:nvCxnSpPr>
      <xdr:spPr>
        <a:xfrm>
          <a:off x="15428323" y="3190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166</xdr:row>
      <xdr:rowOff>38099</xdr:rowOff>
    </xdr:from>
    <xdr:to>
      <xdr:col>63</xdr:col>
      <xdr:colOff>84001</xdr:colOff>
      <xdr:row>166</xdr:row>
      <xdr:rowOff>152399</xdr:rowOff>
    </xdr:to>
    <xdr:sp macro="" textlink="">
      <xdr:nvSpPr>
        <xdr:cNvPr id="322" name="163"/>
        <xdr:cNvSpPr/>
      </xdr:nvSpPr>
      <xdr:spPr>
        <a:xfrm>
          <a:off x="15428323" y="316534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166</xdr:row>
      <xdr:rowOff>95249</xdr:rowOff>
    </xdr:from>
    <xdr:to>
      <xdr:col>62</xdr:col>
      <xdr:colOff>20683</xdr:colOff>
      <xdr:row>166</xdr:row>
      <xdr:rowOff>95249</xdr:rowOff>
    </xdr:to>
    <xdr:cxnSp macro="">
      <xdr:nvCxnSpPr>
        <xdr:cNvPr id="323" name="직선 화살표 연결선 322"/>
        <xdr:cNvCxnSpPr/>
      </xdr:nvCxnSpPr>
      <xdr:spPr>
        <a:xfrm>
          <a:off x="15428323" y="3171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165</xdr:row>
      <xdr:rowOff>38099</xdr:rowOff>
    </xdr:from>
    <xdr:to>
      <xdr:col>59</xdr:col>
      <xdr:colOff>42636</xdr:colOff>
      <xdr:row>165</xdr:row>
      <xdr:rowOff>152399</xdr:rowOff>
    </xdr:to>
    <xdr:sp macro="" textlink="">
      <xdr:nvSpPr>
        <xdr:cNvPr id="324" name="162"/>
        <xdr:cNvSpPr/>
      </xdr:nvSpPr>
      <xdr:spPr>
        <a:xfrm>
          <a:off x="14807837" y="31462979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165</xdr:row>
      <xdr:rowOff>95249</xdr:rowOff>
    </xdr:from>
    <xdr:to>
      <xdr:col>57</xdr:col>
      <xdr:colOff>124097</xdr:colOff>
      <xdr:row>165</xdr:row>
      <xdr:rowOff>95249</xdr:rowOff>
    </xdr:to>
    <xdr:cxnSp macro="">
      <xdr:nvCxnSpPr>
        <xdr:cNvPr id="325" name="직선 화살표 연결선 324"/>
        <xdr:cNvCxnSpPr/>
      </xdr:nvCxnSpPr>
      <xdr:spPr>
        <a:xfrm>
          <a:off x="14807837" y="3152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164</xdr:row>
      <xdr:rowOff>38099</xdr:rowOff>
    </xdr:from>
    <xdr:to>
      <xdr:col>59</xdr:col>
      <xdr:colOff>42636</xdr:colOff>
      <xdr:row>164</xdr:row>
      <xdr:rowOff>152399</xdr:rowOff>
    </xdr:to>
    <xdr:sp macro="" textlink="">
      <xdr:nvSpPr>
        <xdr:cNvPr id="326" name="161"/>
        <xdr:cNvSpPr/>
      </xdr:nvSpPr>
      <xdr:spPr>
        <a:xfrm>
          <a:off x="14807837" y="31272479"/>
          <a:ext cx="2080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164</xdr:row>
      <xdr:rowOff>95249</xdr:rowOff>
    </xdr:from>
    <xdr:to>
      <xdr:col>57</xdr:col>
      <xdr:colOff>124097</xdr:colOff>
      <xdr:row>164</xdr:row>
      <xdr:rowOff>95249</xdr:rowOff>
    </xdr:to>
    <xdr:cxnSp macro="">
      <xdr:nvCxnSpPr>
        <xdr:cNvPr id="327" name="직선 화살표 연결선 326"/>
        <xdr:cNvCxnSpPr/>
      </xdr:nvCxnSpPr>
      <xdr:spPr>
        <a:xfrm>
          <a:off x="14807837" y="3132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163</xdr:row>
      <xdr:rowOff>38099</xdr:rowOff>
    </xdr:from>
    <xdr:to>
      <xdr:col>74</xdr:col>
      <xdr:colOff>125368</xdr:colOff>
      <xdr:row>163</xdr:row>
      <xdr:rowOff>152399</xdr:rowOff>
    </xdr:to>
    <xdr:sp macro="" textlink="">
      <xdr:nvSpPr>
        <xdr:cNvPr id="328" name="160"/>
        <xdr:cNvSpPr/>
      </xdr:nvSpPr>
      <xdr:spPr>
        <a:xfrm>
          <a:off x="14807837" y="31081979"/>
          <a:ext cx="24625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163</xdr:row>
      <xdr:rowOff>95249</xdr:rowOff>
    </xdr:from>
    <xdr:to>
      <xdr:col>57</xdr:col>
      <xdr:colOff>124097</xdr:colOff>
      <xdr:row>163</xdr:row>
      <xdr:rowOff>95249</xdr:rowOff>
    </xdr:to>
    <xdr:cxnSp macro="">
      <xdr:nvCxnSpPr>
        <xdr:cNvPr id="329" name="직선 화살표 연결선 328"/>
        <xdr:cNvCxnSpPr/>
      </xdr:nvCxnSpPr>
      <xdr:spPr>
        <a:xfrm>
          <a:off x="14807837" y="3113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162</xdr:row>
      <xdr:rowOff>38099</xdr:rowOff>
    </xdr:from>
    <xdr:to>
      <xdr:col>59</xdr:col>
      <xdr:colOff>63319</xdr:colOff>
      <xdr:row>162</xdr:row>
      <xdr:rowOff>152399</xdr:rowOff>
    </xdr:to>
    <xdr:sp macro="" textlink="">
      <xdr:nvSpPr>
        <xdr:cNvPr id="330" name="159"/>
        <xdr:cNvSpPr/>
      </xdr:nvSpPr>
      <xdr:spPr>
        <a:xfrm>
          <a:off x="14807837" y="30891479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162</xdr:row>
      <xdr:rowOff>95249</xdr:rowOff>
    </xdr:from>
    <xdr:to>
      <xdr:col>57</xdr:col>
      <xdr:colOff>124097</xdr:colOff>
      <xdr:row>162</xdr:row>
      <xdr:rowOff>95249</xdr:rowOff>
    </xdr:to>
    <xdr:cxnSp macro="">
      <xdr:nvCxnSpPr>
        <xdr:cNvPr id="331" name="직선 화살표 연결선 330"/>
        <xdr:cNvCxnSpPr/>
      </xdr:nvCxnSpPr>
      <xdr:spPr>
        <a:xfrm>
          <a:off x="14807837" y="3094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161</xdr:row>
      <xdr:rowOff>38099</xdr:rowOff>
    </xdr:from>
    <xdr:to>
      <xdr:col>59</xdr:col>
      <xdr:colOff>63319</xdr:colOff>
      <xdr:row>161</xdr:row>
      <xdr:rowOff>152399</xdr:rowOff>
    </xdr:to>
    <xdr:sp macro="" textlink="">
      <xdr:nvSpPr>
        <xdr:cNvPr id="332" name="158"/>
        <xdr:cNvSpPr/>
      </xdr:nvSpPr>
      <xdr:spPr>
        <a:xfrm>
          <a:off x="14807837" y="30700979"/>
          <a:ext cx="22878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161</xdr:row>
      <xdr:rowOff>95249</xdr:rowOff>
    </xdr:from>
    <xdr:to>
      <xdr:col>57</xdr:col>
      <xdr:colOff>124097</xdr:colOff>
      <xdr:row>161</xdr:row>
      <xdr:rowOff>95249</xdr:rowOff>
    </xdr:to>
    <xdr:cxnSp macro="">
      <xdr:nvCxnSpPr>
        <xdr:cNvPr id="333" name="직선 화살표 연결선 332"/>
        <xdr:cNvCxnSpPr/>
      </xdr:nvCxnSpPr>
      <xdr:spPr>
        <a:xfrm>
          <a:off x="14807837" y="3075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160</xdr:row>
      <xdr:rowOff>38099</xdr:rowOff>
    </xdr:from>
    <xdr:to>
      <xdr:col>59</xdr:col>
      <xdr:colOff>63319</xdr:colOff>
      <xdr:row>160</xdr:row>
      <xdr:rowOff>152399</xdr:rowOff>
    </xdr:to>
    <xdr:sp macro="" textlink="">
      <xdr:nvSpPr>
        <xdr:cNvPr id="334" name="157"/>
        <xdr:cNvSpPr/>
      </xdr:nvSpPr>
      <xdr:spPr>
        <a:xfrm>
          <a:off x="14807837" y="30510479"/>
          <a:ext cx="22878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160</xdr:row>
      <xdr:rowOff>95249</xdr:rowOff>
    </xdr:from>
    <xdr:to>
      <xdr:col>57</xdr:col>
      <xdr:colOff>124097</xdr:colOff>
      <xdr:row>160</xdr:row>
      <xdr:rowOff>95249</xdr:rowOff>
    </xdr:to>
    <xdr:cxnSp macro="">
      <xdr:nvCxnSpPr>
        <xdr:cNvPr id="335" name="직선 화살표 연결선 334"/>
        <xdr:cNvCxnSpPr/>
      </xdr:nvCxnSpPr>
      <xdr:spPr>
        <a:xfrm>
          <a:off x="14807837" y="3056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103414</xdr:colOff>
      <xdr:row>159</xdr:row>
      <xdr:rowOff>38099</xdr:rowOff>
    </xdr:from>
    <xdr:to>
      <xdr:col>70</xdr:col>
      <xdr:colOff>21952</xdr:colOff>
      <xdr:row>159</xdr:row>
      <xdr:rowOff>152399</xdr:rowOff>
    </xdr:to>
    <xdr:sp macro="" textlink="">
      <xdr:nvSpPr>
        <xdr:cNvPr id="336" name="156"/>
        <xdr:cNvSpPr/>
      </xdr:nvSpPr>
      <xdr:spPr>
        <a:xfrm>
          <a:off x="16379734" y="303199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103414</xdr:colOff>
      <xdr:row>159</xdr:row>
      <xdr:rowOff>95249</xdr:rowOff>
    </xdr:from>
    <xdr:to>
      <xdr:col>68</xdr:col>
      <xdr:colOff>103414</xdr:colOff>
      <xdr:row>159</xdr:row>
      <xdr:rowOff>95249</xdr:rowOff>
    </xdr:to>
    <xdr:cxnSp macro="">
      <xdr:nvCxnSpPr>
        <xdr:cNvPr id="337" name="직선 화살표 연결선 336"/>
        <xdr:cNvCxnSpPr/>
      </xdr:nvCxnSpPr>
      <xdr:spPr>
        <a:xfrm>
          <a:off x="16379734" y="3037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103414</xdr:colOff>
      <xdr:row>158</xdr:row>
      <xdr:rowOff>38099</xdr:rowOff>
    </xdr:from>
    <xdr:to>
      <xdr:col>70</xdr:col>
      <xdr:colOff>21952</xdr:colOff>
      <xdr:row>158</xdr:row>
      <xdr:rowOff>152399</xdr:rowOff>
    </xdr:to>
    <xdr:sp macro="" textlink="">
      <xdr:nvSpPr>
        <xdr:cNvPr id="338" name="155"/>
        <xdr:cNvSpPr/>
      </xdr:nvSpPr>
      <xdr:spPr>
        <a:xfrm>
          <a:off x="16379734" y="301294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103414</xdr:colOff>
      <xdr:row>158</xdr:row>
      <xdr:rowOff>95249</xdr:rowOff>
    </xdr:from>
    <xdr:to>
      <xdr:col>68</xdr:col>
      <xdr:colOff>103414</xdr:colOff>
      <xdr:row>158</xdr:row>
      <xdr:rowOff>95249</xdr:rowOff>
    </xdr:to>
    <xdr:cxnSp macro="">
      <xdr:nvCxnSpPr>
        <xdr:cNvPr id="339" name="직선 화살표 연결선 338"/>
        <xdr:cNvCxnSpPr/>
      </xdr:nvCxnSpPr>
      <xdr:spPr>
        <a:xfrm>
          <a:off x="16379734" y="3018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157</xdr:row>
      <xdr:rowOff>38099</xdr:rowOff>
    </xdr:from>
    <xdr:to>
      <xdr:col>65</xdr:col>
      <xdr:colOff>125366</xdr:colOff>
      <xdr:row>157</xdr:row>
      <xdr:rowOff>152399</xdr:rowOff>
    </xdr:to>
    <xdr:sp macro="" textlink="">
      <xdr:nvSpPr>
        <xdr:cNvPr id="340" name="154"/>
        <xdr:cNvSpPr/>
      </xdr:nvSpPr>
      <xdr:spPr>
        <a:xfrm>
          <a:off x="15738566" y="29938979"/>
          <a:ext cx="2287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157</xdr:row>
      <xdr:rowOff>95249</xdr:rowOff>
    </xdr:from>
    <xdr:to>
      <xdr:col>64</xdr:col>
      <xdr:colOff>41366</xdr:colOff>
      <xdr:row>157</xdr:row>
      <xdr:rowOff>95249</xdr:rowOff>
    </xdr:to>
    <xdr:cxnSp macro="">
      <xdr:nvCxnSpPr>
        <xdr:cNvPr id="341" name="직선 화살표 연결선 340"/>
        <xdr:cNvCxnSpPr/>
      </xdr:nvCxnSpPr>
      <xdr:spPr>
        <a:xfrm>
          <a:off x="15738566" y="2999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156</xdr:row>
      <xdr:rowOff>38099</xdr:rowOff>
    </xdr:from>
    <xdr:to>
      <xdr:col>65</xdr:col>
      <xdr:colOff>125366</xdr:colOff>
      <xdr:row>156</xdr:row>
      <xdr:rowOff>152399</xdr:rowOff>
    </xdr:to>
    <xdr:sp macro="" textlink="">
      <xdr:nvSpPr>
        <xdr:cNvPr id="342" name="153"/>
        <xdr:cNvSpPr/>
      </xdr:nvSpPr>
      <xdr:spPr>
        <a:xfrm>
          <a:off x="15738566" y="29748479"/>
          <a:ext cx="2287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156</xdr:row>
      <xdr:rowOff>95249</xdr:rowOff>
    </xdr:from>
    <xdr:to>
      <xdr:col>64</xdr:col>
      <xdr:colOff>41366</xdr:colOff>
      <xdr:row>156</xdr:row>
      <xdr:rowOff>95249</xdr:rowOff>
    </xdr:to>
    <xdr:cxnSp macro="">
      <xdr:nvCxnSpPr>
        <xdr:cNvPr id="343" name="직선 화살표 연결선 342"/>
        <xdr:cNvCxnSpPr/>
      </xdr:nvCxnSpPr>
      <xdr:spPr>
        <a:xfrm>
          <a:off x="15738566" y="29805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155</xdr:row>
      <xdr:rowOff>38099</xdr:rowOff>
    </xdr:from>
    <xdr:to>
      <xdr:col>70</xdr:col>
      <xdr:colOff>21952</xdr:colOff>
      <xdr:row>155</xdr:row>
      <xdr:rowOff>152399</xdr:rowOff>
    </xdr:to>
    <xdr:sp macro="" textlink="">
      <xdr:nvSpPr>
        <xdr:cNvPr id="344" name="152"/>
        <xdr:cNvSpPr/>
      </xdr:nvSpPr>
      <xdr:spPr>
        <a:xfrm>
          <a:off x="15738566" y="29557979"/>
          <a:ext cx="8492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155</xdr:row>
      <xdr:rowOff>95249</xdr:rowOff>
    </xdr:from>
    <xdr:to>
      <xdr:col>64</xdr:col>
      <xdr:colOff>41366</xdr:colOff>
      <xdr:row>155</xdr:row>
      <xdr:rowOff>95249</xdr:rowOff>
    </xdr:to>
    <xdr:cxnSp macro="">
      <xdr:nvCxnSpPr>
        <xdr:cNvPr id="345" name="직선 화살표 연결선 344"/>
        <xdr:cNvCxnSpPr/>
      </xdr:nvCxnSpPr>
      <xdr:spPr>
        <a:xfrm>
          <a:off x="15738566" y="29615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154</xdr:row>
      <xdr:rowOff>38099</xdr:rowOff>
    </xdr:from>
    <xdr:to>
      <xdr:col>65</xdr:col>
      <xdr:colOff>104684</xdr:colOff>
      <xdr:row>154</xdr:row>
      <xdr:rowOff>152399</xdr:rowOff>
    </xdr:to>
    <xdr:sp macro="" textlink="">
      <xdr:nvSpPr>
        <xdr:cNvPr id="346" name="151"/>
        <xdr:cNvSpPr/>
      </xdr:nvSpPr>
      <xdr:spPr>
        <a:xfrm>
          <a:off x="15738566" y="293674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154</xdr:row>
      <xdr:rowOff>95249</xdr:rowOff>
    </xdr:from>
    <xdr:to>
      <xdr:col>64</xdr:col>
      <xdr:colOff>41366</xdr:colOff>
      <xdr:row>154</xdr:row>
      <xdr:rowOff>95249</xdr:rowOff>
    </xdr:to>
    <xdr:cxnSp macro="">
      <xdr:nvCxnSpPr>
        <xdr:cNvPr id="347" name="직선 화살표 연결선 346"/>
        <xdr:cNvCxnSpPr/>
      </xdr:nvCxnSpPr>
      <xdr:spPr>
        <a:xfrm>
          <a:off x="15738566" y="29424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153</xdr:row>
      <xdr:rowOff>38099</xdr:rowOff>
    </xdr:from>
    <xdr:to>
      <xdr:col>65</xdr:col>
      <xdr:colOff>104684</xdr:colOff>
      <xdr:row>153</xdr:row>
      <xdr:rowOff>152399</xdr:rowOff>
    </xdr:to>
    <xdr:sp macro="" textlink="">
      <xdr:nvSpPr>
        <xdr:cNvPr id="348" name="150"/>
        <xdr:cNvSpPr/>
      </xdr:nvSpPr>
      <xdr:spPr>
        <a:xfrm>
          <a:off x="15738566" y="291769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153</xdr:row>
      <xdr:rowOff>95249</xdr:rowOff>
    </xdr:from>
    <xdr:to>
      <xdr:col>64</xdr:col>
      <xdr:colOff>41366</xdr:colOff>
      <xdr:row>153</xdr:row>
      <xdr:rowOff>95249</xdr:rowOff>
    </xdr:to>
    <xdr:cxnSp macro="">
      <xdr:nvCxnSpPr>
        <xdr:cNvPr id="349" name="직선 화살표 연결선 348"/>
        <xdr:cNvCxnSpPr/>
      </xdr:nvCxnSpPr>
      <xdr:spPr>
        <a:xfrm>
          <a:off x="15738566" y="29234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152</xdr:row>
      <xdr:rowOff>38099</xdr:rowOff>
    </xdr:from>
    <xdr:to>
      <xdr:col>63</xdr:col>
      <xdr:colOff>84001</xdr:colOff>
      <xdr:row>152</xdr:row>
      <xdr:rowOff>152399</xdr:rowOff>
    </xdr:to>
    <xdr:sp macro="" textlink="">
      <xdr:nvSpPr>
        <xdr:cNvPr id="350" name="149"/>
        <xdr:cNvSpPr/>
      </xdr:nvSpPr>
      <xdr:spPr>
        <a:xfrm>
          <a:off x="15428323" y="289864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152</xdr:row>
      <xdr:rowOff>95249</xdr:rowOff>
    </xdr:from>
    <xdr:to>
      <xdr:col>62</xdr:col>
      <xdr:colOff>20683</xdr:colOff>
      <xdr:row>152</xdr:row>
      <xdr:rowOff>95249</xdr:rowOff>
    </xdr:to>
    <xdr:cxnSp macro="">
      <xdr:nvCxnSpPr>
        <xdr:cNvPr id="351" name="직선 화살표 연결선 350"/>
        <xdr:cNvCxnSpPr/>
      </xdr:nvCxnSpPr>
      <xdr:spPr>
        <a:xfrm>
          <a:off x="15428323" y="29043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151</xdr:row>
      <xdr:rowOff>38099</xdr:rowOff>
    </xdr:from>
    <xdr:to>
      <xdr:col>63</xdr:col>
      <xdr:colOff>84001</xdr:colOff>
      <xdr:row>151</xdr:row>
      <xdr:rowOff>152399</xdr:rowOff>
    </xdr:to>
    <xdr:sp macro="" textlink="">
      <xdr:nvSpPr>
        <xdr:cNvPr id="352" name="148"/>
        <xdr:cNvSpPr/>
      </xdr:nvSpPr>
      <xdr:spPr>
        <a:xfrm>
          <a:off x="15428323" y="287959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151</xdr:row>
      <xdr:rowOff>95249</xdr:rowOff>
    </xdr:from>
    <xdr:to>
      <xdr:col>62</xdr:col>
      <xdr:colOff>20683</xdr:colOff>
      <xdr:row>151</xdr:row>
      <xdr:rowOff>95249</xdr:rowOff>
    </xdr:to>
    <xdr:cxnSp macro="">
      <xdr:nvCxnSpPr>
        <xdr:cNvPr id="353" name="직선 화살표 연결선 352"/>
        <xdr:cNvCxnSpPr/>
      </xdr:nvCxnSpPr>
      <xdr:spPr>
        <a:xfrm>
          <a:off x="15428323" y="28853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150</xdr:row>
      <xdr:rowOff>38099</xdr:rowOff>
    </xdr:from>
    <xdr:to>
      <xdr:col>61</xdr:col>
      <xdr:colOff>63318</xdr:colOff>
      <xdr:row>150</xdr:row>
      <xdr:rowOff>152399</xdr:rowOff>
    </xdr:to>
    <xdr:sp macro="" textlink="">
      <xdr:nvSpPr>
        <xdr:cNvPr id="354" name="147"/>
        <xdr:cNvSpPr/>
      </xdr:nvSpPr>
      <xdr:spPr>
        <a:xfrm>
          <a:off x="15118080" y="28605479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150</xdr:row>
      <xdr:rowOff>95249</xdr:rowOff>
    </xdr:from>
    <xdr:to>
      <xdr:col>60</xdr:col>
      <xdr:colOff>0</xdr:colOff>
      <xdr:row>150</xdr:row>
      <xdr:rowOff>95249</xdr:rowOff>
    </xdr:to>
    <xdr:cxnSp macro="">
      <xdr:nvCxnSpPr>
        <xdr:cNvPr id="355" name="직선 화살표 연결선 354"/>
        <xdr:cNvCxnSpPr/>
      </xdr:nvCxnSpPr>
      <xdr:spPr>
        <a:xfrm>
          <a:off x="15118080" y="28662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149</xdr:row>
      <xdr:rowOff>38099</xdr:rowOff>
    </xdr:from>
    <xdr:to>
      <xdr:col>61</xdr:col>
      <xdr:colOff>63318</xdr:colOff>
      <xdr:row>149</xdr:row>
      <xdr:rowOff>152399</xdr:rowOff>
    </xdr:to>
    <xdr:sp macro="" textlink="">
      <xdr:nvSpPr>
        <xdr:cNvPr id="356" name="146"/>
        <xdr:cNvSpPr/>
      </xdr:nvSpPr>
      <xdr:spPr>
        <a:xfrm>
          <a:off x="15118080" y="28414979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149</xdr:row>
      <xdr:rowOff>95249</xdr:rowOff>
    </xdr:from>
    <xdr:to>
      <xdr:col>60</xdr:col>
      <xdr:colOff>0</xdr:colOff>
      <xdr:row>149</xdr:row>
      <xdr:rowOff>95249</xdr:rowOff>
    </xdr:to>
    <xdr:cxnSp macro="">
      <xdr:nvCxnSpPr>
        <xdr:cNvPr id="357" name="직선 화살표 연결선 356"/>
        <xdr:cNvCxnSpPr/>
      </xdr:nvCxnSpPr>
      <xdr:spPr>
        <a:xfrm>
          <a:off x="15118080" y="28472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148</xdr:row>
      <xdr:rowOff>38099</xdr:rowOff>
    </xdr:from>
    <xdr:to>
      <xdr:col>59</xdr:col>
      <xdr:colOff>42636</xdr:colOff>
      <xdr:row>148</xdr:row>
      <xdr:rowOff>152399</xdr:rowOff>
    </xdr:to>
    <xdr:sp macro="" textlink="">
      <xdr:nvSpPr>
        <xdr:cNvPr id="358" name="145"/>
        <xdr:cNvSpPr/>
      </xdr:nvSpPr>
      <xdr:spPr>
        <a:xfrm>
          <a:off x="14807837" y="28224479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148</xdr:row>
      <xdr:rowOff>95249</xdr:rowOff>
    </xdr:from>
    <xdr:to>
      <xdr:col>57</xdr:col>
      <xdr:colOff>124097</xdr:colOff>
      <xdr:row>148</xdr:row>
      <xdr:rowOff>95249</xdr:rowOff>
    </xdr:to>
    <xdr:cxnSp macro="">
      <xdr:nvCxnSpPr>
        <xdr:cNvPr id="359" name="직선 화살표 연결선 358"/>
        <xdr:cNvCxnSpPr/>
      </xdr:nvCxnSpPr>
      <xdr:spPr>
        <a:xfrm>
          <a:off x="14807837" y="28281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124097</xdr:colOff>
      <xdr:row>147</xdr:row>
      <xdr:rowOff>38099</xdr:rowOff>
    </xdr:from>
    <xdr:to>
      <xdr:col>59</xdr:col>
      <xdr:colOff>42636</xdr:colOff>
      <xdr:row>147</xdr:row>
      <xdr:rowOff>152399</xdr:rowOff>
    </xdr:to>
    <xdr:sp macro="" textlink="">
      <xdr:nvSpPr>
        <xdr:cNvPr id="360" name="144"/>
        <xdr:cNvSpPr/>
      </xdr:nvSpPr>
      <xdr:spPr>
        <a:xfrm>
          <a:off x="14807837" y="28033979"/>
          <a:ext cx="2080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124097</xdr:colOff>
      <xdr:row>147</xdr:row>
      <xdr:rowOff>95249</xdr:rowOff>
    </xdr:from>
    <xdr:to>
      <xdr:col>57</xdr:col>
      <xdr:colOff>124097</xdr:colOff>
      <xdr:row>147</xdr:row>
      <xdr:rowOff>95249</xdr:rowOff>
    </xdr:to>
    <xdr:cxnSp macro="">
      <xdr:nvCxnSpPr>
        <xdr:cNvPr id="361" name="직선 화살표 연결선 360"/>
        <xdr:cNvCxnSpPr/>
      </xdr:nvCxnSpPr>
      <xdr:spPr>
        <a:xfrm>
          <a:off x="14807837" y="28091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146</xdr:row>
      <xdr:rowOff>38099</xdr:rowOff>
    </xdr:from>
    <xdr:to>
      <xdr:col>57</xdr:col>
      <xdr:colOff>21953</xdr:colOff>
      <xdr:row>146</xdr:row>
      <xdr:rowOff>152399</xdr:rowOff>
    </xdr:to>
    <xdr:sp macro="" textlink="">
      <xdr:nvSpPr>
        <xdr:cNvPr id="362" name="143"/>
        <xdr:cNvSpPr/>
      </xdr:nvSpPr>
      <xdr:spPr>
        <a:xfrm>
          <a:off x="14476912" y="27843479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146</xdr:row>
      <xdr:rowOff>95249</xdr:rowOff>
    </xdr:from>
    <xdr:to>
      <xdr:col>55</xdr:col>
      <xdr:colOff>82732</xdr:colOff>
      <xdr:row>146</xdr:row>
      <xdr:rowOff>95249</xdr:rowOff>
    </xdr:to>
    <xdr:cxnSp macro="">
      <xdr:nvCxnSpPr>
        <xdr:cNvPr id="363" name="직선 화살표 연결선 362"/>
        <xdr:cNvCxnSpPr/>
      </xdr:nvCxnSpPr>
      <xdr:spPr>
        <a:xfrm>
          <a:off x="14476912" y="27900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145</xdr:row>
      <xdr:rowOff>38099</xdr:rowOff>
    </xdr:from>
    <xdr:to>
      <xdr:col>57</xdr:col>
      <xdr:colOff>21953</xdr:colOff>
      <xdr:row>145</xdr:row>
      <xdr:rowOff>152399</xdr:rowOff>
    </xdr:to>
    <xdr:sp macro="" textlink="">
      <xdr:nvSpPr>
        <xdr:cNvPr id="364" name="142"/>
        <xdr:cNvSpPr/>
      </xdr:nvSpPr>
      <xdr:spPr>
        <a:xfrm>
          <a:off x="14476912" y="27652979"/>
          <a:ext cx="2287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145</xdr:row>
      <xdr:rowOff>95249</xdr:rowOff>
    </xdr:from>
    <xdr:to>
      <xdr:col>55</xdr:col>
      <xdr:colOff>82732</xdr:colOff>
      <xdr:row>145</xdr:row>
      <xdr:rowOff>95249</xdr:rowOff>
    </xdr:to>
    <xdr:cxnSp macro="">
      <xdr:nvCxnSpPr>
        <xdr:cNvPr id="365" name="직선 화살표 연결선 364"/>
        <xdr:cNvCxnSpPr/>
      </xdr:nvCxnSpPr>
      <xdr:spPr>
        <a:xfrm>
          <a:off x="14476912" y="27710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144</xdr:row>
      <xdr:rowOff>38099</xdr:rowOff>
    </xdr:from>
    <xdr:to>
      <xdr:col>65</xdr:col>
      <xdr:colOff>104684</xdr:colOff>
      <xdr:row>144</xdr:row>
      <xdr:rowOff>152399</xdr:rowOff>
    </xdr:to>
    <xdr:sp macro="" textlink="">
      <xdr:nvSpPr>
        <xdr:cNvPr id="366" name="141"/>
        <xdr:cNvSpPr/>
      </xdr:nvSpPr>
      <xdr:spPr>
        <a:xfrm>
          <a:off x="14476912" y="27462479"/>
          <a:ext cx="14697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144</xdr:row>
      <xdr:rowOff>95249</xdr:rowOff>
    </xdr:from>
    <xdr:to>
      <xdr:col>55</xdr:col>
      <xdr:colOff>82732</xdr:colOff>
      <xdr:row>144</xdr:row>
      <xdr:rowOff>95249</xdr:rowOff>
    </xdr:to>
    <xdr:cxnSp macro="">
      <xdr:nvCxnSpPr>
        <xdr:cNvPr id="367" name="직선 화살표 연결선 366"/>
        <xdr:cNvCxnSpPr/>
      </xdr:nvCxnSpPr>
      <xdr:spPr>
        <a:xfrm>
          <a:off x="14476912" y="27519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143</xdr:row>
      <xdr:rowOff>38099</xdr:rowOff>
    </xdr:from>
    <xdr:to>
      <xdr:col>74</xdr:col>
      <xdr:colOff>125368</xdr:colOff>
      <xdr:row>143</xdr:row>
      <xdr:rowOff>152399</xdr:rowOff>
    </xdr:to>
    <xdr:sp macro="" textlink="">
      <xdr:nvSpPr>
        <xdr:cNvPr id="368" name="140"/>
        <xdr:cNvSpPr/>
      </xdr:nvSpPr>
      <xdr:spPr>
        <a:xfrm>
          <a:off x="14476912" y="27271979"/>
          <a:ext cx="279345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143</xdr:row>
      <xdr:rowOff>95249</xdr:rowOff>
    </xdr:from>
    <xdr:to>
      <xdr:col>55</xdr:col>
      <xdr:colOff>82732</xdr:colOff>
      <xdr:row>143</xdr:row>
      <xdr:rowOff>95249</xdr:rowOff>
    </xdr:to>
    <xdr:cxnSp macro="">
      <xdr:nvCxnSpPr>
        <xdr:cNvPr id="369" name="직선 화살표 연결선 368"/>
        <xdr:cNvCxnSpPr/>
      </xdr:nvCxnSpPr>
      <xdr:spPr>
        <a:xfrm>
          <a:off x="14476912" y="27329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142</xdr:row>
      <xdr:rowOff>38099</xdr:rowOff>
    </xdr:from>
    <xdr:to>
      <xdr:col>74</xdr:col>
      <xdr:colOff>125368</xdr:colOff>
      <xdr:row>142</xdr:row>
      <xdr:rowOff>152399</xdr:rowOff>
    </xdr:to>
    <xdr:sp macro="" textlink="">
      <xdr:nvSpPr>
        <xdr:cNvPr id="370" name="139"/>
        <xdr:cNvSpPr/>
      </xdr:nvSpPr>
      <xdr:spPr>
        <a:xfrm>
          <a:off x="14476912" y="27081479"/>
          <a:ext cx="279345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142</xdr:row>
      <xdr:rowOff>95249</xdr:rowOff>
    </xdr:from>
    <xdr:to>
      <xdr:col>55</xdr:col>
      <xdr:colOff>82732</xdr:colOff>
      <xdr:row>142</xdr:row>
      <xdr:rowOff>95249</xdr:rowOff>
    </xdr:to>
    <xdr:cxnSp macro="">
      <xdr:nvCxnSpPr>
        <xdr:cNvPr id="371" name="직선 화살표 연결선 370"/>
        <xdr:cNvCxnSpPr/>
      </xdr:nvCxnSpPr>
      <xdr:spPr>
        <a:xfrm>
          <a:off x="14476912" y="27138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103414</xdr:colOff>
      <xdr:row>141</xdr:row>
      <xdr:rowOff>38099</xdr:rowOff>
    </xdr:from>
    <xdr:to>
      <xdr:col>62</xdr:col>
      <xdr:colOff>42636</xdr:colOff>
      <xdr:row>141</xdr:row>
      <xdr:rowOff>152399</xdr:rowOff>
    </xdr:to>
    <xdr:sp macro="" textlink="">
      <xdr:nvSpPr>
        <xdr:cNvPr id="372" name="138"/>
        <xdr:cNvSpPr/>
      </xdr:nvSpPr>
      <xdr:spPr>
        <a:xfrm>
          <a:off x="15221494" y="26890979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103414</xdr:colOff>
      <xdr:row>141</xdr:row>
      <xdr:rowOff>95249</xdr:rowOff>
    </xdr:from>
    <xdr:to>
      <xdr:col>60</xdr:col>
      <xdr:colOff>103414</xdr:colOff>
      <xdr:row>141</xdr:row>
      <xdr:rowOff>95249</xdr:rowOff>
    </xdr:to>
    <xdr:cxnSp macro="">
      <xdr:nvCxnSpPr>
        <xdr:cNvPr id="373" name="직선 화살표 연결선 372"/>
        <xdr:cNvCxnSpPr/>
      </xdr:nvCxnSpPr>
      <xdr:spPr>
        <a:xfrm>
          <a:off x="15221494" y="26948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140</xdr:row>
      <xdr:rowOff>38099</xdr:rowOff>
    </xdr:from>
    <xdr:to>
      <xdr:col>60</xdr:col>
      <xdr:colOff>125366</xdr:colOff>
      <xdr:row>140</xdr:row>
      <xdr:rowOff>152399</xdr:rowOff>
    </xdr:to>
    <xdr:sp macro="" textlink="">
      <xdr:nvSpPr>
        <xdr:cNvPr id="374" name="137"/>
        <xdr:cNvSpPr/>
      </xdr:nvSpPr>
      <xdr:spPr>
        <a:xfrm>
          <a:off x="14725106" y="26700479"/>
          <a:ext cx="5183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140</xdr:row>
      <xdr:rowOff>95249</xdr:rowOff>
    </xdr:from>
    <xdr:to>
      <xdr:col>57</xdr:col>
      <xdr:colOff>41366</xdr:colOff>
      <xdr:row>140</xdr:row>
      <xdr:rowOff>95249</xdr:rowOff>
    </xdr:to>
    <xdr:cxnSp macro="">
      <xdr:nvCxnSpPr>
        <xdr:cNvPr id="375" name="직선 화살표 연결선 374"/>
        <xdr:cNvCxnSpPr/>
      </xdr:nvCxnSpPr>
      <xdr:spPr>
        <a:xfrm>
          <a:off x="14725106" y="26757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139</xdr:row>
      <xdr:rowOff>38099</xdr:rowOff>
    </xdr:from>
    <xdr:to>
      <xdr:col>62</xdr:col>
      <xdr:colOff>42636</xdr:colOff>
      <xdr:row>139</xdr:row>
      <xdr:rowOff>152399</xdr:rowOff>
    </xdr:to>
    <xdr:sp macro="" textlink="">
      <xdr:nvSpPr>
        <xdr:cNvPr id="376" name="136"/>
        <xdr:cNvSpPr/>
      </xdr:nvSpPr>
      <xdr:spPr>
        <a:xfrm>
          <a:off x="14725106" y="26509979"/>
          <a:ext cx="7251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139</xdr:row>
      <xdr:rowOff>95249</xdr:rowOff>
    </xdr:from>
    <xdr:to>
      <xdr:col>57</xdr:col>
      <xdr:colOff>41366</xdr:colOff>
      <xdr:row>139</xdr:row>
      <xdr:rowOff>95249</xdr:rowOff>
    </xdr:to>
    <xdr:cxnSp macro="">
      <xdr:nvCxnSpPr>
        <xdr:cNvPr id="377" name="직선 화살표 연결선 376"/>
        <xdr:cNvCxnSpPr/>
      </xdr:nvCxnSpPr>
      <xdr:spPr>
        <a:xfrm>
          <a:off x="14725106" y="26567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138</xdr:row>
      <xdr:rowOff>38099</xdr:rowOff>
    </xdr:from>
    <xdr:to>
      <xdr:col>62</xdr:col>
      <xdr:colOff>42636</xdr:colOff>
      <xdr:row>138</xdr:row>
      <xdr:rowOff>152399</xdr:rowOff>
    </xdr:to>
    <xdr:sp macro="" textlink="">
      <xdr:nvSpPr>
        <xdr:cNvPr id="378" name="135"/>
        <xdr:cNvSpPr/>
      </xdr:nvSpPr>
      <xdr:spPr>
        <a:xfrm>
          <a:off x="14725106" y="26319479"/>
          <a:ext cx="7251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138</xdr:row>
      <xdr:rowOff>95249</xdr:rowOff>
    </xdr:from>
    <xdr:to>
      <xdr:col>57</xdr:col>
      <xdr:colOff>41366</xdr:colOff>
      <xdr:row>138</xdr:row>
      <xdr:rowOff>95249</xdr:rowOff>
    </xdr:to>
    <xdr:cxnSp macro="">
      <xdr:nvCxnSpPr>
        <xdr:cNvPr id="379" name="직선 화살표 연결선 378"/>
        <xdr:cNvCxnSpPr/>
      </xdr:nvCxnSpPr>
      <xdr:spPr>
        <a:xfrm>
          <a:off x="14725106" y="263766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62048</xdr:colOff>
      <xdr:row>137</xdr:row>
      <xdr:rowOff>38099</xdr:rowOff>
    </xdr:from>
    <xdr:to>
      <xdr:col>58</xdr:col>
      <xdr:colOff>1269</xdr:colOff>
      <xdr:row>137</xdr:row>
      <xdr:rowOff>152399</xdr:rowOff>
    </xdr:to>
    <xdr:sp macro="" textlink="">
      <xdr:nvSpPr>
        <xdr:cNvPr id="380" name="134"/>
        <xdr:cNvSpPr/>
      </xdr:nvSpPr>
      <xdr:spPr>
        <a:xfrm>
          <a:off x="14601008" y="26128979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62048</xdr:colOff>
      <xdr:row>137</xdr:row>
      <xdr:rowOff>95249</xdr:rowOff>
    </xdr:from>
    <xdr:to>
      <xdr:col>56</xdr:col>
      <xdr:colOff>62048</xdr:colOff>
      <xdr:row>137</xdr:row>
      <xdr:rowOff>95249</xdr:rowOff>
    </xdr:to>
    <xdr:cxnSp macro="">
      <xdr:nvCxnSpPr>
        <xdr:cNvPr id="381" name="직선 화살표 연결선 380"/>
        <xdr:cNvCxnSpPr/>
      </xdr:nvCxnSpPr>
      <xdr:spPr>
        <a:xfrm>
          <a:off x="14601008" y="2618612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82731</xdr:colOff>
      <xdr:row>136</xdr:row>
      <xdr:rowOff>38100</xdr:rowOff>
    </xdr:from>
    <xdr:to>
      <xdr:col>56</xdr:col>
      <xdr:colOff>84002</xdr:colOff>
      <xdr:row>136</xdr:row>
      <xdr:rowOff>152399</xdr:rowOff>
    </xdr:to>
    <xdr:sp macro="" textlink="">
      <xdr:nvSpPr>
        <xdr:cNvPr id="382" name="133"/>
        <xdr:cNvSpPr/>
      </xdr:nvSpPr>
      <xdr:spPr>
        <a:xfrm>
          <a:off x="14187351" y="25938480"/>
          <a:ext cx="435611" cy="114299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82731</xdr:colOff>
      <xdr:row>136</xdr:row>
      <xdr:rowOff>95250</xdr:rowOff>
    </xdr:from>
    <xdr:to>
      <xdr:col>53</xdr:col>
      <xdr:colOff>82731</xdr:colOff>
      <xdr:row>136</xdr:row>
      <xdr:rowOff>95250</xdr:rowOff>
    </xdr:to>
    <xdr:cxnSp macro="">
      <xdr:nvCxnSpPr>
        <xdr:cNvPr id="383" name="직선 화살표 연결선 382"/>
        <xdr:cNvCxnSpPr/>
      </xdr:nvCxnSpPr>
      <xdr:spPr>
        <a:xfrm>
          <a:off x="14187351" y="2599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82731</xdr:colOff>
      <xdr:row>135</xdr:row>
      <xdr:rowOff>38100</xdr:rowOff>
    </xdr:from>
    <xdr:to>
      <xdr:col>58</xdr:col>
      <xdr:colOff>1269</xdr:colOff>
      <xdr:row>135</xdr:row>
      <xdr:rowOff>152400</xdr:rowOff>
    </xdr:to>
    <xdr:sp macro="" textlink="">
      <xdr:nvSpPr>
        <xdr:cNvPr id="384" name="132"/>
        <xdr:cNvSpPr/>
      </xdr:nvSpPr>
      <xdr:spPr>
        <a:xfrm>
          <a:off x="14187351" y="25747980"/>
          <a:ext cx="6424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82731</xdr:colOff>
      <xdr:row>135</xdr:row>
      <xdr:rowOff>95250</xdr:rowOff>
    </xdr:from>
    <xdr:to>
      <xdr:col>53</xdr:col>
      <xdr:colOff>82731</xdr:colOff>
      <xdr:row>135</xdr:row>
      <xdr:rowOff>95250</xdr:rowOff>
    </xdr:to>
    <xdr:cxnSp macro="">
      <xdr:nvCxnSpPr>
        <xdr:cNvPr id="385" name="직선 화살표 연결선 384"/>
        <xdr:cNvCxnSpPr/>
      </xdr:nvCxnSpPr>
      <xdr:spPr>
        <a:xfrm>
          <a:off x="14187351" y="2580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82731</xdr:colOff>
      <xdr:row>134</xdr:row>
      <xdr:rowOff>38100</xdr:rowOff>
    </xdr:from>
    <xdr:to>
      <xdr:col>58</xdr:col>
      <xdr:colOff>1269</xdr:colOff>
      <xdr:row>134</xdr:row>
      <xdr:rowOff>152400</xdr:rowOff>
    </xdr:to>
    <xdr:sp macro="" textlink="">
      <xdr:nvSpPr>
        <xdr:cNvPr id="386" name="131"/>
        <xdr:cNvSpPr/>
      </xdr:nvSpPr>
      <xdr:spPr>
        <a:xfrm>
          <a:off x="14187351" y="25557480"/>
          <a:ext cx="6424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82731</xdr:colOff>
      <xdr:row>134</xdr:row>
      <xdr:rowOff>95250</xdr:rowOff>
    </xdr:from>
    <xdr:to>
      <xdr:col>53</xdr:col>
      <xdr:colOff>82731</xdr:colOff>
      <xdr:row>134</xdr:row>
      <xdr:rowOff>95250</xdr:rowOff>
    </xdr:to>
    <xdr:cxnSp macro="">
      <xdr:nvCxnSpPr>
        <xdr:cNvPr id="387" name="직선 화살표 연결선 386"/>
        <xdr:cNvCxnSpPr/>
      </xdr:nvCxnSpPr>
      <xdr:spPr>
        <a:xfrm>
          <a:off x="14187351" y="2561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62048</xdr:colOff>
      <xdr:row>133</xdr:row>
      <xdr:rowOff>38100</xdr:rowOff>
    </xdr:from>
    <xdr:to>
      <xdr:col>58</xdr:col>
      <xdr:colOff>1269</xdr:colOff>
      <xdr:row>133</xdr:row>
      <xdr:rowOff>152400</xdr:rowOff>
    </xdr:to>
    <xdr:sp macro="" textlink="">
      <xdr:nvSpPr>
        <xdr:cNvPr id="388" name="130"/>
        <xdr:cNvSpPr/>
      </xdr:nvSpPr>
      <xdr:spPr>
        <a:xfrm>
          <a:off x="14601008" y="2536698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62048</xdr:colOff>
      <xdr:row>133</xdr:row>
      <xdr:rowOff>95250</xdr:rowOff>
    </xdr:from>
    <xdr:to>
      <xdr:col>56</xdr:col>
      <xdr:colOff>62048</xdr:colOff>
      <xdr:row>133</xdr:row>
      <xdr:rowOff>95250</xdr:rowOff>
    </xdr:to>
    <xdr:cxnSp macro="">
      <xdr:nvCxnSpPr>
        <xdr:cNvPr id="389" name="직선 화살표 연결선 388"/>
        <xdr:cNvCxnSpPr/>
      </xdr:nvCxnSpPr>
      <xdr:spPr>
        <a:xfrm>
          <a:off x="14601008" y="2542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132</xdr:row>
      <xdr:rowOff>38100</xdr:rowOff>
    </xdr:from>
    <xdr:to>
      <xdr:col>56</xdr:col>
      <xdr:colOff>84002</xdr:colOff>
      <xdr:row>132</xdr:row>
      <xdr:rowOff>152400</xdr:rowOff>
    </xdr:to>
    <xdr:sp macro="" textlink="">
      <xdr:nvSpPr>
        <xdr:cNvPr id="390" name="129"/>
        <xdr:cNvSpPr/>
      </xdr:nvSpPr>
      <xdr:spPr>
        <a:xfrm>
          <a:off x="14270082" y="25176480"/>
          <a:ext cx="352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132</xdr:row>
      <xdr:rowOff>95250</xdr:rowOff>
    </xdr:from>
    <xdr:to>
      <xdr:col>54</xdr:col>
      <xdr:colOff>20682</xdr:colOff>
      <xdr:row>132</xdr:row>
      <xdr:rowOff>95250</xdr:rowOff>
    </xdr:to>
    <xdr:cxnSp macro="">
      <xdr:nvCxnSpPr>
        <xdr:cNvPr id="391" name="직선 화살표 연결선 390"/>
        <xdr:cNvCxnSpPr/>
      </xdr:nvCxnSpPr>
      <xdr:spPr>
        <a:xfrm>
          <a:off x="14270082" y="2523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131</xdr:row>
      <xdr:rowOff>38100</xdr:rowOff>
    </xdr:from>
    <xdr:to>
      <xdr:col>58</xdr:col>
      <xdr:colOff>1269</xdr:colOff>
      <xdr:row>131</xdr:row>
      <xdr:rowOff>152400</xdr:rowOff>
    </xdr:to>
    <xdr:sp macro="" textlink="">
      <xdr:nvSpPr>
        <xdr:cNvPr id="392" name="128"/>
        <xdr:cNvSpPr/>
      </xdr:nvSpPr>
      <xdr:spPr>
        <a:xfrm>
          <a:off x="14270082" y="24985980"/>
          <a:ext cx="5597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131</xdr:row>
      <xdr:rowOff>95250</xdr:rowOff>
    </xdr:from>
    <xdr:to>
      <xdr:col>54</xdr:col>
      <xdr:colOff>20682</xdr:colOff>
      <xdr:row>131</xdr:row>
      <xdr:rowOff>95250</xdr:rowOff>
    </xdr:to>
    <xdr:cxnSp macro="">
      <xdr:nvCxnSpPr>
        <xdr:cNvPr id="393" name="직선 화살표 연결선 392"/>
        <xdr:cNvCxnSpPr/>
      </xdr:nvCxnSpPr>
      <xdr:spPr>
        <a:xfrm>
          <a:off x="14270082" y="2504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130</xdr:row>
      <xdr:rowOff>38100</xdr:rowOff>
    </xdr:from>
    <xdr:to>
      <xdr:col>58</xdr:col>
      <xdr:colOff>1269</xdr:colOff>
      <xdr:row>130</xdr:row>
      <xdr:rowOff>152400</xdr:rowOff>
    </xdr:to>
    <xdr:sp macro="" textlink="">
      <xdr:nvSpPr>
        <xdr:cNvPr id="394" name="127"/>
        <xdr:cNvSpPr/>
      </xdr:nvSpPr>
      <xdr:spPr>
        <a:xfrm>
          <a:off x="14270082" y="24795480"/>
          <a:ext cx="5597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130</xdr:row>
      <xdr:rowOff>95250</xdr:rowOff>
    </xdr:from>
    <xdr:to>
      <xdr:col>54</xdr:col>
      <xdr:colOff>20682</xdr:colOff>
      <xdr:row>130</xdr:row>
      <xdr:rowOff>95250</xdr:rowOff>
    </xdr:to>
    <xdr:cxnSp macro="">
      <xdr:nvCxnSpPr>
        <xdr:cNvPr id="395" name="직선 화살표 연결선 394"/>
        <xdr:cNvCxnSpPr/>
      </xdr:nvCxnSpPr>
      <xdr:spPr>
        <a:xfrm>
          <a:off x="14270082" y="2485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124097</xdr:colOff>
      <xdr:row>129</xdr:row>
      <xdr:rowOff>38100</xdr:rowOff>
    </xdr:from>
    <xdr:to>
      <xdr:col>64</xdr:col>
      <xdr:colOff>63319</xdr:colOff>
      <xdr:row>129</xdr:row>
      <xdr:rowOff>152400</xdr:rowOff>
    </xdr:to>
    <xdr:sp macro="" textlink="">
      <xdr:nvSpPr>
        <xdr:cNvPr id="396" name="126"/>
        <xdr:cNvSpPr/>
      </xdr:nvSpPr>
      <xdr:spPr>
        <a:xfrm>
          <a:off x="15531737" y="24604980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124097</xdr:colOff>
      <xdr:row>129</xdr:row>
      <xdr:rowOff>95250</xdr:rowOff>
    </xdr:from>
    <xdr:to>
      <xdr:col>62</xdr:col>
      <xdr:colOff>124097</xdr:colOff>
      <xdr:row>129</xdr:row>
      <xdr:rowOff>95250</xdr:rowOff>
    </xdr:to>
    <xdr:cxnSp macro="">
      <xdr:nvCxnSpPr>
        <xdr:cNvPr id="397" name="직선 화살표 연결선 396"/>
        <xdr:cNvCxnSpPr/>
      </xdr:nvCxnSpPr>
      <xdr:spPr>
        <a:xfrm>
          <a:off x="15531737" y="2466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41366</xdr:colOff>
      <xdr:row>128</xdr:row>
      <xdr:rowOff>38100</xdr:rowOff>
    </xdr:from>
    <xdr:to>
      <xdr:col>64</xdr:col>
      <xdr:colOff>63319</xdr:colOff>
      <xdr:row>128</xdr:row>
      <xdr:rowOff>152400</xdr:rowOff>
    </xdr:to>
    <xdr:sp macro="" textlink="">
      <xdr:nvSpPr>
        <xdr:cNvPr id="398" name="125"/>
        <xdr:cNvSpPr/>
      </xdr:nvSpPr>
      <xdr:spPr>
        <a:xfrm>
          <a:off x="15304226" y="24414480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41366</xdr:colOff>
      <xdr:row>128</xdr:row>
      <xdr:rowOff>95250</xdr:rowOff>
    </xdr:from>
    <xdr:to>
      <xdr:col>61</xdr:col>
      <xdr:colOff>41366</xdr:colOff>
      <xdr:row>128</xdr:row>
      <xdr:rowOff>95250</xdr:rowOff>
    </xdr:to>
    <xdr:cxnSp macro="">
      <xdr:nvCxnSpPr>
        <xdr:cNvPr id="399" name="직선 화살표 연결선 398"/>
        <xdr:cNvCxnSpPr/>
      </xdr:nvCxnSpPr>
      <xdr:spPr>
        <a:xfrm>
          <a:off x="15304226" y="2447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41366</xdr:colOff>
      <xdr:row>127</xdr:row>
      <xdr:rowOff>38100</xdr:rowOff>
    </xdr:from>
    <xdr:to>
      <xdr:col>64</xdr:col>
      <xdr:colOff>63319</xdr:colOff>
      <xdr:row>127</xdr:row>
      <xdr:rowOff>152400</xdr:rowOff>
    </xdr:to>
    <xdr:sp macro="" textlink="">
      <xdr:nvSpPr>
        <xdr:cNvPr id="400" name="124"/>
        <xdr:cNvSpPr/>
      </xdr:nvSpPr>
      <xdr:spPr>
        <a:xfrm>
          <a:off x="15304226" y="24223980"/>
          <a:ext cx="4562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41366</xdr:colOff>
      <xdr:row>127</xdr:row>
      <xdr:rowOff>95250</xdr:rowOff>
    </xdr:from>
    <xdr:to>
      <xdr:col>61</xdr:col>
      <xdr:colOff>41366</xdr:colOff>
      <xdr:row>127</xdr:row>
      <xdr:rowOff>95250</xdr:rowOff>
    </xdr:to>
    <xdr:cxnSp macro="">
      <xdr:nvCxnSpPr>
        <xdr:cNvPr id="401" name="직선 화살표 연결선 400"/>
        <xdr:cNvCxnSpPr/>
      </xdr:nvCxnSpPr>
      <xdr:spPr>
        <a:xfrm>
          <a:off x="15304226" y="242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41366</xdr:colOff>
      <xdr:row>126</xdr:row>
      <xdr:rowOff>38100</xdr:rowOff>
    </xdr:from>
    <xdr:to>
      <xdr:col>64</xdr:col>
      <xdr:colOff>63319</xdr:colOff>
      <xdr:row>126</xdr:row>
      <xdr:rowOff>152400</xdr:rowOff>
    </xdr:to>
    <xdr:sp macro="" textlink="">
      <xdr:nvSpPr>
        <xdr:cNvPr id="402" name="123"/>
        <xdr:cNvSpPr/>
      </xdr:nvSpPr>
      <xdr:spPr>
        <a:xfrm>
          <a:off x="15304226" y="24033480"/>
          <a:ext cx="4562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41366</xdr:colOff>
      <xdr:row>126</xdr:row>
      <xdr:rowOff>95250</xdr:rowOff>
    </xdr:from>
    <xdr:to>
      <xdr:col>61</xdr:col>
      <xdr:colOff>41366</xdr:colOff>
      <xdr:row>126</xdr:row>
      <xdr:rowOff>95250</xdr:rowOff>
    </xdr:to>
    <xdr:cxnSp macro="">
      <xdr:nvCxnSpPr>
        <xdr:cNvPr id="403" name="직선 화살표 연결선 402"/>
        <xdr:cNvCxnSpPr/>
      </xdr:nvCxnSpPr>
      <xdr:spPr>
        <a:xfrm>
          <a:off x="15304226" y="240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125</xdr:row>
      <xdr:rowOff>38100</xdr:rowOff>
    </xdr:from>
    <xdr:to>
      <xdr:col>55</xdr:col>
      <xdr:colOff>104684</xdr:colOff>
      <xdr:row>125</xdr:row>
      <xdr:rowOff>152400</xdr:rowOff>
    </xdr:to>
    <xdr:sp macro="" textlink="">
      <xdr:nvSpPr>
        <xdr:cNvPr id="404" name="122"/>
        <xdr:cNvSpPr/>
      </xdr:nvSpPr>
      <xdr:spPr>
        <a:xfrm>
          <a:off x="14270082" y="23842980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125</xdr:row>
      <xdr:rowOff>95250</xdr:rowOff>
    </xdr:from>
    <xdr:to>
      <xdr:col>54</xdr:col>
      <xdr:colOff>20682</xdr:colOff>
      <xdr:row>125</xdr:row>
      <xdr:rowOff>95250</xdr:rowOff>
    </xdr:to>
    <xdr:cxnSp macro="">
      <xdr:nvCxnSpPr>
        <xdr:cNvPr id="405" name="직선 화살표 연결선 404"/>
        <xdr:cNvCxnSpPr/>
      </xdr:nvCxnSpPr>
      <xdr:spPr>
        <a:xfrm>
          <a:off x="14270082" y="239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124</xdr:row>
      <xdr:rowOff>38100</xdr:rowOff>
    </xdr:from>
    <xdr:to>
      <xdr:col>55</xdr:col>
      <xdr:colOff>104684</xdr:colOff>
      <xdr:row>124</xdr:row>
      <xdr:rowOff>152400</xdr:rowOff>
    </xdr:to>
    <xdr:sp macro="" textlink="">
      <xdr:nvSpPr>
        <xdr:cNvPr id="406" name="121"/>
        <xdr:cNvSpPr/>
      </xdr:nvSpPr>
      <xdr:spPr>
        <a:xfrm>
          <a:off x="14270082" y="23652480"/>
          <a:ext cx="22878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124</xdr:row>
      <xdr:rowOff>95250</xdr:rowOff>
    </xdr:from>
    <xdr:to>
      <xdr:col>54</xdr:col>
      <xdr:colOff>20682</xdr:colOff>
      <xdr:row>124</xdr:row>
      <xdr:rowOff>95250</xdr:rowOff>
    </xdr:to>
    <xdr:cxnSp macro="">
      <xdr:nvCxnSpPr>
        <xdr:cNvPr id="407" name="직선 화살표 연결선 406"/>
        <xdr:cNvCxnSpPr/>
      </xdr:nvCxnSpPr>
      <xdr:spPr>
        <a:xfrm>
          <a:off x="14270082" y="2370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123</xdr:row>
      <xdr:rowOff>38100</xdr:rowOff>
    </xdr:from>
    <xdr:to>
      <xdr:col>55</xdr:col>
      <xdr:colOff>104684</xdr:colOff>
      <xdr:row>123</xdr:row>
      <xdr:rowOff>152400</xdr:rowOff>
    </xdr:to>
    <xdr:sp macro="" textlink="">
      <xdr:nvSpPr>
        <xdr:cNvPr id="408" name="120"/>
        <xdr:cNvSpPr/>
      </xdr:nvSpPr>
      <xdr:spPr>
        <a:xfrm>
          <a:off x="14270082" y="23461980"/>
          <a:ext cx="22878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123</xdr:row>
      <xdr:rowOff>95250</xdr:rowOff>
    </xdr:from>
    <xdr:to>
      <xdr:col>54</xdr:col>
      <xdr:colOff>20682</xdr:colOff>
      <xdr:row>123</xdr:row>
      <xdr:rowOff>95250</xdr:rowOff>
    </xdr:to>
    <xdr:cxnSp macro="">
      <xdr:nvCxnSpPr>
        <xdr:cNvPr id="409" name="직선 화살표 연결선 408"/>
        <xdr:cNvCxnSpPr/>
      </xdr:nvCxnSpPr>
      <xdr:spPr>
        <a:xfrm>
          <a:off x="14270082" y="2351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82731</xdr:colOff>
      <xdr:row>122</xdr:row>
      <xdr:rowOff>38100</xdr:rowOff>
    </xdr:from>
    <xdr:to>
      <xdr:col>64</xdr:col>
      <xdr:colOff>63319</xdr:colOff>
      <xdr:row>122</xdr:row>
      <xdr:rowOff>152400</xdr:rowOff>
    </xdr:to>
    <xdr:sp macro="" textlink="">
      <xdr:nvSpPr>
        <xdr:cNvPr id="410" name="119"/>
        <xdr:cNvSpPr/>
      </xdr:nvSpPr>
      <xdr:spPr>
        <a:xfrm>
          <a:off x="14187351" y="23271480"/>
          <a:ext cx="15731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82731</xdr:colOff>
      <xdr:row>122</xdr:row>
      <xdr:rowOff>95250</xdr:rowOff>
    </xdr:from>
    <xdr:to>
      <xdr:col>53</xdr:col>
      <xdr:colOff>82731</xdr:colOff>
      <xdr:row>122</xdr:row>
      <xdr:rowOff>95250</xdr:rowOff>
    </xdr:to>
    <xdr:cxnSp macro="">
      <xdr:nvCxnSpPr>
        <xdr:cNvPr id="411" name="직선 화살표 연결선 410"/>
        <xdr:cNvCxnSpPr/>
      </xdr:nvCxnSpPr>
      <xdr:spPr>
        <a:xfrm>
          <a:off x="14187351" y="2332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82731</xdr:colOff>
      <xdr:row>121</xdr:row>
      <xdr:rowOff>38100</xdr:rowOff>
    </xdr:from>
    <xdr:to>
      <xdr:col>64</xdr:col>
      <xdr:colOff>63319</xdr:colOff>
      <xdr:row>121</xdr:row>
      <xdr:rowOff>152400</xdr:rowOff>
    </xdr:to>
    <xdr:sp macro="" textlink="">
      <xdr:nvSpPr>
        <xdr:cNvPr id="412" name="118"/>
        <xdr:cNvSpPr/>
      </xdr:nvSpPr>
      <xdr:spPr>
        <a:xfrm>
          <a:off x="14187351" y="23080980"/>
          <a:ext cx="15731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82731</xdr:colOff>
      <xdr:row>121</xdr:row>
      <xdr:rowOff>95250</xdr:rowOff>
    </xdr:from>
    <xdr:to>
      <xdr:col>53</xdr:col>
      <xdr:colOff>82731</xdr:colOff>
      <xdr:row>121</xdr:row>
      <xdr:rowOff>95250</xdr:rowOff>
    </xdr:to>
    <xdr:cxnSp macro="">
      <xdr:nvCxnSpPr>
        <xdr:cNvPr id="413" name="직선 화살표 연결선 412"/>
        <xdr:cNvCxnSpPr/>
      </xdr:nvCxnSpPr>
      <xdr:spPr>
        <a:xfrm>
          <a:off x="14187351" y="231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82732</xdr:colOff>
      <xdr:row>120</xdr:row>
      <xdr:rowOff>38100</xdr:rowOff>
    </xdr:from>
    <xdr:to>
      <xdr:col>64</xdr:col>
      <xdr:colOff>63319</xdr:colOff>
      <xdr:row>120</xdr:row>
      <xdr:rowOff>152400</xdr:rowOff>
    </xdr:to>
    <xdr:sp macro="" textlink="">
      <xdr:nvSpPr>
        <xdr:cNvPr id="414" name="117"/>
        <xdr:cNvSpPr/>
      </xdr:nvSpPr>
      <xdr:spPr>
        <a:xfrm>
          <a:off x="15345592" y="22890480"/>
          <a:ext cx="4149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82732</xdr:colOff>
      <xdr:row>120</xdr:row>
      <xdr:rowOff>95250</xdr:rowOff>
    </xdr:from>
    <xdr:to>
      <xdr:col>61</xdr:col>
      <xdr:colOff>82732</xdr:colOff>
      <xdr:row>120</xdr:row>
      <xdr:rowOff>95250</xdr:rowOff>
    </xdr:to>
    <xdr:cxnSp macro="">
      <xdr:nvCxnSpPr>
        <xdr:cNvPr id="415" name="직선 화살표 연결선 414"/>
        <xdr:cNvCxnSpPr/>
      </xdr:nvCxnSpPr>
      <xdr:spPr>
        <a:xfrm>
          <a:off x="15345592" y="229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119</xdr:row>
      <xdr:rowOff>38100</xdr:rowOff>
    </xdr:from>
    <xdr:to>
      <xdr:col>61</xdr:col>
      <xdr:colOff>104684</xdr:colOff>
      <xdr:row>119</xdr:row>
      <xdr:rowOff>152400</xdr:rowOff>
    </xdr:to>
    <xdr:sp macro="" textlink="">
      <xdr:nvSpPr>
        <xdr:cNvPr id="416" name="116"/>
        <xdr:cNvSpPr/>
      </xdr:nvSpPr>
      <xdr:spPr>
        <a:xfrm>
          <a:off x="14725106" y="2269998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119</xdr:row>
      <xdr:rowOff>95250</xdr:rowOff>
    </xdr:from>
    <xdr:to>
      <xdr:col>57</xdr:col>
      <xdr:colOff>41366</xdr:colOff>
      <xdr:row>119</xdr:row>
      <xdr:rowOff>95250</xdr:rowOff>
    </xdr:to>
    <xdr:cxnSp macro="">
      <xdr:nvCxnSpPr>
        <xdr:cNvPr id="417" name="직선 화살표 연결선 416"/>
        <xdr:cNvCxnSpPr/>
      </xdr:nvCxnSpPr>
      <xdr:spPr>
        <a:xfrm>
          <a:off x="14725106" y="227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118</xdr:row>
      <xdr:rowOff>38100</xdr:rowOff>
    </xdr:from>
    <xdr:to>
      <xdr:col>57</xdr:col>
      <xdr:colOff>63318</xdr:colOff>
      <xdr:row>118</xdr:row>
      <xdr:rowOff>152400</xdr:rowOff>
    </xdr:to>
    <xdr:sp macro="" textlink="">
      <xdr:nvSpPr>
        <xdr:cNvPr id="418" name="115"/>
        <xdr:cNvSpPr/>
      </xdr:nvSpPr>
      <xdr:spPr>
        <a:xfrm>
          <a:off x="13463451" y="225094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118</xdr:row>
      <xdr:rowOff>95250</xdr:rowOff>
    </xdr:from>
    <xdr:to>
      <xdr:col>48</xdr:col>
      <xdr:colOff>82731</xdr:colOff>
      <xdr:row>118</xdr:row>
      <xdr:rowOff>95250</xdr:rowOff>
    </xdr:to>
    <xdr:cxnSp macro="">
      <xdr:nvCxnSpPr>
        <xdr:cNvPr id="419" name="직선 화살표 연결선 418"/>
        <xdr:cNvCxnSpPr/>
      </xdr:nvCxnSpPr>
      <xdr:spPr>
        <a:xfrm>
          <a:off x="13463451" y="225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117</xdr:row>
      <xdr:rowOff>38100</xdr:rowOff>
    </xdr:from>
    <xdr:to>
      <xdr:col>48</xdr:col>
      <xdr:colOff>63318</xdr:colOff>
      <xdr:row>117</xdr:row>
      <xdr:rowOff>152400</xdr:rowOff>
    </xdr:to>
    <xdr:sp macro="" textlink="">
      <xdr:nvSpPr>
        <xdr:cNvPr id="420" name="114"/>
        <xdr:cNvSpPr/>
      </xdr:nvSpPr>
      <xdr:spPr>
        <a:xfrm>
          <a:off x="12574088" y="22318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117</xdr:row>
      <xdr:rowOff>95250</xdr:rowOff>
    </xdr:from>
    <xdr:to>
      <xdr:col>43</xdr:col>
      <xdr:colOff>41403</xdr:colOff>
      <xdr:row>117</xdr:row>
      <xdr:rowOff>95250</xdr:rowOff>
    </xdr:to>
    <xdr:cxnSp macro="">
      <xdr:nvCxnSpPr>
        <xdr:cNvPr id="421" name="직선 화살표 연결선 420"/>
        <xdr:cNvCxnSpPr/>
      </xdr:nvCxnSpPr>
      <xdr:spPr>
        <a:xfrm>
          <a:off x="12574088" y="22376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116</xdr:row>
      <xdr:rowOff>38100</xdr:rowOff>
    </xdr:from>
    <xdr:to>
      <xdr:col>64</xdr:col>
      <xdr:colOff>63319</xdr:colOff>
      <xdr:row>116</xdr:row>
      <xdr:rowOff>152400</xdr:rowOff>
    </xdr:to>
    <xdr:sp macro="" textlink="">
      <xdr:nvSpPr>
        <xdr:cNvPr id="422" name="113"/>
        <xdr:cNvSpPr/>
      </xdr:nvSpPr>
      <xdr:spPr>
        <a:xfrm>
          <a:off x="12574088" y="22128480"/>
          <a:ext cx="31864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116</xdr:row>
      <xdr:rowOff>95250</xdr:rowOff>
    </xdr:from>
    <xdr:to>
      <xdr:col>43</xdr:col>
      <xdr:colOff>20047</xdr:colOff>
      <xdr:row>116</xdr:row>
      <xdr:rowOff>95250</xdr:rowOff>
    </xdr:to>
    <xdr:cxnSp macro="">
      <xdr:nvCxnSpPr>
        <xdr:cNvPr id="423" name="직선 화살표 연결선 422"/>
        <xdr:cNvCxnSpPr/>
      </xdr:nvCxnSpPr>
      <xdr:spPr>
        <a:xfrm>
          <a:off x="12574088" y="22185630"/>
          <a:ext cx="10277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115</xdr:row>
      <xdr:rowOff>38100</xdr:rowOff>
    </xdr:from>
    <xdr:to>
      <xdr:col>62</xdr:col>
      <xdr:colOff>42636</xdr:colOff>
      <xdr:row>115</xdr:row>
      <xdr:rowOff>152400</xdr:rowOff>
    </xdr:to>
    <xdr:sp macro="" textlink="">
      <xdr:nvSpPr>
        <xdr:cNvPr id="424" name="112"/>
        <xdr:cNvSpPr/>
      </xdr:nvSpPr>
      <xdr:spPr>
        <a:xfrm>
          <a:off x="15118080" y="21937980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115</xdr:row>
      <xdr:rowOff>95250</xdr:rowOff>
    </xdr:from>
    <xdr:to>
      <xdr:col>60</xdr:col>
      <xdr:colOff>0</xdr:colOff>
      <xdr:row>115</xdr:row>
      <xdr:rowOff>95250</xdr:rowOff>
    </xdr:to>
    <xdr:cxnSp macro="">
      <xdr:nvCxnSpPr>
        <xdr:cNvPr id="425" name="직선 화살표 연결선 424"/>
        <xdr:cNvCxnSpPr/>
      </xdr:nvCxnSpPr>
      <xdr:spPr>
        <a:xfrm>
          <a:off x="15118080" y="219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82732</xdr:colOff>
      <xdr:row>114</xdr:row>
      <xdr:rowOff>38100</xdr:rowOff>
    </xdr:from>
    <xdr:to>
      <xdr:col>60</xdr:col>
      <xdr:colOff>21952</xdr:colOff>
      <xdr:row>114</xdr:row>
      <xdr:rowOff>152400</xdr:rowOff>
    </xdr:to>
    <xdr:sp macro="" textlink="">
      <xdr:nvSpPr>
        <xdr:cNvPr id="426" name="111"/>
        <xdr:cNvSpPr/>
      </xdr:nvSpPr>
      <xdr:spPr>
        <a:xfrm>
          <a:off x="14476912" y="21747480"/>
          <a:ext cx="6631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82732</xdr:colOff>
      <xdr:row>114</xdr:row>
      <xdr:rowOff>95250</xdr:rowOff>
    </xdr:from>
    <xdr:to>
      <xdr:col>55</xdr:col>
      <xdr:colOff>82732</xdr:colOff>
      <xdr:row>114</xdr:row>
      <xdr:rowOff>95250</xdr:rowOff>
    </xdr:to>
    <xdr:cxnSp macro="">
      <xdr:nvCxnSpPr>
        <xdr:cNvPr id="427" name="직선 화살표 연결선 426"/>
        <xdr:cNvCxnSpPr/>
      </xdr:nvCxnSpPr>
      <xdr:spPr>
        <a:xfrm>
          <a:off x="14476912" y="218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113</xdr:row>
      <xdr:rowOff>38100</xdr:rowOff>
    </xdr:from>
    <xdr:to>
      <xdr:col>57</xdr:col>
      <xdr:colOff>63318</xdr:colOff>
      <xdr:row>113</xdr:row>
      <xdr:rowOff>152400</xdr:rowOff>
    </xdr:to>
    <xdr:sp macro="" textlink="">
      <xdr:nvSpPr>
        <xdr:cNvPr id="428" name="110"/>
        <xdr:cNvSpPr/>
      </xdr:nvSpPr>
      <xdr:spPr>
        <a:xfrm>
          <a:off x="13463451" y="215569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113</xdr:row>
      <xdr:rowOff>95250</xdr:rowOff>
    </xdr:from>
    <xdr:to>
      <xdr:col>48</xdr:col>
      <xdr:colOff>82731</xdr:colOff>
      <xdr:row>113</xdr:row>
      <xdr:rowOff>95250</xdr:rowOff>
    </xdr:to>
    <xdr:cxnSp macro="">
      <xdr:nvCxnSpPr>
        <xdr:cNvPr id="429" name="직선 화살표 연결선 428"/>
        <xdr:cNvCxnSpPr/>
      </xdr:nvCxnSpPr>
      <xdr:spPr>
        <a:xfrm>
          <a:off x="13463451" y="216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112</xdr:row>
      <xdr:rowOff>38100</xdr:rowOff>
    </xdr:from>
    <xdr:to>
      <xdr:col>48</xdr:col>
      <xdr:colOff>63318</xdr:colOff>
      <xdr:row>112</xdr:row>
      <xdr:rowOff>152400</xdr:rowOff>
    </xdr:to>
    <xdr:sp macro="" textlink="">
      <xdr:nvSpPr>
        <xdr:cNvPr id="430" name="109"/>
        <xdr:cNvSpPr/>
      </xdr:nvSpPr>
      <xdr:spPr>
        <a:xfrm>
          <a:off x="12574088" y="21366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112</xdr:row>
      <xdr:rowOff>95250</xdr:rowOff>
    </xdr:from>
    <xdr:to>
      <xdr:col>43</xdr:col>
      <xdr:colOff>41403</xdr:colOff>
      <xdr:row>112</xdr:row>
      <xdr:rowOff>95250</xdr:rowOff>
    </xdr:to>
    <xdr:cxnSp macro="">
      <xdr:nvCxnSpPr>
        <xdr:cNvPr id="431" name="직선 화살표 연결선 430"/>
        <xdr:cNvCxnSpPr/>
      </xdr:nvCxnSpPr>
      <xdr:spPr>
        <a:xfrm>
          <a:off x="12574088" y="214236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111</xdr:row>
      <xdr:rowOff>38100</xdr:rowOff>
    </xdr:from>
    <xdr:to>
      <xdr:col>62</xdr:col>
      <xdr:colOff>42636</xdr:colOff>
      <xdr:row>111</xdr:row>
      <xdr:rowOff>152400</xdr:rowOff>
    </xdr:to>
    <xdr:sp macro="" textlink="">
      <xdr:nvSpPr>
        <xdr:cNvPr id="432" name="108"/>
        <xdr:cNvSpPr/>
      </xdr:nvSpPr>
      <xdr:spPr>
        <a:xfrm>
          <a:off x="12574088" y="21175980"/>
          <a:ext cx="287618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111</xdr:row>
      <xdr:rowOff>95250</xdr:rowOff>
    </xdr:from>
    <xdr:to>
      <xdr:col>43</xdr:col>
      <xdr:colOff>11044</xdr:colOff>
      <xdr:row>111</xdr:row>
      <xdr:rowOff>95250</xdr:rowOff>
    </xdr:to>
    <xdr:cxnSp macro="">
      <xdr:nvCxnSpPr>
        <xdr:cNvPr id="433" name="직선 화살표 연결선 432"/>
        <xdr:cNvCxnSpPr/>
      </xdr:nvCxnSpPr>
      <xdr:spPr>
        <a:xfrm>
          <a:off x="12574088" y="21233130"/>
          <a:ext cx="9377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110</xdr:row>
      <xdr:rowOff>38100</xdr:rowOff>
    </xdr:from>
    <xdr:to>
      <xdr:col>64</xdr:col>
      <xdr:colOff>63319</xdr:colOff>
      <xdr:row>110</xdr:row>
      <xdr:rowOff>152400</xdr:rowOff>
    </xdr:to>
    <xdr:sp macro="" textlink="">
      <xdr:nvSpPr>
        <xdr:cNvPr id="434" name="107"/>
        <xdr:cNvSpPr/>
      </xdr:nvSpPr>
      <xdr:spPr>
        <a:xfrm>
          <a:off x="12574088" y="20985480"/>
          <a:ext cx="31864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110</xdr:row>
      <xdr:rowOff>95250</xdr:rowOff>
    </xdr:from>
    <xdr:to>
      <xdr:col>43</xdr:col>
      <xdr:colOff>20602</xdr:colOff>
      <xdr:row>110</xdr:row>
      <xdr:rowOff>95250</xdr:rowOff>
    </xdr:to>
    <xdr:cxnSp macro="">
      <xdr:nvCxnSpPr>
        <xdr:cNvPr id="435" name="직선 화살표 연결선 434"/>
        <xdr:cNvCxnSpPr/>
      </xdr:nvCxnSpPr>
      <xdr:spPr>
        <a:xfrm>
          <a:off x="12574088" y="21042630"/>
          <a:ext cx="10333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82732</xdr:colOff>
      <xdr:row>109</xdr:row>
      <xdr:rowOff>38100</xdr:rowOff>
    </xdr:from>
    <xdr:to>
      <xdr:col>73</xdr:col>
      <xdr:colOff>42636</xdr:colOff>
      <xdr:row>109</xdr:row>
      <xdr:rowOff>152400</xdr:rowOff>
    </xdr:to>
    <xdr:sp macro="" textlink="">
      <xdr:nvSpPr>
        <xdr:cNvPr id="436" name="106"/>
        <xdr:cNvSpPr/>
      </xdr:nvSpPr>
      <xdr:spPr>
        <a:xfrm>
          <a:off x="16648612" y="20794980"/>
          <a:ext cx="39424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82732</xdr:colOff>
      <xdr:row>109</xdr:row>
      <xdr:rowOff>95250</xdr:rowOff>
    </xdr:from>
    <xdr:to>
      <xdr:col>70</xdr:col>
      <xdr:colOff>82732</xdr:colOff>
      <xdr:row>109</xdr:row>
      <xdr:rowOff>95250</xdr:rowOff>
    </xdr:to>
    <xdr:cxnSp macro="">
      <xdr:nvCxnSpPr>
        <xdr:cNvPr id="437" name="직선 화살표 연결선 436"/>
        <xdr:cNvCxnSpPr/>
      </xdr:nvCxnSpPr>
      <xdr:spPr>
        <a:xfrm>
          <a:off x="16648612" y="208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62049</xdr:colOff>
      <xdr:row>108</xdr:row>
      <xdr:rowOff>38100</xdr:rowOff>
    </xdr:from>
    <xdr:to>
      <xdr:col>72</xdr:col>
      <xdr:colOff>63318</xdr:colOff>
      <xdr:row>108</xdr:row>
      <xdr:rowOff>152400</xdr:rowOff>
    </xdr:to>
    <xdr:sp macro="" textlink="">
      <xdr:nvSpPr>
        <xdr:cNvPr id="438" name="105"/>
        <xdr:cNvSpPr/>
      </xdr:nvSpPr>
      <xdr:spPr>
        <a:xfrm>
          <a:off x="16483149" y="20604480"/>
          <a:ext cx="4356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62049</xdr:colOff>
      <xdr:row>108</xdr:row>
      <xdr:rowOff>95250</xdr:rowOff>
    </xdr:from>
    <xdr:to>
      <xdr:col>69</xdr:col>
      <xdr:colOff>62049</xdr:colOff>
      <xdr:row>108</xdr:row>
      <xdr:rowOff>95250</xdr:rowOff>
    </xdr:to>
    <xdr:cxnSp macro="">
      <xdr:nvCxnSpPr>
        <xdr:cNvPr id="439" name="직선 화살표 연결선 438"/>
        <xdr:cNvCxnSpPr/>
      </xdr:nvCxnSpPr>
      <xdr:spPr>
        <a:xfrm>
          <a:off x="16483149" y="206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107</xdr:row>
      <xdr:rowOff>38100</xdr:rowOff>
    </xdr:from>
    <xdr:to>
      <xdr:col>57</xdr:col>
      <xdr:colOff>63318</xdr:colOff>
      <xdr:row>107</xdr:row>
      <xdr:rowOff>152400</xdr:rowOff>
    </xdr:to>
    <xdr:sp macro="" textlink="">
      <xdr:nvSpPr>
        <xdr:cNvPr id="440" name="104"/>
        <xdr:cNvSpPr/>
      </xdr:nvSpPr>
      <xdr:spPr>
        <a:xfrm>
          <a:off x="13463451" y="204139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107</xdr:row>
      <xdr:rowOff>95250</xdr:rowOff>
    </xdr:from>
    <xdr:to>
      <xdr:col>48</xdr:col>
      <xdr:colOff>82731</xdr:colOff>
      <xdr:row>107</xdr:row>
      <xdr:rowOff>95250</xdr:rowOff>
    </xdr:to>
    <xdr:cxnSp macro="">
      <xdr:nvCxnSpPr>
        <xdr:cNvPr id="441" name="직선 화살표 연결선 440"/>
        <xdr:cNvCxnSpPr/>
      </xdr:nvCxnSpPr>
      <xdr:spPr>
        <a:xfrm>
          <a:off x="13463451" y="204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106</xdr:row>
      <xdr:rowOff>38100</xdr:rowOff>
    </xdr:from>
    <xdr:to>
      <xdr:col>48</xdr:col>
      <xdr:colOff>63318</xdr:colOff>
      <xdr:row>106</xdr:row>
      <xdr:rowOff>152400</xdr:rowOff>
    </xdr:to>
    <xdr:sp macro="" textlink="">
      <xdr:nvSpPr>
        <xdr:cNvPr id="442" name="103"/>
        <xdr:cNvSpPr/>
      </xdr:nvSpPr>
      <xdr:spPr>
        <a:xfrm>
          <a:off x="12574088" y="20223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106</xdr:row>
      <xdr:rowOff>95250</xdr:rowOff>
    </xdr:from>
    <xdr:to>
      <xdr:col>43</xdr:col>
      <xdr:colOff>41403</xdr:colOff>
      <xdr:row>106</xdr:row>
      <xdr:rowOff>95250</xdr:rowOff>
    </xdr:to>
    <xdr:cxnSp macro="">
      <xdr:nvCxnSpPr>
        <xdr:cNvPr id="443" name="직선 화살표 연결선 442"/>
        <xdr:cNvCxnSpPr/>
      </xdr:nvCxnSpPr>
      <xdr:spPr>
        <a:xfrm>
          <a:off x="12574088" y="202806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105</xdr:row>
      <xdr:rowOff>38100</xdr:rowOff>
    </xdr:from>
    <xdr:to>
      <xdr:col>73</xdr:col>
      <xdr:colOff>42636</xdr:colOff>
      <xdr:row>105</xdr:row>
      <xdr:rowOff>152400</xdr:rowOff>
    </xdr:to>
    <xdr:sp macro="" textlink="">
      <xdr:nvSpPr>
        <xdr:cNvPr id="444" name="102"/>
        <xdr:cNvSpPr/>
      </xdr:nvSpPr>
      <xdr:spPr>
        <a:xfrm>
          <a:off x="12574088" y="20032980"/>
          <a:ext cx="44687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105</xdr:row>
      <xdr:rowOff>95250</xdr:rowOff>
    </xdr:from>
    <xdr:to>
      <xdr:col>43</xdr:col>
      <xdr:colOff>79772</xdr:colOff>
      <xdr:row>105</xdr:row>
      <xdr:rowOff>95250</xdr:rowOff>
    </xdr:to>
    <xdr:cxnSp macro="">
      <xdr:nvCxnSpPr>
        <xdr:cNvPr id="445" name="직선 화살표 연결선 444"/>
        <xdr:cNvCxnSpPr/>
      </xdr:nvCxnSpPr>
      <xdr:spPr>
        <a:xfrm>
          <a:off x="12574088" y="20090130"/>
          <a:ext cx="16250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20682</xdr:colOff>
      <xdr:row>104</xdr:row>
      <xdr:rowOff>38100</xdr:rowOff>
    </xdr:from>
    <xdr:to>
      <xdr:col>71</xdr:col>
      <xdr:colOff>21953</xdr:colOff>
      <xdr:row>104</xdr:row>
      <xdr:rowOff>152400</xdr:rowOff>
    </xdr:to>
    <xdr:sp macro="" textlink="">
      <xdr:nvSpPr>
        <xdr:cNvPr id="446" name="101"/>
        <xdr:cNvSpPr/>
      </xdr:nvSpPr>
      <xdr:spPr>
        <a:xfrm>
          <a:off x="16297002" y="19842480"/>
          <a:ext cx="4356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20682</xdr:colOff>
      <xdr:row>104</xdr:row>
      <xdr:rowOff>95250</xdr:rowOff>
    </xdr:from>
    <xdr:to>
      <xdr:col>68</xdr:col>
      <xdr:colOff>20682</xdr:colOff>
      <xdr:row>104</xdr:row>
      <xdr:rowOff>95250</xdr:rowOff>
    </xdr:to>
    <xdr:cxnSp macro="">
      <xdr:nvCxnSpPr>
        <xdr:cNvPr id="447" name="직선 화살표 연결선 446"/>
        <xdr:cNvCxnSpPr/>
      </xdr:nvCxnSpPr>
      <xdr:spPr>
        <a:xfrm>
          <a:off x="16297002" y="1989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82732</xdr:colOff>
      <xdr:row>103</xdr:row>
      <xdr:rowOff>38100</xdr:rowOff>
    </xdr:from>
    <xdr:to>
      <xdr:col>70</xdr:col>
      <xdr:colOff>63319</xdr:colOff>
      <xdr:row>103</xdr:row>
      <xdr:rowOff>152400</xdr:rowOff>
    </xdr:to>
    <xdr:sp macro="" textlink="">
      <xdr:nvSpPr>
        <xdr:cNvPr id="448" name="100"/>
        <xdr:cNvSpPr/>
      </xdr:nvSpPr>
      <xdr:spPr>
        <a:xfrm>
          <a:off x="16069492" y="19651980"/>
          <a:ext cx="5597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82732</xdr:colOff>
      <xdr:row>103</xdr:row>
      <xdr:rowOff>95250</xdr:rowOff>
    </xdr:from>
    <xdr:to>
      <xdr:col>66</xdr:col>
      <xdr:colOff>82732</xdr:colOff>
      <xdr:row>103</xdr:row>
      <xdr:rowOff>95250</xdr:rowOff>
    </xdr:to>
    <xdr:cxnSp macro="">
      <xdr:nvCxnSpPr>
        <xdr:cNvPr id="449" name="직선 화살표 연결선 448"/>
        <xdr:cNvCxnSpPr/>
      </xdr:nvCxnSpPr>
      <xdr:spPr>
        <a:xfrm>
          <a:off x="16069492" y="197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102</xdr:row>
      <xdr:rowOff>38100</xdr:rowOff>
    </xdr:from>
    <xdr:to>
      <xdr:col>57</xdr:col>
      <xdr:colOff>63318</xdr:colOff>
      <xdr:row>102</xdr:row>
      <xdr:rowOff>152400</xdr:rowOff>
    </xdr:to>
    <xdr:sp macro="" textlink="">
      <xdr:nvSpPr>
        <xdr:cNvPr id="450" name="99"/>
        <xdr:cNvSpPr/>
      </xdr:nvSpPr>
      <xdr:spPr>
        <a:xfrm>
          <a:off x="13463451" y="194614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102</xdr:row>
      <xdr:rowOff>95250</xdr:rowOff>
    </xdr:from>
    <xdr:to>
      <xdr:col>48</xdr:col>
      <xdr:colOff>82731</xdr:colOff>
      <xdr:row>102</xdr:row>
      <xdr:rowOff>95250</xdr:rowOff>
    </xdr:to>
    <xdr:cxnSp macro="">
      <xdr:nvCxnSpPr>
        <xdr:cNvPr id="451" name="직선 화살표 연결선 450"/>
        <xdr:cNvCxnSpPr/>
      </xdr:nvCxnSpPr>
      <xdr:spPr>
        <a:xfrm>
          <a:off x="13463451" y="195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101</xdr:row>
      <xdr:rowOff>38100</xdr:rowOff>
    </xdr:from>
    <xdr:to>
      <xdr:col>48</xdr:col>
      <xdr:colOff>63318</xdr:colOff>
      <xdr:row>101</xdr:row>
      <xdr:rowOff>152400</xdr:rowOff>
    </xdr:to>
    <xdr:sp macro="" textlink="">
      <xdr:nvSpPr>
        <xdr:cNvPr id="452" name="98"/>
        <xdr:cNvSpPr/>
      </xdr:nvSpPr>
      <xdr:spPr>
        <a:xfrm>
          <a:off x="12574088" y="19270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101</xdr:row>
      <xdr:rowOff>95250</xdr:rowOff>
    </xdr:from>
    <xdr:to>
      <xdr:col>43</xdr:col>
      <xdr:colOff>41403</xdr:colOff>
      <xdr:row>101</xdr:row>
      <xdr:rowOff>95250</xdr:rowOff>
    </xdr:to>
    <xdr:cxnSp macro="">
      <xdr:nvCxnSpPr>
        <xdr:cNvPr id="453" name="직선 화살표 연결선 452"/>
        <xdr:cNvCxnSpPr/>
      </xdr:nvCxnSpPr>
      <xdr:spPr>
        <a:xfrm>
          <a:off x="12574088" y="19328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100</xdr:row>
      <xdr:rowOff>38100</xdr:rowOff>
    </xdr:from>
    <xdr:to>
      <xdr:col>71</xdr:col>
      <xdr:colOff>21953</xdr:colOff>
      <xdr:row>100</xdr:row>
      <xdr:rowOff>152400</xdr:rowOff>
    </xdr:to>
    <xdr:sp macro="" textlink="">
      <xdr:nvSpPr>
        <xdr:cNvPr id="454" name="97"/>
        <xdr:cNvSpPr/>
      </xdr:nvSpPr>
      <xdr:spPr>
        <a:xfrm>
          <a:off x="12574088" y="19080480"/>
          <a:ext cx="415852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100</xdr:row>
      <xdr:rowOff>95250</xdr:rowOff>
    </xdr:from>
    <xdr:to>
      <xdr:col>43</xdr:col>
      <xdr:colOff>56660</xdr:colOff>
      <xdr:row>100</xdr:row>
      <xdr:rowOff>95250</xdr:rowOff>
    </xdr:to>
    <xdr:cxnSp macro="">
      <xdr:nvCxnSpPr>
        <xdr:cNvPr id="455" name="직선 화살표 연결선 454"/>
        <xdr:cNvCxnSpPr/>
      </xdr:nvCxnSpPr>
      <xdr:spPr>
        <a:xfrm>
          <a:off x="12574088" y="19137630"/>
          <a:ext cx="13939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20683</xdr:colOff>
      <xdr:row>99</xdr:row>
      <xdr:rowOff>38100</xdr:rowOff>
    </xdr:from>
    <xdr:to>
      <xdr:col>68</xdr:col>
      <xdr:colOff>125367</xdr:colOff>
      <xdr:row>99</xdr:row>
      <xdr:rowOff>152400</xdr:rowOff>
    </xdr:to>
    <xdr:sp macro="" textlink="">
      <xdr:nvSpPr>
        <xdr:cNvPr id="456" name="96"/>
        <xdr:cNvSpPr/>
      </xdr:nvSpPr>
      <xdr:spPr>
        <a:xfrm>
          <a:off x="16007443" y="18889980"/>
          <a:ext cx="39424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20683</xdr:colOff>
      <xdr:row>99</xdr:row>
      <xdr:rowOff>95250</xdr:rowOff>
    </xdr:from>
    <xdr:to>
      <xdr:col>66</xdr:col>
      <xdr:colOff>20683</xdr:colOff>
      <xdr:row>99</xdr:row>
      <xdr:rowOff>95250</xdr:rowOff>
    </xdr:to>
    <xdr:cxnSp macro="">
      <xdr:nvCxnSpPr>
        <xdr:cNvPr id="457" name="직선 화살표 연결선 456"/>
        <xdr:cNvCxnSpPr/>
      </xdr:nvCxnSpPr>
      <xdr:spPr>
        <a:xfrm>
          <a:off x="16007443" y="1894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41366</xdr:colOff>
      <xdr:row>98</xdr:row>
      <xdr:rowOff>38100</xdr:rowOff>
    </xdr:from>
    <xdr:to>
      <xdr:col>67</xdr:col>
      <xdr:colOff>63318</xdr:colOff>
      <xdr:row>98</xdr:row>
      <xdr:rowOff>152400</xdr:rowOff>
    </xdr:to>
    <xdr:sp macro="" textlink="">
      <xdr:nvSpPr>
        <xdr:cNvPr id="458" name="95"/>
        <xdr:cNvSpPr/>
      </xdr:nvSpPr>
      <xdr:spPr>
        <a:xfrm>
          <a:off x="15738566" y="18699480"/>
          <a:ext cx="4562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41366</xdr:colOff>
      <xdr:row>98</xdr:row>
      <xdr:rowOff>95250</xdr:rowOff>
    </xdr:from>
    <xdr:to>
      <xdr:col>64</xdr:col>
      <xdr:colOff>41366</xdr:colOff>
      <xdr:row>98</xdr:row>
      <xdr:rowOff>95250</xdr:rowOff>
    </xdr:to>
    <xdr:cxnSp macro="">
      <xdr:nvCxnSpPr>
        <xdr:cNvPr id="459" name="직선 화살표 연결선 458"/>
        <xdr:cNvCxnSpPr/>
      </xdr:nvCxnSpPr>
      <xdr:spPr>
        <a:xfrm>
          <a:off x="15738566" y="1875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97</xdr:row>
      <xdr:rowOff>38100</xdr:rowOff>
    </xdr:from>
    <xdr:to>
      <xdr:col>57</xdr:col>
      <xdr:colOff>63318</xdr:colOff>
      <xdr:row>97</xdr:row>
      <xdr:rowOff>152400</xdr:rowOff>
    </xdr:to>
    <xdr:sp macro="" textlink="">
      <xdr:nvSpPr>
        <xdr:cNvPr id="460" name="94"/>
        <xdr:cNvSpPr/>
      </xdr:nvSpPr>
      <xdr:spPr>
        <a:xfrm>
          <a:off x="13463451" y="185089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97</xdr:row>
      <xdr:rowOff>95250</xdr:rowOff>
    </xdr:from>
    <xdr:to>
      <xdr:col>48</xdr:col>
      <xdr:colOff>82731</xdr:colOff>
      <xdr:row>97</xdr:row>
      <xdr:rowOff>95250</xdr:rowOff>
    </xdr:to>
    <xdr:cxnSp macro="">
      <xdr:nvCxnSpPr>
        <xdr:cNvPr id="461" name="직선 화살표 연결선 460"/>
        <xdr:cNvCxnSpPr/>
      </xdr:nvCxnSpPr>
      <xdr:spPr>
        <a:xfrm>
          <a:off x="13463451" y="185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96</xdr:row>
      <xdr:rowOff>38100</xdr:rowOff>
    </xdr:from>
    <xdr:to>
      <xdr:col>48</xdr:col>
      <xdr:colOff>63318</xdr:colOff>
      <xdr:row>96</xdr:row>
      <xdr:rowOff>152400</xdr:rowOff>
    </xdr:to>
    <xdr:sp macro="" textlink="">
      <xdr:nvSpPr>
        <xdr:cNvPr id="462" name="93"/>
        <xdr:cNvSpPr/>
      </xdr:nvSpPr>
      <xdr:spPr>
        <a:xfrm>
          <a:off x="12574088" y="18318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96</xdr:row>
      <xdr:rowOff>95250</xdr:rowOff>
    </xdr:from>
    <xdr:to>
      <xdr:col>43</xdr:col>
      <xdr:colOff>41403</xdr:colOff>
      <xdr:row>96</xdr:row>
      <xdr:rowOff>95250</xdr:rowOff>
    </xdr:to>
    <xdr:cxnSp macro="">
      <xdr:nvCxnSpPr>
        <xdr:cNvPr id="463" name="직선 화살표 연결선 462"/>
        <xdr:cNvCxnSpPr/>
      </xdr:nvCxnSpPr>
      <xdr:spPr>
        <a:xfrm>
          <a:off x="12574088" y="183756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95</xdr:row>
      <xdr:rowOff>38100</xdr:rowOff>
    </xdr:from>
    <xdr:to>
      <xdr:col>68</xdr:col>
      <xdr:colOff>125367</xdr:colOff>
      <xdr:row>95</xdr:row>
      <xdr:rowOff>152400</xdr:rowOff>
    </xdr:to>
    <xdr:sp macro="" textlink="">
      <xdr:nvSpPr>
        <xdr:cNvPr id="464" name="92"/>
        <xdr:cNvSpPr/>
      </xdr:nvSpPr>
      <xdr:spPr>
        <a:xfrm>
          <a:off x="12574088" y="18127980"/>
          <a:ext cx="38275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95</xdr:row>
      <xdr:rowOff>95250</xdr:rowOff>
    </xdr:from>
    <xdr:to>
      <xdr:col>43</xdr:col>
      <xdr:colOff>54782</xdr:colOff>
      <xdr:row>95</xdr:row>
      <xdr:rowOff>95250</xdr:rowOff>
    </xdr:to>
    <xdr:cxnSp macro="">
      <xdr:nvCxnSpPr>
        <xdr:cNvPr id="465" name="직선 화살표 연결선 464"/>
        <xdr:cNvCxnSpPr/>
      </xdr:nvCxnSpPr>
      <xdr:spPr>
        <a:xfrm>
          <a:off x="12574088" y="18185130"/>
          <a:ext cx="13751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103414</xdr:colOff>
      <xdr:row>94</xdr:row>
      <xdr:rowOff>38100</xdr:rowOff>
    </xdr:from>
    <xdr:to>
      <xdr:col>66</xdr:col>
      <xdr:colOff>104684</xdr:colOff>
      <xdr:row>94</xdr:row>
      <xdr:rowOff>152400</xdr:rowOff>
    </xdr:to>
    <xdr:sp macro="" textlink="">
      <xdr:nvSpPr>
        <xdr:cNvPr id="466" name="91"/>
        <xdr:cNvSpPr/>
      </xdr:nvSpPr>
      <xdr:spPr>
        <a:xfrm>
          <a:off x="15655834" y="17937480"/>
          <a:ext cx="4356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103414</xdr:colOff>
      <xdr:row>94</xdr:row>
      <xdr:rowOff>95250</xdr:rowOff>
    </xdr:from>
    <xdr:to>
      <xdr:col>63</xdr:col>
      <xdr:colOff>103414</xdr:colOff>
      <xdr:row>94</xdr:row>
      <xdr:rowOff>95250</xdr:rowOff>
    </xdr:to>
    <xdr:cxnSp macro="">
      <xdr:nvCxnSpPr>
        <xdr:cNvPr id="467" name="직선 화살표 연결선 466"/>
        <xdr:cNvCxnSpPr/>
      </xdr:nvCxnSpPr>
      <xdr:spPr>
        <a:xfrm>
          <a:off x="15655834" y="179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20683</xdr:colOff>
      <xdr:row>93</xdr:row>
      <xdr:rowOff>38100</xdr:rowOff>
    </xdr:from>
    <xdr:to>
      <xdr:col>64</xdr:col>
      <xdr:colOff>125368</xdr:colOff>
      <xdr:row>93</xdr:row>
      <xdr:rowOff>152400</xdr:rowOff>
    </xdr:to>
    <xdr:sp macro="" textlink="">
      <xdr:nvSpPr>
        <xdr:cNvPr id="468" name="90"/>
        <xdr:cNvSpPr/>
      </xdr:nvSpPr>
      <xdr:spPr>
        <a:xfrm>
          <a:off x="15283543" y="17746980"/>
          <a:ext cx="5390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20683</xdr:colOff>
      <xdr:row>93</xdr:row>
      <xdr:rowOff>95250</xdr:rowOff>
    </xdr:from>
    <xdr:to>
      <xdr:col>61</xdr:col>
      <xdr:colOff>20683</xdr:colOff>
      <xdr:row>93</xdr:row>
      <xdr:rowOff>95250</xdr:rowOff>
    </xdr:to>
    <xdr:cxnSp macro="">
      <xdr:nvCxnSpPr>
        <xdr:cNvPr id="469" name="직선 화살표 연결선 468"/>
        <xdr:cNvCxnSpPr/>
      </xdr:nvCxnSpPr>
      <xdr:spPr>
        <a:xfrm>
          <a:off x="15283543" y="1780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92</xdr:row>
      <xdr:rowOff>38100</xdr:rowOff>
    </xdr:from>
    <xdr:to>
      <xdr:col>57</xdr:col>
      <xdr:colOff>63318</xdr:colOff>
      <xdr:row>92</xdr:row>
      <xdr:rowOff>152400</xdr:rowOff>
    </xdr:to>
    <xdr:sp macro="" textlink="">
      <xdr:nvSpPr>
        <xdr:cNvPr id="470" name="89"/>
        <xdr:cNvSpPr/>
      </xdr:nvSpPr>
      <xdr:spPr>
        <a:xfrm>
          <a:off x="13463451" y="175564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92</xdr:row>
      <xdr:rowOff>95250</xdr:rowOff>
    </xdr:from>
    <xdr:to>
      <xdr:col>48</xdr:col>
      <xdr:colOff>82731</xdr:colOff>
      <xdr:row>92</xdr:row>
      <xdr:rowOff>95250</xdr:rowOff>
    </xdr:to>
    <xdr:cxnSp macro="">
      <xdr:nvCxnSpPr>
        <xdr:cNvPr id="471" name="직선 화살표 연결선 470"/>
        <xdr:cNvCxnSpPr/>
      </xdr:nvCxnSpPr>
      <xdr:spPr>
        <a:xfrm>
          <a:off x="13463451" y="1761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91</xdr:row>
      <xdr:rowOff>38100</xdr:rowOff>
    </xdr:from>
    <xdr:to>
      <xdr:col>48</xdr:col>
      <xdr:colOff>63318</xdr:colOff>
      <xdr:row>91</xdr:row>
      <xdr:rowOff>152400</xdr:rowOff>
    </xdr:to>
    <xdr:sp macro="" textlink="">
      <xdr:nvSpPr>
        <xdr:cNvPr id="472" name="88"/>
        <xdr:cNvSpPr/>
      </xdr:nvSpPr>
      <xdr:spPr>
        <a:xfrm>
          <a:off x="12574088" y="17365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91</xdr:row>
      <xdr:rowOff>95250</xdr:rowOff>
    </xdr:from>
    <xdr:to>
      <xdr:col>43</xdr:col>
      <xdr:colOff>41403</xdr:colOff>
      <xdr:row>91</xdr:row>
      <xdr:rowOff>95250</xdr:rowOff>
    </xdr:to>
    <xdr:cxnSp macro="">
      <xdr:nvCxnSpPr>
        <xdr:cNvPr id="473" name="직선 화살표 연결선 472"/>
        <xdr:cNvCxnSpPr/>
      </xdr:nvCxnSpPr>
      <xdr:spPr>
        <a:xfrm>
          <a:off x="12574088" y="17423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90</xdr:row>
      <xdr:rowOff>38100</xdr:rowOff>
    </xdr:from>
    <xdr:to>
      <xdr:col>66</xdr:col>
      <xdr:colOff>104684</xdr:colOff>
      <xdr:row>90</xdr:row>
      <xdr:rowOff>152400</xdr:rowOff>
    </xdr:to>
    <xdr:sp macro="" textlink="">
      <xdr:nvSpPr>
        <xdr:cNvPr id="474" name="87"/>
        <xdr:cNvSpPr/>
      </xdr:nvSpPr>
      <xdr:spPr>
        <a:xfrm>
          <a:off x="12574088" y="17175480"/>
          <a:ext cx="351735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90</xdr:row>
      <xdr:rowOff>95250</xdr:rowOff>
    </xdr:from>
    <xdr:to>
      <xdr:col>43</xdr:col>
      <xdr:colOff>36494</xdr:colOff>
      <xdr:row>90</xdr:row>
      <xdr:rowOff>95250</xdr:rowOff>
    </xdr:to>
    <xdr:cxnSp macro="">
      <xdr:nvCxnSpPr>
        <xdr:cNvPr id="475" name="직선 화살표 연결선 474"/>
        <xdr:cNvCxnSpPr/>
      </xdr:nvCxnSpPr>
      <xdr:spPr>
        <a:xfrm>
          <a:off x="12574088" y="17232630"/>
          <a:ext cx="11922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41366</xdr:colOff>
      <xdr:row>89</xdr:row>
      <xdr:rowOff>38100</xdr:rowOff>
    </xdr:from>
    <xdr:to>
      <xdr:col>62</xdr:col>
      <xdr:colOff>42636</xdr:colOff>
      <xdr:row>89</xdr:row>
      <xdr:rowOff>152400</xdr:rowOff>
    </xdr:to>
    <xdr:sp macro="" textlink="">
      <xdr:nvSpPr>
        <xdr:cNvPr id="476" name="86"/>
        <xdr:cNvSpPr/>
      </xdr:nvSpPr>
      <xdr:spPr>
        <a:xfrm>
          <a:off x="15014666" y="16984980"/>
          <a:ext cx="4356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41366</xdr:colOff>
      <xdr:row>89</xdr:row>
      <xdr:rowOff>95250</xdr:rowOff>
    </xdr:from>
    <xdr:to>
      <xdr:col>59</xdr:col>
      <xdr:colOff>41366</xdr:colOff>
      <xdr:row>89</xdr:row>
      <xdr:rowOff>95250</xdr:rowOff>
    </xdr:to>
    <xdr:cxnSp macro="">
      <xdr:nvCxnSpPr>
        <xdr:cNvPr id="477" name="직선 화살표 연결선 476"/>
        <xdr:cNvCxnSpPr/>
      </xdr:nvCxnSpPr>
      <xdr:spPr>
        <a:xfrm>
          <a:off x="15014666" y="170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41366</xdr:colOff>
      <xdr:row>88</xdr:row>
      <xdr:rowOff>38100</xdr:rowOff>
    </xdr:from>
    <xdr:to>
      <xdr:col>60</xdr:col>
      <xdr:colOff>42635</xdr:colOff>
      <xdr:row>88</xdr:row>
      <xdr:rowOff>152400</xdr:rowOff>
    </xdr:to>
    <xdr:sp macro="" textlink="">
      <xdr:nvSpPr>
        <xdr:cNvPr id="478" name="85"/>
        <xdr:cNvSpPr/>
      </xdr:nvSpPr>
      <xdr:spPr>
        <a:xfrm>
          <a:off x="14725106" y="16794480"/>
          <a:ext cx="4356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41366</xdr:colOff>
      <xdr:row>88</xdr:row>
      <xdr:rowOff>95250</xdr:rowOff>
    </xdr:from>
    <xdr:to>
      <xdr:col>57</xdr:col>
      <xdr:colOff>41366</xdr:colOff>
      <xdr:row>88</xdr:row>
      <xdr:rowOff>95250</xdr:rowOff>
    </xdr:to>
    <xdr:cxnSp macro="">
      <xdr:nvCxnSpPr>
        <xdr:cNvPr id="479" name="직선 화살표 연결선 478"/>
        <xdr:cNvCxnSpPr/>
      </xdr:nvCxnSpPr>
      <xdr:spPr>
        <a:xfrm>
          <a:off x="14725106" y="168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87</xdr:row>
      <xdr:rowOff>38100</xdr:rowOff>
    </xdr:from>
    <xdr:to>
      <xdr:col>57</xdr:col>
      <xdr:colOff>63318</xdr:colOff>
      <xdr:row>87</xdr:row>
      <xdr:rowOff>152400</xdr:rowOff>
    </xdr:to>
    <xdr:sp macro="" textlink="">
      <xdr:nvSpPr>
        <xdr:cNvPr id="480" name="84"/>
        <xdr:cNvSpPr/>
      </xdr:nvSpPr>
      <xdr:spPr>
        <a:xfrm>
          <a:off x="13463451" y="1660398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87</xdr:row>
      <xdr:rowOff>95250</xdr:rowOff>
    </xdr:from>
    <xdr:to>
      <xdr:col>48</xdr:col>
      <xdr:colOff>82731</xdr:colOff>
      <xdr:row>87</xdr:row>
      <xdr:rowOff>95250</xdr:rowOff>
    </xdr:to>
    <xdr:cxnSp macro="">
      <xdr:nvCxnSpPr>
        <xdr:cNvPr id="481" name="직선 화살표 연결선 480"/>
        <xdr:cNvCxnSpPr/>
      </xdr:nvCxnSpPr>
      <xdr:spPr>
        <a:xfrm>
          <a:off x="13463451" y="1666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86</xdr:row>
      <xdr:rowOff>38100</xdr:rowOff>
    </xdr:from>
    <xdr:to>
      <xdr:col>48</xdr:col>
      <xdr:colOff>63318</xdr:colOff>
      <xdr:row>86</xdr:row>
      <xdr:rowOff>152400</xdr:rowOff>
    </xdr:to>
    <xdr:sp macro="" textlink="">
      <xdr:nvSpPr>
        <xdr:cNvPr id="482" name="83"/>
        <xdr:cNvSpPr/>
      </xdr:nvSpPr>
      <xdr:spPr>
        <a:xfrm>
          <a:off x="12574088" y="16413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86</xdr:row>
      <xdr:rowOff>95250</xdr:rowOff>
    </xdr:from>
    <xdr:to>
      <xdr:col>43</xdr:col>
      <xdr:colOff>41403</xdr:colOff>
      <xdr:row>86</xdr:row>
      <xdr:rowOff>95250</xdr:rowOff>
    </xdr:to>
    <xdr:cxnSp macro="">
      <xdr:nvCxnSpPr>
        <xdr:cNvPr id="483" name="직선 화살표 연결선 482"/>
        <xdr:cNvCxnSpPr/>
      </xdr:nvCxnSpPr>
      <xdr:spPr>
        <a:xfrm>
          <a:off x="12574088" y="164706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85</xdr:row>
      <xdr:rowOff>38100</xdr:rowOff>
    </xdr:from>
    <xdr:to>
      <xdr:col>62</xdr:col>
      <xdr:colOff>42636</xdr:colOff>
      <xdr:row>85</xdr:row>
      <xdr:rowOff>152400</xdr:rowOff>
    </xdr:to>
    <xdr:sp macro="" textlink="">
      <xdr:nvSpPr>
        <xdr:cNvPr id="484" name="82"/>
        <xdr:cNvSpPr/>
      </xdr:nvSpPr>
      <xdr:spPr>
        <a:xfrm>
          <a:off x="12574088" y="16222980"/>
          <a:ext cx="287618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85</xdr:row>
      <xdr:rowOff>95250</xdr:rowOff>
    </xdr:from>
    <xdr:to>
      <xdr:col>43</xdr:col>
      <xdr:colOff>20590</xdr:colOff>
      <xdr:row>85</xdr:row>
      <xdr:rowOff>95250</xdr:rowOff>
    </xdr:to>
    <xdr:cxnSp macro="">
      <xdr:nvCxnSpPr>
        <xdr:cNvPr id="485" name="직선 화살표 연결선 484"/>
        <xdr:cNvCxnSpPr/>
      </xdr:nvCxnSpPr>
      <xdr:spPr>
        <a:xfrm>
          <a:off x="12574088" y="16280130"/>
          <a:ext cx="1033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62048</xdr:colOff>
      <xdr:row>84</xdr:row>
      <xdr:rowOff>38100</xdr:rowOff>
    </xdr:from>
    <xdr:to>
      <xdr:col>58</xdr:col>
      <xdr:colOff>1269</xdr:colOff>
      <xdr:row>84</xdr:row>
      <xdr:rowOff>152400</xdr:rowOff>
    </xdr:to>
    <xdr:sp macro="" textlink="">
      <xdr:nvSpPr>
        <xdr:cNvPr id="486" name="81"/>
        <xdr:cNvSpPr/>
      </xdr:nvSpPr>
      <xdr:spPr>
        <a:xfrm>
          <a:off x="14601008" y="1603248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62048</xdr:colOff>
      <xdr:row>84</xdr:row>
      <xdr:rowOff>95250</xdr:rowOff>
    </xdr:from>
    <xdr:to>
      <xdr:col>56</xdr:col>
      <xdr:colOff>62048</xdr:colOff>
      <xdr:row>84</xdr:row>
      <xdr:rowOff>95250</xdr:rowOff>
    </xdr:to>
    <xdr:cxnSp macro="">
      <xdr:nvCxnSpPr>
        <xdr:cNvPr id="487" name="직선 화살표 연결선 486"/>
        <xdr:cNvCxnSpPr/>
      </xdr:nvCxnSpPr>
      <xdr:spPr>
        <a:xfrm>
          <a:off x="14601008" y="160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83</xdr:row>
      <xdr:rowOff>38100</xdr:rowOff>
    </xdr:from>
    <xdr:to>
      <xdr:col>56</xdr:col>
      <xdr:colOff>84002</xdr:colOff>
      <xdr:row>83</xdr:row>
      <xdr:rowOff>152400</xdr:rowOff>
    </xdr:to>
    <xdr:sp macro="" textlink="">
      <xdr:nvSpPr>
        <xdr:cNvPr id="488" name="80"/>
        <xdr:cNvSpPr/>
      </xdr:nvSpPr>
      <xdr:spPr>
        <a:xfrm>
          <a:off x="14270082" y="15841980"/>
          <a:ext cx="352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83</xdr:row>
      <xdr:rowOff>95250</xdr:rowOff>
    </xdr:from>
    <xdr:to>
      <xdr:col>54</xdr:col>
      <xdr:colOff>20682</xdr:colOff>
      <xdr:row>83</xdr:row>
      <xdr:rowOff>95250</xdr:rowOff>
    </xdr:to>
    <xdr:cxnSp macro="">
      <xdr:nvCxnSpPr>
        <xdr:cNvPr id="489" name="직선 화살표 연결선 488"/>
        <xdr:cNvCxnSpPr/>
      </xdr:nvCxnSpPr>
      <xdr:spPr>
        <a:xfrm>
          <a:off x="14270082" y="158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82</xdr:row>
      <xdr:rowOff>38100</xdr:rowOff>
    </xdr:from>
    <xdr:to>
      <xdr:col>54</xdr:col>
      <xdr:colOff>42636</xdr:colOff>
      <xdr:row>82</xdr:row>
      <xdr:rowOff>152400</xdr:rowOff>
    </xdr:to>
    <xdr:sp macro="" textlink="">
      <xdr:nvSpPr>
        <xdr:cNvPr id="490" name="79"/>
        <xdr:cNvSpPr/>
      </xdr:nvSpPr>
      <xdr:spPr>
        <a:xfrm>
          <a:off x="13463451" y="15651480"/>
          <a:ext cx="828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82</xdr:row>
      <xdr:rowOff>95250</xdr:rowOff>
    </xdr:from>
    <xdr:to>
      <xdr:col>48</xdr:col>
      <xdr:colOff>82731</xdr:colOff>
      <xdr:row>82</xdr:row>
      <xdr:rowOff>95250</xdr:rowOff>
    </xdr:to>
    <xdr:cxnSp macro="">
      <xdr:nvCxnSpPr>
        <xdr:cNvPr id="491" name="직선 화살표 연결선 490"/>
        <xdr:cNvCxnSpPr/>
      </xdr:nvCxnSpPr>
      <xdr:spPr>
        <a:xfrm>
          <a:off x="13463451" y="157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81</xdr:row>
      <xdr:rowOff>38100</xdr:rowOff>
    </xdr:from>
    <xdr:to>
      <xdr:col>48</xdr:col>
      <xdr:colOff>63318</xdr:colOff>
      <xdr:row>81</xdr:row>
      <xdr:rowOff>152400</xdr:rowOff>
    </xdr:to>
    <xdr:sp macro="" textlink="">
      <xdr:nvSpPr>
        <xdr:cNvPr id="492" name="78"/>
        <xdr:cNvSpPr/>
      </xdr:nvSpPr>
      <xdr:spPr>
        <a:xfrm>
          <a:off x="12574088" y="15460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81</xdr:row>
      <xdr:rowOff>95250</xdr:rowOff>
    </xdr:from>
    <xdr:to>
      <xdr:col>43</xdr:col>
      <xdr:colOff>41403</xdr:colOff>
      <xdr:row>81</xdr:row>
      <xdr:rowOff>95250</xdr:rowOff>
    </xdr:to>
    <xdr:cxnSp macro="">
      <xdr:nvCxnSpPr>
        <xdr:cNvPr id="493" name="직선 화살표 연결선 492"/>
        <xdr:cNvCxnSpPr/>
      </xdr:nvCxnSpPr>
      <xdr:spPr>
        <a:xfrm>
          <a:off x="12574088" y="15518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80</xdr:row>
      <xdr:rowOff>38100</xdr:rowOff>
    </xdr:from>
    <xdr:to>
      <xdr:col>58</xdr:col>
      <xdr:colOff>1269</xdr:colOff>
      <xdr:row>80</xdr:row>
      <xdr:rowOff>152400</xdr:rowOff>
    </xdr:to>
    <xdr:sp macro="" textlink="">
      <xdr:nvSpPr>
        <xdr:cNvPr id="494" name="77"/>
        <xdr:cNvSpPr/>
      </xdr:nvSpPr>
      <xdr:spPr>
        <a:xfrm>
          <a:off x="12574088" y="15270480"/>
          <a:ext cx="22557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80</xdr:row>
      <xdr:rowOff>95250</xdr:rowOff>
    </xdr:from>
    <xdr:to>
      <xdr:col>43</xdr:col>
      <xdr:colOff>23809</xdr:colOff>
      <xdr:row>80</xdr:row>
      <xdr:rowOff>95250</xdr:rowOff>
    </xdr:to>
    <xdr:cxnSp macro="">
      <xdr:nvCxnSpPr>
        <xdr:cNvPr id="495" name="직선 화살표 연결선 494"/>
        <xdr:cNvCxnSpPr/>
      </xdr:nvCxnSpPr>
      <xdr:spPr>
        <a:xfrm>
          <a:off x="12574088" y="15327630"/>
          <a:ext cx="10654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79</xdr:row>
      <xdr:rowOff>38100</xdr:rowOff>
    </xdr:from>
    <xdr:to>
      <xdr:col>73</xdr:col>
      <xdr:colOff>42636</xdr:colOff>
      <xdr:row>79</xdr:row>
      <xdr:rowOff>152400</xdr:rowOff>
    </xdr:to>
    <xdr:sp macro="" textlink="">
      <xdr:nvSpPr>
        <xdr:cNvPr id="496" name="76"/>
        <xdr:cNvSpPr/>
      </xdr:nvSpPr>
      <xdr:spPr>
        <a:xfrm>
          <a:off x="12574088" y="15079980"/>
          <a:ext cx="44687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79</xdr:row>
      <xdr:rowOff>95250</xdr:rowOff>
    </xdr:from>
    <xdr:to>
      <xdr:col>43</xdr:col>
      <xdr:colOff>81096</xdr:colOff>
      <xdr:row>79</xdr:row>
      <xdr:rowOff>95250</xdr:rowOff>
    </xdr:to>
    <xdr:cxnSp macro="">
      <xdr:nvCxnSpPr>
        <xdr:cNvPr id="497" name="직선 화살표 연결선 496"/>
        <xdr:cNvCxnSpPr/>
      </xdr:nvCxnSpPr>
      <xdr:spPr>
        <a:xfrm>
          <a:off x="12574088" y="15137130"/>
          <a:ext cx="16382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20683</xdr:colOff>
      <xdr:row>78</xdr:row>
      <xdr:rowOff>38100</xdr:rowOff>
    </xdr:from>
    <xdr:to>
      <xdr:col>58</xdr:col>
      <xdr:colOff>1269</xdr:colOff>
      <xdr:row>78</xdr:row>
      <xdr:rowOff>152400</xdr:rowOff>
    </xdr:to>
    <xdr:sp macro="" textlink="">
      <xdr:nvSpPr>
        <xdr:cNvPr id="498" name="75"/>
        <xdr:cNvSpPr/>
      </xdr:nvSpPr>
      <xdr:spPr>
        <a:xfrm>
          <a:off x="14414863" y="14889480"/>
          <a:ext cx="4149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20683</xdr:colOff>
      <xdr:row>78</xdr:row>
      <xdr:rowOff>95250</xdr:rowOff>
    </xdr:from>
    <xdr:to>
      <xdr:col>55</xdr:col>
      <xdr:colOff>20683</xdr:colOff>
      <xdr:row>78</xdr:row>
      <xdr:rowOff>95250</xdr:rowOff>
    </xdr:to>
    <xdr:cxnSp macro="">
      <xdr:nvCxnSpPr>
        <xdr:cNvPr id="499" name="직선 화살표 연결선 498"/>
        <xdr:cNvCxnSpPr/>
      </xdr:nvCxnSpPr>
      <xdr:spPr>
        <a:xfrm>
          <a:off x="14414863" y="149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124097</xdr:colOff>
      <xdr:row>77</xdr:row>
      <xdr:rowOff>38100</xdr:rowOff>
    </xdr:from>
    <xdr:to>
      <xdr:col>55</xdr:col>
      <xdr:colOff>42635</xdr:colOff>
      <xdr:row>77</xdr:row>
      <xdr:rowOff>152400</xdr:rowOff>
    </xdr:to>
    <xdr:sp macro="" textlink="">
      <xdr:nvSpPr>
        <xdr:cNvPr id="500" name="74"/>
        <xdr:cNvSpPr/>
      </xdr:nvSpPr>
      <xdr:spPr>
        <a:xfrm>
          <a:off x="13794377" y="1469898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50</xdr:col>
      <xdr:colOff>124097</xdr:colOff>
      <xdr:row>77</xdr:row>
      <xdr:rowOff>95250</xdr:rowOff>
    </xdr:from>
    <xdr:to>
      <xdr:col>50</xdr:col>
      <xdr:colOff>124097</xdr:colOff>
      <xdr:row>77</xdr:row>
      <xdr:rowOff>95250</xdr:rowOff>
    </xdr:to>
    <xdr:cxnSp macro="">
      <xdr:nvCxnSpPr>
        <xdr:cNvPr id="501" name="직선 화살표 연결선 500"/>
        <xdr:cNvCxnSpPr/>
      </xdr:nvCxnSpPr>
      <xdr:spPr>
        <a:xfrm>
          <a:off x="13794377" y="147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20683</xdr:colOff>
      <xdr:row>76</xdr:row>
      <xdr:rowOff>38100</xdr:rowOff>
    </xdr:from>
    <xdr:to>
      <xdr:col>51</xdr:col>
      <xdr:colOff>1270</xdr:colOff>
      <xdr:row>76</xdr:row>
      <xdr:rowOff>152400</xdr:rowOff>
    </xdr:to>
    <xdr:sp macro="" textlink="">
      <xdr:nvSpPr>
        <xdr:cNvPr id="502" name="73"/>
        <xdr:cNvSpPr/>
      </xdr:nvSpPr>
      <xdr:spPr>
        <a:xfrm>
          <a:off x="12822283" y="14508480"/>
          <a:ext cx="99404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20683</xdr:colOff>
      <xdr:row>76</xdr:row>
      <xdr:rowOff>95250</xdr:rowOff>
    </xdr:from>
    <xdr:to>
      <xdr:col>44</xdr:col>
      <xdr:colOff>20683</xdr:colOff>
      <xdr:row>76</xdr:row>
      <xdr:rowOff>95250</xdr:rowOff>
    </xdr:to>
    <xdr:cxnSp macro="">
      <xdr:nvCxnSpPr>
        <xdr:cNvPr id="503" name="직선 화살표 연결선 502"/>
        <xdr:cNvCxnSpPr/>
      </xdr:nvCxnSpPr>
      <xdr:spPr>
        <a:xfrm>
          <a:off x="12822283" y="145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75</xdr:row>
      <xdr:rowOff>38100</xdr:rowOff>
    </xdr:from>
    <xdr:to>
      <xdr:col>54</xdr:col>
      <xdr:colOff>42636</xdr:colOff>
      <xdr:row>75</xdr:row>
      <xdr:rowOff>152400</xdr:rowOff>
    </xdr:to>
    <xdr:sp macro="" textlink="">
      <xdr:nvSpPr>
        <xdr:cNvPr id="504" name="72"/>
        <xdr:cNvSpPr/>
      </xdr:nvSpPr>
      <xdr:spPr>
        <a:xfrm>
          <a:off x="12574088" y="14317980"/>
          <a:ext cx="17179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75</xdr:row>
      <xdr:rowOff>95250</xdr:rowOff>
    </xdr:from>
    <xdr:to>
      <xdr:col>43</xdr:col>
      <xdr:colOff>41384</xdr:colOff>
      <xdr:row>75</xdr:row>
      <xdr:rowOff>95250</xdr:rowOff>
    </xdr:to>
    <xdr:cxnSp macro="">
      <xdr:nvCxnSpPr>
        <xdr:cNvPr id="505" name="직선 화살표 연결선 504"/>
        <xdr:cNvCxnSpPr/>
      </xdr:nvCxnSpPr>
      <xdr:spPr>
        <a:xfrm>
          <a:off x="12574088" y="14375130"/>
          <a:ext cx="12411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74</xdr:row>
      <xdr:rowOff>38100</xdr:rowOff>
    </xdr:from>
    <xdr:to>
      <xdr:col>58</xdr:col>
      <xdr:colOff>1269</xdr:colOff>
      <xdr:row>74</xdr:row>
      <xdr:rowOff>152400</xdr:rowOff>
    </xdr:to>
    <xdr:sp macro="" textlink="">
      <xdr:nvSpPr>
        <xdr:cNvPr id="506" name="71"/>
        <xdr:cNvSpPr/>
      </xdr:nvSpPr>
      <xdr:spPr>
        <a:xfrm>
          <a:off x="12574088" y="14127480"/>
          <a:ext cx="22557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74</xdr:row>
      <xdr:rowOff>95250</xdr:rowOff>
    </xdr:from>
    <xdr:to>
      <xdr:col>42</xdr:col>
      <xdr:colOff>123125</xdr:colOff>
      <xdr:row>74</xdr:row>
      <xdr:rowOff>95250</xdr:rowOff>
    </xdr:to>
    <xdr:cxnSp macro="">
      <xdr:nvCxnSpPr>
        <xdr:cNvPr id="507" name="직선 화살표 연결선 506"/>
        <xdr:cNvCxnSpPr/>
      </xdr:nvCxnSpPr>
      <xdr:spPr>
        <a:xfrm>
          <a:off x="12574088" y="14184630"/>
          <a:ext cx="6107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73</xdr:row>
      <xdr:rowOff>38100</xdr:rowOff>
    </xdr:from>
    <xdr:to>
      <xdr:col>58</xdr:col>
      <xdr:colOff>1269</xdr:colOff>
      <xdr:row>73</xdr:row>
      <xdr:rowOff>152400</xdr:rowOff>
    </xdr:to>
    <xdr:sp macro="" textlink="">
      <xdr:nvSpPr>
        <xdr:cNvPr id="508" name="70"/>
        <xdr:cNvSpPr/>
      </xdr:nvSpPr>
      <xdr:spPr>
        <a:xfrm>
          <a:off x="12574088" y="13936980"/>
          <a:ext cx="22557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73</xdr:row>
      <xdr:rowOff>95250</xdr:rowOff>
    </xdr:from>
    <xdr:to>
      <xdr:col>42</xdr:col>
      <xdr:colOff>123125</xdr:colOff>
      <xdr:row>73</xdr:row>
      <xdr:rowOff>95250</xdr:rowOff>
    </xdr:to>
    <xdr:cxnSp macro="">
      <xdr:nvCxnSpPr>
        <xdr:cNvPr id="509" name="직선 화살표 연결선 508"/>
        <xdr:cNvCxnSpPr/>
      </xdr:nvCxnSpPr>
      <xdr:spPr>
        <a:xfrm>
          <a:off x="12574088" y="13994130"/>
          <a:ext cx="6107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</xdr:colOff>
      <xdr:row>72</xdr:row>
      <xdr:rowOff>38100</xdr:rowOff>
    </xdr:from>
    <xdr:to>
      <xdr:col>68</xdr:col>
      <xdr:colOff>125367</xdr:colOff>
      <xdr:row>72</xdr:row>
      <xdr:rowOff>152400</xdr:rowOff>
    </xdr:to>
    <xdr:sp macro="" textlink="">
      <xdr:nvSpPr>
        <xdr:cNvPr id="510" name="69"/>
        <xdr:cNvSpPr/>
      </xdr:nvSpPr>
      <xdr:spPr>
        <a:xfrm>
          <a:off x="15986761" y="13746480"/>
          <a:ext cx="4149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</xdr:colOff>
      <xdr:row>72</xdr:row>
      <xdr:rowOff>95250</xdr:rowOff>
    </xdr:from>
    <xdr:to>
      <xdr:col>66</xdr:col>
      <xdr:colOff>1</xdr:colOff>
      <xdr:row>72</xdr:row>
      <xdr:rowOff>95250</xdr:rowOff>
    </xdr:to>
    <xdr:cxnSp macro="">
      <xdr:nvCxnSpPr>
        <xdr:cNvPr id="511" name="직선 화살표 연결선 510"/>
        <xdr:cNvCxnSpPr/>
      </xdr:nvCxnSpPr>
      <xdr:spPr>
        <a:xfrm>
          <a:off x="15986761" y="138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71</xdr:row>
      <xdr:rowOff>38100</xdr:rowOff>
    </xdr:from>
    <xdr:to>
      <xdr:col>65</xdr:col>
      <xdr:colOff>125366</xdr:colOff>
      <xdr:row>71</xdr:row>
      <xdr:rowOff>152400</xdr:rowOff>
    </xdr:to>
    <xdr:sp macro="" textlink="">
      <xdr:nvSpPr>
        <xdr:cNvPr id="512" name="68"/>
        <xdr:cNvSpPr/>
      </xdr:nvSpPr>
      <xdr:spPr>
        <a:xfrm>
          <a:off x="15118080" y="13555980"/>
          <a:ext cx="8492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0</xdr:colOff>
      <xdr:row>71</xdr:row>
      <xdr:rowOff>95250</xdr:rowOff>
    </xdr:from>
    <xdr:to>
      <xdr:col>60</xdr:col>
      <xdr:colOff>0</xdr:colOff>
      <xdr:row>71</xdr:row>
      <xdr:rowOff>95250</xdr:rowOff>
    </xdr:to>
    <xdr:cxnSp macro="">
      <xdr:nvCxnSpPr>
        <xdr:cNvPr id="513" name="직선 화살표 연결선 512"/>
        <xdr:cNvCxnSpPr/>
      </xdr:nvCxnSpPr>
      <xdr:spPr>
        <a:xfrm>
          <a:off x="15118080" y="136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62049</xdr:colOff>
      <xdr:row>70</xdr:row>
      <xdr:rowOff>38100</xdr:rowOff>
    </xdr:from>
    <xdr:to>
      <xdr:col>61</xdr:col>
      <xdr:colOff>84002</xdr:colOff>
      <xdr:row>70</xdr:row>
      <xdr:rowOff>152400</xdr:rowOff>
    </xdr:to>
    <xdr:sp macro="" textlink="">
      <xdr:nvSpPr>
        <xdr:cNvPr id="514" name="67"/>
        <xdr:cNvSpPr/>
      </xdr:nvSpPr>
      <xdr:spPr>
        <a:xfrm>
          <a:off x="14456229" y="13365480"/>
          <a:ext cx="8906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62049</xdr:colOff>
      <xdr:row>70</xdr:row>
      <xdr:rowOff>95250</xdr:rowOff>
    </xdr:from>
    <xdr:to>
      <xdr:col>55</xdr:col>
      <xdr:colOff>62049</xdr:colOff>
      <xdr:row>70</xdr:row>
      <xdr:rowOff>95250</xdr:rowOff>
    </xdr:to>
    <xdr:cxnSp macro="">
      <xdr:nvCxnSpPr>
        <xdr:cNvPr id="515" name="직선 화살표 연결선 514"/>
        <xdr:cNvCxnSpPr/>
      </xdr:nvCxnSpPr>
      <xdr:spPr>
        <a:xfrm>
          <a:off x="14456229" y="134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69</xdr:row>
      <xdr:rowOff>38100</xdr:rowOff>
    </xdr:from>
    <xdr:to>
      <xdr:col>61</xdr:col>
      <xdr:colOff>104684</xdr:colOff>
      <xdr:row>69</xdr:row>
      <xdr:rowOff>152400</xdr:rowOff>
    </xdr:to>
    <xdr:sp macro="" textlink="">
      <xdr:nvSpPr>
        <xdr:cNvPr id="516" name="66"/>
        <xdr:cNvSpPr/>
      </xdr:nvSpPr>
      <xdr:spPr>
        <a:xfrm>
          <a:off x="11560628" y="13174980"/>
          <a:ext cx="38069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69</xdr:row>
      <xdr:rowOff>95250</xdr:rowOff>
    </xdr:from>
    <xdr:to>
      <xdr:col>43</xdr:col>
      <xdr:colOff>45502</xdr:colOff>
      <xdr:row>69</xdr:row>
      <xdr:rowOff>95250</xdr:rowOff>
    </xdr:to>
    <xdr:cxnSp macro="">
      <xdr:nvCxnSpPr>
        <xdr:cNvPr id="517" name="직선 화살표 연결선 516"/>
        <xdr:cNvCxnSpPr/>
      </xdr:nvCxnSpPr>
      <xdr:spPr>
        <a:xfrm>
          <a:off x="11560628" y="13232130"/>
          <a:ext cx="114169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68</xdr:row>
      <xdr:rowOff>38100</xdr:rowOff>
    </xdr:from>
    <xdr:to>
      <xdr:col>68</xdr:col>
      <xdr:colOff>125367</xdr:colOff>
      <xdr:row>68</xdr:row>
      <xdr:rowOff>152400</xdr:rowOff>
    </xdr:to>
    <xdr:sp macro="" textlink="">
      <xdr:nvSpPr>
        <xdr:cNvPr id="518" name="65"/>
        <xdr:cNvSpPr/>
      </xdr:nvSpPr>
      <xdr:spPr>
        <a:xfrm>
          <a:off x="11560628" y="12984480"/>
          <a:ext cx="48410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68</xdr:row>
      <xdr:rowOff>95250</xdr:rowOff>
    </xdr:from>
    <xdr:to>
      <xdr:col>40</xdr:col>
      <xdr:colOff>122749</xdr:colOff>
      <xdr:row>68</xdr:row>
      <xdr:rowOff>95250</xdr:rowOff>
    </xdr:to>
    <xdr:cxnSp macro="">
      <xdr:nvCxnSpPr>
        <xdr:cNvPr id="519" name="직선 화살표 연결선 518"/>
        <xdr:cNvCxnSpPr/>
      </xdr:nvCxnSpPr>
      <xdr:spPr>
        <a:xfrm>
          <a:off x="11560628" y="13041630"/>
          <a:ext cx="78460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41366</xdr:colOff>
      <xdr:row>67</xdr:row>
      <xdr:rowOff>38100</xdr:rowOff>
    </xdr:from>
    <xdr:to>
      <xdr:col>64</xdr:col>
      <xdr:colOff>63319</xdr:colOff>
      <xdr:row>67</xdr:row>
      <xdr:rowOff>152400</xdr:rowOff>
    </xdr:to>
    <xdr:sp macro="" textlink="">
      <xdr:nvSpPr>
        <xdr:cNvPr id="520" name="64"/>
        <xdr:cNvSpPr/>
      </xdr:nvSpPr>
      <xdr:spPr>
        <a:xfrm>
          <a:off x="15304226" y="12793980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41366</xdr:colOff>
      <xdr:row>67</xdr:row>
      <xdr:rowOff>95250</xdr:rowOff>
    </xdr:from>
    <xdr:to>
      <xdr:col>61</xdr:col>
      <xdr:colOff>41366</xdr:colOff>
      <xdr:row>67</xdr:row>
      <xdr:rowOff>95250</xdr:rowOff>
    </xdr:to>
    <xdr:cxnSp macro="">
      <xdr:nvCxnSpPr>
        <xdr:cNvPr id="521" name="직선 화살표 연결선 520"/>
        <xdr:cNvCxnSpPr/>
      </xdr:nvCxnSpPr>
      <xdr:spPr>
        <a:xfrm>
          <a:off x="15304226" y="128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20682</xdr:colOff>
      <xdr:row>66</xdr:row>
      <xdr:rowOff>38100</xdr:rowOff>
    </xdr:from>
    <xdr:to>
      <xdr:col>61</xdr:col>
      <xdr:colOff>63318</xdr:colOff>
      <xdr:row>66</xdr:row>
      <xdr:rowOff>152400</xdr:rowOff>
    </xdr:to>
    <xdr:sp macro="" textlink="">
      <xdr:nvSpPr>
        <xdr:cNvPr id="522" name="63"/>
        <xdr:cNvSpPr/>
      </xdr:nvSpPr>
      <xdr:spPr>
        <a:xfrm>
          <a:off x="14270082" y="12603480"/>
          <a:ext cx="10560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20682</xdr:colOff>
      <xdr:row>66</xdr:row>
      <xdr:rowOff>95250</xdr:rowOff>
    </xdr:from>
    <xdr:to>
      <xdr:col>54</xdr:col>
      <xdr:colOff>20682</xdr:colOff>
      <xdr:row>66</xdr:row>
      <xdr:rowOff>95250</xdr:rowOff>
    </xdr:to>
    <xdr:cxnSp macro="">
      <xdr:nvCxnSpPr>
        <xdr:cNvPr id="523" name="직선 화살표 연결선 522"/>
        <xdr:cNvCxnSpPr/>
      </xdr:nvCxnSpPr>
      <xdr:spPr>
        <a:xfrm>
          <a:off x="14270082" y="126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65</xdr:row>
      <xdr:rowOff>38100</xdr:rowOff>
    </xdr:from>
    <xdr:to>
      <xdr:col>55</xdr:col>
      <xdr:colOff>125366</xdr:colOff>
      <xdr:row>65</xdr:row>
      <xdr:rowOff>152400</xdr:rowOff>
    </xdr:to>
    <xdr:sp macro="" textlink="">
      <xdr:nvSpPr>
        <xdr:cNvPr id="524" name="62"/>
        <xdr:cNvSpPr/>
      </xdr:nvSpPr>
      <xdr:spPr>
        <a:xfrm>
          <a:off x="13463451" y="12412980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65</xdr:row>
      <xdr:rowOff>95250</xdr:rowOff>
    </xdr:from>
    <xdr:to>
      <xdr:col>48</xdr:col>
      <xdr:colOff>82731</xdr:colOff>
      <xdr:row>65</xdr:row>
      <xdr:rowOff>95250</xdr:rowOff>
    </xdr:to>
    <xdr:cxnSp macro="">
      <xdr:nvCxnSpPr>
        <xdr:cNvPr id="525" name="직선 화살표 연결선 524"/>
        <xdr:cNvCxnSpPr/>
      </xdr:nvCxnSpPr>
      <xdr:spPr>
        <a:xfrm>
          <a:off x="13463451" y="124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64</xdr:row>
      <xdr:rowOff>38100</xdr:rowOff>
    </xdr:from>
    <xdr:to>
      <xdr:col>61</xdr:col>
      <xdr:colOff>104684</xdr:colOff>
      <xdr:row>64</xdr:row>
      <xdr:rowOff>152400</xdr:rowOff>
    </xdr:to>
    <xdr:sp macro="" textlink="">
      <xdr:nvSpPr>
        <xdr:cNvPr id="526" name="61"/>
        <xdr:cNvSpPr/>
      </xdr:nvSpPr>
      <xdr:spPr>
        <a:xfrm>
          <a:off x="11560628" y="12222480"/>
          <a:ext cx="38069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64</xdr:row>
      <xdr:rowOff>95250</xdr:rowOff>
    </xdr:from>
    <xdr:to>
      <xdr:col>43</xdr:col>
      <xdr:colOff>45502</xdr:colOff>
      <xdr:row>64</xdr:row>
      <xdr:rowOff>95250</xdr:rowOff>
    </xdr:to>
    <xdr:cxnSp macro="">
      <xdr:nvCxnSpPr>
        <xdr:cNvPr id="527" name="직선 화살표 연결선 526"/>
        <xdr:cNvCxnSpPr/>
      </xdr:nvCxnSpPr>
      <xdr:spPr>
        <a:xfrm>
          <a:off x="11560628" y="12279630"/>
          <a:ext cx="114169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63</xdr:row>
      <xdr:rowOff>38100</xdr:rowOff>
    </xdr:from>
    <xdr:to>
      <xdr:col>64</xdr:col>
      <xdr:colOff>63319</xdr:colOff>
      <xdr:row>63</xdr:row>
      <xdr:rowOff>152400</xdr:rowOff>
    </xdr:to>
    <xdr:sp macro="" textlink="">
      <xdr:nvSpPr>
        <xdr:cNvPr id="528" name="60"/>
        <xdr:cNvSpPr/>
      </xdr:nvSpPr>
      <xdr:spPr>
        <a:xfrm>
          <a:off x="11560628" y="12031980"/>
          <a:ext cx="419989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63</xdr:row>
      <xdr:rowOff>95250</xdr:rowOff>
    </xdr:from>
    <xdr:to>
      <xdr:col>39</xdr:col>
      <xdr:colOff>103447</xdr:colOff>
      <xdr:row>63</xdr:row>
      <xdr:rowOff>95250</xdr:rowOff>
    </xdr:to>
    <xdr:cxnSp macro="">
      <xdr:nvCxnSpPr>
        <xdr:cNvPr id="529" name="직선 화살표 연결선 528"/>
        <xdr:cNvCxnSpPr/>
      </xdr:nvCxnSpPr>
      <xdr:spPr>
        <a:xfrm>
          <a:off x="11560628" y="12089130"/>
          <a:ext cx="62051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62</xdr:row>
      <xdr:rowOff>38100</xdr:rowOff>
    </xdr:from>
    <xdr:to>
      <xdr:col>68</xdr:col>
      <xdr:colOff>125367</xdr:colOff>
      <xdr:row>62</xdr:row>
      <xdr:rowOff>152400</xdr:rowOff>
    </xdr:to>
    <xdr:sp macro="" textlink="">
      <xdr:nvSpPr>
        <xdr:cNvPr id="530" name="59"/>
        <xdr:cNvSpPr/>
      </xdr:nvSpPr>
      <xdr:spPr>
        <a:xfrm>
          <a:off x="11560628" y="11841480"/>
          <a:ext cx="48410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62</xdr:row>
      <xdr:rowOff>95250</xdr:rowOff>
    </xdr:from>
    <xdr:to>
      <xdr:col>40</xdr:col>
      <xdr:colOff>86486</xdr:colOff>
      <xdr:row>62</xdr:row>
      <xdr:rowOff>95250</xdr:rowOff>
    </xdr:to>
    <xdr:cxnSp macro="">
      <xdr:nvCxnSpPr>
        <xdr:cNvPr id="531" name="직선 화살표 연결선 530"/>
        <xdr:cNvCxnSpPr/>
      </xdr:nvCxnSpPr>
      <xdr:spPr>
        <a:xfrm>
          <a:off x="11560628" y="11898630"/>
          <a:ext cx="74833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124097</xdr:colOff>
      <xdr:row>61</xdr:row>
      <xdr:rowOff>38100</xdr:rowOff>
    </xdr:from>
    <xdr:to>
      <xdr:col>64</xdr:col>
      <xdr:colOff>63319</xdr:colOff>
      <xdr:row>61</xdr:row>
      <xdr:rowOff>152400</xdr:rowOff>
    </xdr:to>
    <xdr:sp macro="" textlink="">
      <xdr:nvSpPr>
        <xdr:cNvPr id="532" name="58"/>
        <xdr:cNvSpPr/>
      </xdr:nvSpPr>
      <xdr:spPr>
        <a:xfrm>
          <a:off x="15531737" y="11650980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124097</xdr:colOff>
      <xdr:row>61</xdr:row>
      <xdr:rowOff>95250</xdr:rowOff>
    </xdr:from>
    <xdr:to>
      <xdr:col>62</xdr:col>
      <xdr:colOff>124097</xdr:colOff>
      <xdr:row>61</xdr:row>
      <xdr:rowOff>95250</xdr:rowOff>
    </xdr:to>
    <xdr:cxnSp macro="">
      <xdr:nvCxnSpPr>
        <xdr:cNvPr id="533" name="직선 화살표 연결선 532"/>
        <xdr:cNvCxnSpPr/>
      </xdr:nvCxnSpPr>
      <xdr:spPr>
        <a:xfrm>
          <a:off x="15531737" y="117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20683</xdr:colOff>
      <xdr:row>60</xdr:row>
      <xdr:rowOff>38100</xdr:rowOff>
    </xdr:from>
    <xdr:to>
      <xdr:col>63</xdr:col>
      <xdr:colOff>1269</xdr:colOff>
      <xdr:row>60</xdr:row>
      <xdr:rowOff>152400</xdr:rowOff>
    </xdr:to>
    <xdr:sp macro="" textlink="">
      <xdr:nvSpPr>
        <xdr:cNvPr id="534" name="57"/>
        <xdr:cNvSpPr/>
      </xdr:nvSpPr>
      <xdr:spPr>
        <a:xfrm>
          <a:off x="15138763" y="11460480"/>
          <a:ext cx="4149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20683</xdr:colOff>
      <xdr:row>60</xdr:row>
      <xdr:rowOff>95250</xdr:rowOff>
    </xdr:from>
    <xdr:to>
      <xdr:col>60</xdr:col>
      <xdr:colOff>20683</xdr:colOff>
      <xdr:row>60</xdr:row>
      <xdr:rowOff>95250</xdr:rowOff>
    </xdr:to>
    <xdr:cxnSp macro="">
      <xdr:nvCxnSpPr>
        <xdr:cNvPr id="535" name="직선 화살표 연결선 534"/>
        <xdr:cNvCxnSpPr/>
      </xdr:nvCxnSpPr>
      <xdr:spPr>
        <a:xfrm>
          <a:off x="15138763" y="115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59</xdr:row>
      <xdr:rowOff>38100</xdr:rowOff>
    </xdr:from>
    <xdr:to>
      <xdr:col>48</xdr:col>
      <xdr:colOff>63318</xdr:colOff>
      <xdr:row>59</xdr:row>
      <xdr:rowOff>152400</xdr:rowOff>
    </xdr:to>
    <xdr:sp macro="" textlink="">
      <xdr:nvSpPr>
        <xdr:cNvPr id="536" name="56"/>
        <xdr:cNvSpPr/>
      </xdr:nvSpPr>
      <xdr:spPr>
        <a:xfrm>
          <a:off x="12574088" y="11269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59</xdr:row>
      <xdr:rowOff>95250</xdr:rowOff>
    </xdr:from>
    <xdr:to>
      <xdr:col>43</xdr:col>
      <xdr:colOff>41403</xdr:colOff>
      <xdr:row>59</xdr:row>
      <xdr:rowOff>95250</xdr:rowOff>
    </xdr:to>
    <xdr:cxnSp macro="">
      <xdr:nvCxnSpPr>
        <xdr:cNvPr id="537" name="직선 화살표 연결선 536"/>
        <xdr:cNvCxnSpPr/>
      </xdr:nvCxnSpPr>
      <xdr:spPr>
        <a:xfrm>
          <a:off x="12574088" y="11327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58</xdr:row>
      <xdr:rowOff>38100</xdr:rowOff>
    </xdr:from>
    <xdr:to>
      <xdr:col>64</xdr:col>
      <xdr:colOff>63319</xdr:colOff>
      <xdr:row>58</xdr:row>
      <xdr:rowOff>152400</xdr:rowOff>
    </xdr:to>
    <xdr:sp macro="" textlink="">
      <xdr:nvSpPr>
        <xdr:cNvPr id="538" name="55"/>
        <xdr:cNvSpPr/>
      </xdr:nvSpPr>
      <xdr:spPr>
        <a:xfrm>
          <a:off x="12574088" y="11079480"/>
          <a:ext cx="31864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58</xdr:row>
      <xdr:rowOff>95250</xdr:rowOff>
    </xdr:from>
    <xdr:to>
      <xdr:col>44</xdr:col>
      <xdr:colOff>3739</xdr:colOff>
      <xdr:row>58</xdr:row>
      <xdr:rowOff>95250</xdr:rowOff>
    </xdr:to>
    <xdr:cxnSp macro="">
      <xdr:nvCxnSpPr>
        <xdr:cNvPr id="539" name="직선 화살표 연결선 538"/>
        <xdr:cNvCxnSpPr/>
      </xdr:nvCxnSpPr>
      <xdr:spPr>
        <a:xfrm>
          <a:off x="12574088" y="11136630"/>
          <a:ext cx="23125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20683</xdr:colOff>
      <xdr:row>57</xdr:row>
      <xdr:rowOff>38100</xdr:rowOff>
    </xdr:from>
    <xdr:to>
      <xdr:col>62</xdr:col>
      <xdr:colOff>42636</xdr:colOff>
      <xdr:row>57</xdr:row>
      <xdr:rowOff>152400</xdr:rowOff>
    </xdr:to>
    <xdr:sp macro="" textlink="">
      <xdr:nvSpPr>
        <xdr:cNvPr id="540" name="54"/>
        <xdr:cNvSpPr/>
      </xdr:nvSpPr>
      <xdr:spPr>
        <a:xfrm>
          <a:off x="15138763" y="10888980"/>
          <a:ext cx="31151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20683</xdr:colOff>
      <xdr:row>57</xdr:row>
      <xdr:rowOff>95250</xdr:rowOff>
    </xdr:from>
    <xdr:to>
      <xdr:col>60</xdr:col>
      <xdr:colOff>20683</xdr:colOff>
      <xdr:row>57</xdr:row>
      <xdr:rowOff>95250</xdr:rowOff>
    </xdr:to>
    <xdr:cxnSp macro="">
      <xdr:nvCxnSpPr>
        <xdr:cNvPr id="541" name="직선 화살표 연결선 540"/>
        <xdr:cNvCxnSpPr/>
      </xdr:nvCxnSpPr>
      <xdr:spPr>
        <a:xfrm>
          <a:off x="15138763" y="1094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62048</xdr:colOff>
      <xdr:row>56</xdr:row>
      <xdr:rowOff>38100</xdr:rowOff>
    </xdr:from>
    <xdr:to>
      <xdr:col>60</xdr:col>
      <xdr:colOff>21952</xdr:colOff>
      <xdr:row>56</xdr:row>
      <xdr:rowOff>152400</xdr:rowOff>
    </xdr:to>
    <xdr:sp macro="" textlink="">
      <xdr:nvSpPr>
        <xdr:cNvPr id="542" name="53"/>
        <xdr:cNvSpPr/>
      </xdr:nvSpPr>
      <xdr:spPr>
        <a:xfrm>
          <a:off x="14601008" y="10698480"/>
          <a:ext cx="5390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62048</xdr:colOff>
      <xdr:row>56</xdr:row>
      <xdr:rowOff>95250</xdr:rowOff>
    </xdr:from>
    <xdr:to>
      <xdr:col>56</xdr:col>
      <xdr:colOff>62048</xdr:colOff>
      <xdr:row>56</xdr:row>
      <xdr:rowOff>95250</xdr:rowOff>
    </xdr:to>
    <xdr:cxnSp macro="">
      <xdr:nvCxnSpPr>
        <xdr:cNvPr id="543" name="직선 화살표 연결선 542"/>
        <xdr:cNvCxnSpPr/>
      </xdr:nvCxnSpPr>
      <xdr:spPr>
        <a:xfrm>
          <a:off x="14601008" y="1075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55</xdr:row>
      <xdr:rowOff>38100</xdr:rowOff>
    </xdr:from>
    <xdr:to>
      <xdr:col>48</xdr:col>
      <xdr:colOff>63318</xdr:colOff>
      <xdr:row>55</xdr:row>
      <xdr:rowOff>152400</xdr:rowOff>
    </xdr:to>
    <xdr:sp macro="" textlink="">
      <xdr:nvSpPr>
        <xdr:cNvPr id="544" name="52"/>
        <xdr:cNvSpPr/>
      </xdr:nvSpPr>
      <xdr:spPr>
        <a:xfrm>
          <a:off x="12574088" y="10507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55</xdr:row>
      <xdr:rowOff>95250</xdr:rowOff>
    </xdr:from>
    <xdr:to>
      <xdr:col>43</xdr:col>
      <xdr:colOff>41403</xdr:colOff>
      <xdr:row>55</xdr:row>
      <xdr:rowOff>95250</xdr:rowOff>
    </xdr:to>
    <xdr:cxnSp macro="">
      <xdr:nvCxnSpPr>
        <xdr:cNvPr id="545" name="직선 화살표 연결선 544"/>
        <xdr:cNvCxnSpPr/>
      </xdr:nvCxnSpPr>
      <xdr:spPr>
        <a:xfrm>
          <a:off x="12574088" y="10565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54</xdr:row>
      <xdr:rowOff>38100</xdr:rowOff>
    </xdr:from>
    <xdr:to>
      <xdr:col>62</xdr:col>
      <xdr:colOff>42636</xdr:colOff>
      <xdr:row>54</xdr:row>
      <xdr:rowOff>152400</xdr:rowOff>
    </xdr:to>
    <xdr:sp macro="" textlink="">
      <xdr:nvSpPr>
        <xdr:cNvPr id="546" name="51"/>
        <xdr:cNvSpPr/>
      </xdr:nvSpPr>
      <xdr:spPr>
        <a:xfrm>
          <a:off x="12574088" y="10317480"/>
          <a:ext cx="287618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54</xdr:row>
      <xdr:rowOff>95250</xdr:rowOff>
    </xdr:from>
    <xdr:to>
      <xdr:col>43</xdr:col>
      <xdr:colOff>98261</xdr:colOff>
      <xdr:row>54</xdr:row>
      <xdr:rowOff>95250</xdr:rowOff>
    </xdr:to>
    <xdr:cxnSp macro="">
      <xdr:nvCxnSpPr>
        <xdr:cNvPr id="547" name="직선 화살표 연결선 546"/>
        <xdr:cNvCxnSpPr/>
      </xdr:nvCxnSpPr>
      <xdr:spPr>
        <a:xfrm>
          <a:off x="12574088" y="10374630"/>
          <a:ext cx="18099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62048</xdr:colOff>
      <xdr:row>53</xdr:row>
      <xdr:rowOff>38100</xdr:rowOff>
    </xdr:from>
    <xdr:to>
      <xdr:col>60</xdr:col>
      <xdr:colOff>21952</xdr:colOff>
      <xdr:row>53</xdr:row>
      <xdr:rowOff>152400</xdr:rowOff>
    </xdr:to>
    <xdr:sp macro="" textlink="">
      <xdr:nvSpPr>
        <xdr:cNvPr id="548" name="50"/>
        <xdr:cNvSpPr/>
      </xdr:nvSpPr>
      <xdr:spPr>
        <a:xfrm>
          <a:off x="14601008" y="10126980"/>
          <a:ext cx="5390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62048</xdr:colOff>
      <xdr:row>53</xdr:row>
      <xdr:rowOff>95250</xdr:rowOff>
    </xdr:from>
    <xdr:to>
      <xdr:col>56</xdr:col>
      <xdr:colOff>62048</xdr:colOff>
      <xdr:row>53</xdr:row>
      <xdr:rowOff>95250</xdr:rowOff>
    </xdr:to>
    <xdr:cxnSp macro="">
      <xdr:nvCxnSpPr>
        <xdr:cNvPr id="549" name="직선 화살표 연결선 548"/>
        <xdr:cNvCxnSpPr/>
      </xdr:nvCxnSpPr>
      <xdr:spPr>
        <a:xfrm>
          <a:off x="14601008" y="101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62048</xdr:colOff>
      <xdr:row>52</xdr:row>
      <xdr:rowOff>38100</xdr:rowOff>
    </xdr:from>
    <xdr:to>
      <xdr:col>56</xdr:col>
      <xdr:colOff>63318</xdr:colOff>
      <xdr:row>52</xdr:row>
      <xdr:rowOff>152400</xdr:rowOff>
    </xdr:to>
    <xdr:sp macro="" textlink="">
      <xdr:nvSpPr>
        <xdr:cNvPr id="550" name="49"/>
        <xdr:cNvSpPr/>
      </xdr:nvSpPr>
      <xdr:spPr>
        <a:xfrm>
          <a:off x="14021888" y="99364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52</xdr:col>
      <xdr:colOff>62048</xdr:colOff>
      <xdr:row>52</xdr:row>
      <xdr:rowOff>95250</xdr:rowOff>
    </xdr:from>
    <xdr:to>
      <xdr:col>52</xdr:col>
      <xdr:colOff>62048</xdr:colOff>
      <xdr:row>52</xdr:row>
      <xdr:rowOff>95250</xdr:rowOff>
    </xdr:to>
    <xdr:cxnSp macro="">
      <xdr:nvCxnSpPr>
        <xdr:cNvPr id="551" name="직선 화살표 연결선 550"/>
        <xdr:cNvCxnSpPr/>
      </xdr:nvCxnSpPr>
      <xdr:spPr>
        <a:xfrm>
          <a:off x="14021888" y="99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51</xdr:row>
      <xdr:rowOff>38100</xdr:rowOff>
    </xdr:from>
    <xdr:to>
      <xdr:col>48</xdr:col>
      <xdr:colOff>63318</xdr:colOff>
      <xdr:row>51</xdr:row>
      <xdr:rowOff>152400</xdr:rowOff>
    </xdr:to>
    <xdr:sp macro="" textlink="">
      <xdr:nvSpPr>
        <xdr:cNvPr id="552" name="48"/>
        <xdr:cNvSpPr/>
      </xdr:nvSpPr>
      <xdr:spPr>
        <a:xfrm>
          <a:off x="12574088" y="9745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51</xdr:row>
      <xdr:rowOff>95250</xdr:rowOff>
    </xdr:from>
    <xdr:to>
      <xdr:col>43</xdr:col>
      <xdr:colOff>41403</xdr:colOff>
      <xdr:row>51</xdr:row>
      <xdr:rowOff>95250</xdr:rowOff>
    </xdr:to>
    <xdr:cxnSp macro="">
      <xdr:nvCxnSpPr>
        <xdr:cNvPr id="553" name="직선 화살표 연결선 552"/>
        <xdr:cNvCxnSpPr/>
      </xdr:nvCxnSpPr>
      <xdr:spPr>
        <a:xfrm>
          <a:off x="12574088" y="9803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50</xdr:row>
      <xdr:rowOff>38100</xdr:rowOff>
    </xdr:from>
    <xdr:to>
      <xdr:col>60</xdr:col>
      <xdr:colOff>21952</xdr:colOff>
      <xdr:row>50</xdr:row>
      <xdr:rowOff>152400</xdr:rowOff>
    </xdr:to>
    <xdr:sp macro="" textlink="">
      <xdr:nvSpPr>
        <xdr:cNvPr id="554" name="47"/>
        <xdr:cNvSpPr/>
      </xdr:nvSpPr>
      <xdr:spPr>
        <a:xfrm>
          <a:off x="12574088" y="9555480"/>
          <a:ext cx="256594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50</xdr:row>
      <xdr:rowOff>95250</xdr:rowOff>
    </xdr:from>
    <xdr:to>
      <xdr:col>43</xdr:col>
      <xdr:colOff>62482</xdr:colOff>
      <xdr:row>50</xdr:row>
      <xdr:rowOff>95250</xdr:rowOff>
    </xdr:to>
    <xdr:cxnSp macro="">
      <xdr:nvCxnSpPr>
        <xdr:cNvPr id="555" name="직선 화살표 연결선 554"/>
        <xdr:cNvCxnSpPr/>
      </xdr:nvCxnSpPr>
      <xdr:spPr>
        <a:xfrm>
          <a:off x="12574088" y="9612630"/>
          <a:ext cx="14521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62048</xdr:colOff>
      <xdr:row>49</xdr:row>
      <xdr:rowOff>38100</xdr:rowOff>
    </xdr:from>
    <xdr:to>
      <xdr:col>58</xdr:col>
      <xdr:colOff>1269</xdr:colOff>
      <xdr:row>49</xdr:row>
      <xdr:rowOff>152400</xdr:rowOff>
    </xdr:to>
    <xdr:sp macro="" textlink="">
      <xdr:nvSpPr>
        <xdr:cNvPr id="556" name="46"/>
        <xdr:cNvSpPr/>
      </xdr:nvSpPr>
      <xdr:spPr>
        <a:xfrm>
          <a:off x="14021888" y="9364980"/>
          <a:ext cx="8079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52</xdr:col>
      <xdr:colOff>62048</xdr:colOff>
      <xdr:row>49</xdr:row>
      <xdr:rowOff>95250</xdr:rowOff>
    </xdr:from>
    <xdr:to>
      <xdr:col>52</xdr:col>
      <xdr:colOff>62048</xdr:colOff>
      <xdr:row>49</xdr:row>
      <xdr:rowOff>95250</xdr:rowOff>
    </xdr:to>
    <xdr:cxnSp macro="">
      <xdr:nvCxnSpPr>
        <xdr:cNvPr id="557" name="직선 화살표 연결선 556"/>
        <xdr:cNvCxnSpPr/>
      </xdr:nvCxnSpPr>
      <xdr:spPr>
        <a:xfrm>
          <a:off x="14021888" y="942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124097</xdr:colOff>
      <xdr:row>48</xdr:row>
      <xdr:rowOff>38100</xdr:rowOff>
    </xdr:from>
    <xdr:to>
      <xdr:col>52</xdr:col>
      <xdr:colOff>63318</xdr:colOff>
      <xdr:row>48</xdr:row>
      <xdr:rowOff>152400</xdr:rowOff>
    </xdr:to>
    <xdr:sp macro="" textlink="">
      <xdr:nvSpPr>
        <xdr:cNvPr id="558" name="45"/>
        <xdr:cNvSpPr/>
      </xdr:nvSpPr>
      <xdr:spPr>
        <a:xfrm>
          <a:off x="13794377" y="917448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50</xdr:col>
      <xdr:colOff>124097</xdr:colOff>
      <xdr:row>48</xdr:row>
      <xdr:rowOff>95250</xdr:rowOff>
    </xdr:from>
    <xdr:to>
      <xdr:col>50</xdr:col>
      <xdr:colOff>124097</xdr:colOff>
      <xdr:row>48</xdr:row>
      <xdr:rowOff>95250</xdr:rowOff>
    </xdr:to>
    <xdr:cxnSp macro="">
      <xdr:nvCxnSpPr>
        <xdr:cNvPr id="559" name="직선 화살표 연결선 558"/>
        <xdr:cNvCxnSpPr/>
      </xdr:nvCxnSpPr>
      <xdr:spPr>
        <a:xfrm>
          <a:off x="13794377" y="92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47</xdr:row>
      <xdr:rowOff>38100</xdr:rowOff>
    </xdr:from>
    <xdr:to>
      <xdr:col>48</xdr:col>
      <xdr:colOff>63318</xdr:colOff>
      <xdr:row>47</xdr:row>
      <xdr:rowOff>152400</xdr:rowOff>
    </xdr:to>
    <xdr:sp macro="" textlink="">
      <xdr:nvSpPr>
        <xdr:cNvPr id="560" name="44"/>
        <xdr:cNvSpPr/>
      </xdr:nvSpPr>
      <xdr:spPr>
        <a:xfrm>
          <a:off x="12574088" y="8983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47</xdr:row>
      <xdr:rowOff>95250</xdr:rowOff>
    </xdr:from>
    <xdr:to>
      <xdr:col>43</xdr:col>
      <xdr:colOff>41403</xdr:colOff>
      <xdr:row>47</xdr:row>
      <xdr:rowOff>95250</xdr:rowOff>
    </xdr:to>
    <xdr:cxnSp macro="">
      <xdr:nvCxnSpPr>
        <xdr:cNvPr id="561" name="직선 화살표 연결선 560"/>
        <xdr:cNvCxnSpPr/>
      </xdr:nvCxnSpPr>
      <xdr:spPr>
        <a:xfrm>
          <a:off x="12574088" y="9041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46</xdr:row>
      <xdr:rowOff>38100</xdr:rowOff>
    </xdr:from>
    <xdr:to>
      <xdr:col>58</xdr:col>
      <xdr:colOff>1269</xdr:colOff>
      <xdr:row>46</xdr:row>
      <xdr:rowOff>152400</xdr:rowOff>
    </xdr:to>
    <xdr:sp macro="" textlink="">
      <xdr:nvSpPr>
        <xdr:cNvPr id="562" name="43"/>
        <xdr:cNvSpPr/>
      </xdr:nvSpPr>
      <xdr:spPr>
        <a:xfrm>
          <a:off x="12574088" y="8793480"/>
          <a:ext cx="22557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46</xdr:row>
      <xdr:rowOff>95250</xdr:rowOff>
    </xdr:from>
    <xdr:to>
      <xdr:col>43</xdr:col>
      <xdr:colOff>73994</xdr:colOff>
      <xdr:row>46</xdr:row>
      <xdr:rowOff>95250</xdr:rowOff>
    </xdr:to>
    <xdr:cxnSp macro="">
      <xdr:nvCxnSpPr>
        <xdr:cNvPr id="563" name="직선 화살표 연결선 562"/>
        <xdr:cNvCxnSpPr/>
      </xdr:nvCxnSpPr>
      <xdr:spPr>
        <a:xfrm>
          <a:off x="12574088" y="8850630"/>
          <a:ext cx="15672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124097</xdr:colOff>
      <xdr:row>45</xdr:row>
      <xdr:rowOff>38100</xdr:rowOff>
    </xdr:from>
    <xdr:to>
      <xdr:col>55</xdr:col>
      <xdr:colOff>104684</xdr:colOff>
      <xdr:row>45</xdr:row>
      <xdr:rowOff>152400</xdr:rowOff>
    </xdr:to>
    <xdr:sp macro="" textlink="">
      <xdr:nvSpPr>
        <xdr:cNvPr id="564" name="42"/>
        <xdr:cNvSpPr/>
      </xdr:nvSpPr>
      <xdr:spPr>
        <a:xfrm>
          <a:off x="13794377" y="8602980"/>
          <a:ext cx="7044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50</xdr:col>
      <xdr:colOff>124097</xdr:colOff>
      <xdr:row>45</xdr:row>
      <xdr:rowOff>95250</xdr:rowOff>
    </xdr:from>
    <xdr:to>
      <xdr:col>50</xdr:col>
      <xdr:colOff>124097</xdr:colOff>
      <xdr:row>45</xdr:row>
      <xdr:rowOff>95250</xdr:rowOff>
    </xdr:to>
    <xdr:cxnSp macro="">
      <xdr:nvCxnSpPr>
        <xdr:cNvPr id="565" name="직선 화살표 연결선 564"/>
        <xdr:cNvCxnSpPr/>
      </xdr:nvCxnSpPr>
      <xdr:spPr>
        <a:xfrm>
          <a:off x="13794377" y="86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82731</xdr:colOff>
      <xdr:row>44</xdr:row>
      <xdr:rowOff>38100</xdr:rowOff>
    </xdr:from>
    <xdr:to>
      <xdr:col>50</xdr:col>
      <xdr:colOff>125366</xdr:colOff>
      <xdr:row>44</xdr:row>
      <xdr:rowOff>152400</xdr:rowOff>
    </xdr:to>
    <xdr:sp macro="" textlink="">
      <xdr:nvSpPr>
        <xdr:cNvPr id="566" name="41"/>
        <xdr:cNvSpPr/>
      </xdr:nvSpPr>
      <xdr:spPr>
        <a:xfrm>
          <a:off x="13463451" y="8412480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82731</xdr:colOff>
      <xdr:row>44</xdr:row>
      <xdr:rowOff>95250</xdr:rowOff>
    </xdr:from>
    <xdr:to>
      <xdr:col>48</xdr:col>
      <xdr:colOff>82731</xdr:colOff>
      <xdr:row>44</xdr:row>
      <xdr:rowOff>95250</xdr:rowOff>
    </xdr:to>
    <xdr:cxnSp macro="">
      <xdr:nvCxnSpPr>
        <xdr:cNvPr id="567" name="직선 화살표 연결선 566"/>
        <xdr:cNvCxnSpPr/>
      </xdr:nvCxnSpPr>
      <xdr:spPr>
        <a:xfrm>
          <a:off x="13463451" y="846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43</xdr:row>
      <xdr:rowOff>38100</xdr:rowOff>
    </xdr:from>
    <xdr:to>
      <xdr:col>48</xdr:col>
      <xdr:colOff>63318</xdr:colOff>
      <xdr:row>43</xdr:row>
      <xdr:rowOff>152400</xdr:rowOff>
    </xdr:to>
    <xdr:sp macro="" textlink="">
      <xdr:nvSpPr>
        <xdr:cNvPr id="568" name="40"/>
        <xdr:cNvSpPr/>
      </xdr:nvSpPr>
      <xdr:spPr>
        <a:xfrm>
          <a:off x="12574088" y="82219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43</xdr:row>
      <xdr:rowOff>95250</xdr:rowOff>
    </xdr:from>
    <xdr:to>
      <xdr:col>43</xdr:col>
      <xdr:colOff>41403</xdr:colOff>
      <xdr:row>43</xdr:row>
      <xdr:rowOff>95250</xdr:rowOff>
    </xdr:to>
    <xdr:cxnSp macro="">
      <xdr:nvCxnSpPr>
        <xdr:cNvPr id="569" name="직선 화살표 연결선 568"/>
        <xdr:cNvCxnSpPr/>
      </xdr:nvCxnSpPr>
      <xdr:spPr>
        <a:xfrm>
          <a:off x="12574088" y="8279130"/>
          <a:ext cx="12413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42</xdr:row>
      <xdr:rowOff>38100</xdr:rowOff>
    </xdr:from>
    <xdr:to>
      <xdr:col>55</xdr:col>
      <xdr:colOff>104684</xdr:colOff>
      <xdr:row>42</xdr:row>
      <xdr:rowOff>152400</xdr:rowOff>
    </xdr:to>
    <xdr:sp macro="" textlink="">
      <xdr:nvSpPr>
        <xdr:cNvPr id="570" name="39"/>
        <xdr:cNvSpPr/>
      </xdr:nvSpPr>
      <xdr:spPr>
        <a:xfrm>
          <a:off x="12574088" y="8031480"/>
          <a:ext cx="19247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42</xdr:row>
      <xdr:rowOff>95250</xdr:rowOff>
    </xdr:from>
    <xdr:to>
      <xdr:col>43</xdr:col>
      <xdr:colOff>43668</xdr:colOff>
      <xdr:row>42</xdr:row>
      <xdr:rowOff>95250</xdr:rowOff>
    </xdr:to>
    <xdr:cxnSp macro="">
      <xdr:nvCxnSpPr>
        <xdr:cNvPr id="571" name="직선 화살표 연결선 570"/>
        <xdr:cNvCxnSpPr/>
      </xdr:nvCxnSpPr>
      <xdr:spPr>
        <a:xfrm>
          <a:off x="12574088" y="8088630"/>
          <a:ext cx="12640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62048</xdr:colOff>
      <xdr:row>41</xdr:row>
      <xdr:rowOff>38100</xdr:rowOff>
    </xdr:from>
    <xdr:to>
      <xdr:col>64</xdr:col>
      <xdr:colOff>63319</xdr:colOff>
      <xdr:row>41</xdr:row>
      <xdr:rowOff>152400</xdr:rowOff>
    </xdr:to>
    <xdr:sp macro="" textlink="">
      <xdr:nvSpPr>
        <xdr:cNvPr id="572" name="38"/>
        <xdr:cNvSpPr/>
      </xdr:nvSpPr>
      <xdr:spPr>
        <a:xfrm>
          <a:off x="12574088" y="7840980"/>
          <a:ext cx="31864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62048</xdr:colOff>
      <xdr:row>41</xdr:row>
      <xdr:rowOff>95250</xdr:rowOff>
    </xdr:from>
    <xdr:to>
      <xdr:col>43</xdr:col>
      <xdr:colOff>124308</xdr:colOff>
      <xdr:row>41</xdr:row>
      <xdr:rowOff>95250</xdr:rowOff>
    </xdr:to>
    <xdr:cxnSp macro="">
      <xdr:nvCxnSpPr>
        <xdr:cNvPr id="573" name="직선 화살표 연결선 572"/>
        <xdr:cNvCxnSpPr/>
      </xdr:nvCxnSpPr>
      <xdr:spPr>
        <a:xfrm>
          <a:off x="12574088" y="7898130"/>
          <a:ext cx="20704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40</xdr:row>
      <xdr:rowOff>38100</xdr:rowOff>
    </xdr:from>
    <xdr:to>
      <xdr:col>73</xdr:col>
      <xdr:colOff>42636</xdr:colOff>
      <xdr:row>40</xdr:row>
      <xdr:rowOff>152400</xdr:rowOff>
    </xdr:to>
    <xdr:sp macro="" textlink="">
      <xdr:nvSpPr>
        <xdr:cNvPr id="574" name="37"/>
        <xdr:cNvSpPr/>
      </xdr:nvSpPr>
      <xdr:spPr>
        <a:xfrm>
          <a:off x="11560628" y="7650480"/>
          <a:ext cx="548222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40</xdr:row>
      <xdr:rowOff>95250</xdr:rowOff>
    </xdr:from>
    <xdr:to>
      <xdr:col>38</xdr:col>
      <xdr:colOff>12900</xdr:colOff>
      <xdr:row>40</xdr:row>
      <xdr:rowOff>95250</xdr:rowOff>
    </xdr:to>
    <xdr:cxnSp macro="">
      <xdr:nvCxnSpPr>
        <xdr:cNvPr id="575" name="직선 화살표 연결선 574"/>
        <xdr:cNvCxnSpPr/>
      </xdr:nvCxnSpPr>
      <xdr:spPr>
        <a:xfrm>
          <a:off x="11560628" y="7707630"/>
          <a:ext cx="38519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39</xdr:row>
      <xdr:rowOff>38100</xdr:rowOff>
    </xdr:from>
    <xdr:to>
      <xdr:col>73</xdr:col>
      <xdr:colOff>42636</xdr:colOff>
      <xdr:row>39</xdr:row>
      <xdr:rowOff>152400</xdr:rowOff>
    </xdr:to>
    <xdr:sp macro="" textlink="">
      <xdr:nvSpPr>
        <xdr:cNvPr id="576" name="36"/>
        <xdr:cNvSpPr/>
      </xdr:nvSpPr>
      <xdr:spPr>
        <a:xfrm>
          <a:off x="11560628" y="7459980"/>
          <a:ext cx="548222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39</xdr:row>
      <xdr:rowOff>95250</xdr:rowOff>
    </xdr:from>
    <xdr:to>
      <xdr:col>38</xdr:col>
      <xdr:colOff>12900</xdr:colOff>
      <xdr:row>39</xdr:row>
      <xdr:rowOff>95250</xdr:rowOff>
    </xdr:to>
    <xdr:cxnSp macro="">
      <xdr:nvCxnSpPr>
        <xdr:cNvPr id="577" name="직선 화살표 연결선 576"/>
        <xdr:cNvCxnSpPr/>
      </xdr:nvCxnSpPr>
      <xdr:spPr>
        <a:xfrm>
          <a:off x="11560628" y="7517130"/>
          <a:ext cx="38519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38</xdr:row>
      <xdr:rowOff>38100</xdr:rowOff>
    </xdr:from>
    <xdr:to>
      <xdr:col>48</xdr:col>
      <xdr:colOff>63318</xdr:colOff>
      <xdr:row>38</xdr:row>
      <xdr:rowOff>152400</xdr:rowOff>
    </xdr:to>
    <xdr:sp macro="" textlink="">
      <xdr:nvSpPr>
        <xdr:cNvPr id="578" name="35"/>
        <xdr:cNvSpPr/>
      </xdr:nvSpPr>
      <xdr:spPr>
        <a:xfrm>
          <a:off x="12367260" y="7269480"/>
          <a:ext cx="10767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0</xdr:colOff>
      <xdr:row>38</xdr:row>
      <xdr:rowOff>95250</xdr:rowOff>
    </xdr:from>
    <xdr:to>
      <xdr:col>43</xdr:col>
      <xdr:colOff>140643</xdr:colOff>
      <xdr:row>38</xdr:row>
      <xdr:rowOff>95250</xdr:rowOff>
    </xdr:to>
    <xdr:cxnSp macro="">
      <xdr:nvCxnSpPr>
        <xdr:cNvPr id="579" name="직선 화살표 연결선 578"/>
        <xdr:cNvCxnSpPr/>
      </xdr:nvCxnSpPr>
      <xdr:spPr>
        <a:xfrm>
          <a:off x="12367260" y="7326630"/>
          <a:ext cx="430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37</xdr:row>
      <xdr:rowOff>38100</xdr:rowOff>
    </xdr:from>
    <xdr:to>
      <xdr:col>48</xdr:col>
      <xdr:colOff>63318</xdr:colOff>
      <xdr:row>37</xdr:row>
      <xdr:rowOff>152400</xdr:rowOff>
    </xdr:to>
    <xdr:sp macro="" textlink="">
      <xdr:nvSpPr>
        <xdr:cNvPr id="580" name="34"/>
        <xdr:cNvSpPr/>
      </xdr:nvSpPr>
      <xdr:spPr>
        <a:xfrm>
          <a:off x="12367260" y="7078980"/>
          <a:ext cx="1076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0</xdr:colOff>
      <xdr:row>37</xdr:row>
      <xdr:rowOff>95250</xdr:rowOff>
    </xdr:from>
    <xdr:to>
      <xdr:col>43</xdr:col>
      <xdr:colOff>140643</xdr:colOff>
      <xdr:row>37</xdr:row>
      <xdr:rowOff>95250</xdr:rowOff>
    </xdr:to>
    <xdr:cxnSp macro="">
      <xdr:nvCxnSpPr>
        <xdr:cNvPr id="581" name="직선 화살표 연결선 580"/>
        <xdr:cNvCxnSpPr/>
      </xdr:nvCxnSpPr>
      <xdr:spPr>
        <a:xfrm>
          <a:off x="12367260" y="7136130"/>
          <a:ext cx="430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36</xdr:row>
      <xdr:rowOff>38100</xdr:rowOff>
    </xdr:from>
    <xdr:to>
      <xdr:col>44</xdr:col>
      <xdr:colOff>21954</xdr:colOff>
      <xdr:row>36</xdr:row>
      <xdr:rowOff>152400</xdr:rowOff>
    </xdr:to>
    <xdr:sp macro="" textlink="">
      <xdr:nvSpPr>
        <xdr:cNvPr id="582" name="33"/>
        <xdr:cNvSpPr/>
      </xdr:nvSpPr>
      <xdr:spPr>
        <a:xfrm>
          <a:off x="11167654" y="6888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36</xdr:row>
      <xdr:rowOff>95250</xdr:rowOff>
    </xdr:from>
    <xdr:to>
      <xdr:col>43</xdr:col>
      <xdr:colOff>41366</xdr:colOff>
      <xdr:row>36</xdr:row>
      <xdr:rowOff>95250</xdr:rowOff>
    </xdr:to>
    <xdr:cxnSp macro="">
      <xdr:nvCxnSpPr>
        <xdr:cNvPr id="583" name="직선 화살표 연결선 582"/>
        <xdr:cNvCxnSpPr/>
      </xdr:nvCxnSpPr>
      <xdr:spPr>
        <a:xfrm>
          <a:off x="11167654" y="6945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35</xdr:row>
      <xdr:rowOff>38100</xdr:rowOff>
    </xdr:from>
    <xdr:to>
      <xdr:col>48</xdr:col>
      <xdr:colOff>63318</xdr:colOff>
      <xdr:row>35</xdr:row>
      <xdr:rowOff>152400</xdr:rowOff>
    </xdr:to>
    <xdr:sp macro="" textlink="">
      <xdr:nvSpPr>
        <xdr:cNvPr id="584" name="32"/>
        <xdr:cNvSpPr/>
      </xdr:nvSpPr>
      <xdr:spPr>
        <a:xfrm>
          <a:off x="11167654" y="6697980"/>
          <a:ext cx="22763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35</xdr:row>
      <xdr:rowOff>95250</xdr:rowOff>
    </xdr:from>
    <xdr:to>
      <xdr:col>44</xdr:col>
      <xdr:colOff>0</xdr:colOff>
      <xdr:row>35</xdr:row>
      <xdr:rowOff>95250</xdr:rowOff>
    </xdr:to>
    <xdr:cxnSp macro="">
      <xdr:nvCxnSpPr>
        <xdr:cNvPr id="585" name="직선 화살표 연결선 584"/>
        <xdr:cNvCxnSpPr/>
      </xdr:nvCxnSpPr>
      <xdr:spPr>
        <a:xfrm>
          <a:off x="11167654" y="6755130"/>
          <a:ext cx="163394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34</xdr:row>
      <xdr:rowOff>38100</xdr:rowOff>
    </xdr:from>
    <xdr:to>
      <xdr:col>48</xdr:col>
      <xdr:colOff>63318</xdr:colOff>
      <xdr:row>34</xdr:row>
      <xdr:rowOff>152400</xdr:rowOff>
    </xdr:to>
    <xdr:sp macro="" textlink="">
      <xdr:nvSpPr>
        <xdr:cNvPr id="586" name="31"/>
        <xdr:cNvSpPr/>
      </xdr:nvSpPr>
      <xdr:spPr>
        <a:xfrm>
          <a:off x="12367260" y="6507480"/>
          <a:ext cx="10767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0</xdr:colOff>
      <xdr:row>34</xdr:row>
      <xdr:rowOff>95250</xdr:rowOff>
    </xdr:from>
    <xdr:to>
      <xdr:col>43</xdr:col>
      <xdr:colOff>140643</xdr:colOff>
      <xdr:row>34</xdr:row>
      <xdr:rowOff>95250</xdr:rowOff>
    </xdr:to>
    <xdr:cxnSp macro="">
      <xdr:nvCxnSpPr>
        <xdr:cNvPr id="587" name="직선 화살표 연결선 586"/>
        <xdr:cNvCxnSpPr/>
      </xdr:nvCxnSpPr>
      <xdr:spPr>
        <a:xfrm>
          <a:off x="12367260" y="6564630"/>
          <a:ext cx="430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33</xdr:row>
      <xdr:rowOff>38100</xdr:rowOff>
    </xdr:from>
    <xdr:to>
      <xdr:col>48</xdr:col>
      <xdr:colOff>63318</xdr:colOff>
      <xdr:row>33</xdr:row>
      <xdr:rowOff>152400</xdr:rowOff>
    </xdr:to>
    <xdr:sp macro="" textlink="">
      <xdr:nvSpPr>
        <xdr:cNvPr id="588" name="30"/>
        <xdr:cNvSpPr/>
      </xdr:nvSpPr>
      <xdr:spPr>
        <a:xfrm>
          <a:off x="12367260" y="6316980"/>
          <a:ext cx="1076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0</xdr:colOff>
      <xdr:row>33</xdr:row>
      <xdr:rowOff>95250</xdr:rowOff>
    </xdr:from>
    <xdr:to>
      <xdr:col>43</xdr:col>
      <xdr:colOff>140643</xdr:colOff>
      <xdr:row>33</xdr:row>
      <xdr:rowOff>95250</xdr:rowOff>
    </xdr:to>
    <xdr:cxnSp macro="">
      <xdr:nvCxnSpPr>
        <xdr:cNvPr id="589" name="직선 화살표 연결선 588"/>
        <xdr:cNvCxnSpPr/>
      </xdr:nvCxnSpPr>
      <xdr:spPr>
        <a:xfrm>
          <a:off x="12367260" y="6374130"/>
          <a:ext cx="430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32</xdr:row>
      <xdr:rowOff>38100</xdr:rowOff>
    </xdr:from>
    <xdr:to>
      <xdr:col>44</xdr:col>
      <xdr:colOff>21954</xdr:colOff>
      <xdr:row>32</xdr:row>
      <xdr:rowOff>152400</xdr:rowOff>
    </xdr:to>
    <xdr:sp macro="" textlink="">
      <xdr:nvSpPr>
        <xdr:cNvPr id="590" name="29"/>
        <xdr:cNvSpPr/>
      </xdr:nvSpPr>
      <xdr:spPr>
        <a:xfrm>
          <a:off x="11167654" y="6126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32</xdr:row>
      <xdr:rowOff>95250</xdr:rowOff>
    </xdr:from>
    <xdr:to>
      <xdr:col>43</xdr:col>
      <xdr:colOff>41366</xdr:colOff>
      <xdr:row>32</xdr:row>
      <xdr:rowOff>95250</xdr:rowOff>
    </xdr:to>
    <xdr:cxnSp macro="">
      <xdr:nvCxnSpPr>
        <xdr:cNvPr id="591" name="직선 화살표 연결선 590"/>
        <xdr:cNvCxnSpPr/>
      </xdr:nvCxnSpPr>
      <xdr:spPr>
        <a:xfrm>
          <a:off x="11167654" y="6183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31</xdr:row>
      <xdr:rowOff>38100</xdr:rowOff>
    </xdr:from>
    <xdr:to>
      <xdr:col>48</xdr:col>
      <xdr:colOff>63318</xdr:colOff>
      <xdr:row>31</xdr:row>
      <xdr:rowOff>152400</xdr:rowOff>
    </xdr:to>
    <xdr:sp macro="" textlink="">
      <xdr:nvSpPr>
        <xdr:cNvPr id="592" name="28"/>
        <xdr:cNvSpPr/>
      </xdr:nvSpPr>
      <xdr:spPr>
        <a:xfrm>
          <a:off x="11167654" y="5935980"/>
          <a:ext cx="22763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31</xdr:row>
      <xdr:rowOff>95250</xdr:rowOff>
    </xdr:from>
    <xdr:to>
      <xdr:col>44</xdr:col>
      <xdr:colOff>0</xdr:colOff>
      <xdr:row>31</xdr:row>
      <xdr:rowOff>95250</xdr:rowOff>
    </xdr:to>
    <xdr:cxnSp macro="">
      <xdr:nvCxnSpPr>
        <xdr:cNvPr id="593" name="직선 화살표 연결선 592"/>
        <xdr:cNvCxnSpPr/>
      </xdr:nvCxnSpPr>
      <xdr:spPr>
        <a:xfrm>
          <a:off x="11167654" y="5993130"/>
          <a:ext cx="163394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30</xdr:row>
      <xdr:rowOff>38100</xdr:rowOff>
    </xdr:from>
    <xdr:to>
      <xdr:col>46</xdr:col>
      <xdr:colOff>42635</xdr:colOff>
      <xdr:row>30</xdr:row>
      <xdr:rowOff>152400</xdr:rowOff>
    </xdr:to>
    <xdr:sp macro="" textlink="">
      <xdr:nvSpPr>
        <xdr:cNvPr id="594" name="27"/>
        <xdr:cNvSpPr/>
      </xdr:nvSpPr>
      <xdr:spPr>
        <a:xfrm>
          <a:off x="11167654" y="57454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30</xdr:row>
      <xdr:rowOff>95250</xdr:rowOff>
    </xdr:from>
    <xdr:to>
      <xdr:col>43</xdr:col>
      <xdr:colOff>43433</xdr:colOff>
      <xdr:row>30</xdr:row>
      <xdr:rowOff>95250</xdr:rowOff>
    </xdr:to>
    <xdr:cxnSp macro="">
      <xdr:nvCxnSpPr>
        <xdr:cNvPr id="595" name="직선 화살표 연결선 594"/>
        <xdr:cNvCxnSpPr/>
      </xdr:nvCxnSpPr>
      <xdr:spPr>
        <a:xfrm>
          <a:off x="11167654" y="58026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29</xdr:row>
      <xdr:rowOff>38100</xdr:rowOff>
    </xdr:from>
    <xdr:to>
      <xdr:col>46</xdr:col>
      <xdr:colOff>42635</xdr:colOff>
      <xdr:row>29</xdr:row>
      <xdr:rowOff>152400</xdr:rowOff>
    </xdr:to>
    <xdr:sp macro="" textlink="">
      <xdr:nvSpPr>
        <xdr:cNvPr id="596" name="26"/>
        <xdr:cNvSpPr/>
      </xdr:nvSpPr>
      <xdr:spPr>
        <a:xfrm>
          <a:off x="11167654" y="55549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29</xdr:row>
      <xdr:rowOff>95250</xdr:rowOff>
    </xdr:from>
    <xdr:to>
      <xdr:col>43</xdr:col>
      <xdr:colOff>43433</xdr:colOff>
      <xdr:row>29</xdr:row>
      <xdr:rowOff>95250</xdr:rowOff>
    </xdr:to>
    <xdr:cxnSp macro="">
      <xdr:nvCxnSpPr>
        <xdr:cNvPr id="597" name="직선 화살표 연결선 596"/>
        <xdr:cNvCxnSpPr/>
      </xdr:nvCxnSpPr>
      <xdr:spPr>
        <a:xfrm>
          <a:off x="11167654" y="56121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28</xdr:row>
      <xdr:rowOff>38100</xdr:rowOff>
    </xdr:from>
    <xdr:to>
      <xdr:col>46</xdr:col>
      <xdr:colOff>42635</xdr:colOff>
      <xdr:row>28</xdr:row>
      <xdr:rowOff>152400</xdr:rowOff>
    </xdr:to>
    <xdr:sp macro="" textlink="">
      <xdr:nvSpPr>
        <xdr:cNvPr id="598" name="25"/>
        <xdr:cNvSpPr/>
      </xdr:nvSpPr>
      <xdr:spPr>
        <a:xfrm>
          <a:off x="11167654" y="53644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28</xdr:row>
      <xdr:rowOff>95250</xdr:rowOff>
    </xdr:from>
    <xdr:to>
      <xdr:col>43</xdr:col>
      <xdr:colOff>43433</xdr:colOff>
      <xdr:row>28</xdr:row>
      <xdr:rowOff>95250</xdr:rowOff>
    </xdr:to>
    <xdr:cxnSp macro="">
      <xdr:nvCxnSpPr>
        <xdr:cNvPr id="599" name="직선 화살표 연결선 598"/>
        <xdr:cNvCxnSpPr/>
      </xdr:nvCxnSpPr>
      <xdr:spPr>
        <a:xfrm>
          <a:off x="11167654" y="54216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27</xdr:row>
      <xdr:rowOff>38100</xdr:rowOff>
    </xdr:from>
    <xdr:to>
      <xdr:col>46</xdr:col>
      <xdr:colOff>42635</xdr:colOff>
      <xdr:row>27</xdr:row>
      <xdr:rowOff>152400</xdr:rowOff>
    </xdr:to>
    <xdr:sp macro="" textlink="">
      <xdr:nvSpPr>
        <xdr:cNvPr id="600" name="24"/>
        <xdr:cNvSpPr/>
      </xdr:nvSpPr>
      <xdr:spPr>
        <a:xfrm>
          <a:off x="11167654" y="5173980"/>
          <a:ext cx="19661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27</xdr:row>
      <xdr:rowOff>95250</xdr:rowOff>
    </xdr:from>
    <xdr:to>
      <xdr:col>43</xdr:col>
      <xdr:colOff>43433</xdr:colOff>
      <xdr:row>27</xdr:row>
      <xdr:rowOff>95250</xdr:rowOff>
    </xdr:to>
    <xdr:cxnSp macro="">
      <xdr:nvCxnSpPr>
        <xdr:cNvPr id="601" name="직선 화살표 연결선 600"/>
        <xdr:cNvCxnSpPr/>
      </xdr:nvCxnSpPr>
      <xdr:spPr>
        <a:xfrm>
          <a:off x="11167654" y="52311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26</xdr:row>
      <xdr:rowOff>38100</xdr:rowOff>
    </xdr:from>
    <xdr:to>
      <xdr:col>44</xdr:col>
      <xdr:colOff>21954</xdr:colOff>
      <xdr:row>26</xdr:row>
      <xdr:rowOff>152400</xdr:rowOff>
    </xdr:to>
    <xdr:sp macro="" textlink="">
      <xdr:nvSpPr>
        <xdr:cNvPr id="602" name="23"/>
        <xdr:cNvSpPr/>
      </xdr:nvSpPr>
      <xdr:spPr>
        <a:xfrm>
          <a:off x="11167654" y="4983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26</xdr:row>
      <xdr:rowOff>95250</xdr:rowOff>
    </xdr:from>
    <xdr:to>
      <xdr:col>43</xdr:col>
      <xdr:colOff>41366</xdr:colOff>
      <xdr:row>26</xdr:row>
      <xdr:rowOff>95250</xdr:rowOff>
    </xdr:to>
    <xdr:cxnSp macro="">
      <xdr:nvCxnSpPr>
        <xdr:cNvPr id="603" name="직선 화살표 연결선 602"/>
        <xdr:cNvCxnSpPr/>
      </xdr:nvCxnSpPr>
      <xdr:spPr>
        <a:xfrm>
          <a:off x="11167654" y="5040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25</xdr:row>
      <xdr:rowOff>38100</xdr:rowOff>
    </xdr:from>
    <xdr:to>
      <xdr:col>46</xdr:col>
      <xdr:colOff>42635</xdr:colOff>
      <xdr:row>25</xdr:row>
      <xdr:rowOff>152400</xdr:rowOff>
    </xdr:to>
    <xdr:sp macro="" textlink="">
      <xdr:nvSpPr>
        <xdr:cNvPr id="604" name="22"/>
        <xdr:cNvSpPr/>
      </xdr:nvSpPr>
      <xdr:spPr>
        <a:xfrm>
          <a:off x="11167654" y="4792980"/>
          <a:ext cx="19661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25</xdr:row>
      <xdr:rowOff>95250</xdr:rowOff>
    </xdr:from>
    <xdr:to>
      <xdr:col>43</xdr:col>
      <xdr:colOff>105879</xdr:colOff>
      <xdr:row>25</xdr:row>
      <xdr:rowOff>95250</xdr:rowOff>
    </xdr:to>
    <xdr:cxnSp macro="">
      <xdr:nvCxnSpPr>
        <xdr:cNvPr id="605" name="직선 화살표 연결선 604"/>
        <xdr:cNvCxnSpPr/>
      </xdr:nvCxnSpPr>
      <xdr:spPr>
        <a:xfrm>
          <a:off x="11167654" y="4850130"/>
          <a:ext cx="159504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24</xdr:row>
      <xdr:rowOff>38100</xdr:rowOff>
    </xdr:from>
    <xdr:to>
      <xdr:col>46</xdr:col>
      <xdr:colOff>42635</xdr:colOff>
      <xdr:row>24</xdr:row>
      <xdr:rowOff>152400</xdr:rowOff>
    </xdr:to>
    <xdr:sp macro="" textlink="">
      <xdr:nvSpPr>
        <xdr:cNvPr id="606" name="21"/>
        <xdr:cNvSpPr/>
      </xdr:nvSpPr>
      <xdr:spPr>
        <a:xfrm>
          <a:off x="11167654" y="46024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24</xdr:row>
      <xdr:rowOff>95250</xdr:rowOff>
    </xdr:from>
    <xdr:to>
      <xdr:col>43</xdr:col>
      <xdr:colOff>43433</xdr:colOff>
      <xdr:row>24</xdr:row>
      <xdr:rowOff>95250</xdr:rowOff>
    </xdr:to>
    <xdr:cxnSp macro="">
      <xdr:nvCxnSpPr>
        <xdr:cNvPr id="607" name="직선 화살표 연결선 606"/>
        <xdr:cNvCxnSpPr/>
      </xdr:nvCxnSpPr>
      <xdr:spPr>
        <a:xfrm>
          <a:off x="11167654" y="46596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23</xdr:row>
      <xdr:rowOff>38100</xdr:rowOff>
    </xdr:from>
    <xdr:to>
      <xdr:col>46</xdr:col>
      <xdr:colOff>42635</xdr:colOff>
      <xdr:row>23</xdr:row>
      <xdr:rowOff>152400</xdr:rowOff>
    </xdr:to>
    <xdr:sp macro="" textlink="">
      <xdr:nvSpPr>
        <xdr:cNvPr id="608" name="20"/>
        <xdr:cNvSpPr/>
      </xdr:nvSpPr>
      <xdr:spPr>
        <a:xfrm>
          <a:off x="11167654" y="44119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23</xdr:row>
      <xdr:rowOff>95250</xdr:rowOff>
    </xdr:from>
    <xdr:to>
      <xdr:col>43</xdr:col>
      <xdr:colOff>43433</xdr:colOff>
      <xdr:row>23</xdr:row>
      <xdr:rowOff>95250</xdr:rowOff>
    </xdr:to>
    <xdr:cxnSp macro="">
      <xdr:nvCxnSpPr>
        <xdr:cNvPr id="609" name="직선 화살표 연결선 608"/>
        <xdr:cNvCxnSpPr/>
      </xdr:nvCxnSpPr>
      <xdr:spPr>
        <a:xfrm>
          <a:off x="11167654" y="44691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22</xdr:row>
      <xdr:rowOff>38100</xdr:rowOff>
    </xdr:from>
    <xdr:to>
      <xdr:col>46</xdr:col>
      <xdr:colOff>42635</xdr:colOff>
      <xdr:row>22</xdr:row>
      <xdr:rowOff>152400</xdr:rowOff>
    </xdr:to>
    <xdr:sp macro="" textlink="">
      <xdr:nvSpPr>
        <xdr:cNvPr id="610" name="19"/>
        <xdr:cNvSpPr/>
      </xdr:nvSpPr>
      <xdr:spPr>
        <a:xfrm>
          <a:off x="11167654" y="4221480"/>
          <a:ext cx="19661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22</xdr:row>
      <xdr:rowOff>95250</xdr:rowOff>
    </xdr:from>
    <xdr:to>
      <xdr:col>43</xdr:col>
      <xdr:colOff>43433</xdr:colOff>
      <xdr:row>22</xdr:row>
      <xdr:rowOff>95250</xdr:rowOff>
    </xdr:to>
    <xdr:cxnSp macro="">
      <xdr:nvCxnSpPr>
        <xdr:cNvPr id="611" name="직선 화살표 연결선 610"/>
        <xdr:cNvCxnSpPr/>
      </xdr:nvCxnSpPr>
      <xdr:spPr>
        <a:xfrm>
          <a:off x="11167654" y="4278630"/>
          <a:ext cx="15325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21</xdr:row>
      <xdr:rowOff>38100</xdr:rowOff>
    </xdr:from>
    <xdr:to>
      <xdr:col>44</xdr:col>
      <xdr:colOff>21954</xdr:colOff>
      <xdr:row>21</xdr:row>
      <xdr:rowOff>152400</xdr:rowOff>
    </xdr:to>
    <xdr:sp macro="" textlink="">
      <xdr:nvSpPr>
        <xdr:cNvPr id="612" name="18"/>
        <xdr:cNvSpPr/>
      </xdr:nvSpPr>
      <xdr:spPr>
        <a:xfrm>
          <a:off x="11167654" y="40309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21</xdr:row>
      <xdr:rowOff>95250</xdr:rowOff>
    </xdr:from>
    <xdr:to>
      <xdr:col>43</xdr:col>
      <xdr:colOff>41366</xdr:colOff>
      <xdr:row>21</xdr:row>
      <xdr:rowOff>95250</xdr:rowOff>
    </xdr:to>
    <xdr:cxnSp macro="">
      <xdr:nvCxnSpPr>
        <xdr:cNvPr id="613" name="직선 화살표 연결선 612"/>
        <xdr:cNvCxnSpPr/>
      </xdr:nvCxnSpPr>
      <xdr:spPr>
        <a:xfrm>
          <a:off x="11167654" y="40881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20</xdr:row>
      <xdr:rowOff>38100</xdr:rowOff>
    </xdr:from>
    <xdr:to>
      <xdr:col>46</xdr:col>
      <xdr:colOff>42635</xdr:colOff>
      <xdr:row>20</xdr:row>
      <xdr:rowOff>152400</xdr:rowOff>
    </xdr:to>
    <xdr:sp macro="" textlink="">
      <xdr:nvSpPr>
        <xdr:cNvPr id="614" name="17"/>
        <xdr:cNvSpPr/>
      </xdr:nvSpPr>
      <xdr:spPr>
        <a:xfrm>
          <a:off x="11167654" y="3840480"/>
          <a:ext cx="19661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20</xdr:row>
      <xdr:rowOff>95250</xdr:rowOff>
    </xdr:from>
    <xdr:to>
      <xdr:col>43</xdr:col>
      <xdr:colOff>105879</xdr:colOff>
      <xdr:row>20</xdr:row>
      <xdr:rowOff>95250</xdr:rowOff>
    </xdr:to>
    <xdr:cxnSp macro="">
      <xdr:nvCxnSpPr>
        <xdr:cNvPr id="615" name="직선 화살표 연결선 614"/>
        <xdr:cNvCxnSpPr/>
      </xdr:nvCxnSpPr>
      <xdr:spPr>
        <a:xfrm>
          <a:off x="11167654" y="3897630"/>
          <a:ext cx="159504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19</xdr:row>
      <xdr:rowOff>38100</xdr:rowOff>
    </xdr:from>
    <xdr:to>
      <xdr:col>44</xdr:col>
      <xdr:colOff>21953</xdr:colOff>
      <xdr:row>19</xdr:row>
      <xdr:rowOff>152400</xdr:rowOff>
    </xdr:to>
    <xdr:sp macro="" textlink="">
      <xdr:nvSpPr>
        <xdr:cNvPr id="616" name="16"/>
        <xdr:cNvSpPr/>
      </xdr:nvSpPr>
      <xdr:spPr>
        <a:xfrm>
          <a:off x="11209020" y="3649980"/>
          <a:ext cx="16145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0</xdr:colOff>
      <xdr:row>19</xdr:row>
      <xdr:rowOff>95250</xdr:rowOff>
    </xdr:from>
    <xdr:to>
      <xdr:col>43</xdr:col>
      <xdr:colOff>41403</xdr:colOff>
      <xdr:row>19</xdr:row>
      <xdr:rowOff>95250</xdr:rowOff>
    </xdr:to>
    <xdr:cxnSp macro="">
      <xdr:nvCxnSpPr>
        <xdr:cNvPr id="617" name="직선 화살표 연결선 616"/>
        <xdr:cNvCxnSpPr/>
      </xdr:nvCxnSpPr>
      <xdr:spPr>
        <a:xfrm>
          <a:off x="11209020" y="3707130"/>
          <a:ext cx="1489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18</xdr:row>
      <xdr:rowOff>38100</xdr:rowOff>
    </xdr:from>
    <xdr:to>
      <xdr:col>44</xdr:col>
      <xdr:colOff>21953</xdr:colOff>
      <xdr:row>18</xdr:row>
      <xdr:rowOff>152400</xdr:rowOff>
    </xdr:to>
    <xdr:sp macro="" textlink="">
      <xdr:nvSpPr>
        <xdr:cNvPr id="618" name="15"/>
        <xdr:cNvSpPr/>
      </xdr:nvSpPr>
      <xdr:spPr>
        <a:xfrm>
          <a:off x="11209020" y="3459480"/>
          <a:ext cx="16145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0</xdr:colOff>
      <xdr:row>18</xdr:row>
      <xdr:rowOff>95250</xdr:rowOff>
    </xdr:from>
    <xdr:to>
      <xdr:col>43</xdr:col>
      <xdr:colOff>41403</xdr:colOff>
      <xdr:row>18</xdr:row>
      <xdr:rowOff>95250</xdr:rowOff>
    </xdr:to>
    <xdr:cxnSp macro="">
      <xdr:nvCxnSpPr>
        <xdr:cNvPr id="619" name="직선 화살표 연결선 618"/>
        <xdr:cNvCxnSpPr/>
      </xdr:nvCxnSpPr>
      <xdr:spPr>
        <a:xfrm>
          <a:off x="11209020" y="3516630"/>
          <a:ext cx="1489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17</xdr:row>
      <xdr:rowOff>38100</xdr:rowOff>
    </xdr:from>
    <xdr:to>
      <xdr:col>44</xdr:col>
      <xdr:colOff>21953</xdr:colOff>
      <xdr:row>17</xdr:row>
      <xdr:rowOff>152400</xdr:rowOff>
    </xdr:to>
    <xdr:sp macro="" textlink="">
      <xdr:nvSpPr>
        <xdr:cNvPr id="620" name="14"/>
        <xdr:cNvSpPr/>
      </xdr:nvSpPr>
      <xdr:spPr>
        <a:xfrm>
          <a:off x="11209020" y="3268980"/>
          <a:ext cx="16145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0</xdr:colOff>
      <xdr:row>17</xdr:row>
      <xdr:rowOff>95250</xdr:rowOff>
    </xdr:from>
    <xdr:to>
      <xdr:col>43</xdr:col>
      <xdr:colOff>41403</xdr:colOff>
      <xdr:row>17</xdr:row>
      <xdr:rowOff>95250</xdr:rowOff>
    </xdr:to>
    <xdr:cxnSp macro="">
      <xdr:nvCxnSpPr>
        <xdr:cNvPr id="621" name="직선 화살표 연결선 620"/>
        <xdr:cNvCxnSpPr/>
      </xdr:nvCxnSpPr>
      <xdr:spPr>
        <a:xfrm>
          <a:off x="11209020" y="3326130"/>
          <a:ext cx="148920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16</xdr:row>
      <xdr:rowOff>38100</xdr:rowOff>
    </xdr:from>
    <xdr:to>
      <xdr:col>44</xdr:col>
      <xdr:colOff>21954</xdr:colOff>
      <xdr:row>16</xdr:row>
      <xdr:rowOff>152400</xdr:rowOff>
    </xdr:to>
    <xdr:sp macro="" textlink="">
      <xdr:nvSpPr>
        <xdr:cNvPr id="622" name="13"/>
        <xdr:cNvSpPr/>
      </xdr:nvSpPr>
      <xdr:spPr>
        <a:xfrm>
          <a:off x="11167654" y="3078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16</xdr:row>
      <xdr:rowOff>95250</xdr:rowOff>
    </xdr:from>
    <xdr:to>
      <xdr:col>43</xdr:col>
      <xdr:colOff>41366</xdr:colOff>
      <xdr:row>16</xdr:row>
      <xdr:rowOff>95250</xdr:rowOff>
    </xdr:to>
    <xdr:cxnSp macro="">
      <xdr:nvCxnSpPr>
        <xdr:cNvPr id="623" name="직선 화살표 연결선 622"/>
        <xdr:cNvCxnSpPr/>
      </xdr:nvCxnSpPr>
      <xdr:spPr>
        <a:xfrm>
          <a:off x="11167654" y="3135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15</xdr:row>
      <xdr:rowOff>38100</xdr:rowOff>
    </xdr:from>
    <xdr:to>
      <xdr:col>44</xdr:col>
      <xdr:colOff>21954</xdr:colOff>
      <xdr:row>15</xdr:row>
      <xdr:rowOff>152400</xdr:rowOff>
    </xdr:to>
    <xdr:sp macro="" textlink="">
      <xdr:nvSpPr>
        <xdr:cNvPr id="624" name="12"/>
        <xdr:cNvSpPr/>
      </xdr:nvSpPr>
      <xdr:spPr>
        <a:xfrm>
          <a:off x="11167654" y="2887980"/>
          <a:ext cx="165590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15</xdr:row>
      <xdr:rowOff>95250</xdr:rowOff>
    </xdr:from>
    <xdr:to>
      <xdr:col>43</xdr:col>
      <xdr:colOff>39023</xdr:colOff>
      <xdr:row>15</xdr:row>
      <xdr:rowOff>95250</xdr:rowOff>
    </xdr:to>
    <xdr:cxnSp macro="">
      <xdr:nvCxnSpPr>
        <xdr:cNvPr id="625" name="직선 화살표 연결선 624"/>
        <xdr:cNvCxnSpPr/>
      </xdr:nvCxnSpPr>
      <xdr:spPr>
        <a:xfrm>
          <a:off x="11167654" y="2945130"/>
          <a:ext cx="152818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14</xdr:row>
      <xdr:rowOff>38100</xdr:rowOff>
    </xdr:from>
    <xdr:to>
      <xdr:col>45</xdr:col>
      <xdr:colOff>84001</xdr:colOff>
      <xdr:row>14</xdr:row>
      <xdr:rowOff>152400</xdr:rowOff>
    </xdr:to>
    <xdr:sp macro="" textlink="">
      <xdr:nvSpPr>
        <xdr:cNvPr id="626" name="11"/>
        <xdr:cNvSpPr/>
      </xdr:nvSpPr>
      <xdr:spPr>
        <a:xfrm>
          <a:off x="11167654" y="2697480"/>
          <a:ext cx="18627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14</xdr:row>
      <xdr:rowOff>95250</xdr:rowOff>
    </xdr:from>
    <xdr:to>
      <xdr:col>43</xdr:col>
      <xdr:colOff>55844</xdr:colOff>
      <xdr:row>14</xdr:row>
      <xdr:rowOff>95250</xdr:rowOff>
    </xdr:to>
    <xdr:cxnSp macro="">
      <xdr:nvCxnSpPr>
        <xdr:cNvPr id="627" name="직선 화살표 연결선 626"/>
        <xdr:cNvCxnSpPr/>
      </xdr:nvCxnSpPr>
      <xdr:spPr>
        <a:xfrm>
          <a:off x="11167654" y="2754630"/>
          <a:ext cx="154501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62048</xdr:colOff>
      <xdr:row>13</xdr:row>
      <xdr:rowOff>38100</xdr:rowOff>
    </xdr:from>
    <xdr:to>
      <xdr:col>44</xdr:col>
      <xdr:colOff>21953</xdr:colOff>
      <xdr:row>13</xdr:row>
      <xdr:rowOff>152400</xdr:rowOff>
    </xdr:to>
    <xdr:sp macro="" textlink="">
      <xdr:nvSpPr>
        <xdr:cNvPr id="628" name="10"/>
        <xdr:cNvSpPr/>
      </xdr:nvSpPr>
      <xdr:spPr>
        <a:xfrm>
          <a:off x="11560628" y="2506980"/>
          <a:ext cx="12629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62048</xdr:colOff>
      <xdr:row>13</xdr:row>
      <xdr:rowOff>95250</xdr:rowOff>
    </xdr:from>
    <xdr:to>
      <xdr:col>43</xdr:col>
      <xdr:colOff>51914</xdr:colOff>
      <xdr:row>13</xdr:row>
      <xdr:rowOff>95250</xdr:rowOff>
    </xdr:to>
    <xdr:cxnSp macro="">
      <xdr:nvCxnSpPr>
        <xdr:cNvPr id="629" name="직선 화살표 연결선 628"/>
        <xdr:cNvCxnSpPr/>
      </xdr:nvCxnSpPr>
      <xdr:spPr>
        <a:xfrm>
          <a:off x="11560628" y="2564130"/>
          <a:ext cx="114810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12</xdr:row>
      <xdr:rowOff>38100</xdr:rowOff>
    </xdr:from>
    <xdr:to>
      <xdr:col>46</xdr:col>
      <xdr:colOff>42635</xdr:colOff>
      <xdr:row>12</xdr:row>
      <xdr:rowOff>152400</xdr:rowOff>
    </xdr:to>
    <xdr:sp macro="" textlink="">
      <xdr:nvSpPr>
        <xdr:cNvPr id="630" name="9"/>
        <xdr:cNvSpPr/>
      </xdr:nvSpPr>
      <xdr:spPr>
        <a:xfrm>
          <a:off x="11167654" y="2316480"/>
          <a:ext cx="19661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12</xdr:row>
      <xdr:rowOff>95250</xdr:rowOff>
    </xdr:from>
    <xdr:to>
      <xdr:col>44</xdr:col>
      <xdr:colOff>62271</xdr:colOff>
      <xdr:row>12</xdr:row>
      <xdr:rowOff>95250</xdr:rowOff>
    </xdr:to>
    <xdr:cxnSp macro="">
      <xdr:nvCxnSpPr>
        <xdr:cNvPr id="631" name="직선 화살표 연결선 630"/>
        <xdr:cNvCxnSpPr/>
      </xdr:nvCxnSpPr>
      <xdr:spPr>
        <a:xfrm>
          <a:off x="11167654" y="2373630"/>
          <a:ext cx="169621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11</xdr:row>
      <xdr:rowOff>38100</xdr:rowOff>
    </xdr:from>
    <xdr:to>
      <xdr:col>48</xdr:col>
      <xdr:colOff>63318</xdr:colOff>
      <xdr:row>11</xdr:row>
      <xdr:rowOff>152400</xdr:rowOff>
    </xdr:to>
    <xdr:sp macro="" textlink="">
      <xdr:nvSpPr>
        <xdr:cNvPr id="632" name="8"/>
        <xdr:cNvSpPr/>
      </xdr:nvSpPr>
      <xdr:spPr>
        <a:xfrm>
          <a:off x="12801600" y="212598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0</xdr:colOff>
      <xdr:row>11</xdr:row>
      <xdr:rowOff>95250</xdr:rowOff>
    </xdr:from>
    <xdr:to>
      <xdr:col>44</xdr:col>
      <xdr:colOff>128234</xdr:colOff>
      <xdr:row>11</xdr:row>
      <xdr:rowOff>95250</xdr:rowOff>
    </xdr:to>
    <xdr:cxnSp macro="">
      <xdr:nvCxnSpPr>
        <xdr:cNvPr id="633" name="직선 화살표 연결선 632"/>
        <xdr:cNvCxnSpPr/>
      </xdr:nvCxnSpPr>
      <xdr:spPr>
        <a:xfrm>
          <a:off x="12801600" y="2183130"/>
          <a:ext cx="12823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62048</xdr:colOff>
      <xdr:row>10</xdr:row>
      <xdr:rowOff>38100</xdr:rowOff>
    </xdr:from>
    <xdr:to>
      <xdr:col>44</xdr:col>
      <xdr:colOff>21953</xdr:colOff>
      <xdr:row>10</xdr:row>
      <xdr:rowOff>152400</xdr:rowOff>
    </xdr:to>
    <xdr:sp macro="" textlink="">
      <xdr:nvSpPr>
        <xdr:cNvPr id="634" name="7"/>
        <xdr:cNvSpPr/>
      </xdr:nvSpPr>
      <xdr:spPr>
        <a:xfrm>
          <a:off x="11850188" y="1935480"/>
          <a:ext cx="97336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62048</xdr:colOff>
      <xdr:row>10</xdr:row>
      <xdr:rowOff>95250</xdr:rowOff>
    </xdr:from>
    <xdr:to>
      <xdr:col>43</xdr:col>
      <xdr:colOff>48812</xdr:colOff>
      <xdr:row>10</xdr:row>
      <xdr:rowOff>95250</xdr:rowOff>
    </xdr:to>
    <xdr:cxnSp macro="">
      <xdr:nvCxnSpPr>
        <xdr:cNvPr id="635" name="직선 화살표 연결선 634"/>
        <xdr:cNvCxnSpPr/>
      </xdr:nvCxnSpPr>
      <xdr:spPr>
        <a:xfrm>
          <a:off x="11850188" y="1992630"/>
          <a:ext cx="85544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62048</xdr:colOff>
      <xdr:row>9</xdr:row>
      <xdr:rowOff>38100</xdr:rowOff>
    </xdr:from>
    <xdr:to>
      <xdr:col>48</xdr:col>
      <xdr:colOff>63318</xdr:colOff>
      <xdr:row>9</xdr:row>
      <xdr:rowOff>152400</xdr:rowOff>
    </xdr:to>
    <xdr:sp macro="" textlink="">
      <xdr:nvSpPr>
        <xdr:cNvPr id="636" name="6"/>
        <xdr:cNvSpPr/>
      </xdr:nvSpPr>
      <xdr:spPr>
        <a:xfrm>
          <a:off x="11850188" y="1744980"/>
          <a:ext cx="15938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62048</xdr:colOff>
      <xdr:row>9</xdr:row>
      <xdr:rowOff>95250</xdr:rowOff>
    </xdr:from>
    <xdr:to>
      <xdr:col>44</xdr:col>
      <xdr:colOff>19654</xdr:colOff>
      <xdr:row>9</xdr:row>
      <xdr:rowOff>95250</xdr:rowOff>
    </xdr:to>
    <xdr:cxnSp macro="">
      <xdr:nvCxnSpPr>
        <xdr:cNvPr id="637" name="직선 화살표 연결선 636"/>
        <xdr:cNvCxnSpPr/>
      </xdr:nvCxnSpPr>
      <xdr:spPr>
        <a:xfrm>
          <a:off x="11850188" y="1802130"/>
          <a:ext cx="97106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8</xdr:row>
      <xdr:rowOff>38100</xdr:rowOff>
    </xdr:from>
    <xdr:to>
      <xdr:col>44</xdr:col>
      <xdr:colOff>21954</xdr:colOff>
      <xdr:row>8</xdr:row>
      <xdr:rowOff>152400</xdr:rowOff>
    </xdr:to>
    <xdr:sp macro="" textlink="">
      <xdr:nvSpPr>
        <xdr:cNvPr id="638" name="5"/>
        <xdr:cNvSpPr/>
      </xdr:nvSpPr>
      <xdr:spPr>
        <a:xfrm>
          <a:off x="11167654" y="1554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8</xdr:row>
      <xdr:rowOff>95250</xdr:rowOff>
    </xdr:from>
    <xdr:to>
      <xdr:col>43</xdr:col>
      <xdr:colOff>41366</xdr:colOff>
      <xdr:row>8</xdr:row>
      <xdr:rowOff>95250</xdr:rowOff>
    </xdr:to>
    <xdr:cxnSp macro="">
      <xdr:nvCxnSpPr>
        <xdr:cNvPr id="639" name="직선 화살표 연결선 638"/>
        <xdr:cNvCxnSpPr/>
      </xdr:nvCxnSpPr>
      <xdr:spPr>
        <a:xfrm>
          <a:off x="11167654" y="1611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7</xdr:row>
      <xdr:rowOff>38100</xdr:rowOff>
    </xdr:from>
    <xdr:to>
      <xdr:col>48</xdr:col>
      <xdr:colOff>63318</xdr:colOff>
      <xdr:row>7</xdr:row>
      <xdr:rowOff>152400</xdr:rowOff>
    </xdr:to>
    <xdr:sp macro="" textlink="">
      <xdr:nvSpPr>
        <xdr:cNvPr id="640" name="4"/>
        <xdr:cNvSpPr/>
      </xdr:nvSpPr>
      <xdr:spPr>
        <a:xfrm>
          <a:off x="11167654" y="1363980"/>
          <a:ext cx="22763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7</xdr:row>
      <xdr:rowOff>95250</xdr:rowOff>
    </xdr:from>
    <xdr:to>
      <xdr:col>44</xdr:col>
      <xdr:colOff>116453</xdr:colOff>
      <xdr:row>7</xdr:row>
      <xdr:rowOff>95250</xdr:rowOff>
    </xdr:to>
    <xdr:cxnSp macro="">
      <xdr:nvCxnSpPr>
        <xdr:cNvPr id="641" name="직선 화살표 연결선 640"/>
        <xdr:cNvCxnSpPr/>
      </xdr:nvCxnSpPr>
      <xdr:spPr>
        <a:xfrm>
          <a:off x="11167654" y="1421130"/>
          <a:ext cx="175039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6</xdr:row>
      <xdr:rowOff>38100</xdr:rowOff>
    </xdr:from>
    <xdr:to>
      <xdr:col>44</xdr:col>
      <xdr:colOff>21954</xdr:colOff>
      <xdr:row>6</xdr:row>
      <xdr:rowOff>152400</xdr:rowOff>
    </xdr:to>
    <xdr:sp macro="" textlink="">
      <xdr:nvSpPr>
        <xdr:cNvPr id="642" name="3"/>
        <xdr:cNvSpPr/>
      </xdr:nvSpPr>
      <xdr:spPr>
        <a:xfrm>
          <a:off x="11167654" y="1173480"/>
          <a:ext cx="165590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6</xdr:row>
      <xdr:rowOff>95250</xdr:rowOff>
    </xdr:from>
    <xdr:to>
      <xdr:col>43</xdr:col>
      <xdr:colOff>41366</xdr:colOff>
      <xdr:row>6</xdr:row>
      <xdr:rowOff>95250</xdr:rowOff>
    </xdr:to>
    <xdr:cxnSp macro="">
      <xdr:nvCxnSpPr>
        <xdr:cNvPr id="643" name="직선 화살표 연결선 642"/>
        <xdr:cNvCxnSpPr/>
      </xdr:nvCxnSpPr>
      <xdr:spPr>
        <a:xfrm>
          <a:off x="11167654" y="1230630"/>
          <a:ext cx="15305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5</xdr:row>
      <xdr:rowOff>38100</xdr:rowOff>
    </xdr:from>
    <xdr:to>
      <xdr:col>48</xdr:col>
      <xdr:colOff>63318</xdr:colOff>
      <xdr:row>5</xdr:row>
      <xdr:rowOff>152400</xdr:rowOff>
    </xdr:to>
    <xdr:sp macro="" textlink="">
      <xdr:nvSpPr>
        <xdr:cNvPr id="644" name="2"/>
        <xdr:cNvSpPr/>
      </xdr:nvSpPr>
      <xdr:spPr>
        <a:xfrm>
          <a:off x="11167654" y="982980"/>
          <a:ext cx="22763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5</xdr:row>
      <xdr:rowOff>95250</xdr:rowOff>
    </xdr:from>
    <xdr:to>
      <xdr:col>45</xdr:col>
      <xdr:colOff>95495</xdr:colOff>
      <xdr:row>5</xdr:row>
      <xdr:rowOff>95250</xdr:rowOff>
    </xdr:to>
    <xdr:cxnSp macro="">
      <xdr:nvCxnSpPr>
        <xdr:cNvPr id="645" name="직선 화살표 연결선 644"/>
        <xdr:cNvCxnSpPr/>
      </xdr:nvCxnSpPr>
      <xdr:spPr>
        <a:xfrm>
          <a:off x="11167654" y="1040130"/>
          <a:ext cx="187422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103414</xdr:colOff>
      <xdr:row>4</xdr:row>
      <xdr:rowOff>38100</xdr:rowOff>
    </xdr:from>
    <xdr:to>
      <xdr:col>48</xdr:col>
      <xdr:colOff>63318</xdr:colOff>
      <xdr:row>4</xdr:row>
      <xdr:rowOff>152400</xdr:rowOff>
    </xdr:to>
    <xdr:sp macro="" textlink="">
      <xdr:nvSpPr>
        <xdr:cNvPr id="646" name="1"/>
        <xdr:cNvSpPr/>
      </xdr:nvSpPr>
      <xdr:spPr>
        <a:xfrm>
          <a:off x="11167654" y="792480"/>
          <a:ext cx="22763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103414</xdr:colOff>
      <xdr:row>4</xdr:row>
      <xdr:rowOff>95250</xdr:rowOff>
    </xdr:from>
    <xdr:to>
      <xdr:col>45</xdr:col>
      <xdr:colOff>95495</xdr:colOff>
      <xdr:row>4</xdr:row>
      <xdr:rowOff>95250</xdr:rowOff>
    </xdr:to>
    <xdr:cxnSp macro="">
      <xdr:nvCxnSpPr>
        <xdr:cNvPr id="647" name="직선 화살표 연결선 646"/>
        <xdr:cNvCxnSpPr/>
      </xdr:nvCxnSpPr>
      <xdr:spPr>
        <a:xfrm>
          <a:off x="11167654" y="849630"/>
          <a:ext cx="187422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SKOH2/02.Master%20Schedule/SKOH2%20&#51089;&#49457;&#51473;/220726/(&#51068;&#51221;&#54364;)SKOH2%20Master%20Plan_v.01_220726_&#51060;&#52268;&#5514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0.1918027858502856</v>
          </cell>
        </row>
        <row r="21">
          <cell r="B21">
            <v>0.18206563783946289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type-F"/>
      <sheetName val="98연계표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xlworks.net/xlgantt-project-schedule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0:N23"/>
  <sheetViews>
    <sheetView showGridLines="0" topLeftCell="A7" zoomScaleNormal="100" zoomScaleSheetLayoutView="70" workbookViewId="0">
      <selection activeCell="K15" sqref="K1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51" t="s">
        <v>1813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</row>
    <row r="11" spans="1:14" ht="19.2" x14ac:dyDescent="0.4">
      <c r="A11" s="265" t="s">
        <v>1807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</row>
    <row r="19" spans="3:11" ht="27.6" x14ac:dyDescent="0.4">
      <c r="C19" s="252" t="s">
        <v>1808</v>
      </c>
      <c r="D19" s="252"/>
      <c r="E19" s="252"/>
      <c r="F19" s="252"/>
      <c r="G19" s="252"/>
      <c r="H19" s="252"/>
      <c r="I19" s="252"/>
      <c r="J19" s="252"/>
      <c r="K19" s="252"/>
    </row>
    <row r="21" spans="3:11" ht="17.399999999999999" customHeight="1" x14ac:dyDescent="0.4">
      <c r="C21" s="261" t="s">
        <v>122</v>
      </c>
      <c r="D21" s="255" t="s">
        <v>275</v>
      </c>
      <c r="E21" s="256"/>
      <c r="F21" s="256"/>
      <c r="G21" s="254"/>
      <c r="H21" s="255" t="s">
        <v>123</v>
      </c>
      <c r="I21" s="254"/>
      <c r="J21" s="255" t="s">
        <v>124</v>
      </c>
      <c r="K21" s="254"/>
    </row>
    <row r="22" spans="3:11" ht="32.4" customHeight="1" x14ac:dyDescent="0.4">
      <c r="C22" s="262"/>
      <c r="D22" s="263" t="s">
        <v>1793</v>
      </c>
      <c r="E22" s="264"/>
      <c r="F22" s="257" t="s">
        <v>1794</v>
      </c>
      <c r="G22" s="258"/>
      <c r="H22" s="257" t="s">
        <v>130</v>
      </c>
      <c r="I22" s="258"/>
      <c r="J22" s="257" t="s">
        <v>1795</v>
      </c>
      <c r="K22" s="258"/>
    </row>
    <row r="23" spans="3:11" ht="65.400000000000006" customHeight="1" x14ac:dyDescent="0.4">
      <c r="C23" s="262"/>
      <c r="D23" s="253" t="s">
        <v>1809</v>
      </c>
      <c r="E23" s="254"/>
      <c r="F23" s="253" t="s">
        <v>1810</v>
      </c>
      <c r="G23" s="254"/>
      <c r="H23" s="259" t="s">
        <v>1796</v>
      </c>
      <c r="I23" s="260"/>
      <c r="J23" s="255"/>
      <c r="K23" s="254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25"/>
  <sheetViews>
    <sheetView showGridLines="0" zoomScale="85" zoomScaleNormal="85" zoomScaleSheetLayoutView="75" workbookViewId="0">
      <selection activeCell="D10" sqref="D10:H10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70" t="s">
        <v>129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2:13" x14ac:dyDescent="0.4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71" t="s">
        <v>1811</v>
      </c>
      <c r="D5" s="271"/>
      <c r="E5" s="271"/>
      <c r="F5" s="5" t="s">
        <v>19</v>
      </c>
      <c r="G5" s="271" t="s">
        <v>1812</v>
      </c>
      <c r="H5" s="271"/>
      <c r="I5" s="5" t="s">
        <v>20</v>
      </c>
      <c r="J5" s="272" t="s">
        <v>1814</v>
      </c>
      <c r="K5" s="272"/>
      <c r="L5" s="273"/>
      <c r="M5" s="6"/>
    </row>
    <row r="6" spans="2:13" ht="29.25" customHeight="1" thickBot="1" x14ac:dyDescent="0.45">
      <c r="B6" s="274" t="s">
        <v>21</v>
      </c>
      <c r="C6" s="275"/>
      <c r="D6" s="275"/>
      <c r="E6" s="275"/>
      <c r="F6" s="275"/>
      <c r="G6" s="275"/>
      <c r="H6" s="275"/>
      <c r="I6" s="275" t="s">
        <v>22</v>
      </c>
      <c r="J6" s="275"/>
      <c r="K6" s="275"/>
      <c r="L6" s="276"/>
      <c r="M6" s="6"/>
    </row>
    <row r="7" spans="2:13" ht="21.75" customHeight="1" x14ac:dyDescent="0.4">
      <c r="B7" s="277" t="s">
        <v>23</v>
      </c>
      <c r="C7" s="278"/>
      <c r="D7" s="279">
        <v>63090000000</v>
      </c>
      <c r="E7" s="280"/>
      <c r="F7" s="280"/>
      <c r="G7" s="280"/>
      <c r="H7" s="280"/>
      <c r="I7" s="64" t="s">
        <v>24</v>
      </c>
      <c r="J7" s="281" t="s">
        <v>272</v>
      </c>
      <c r="K7" s="282"/>
      <c r="L7" s="283"/>
      <c r="M7" s="6"/>
    </row>
    <row r="8" spans="2:13" ht="21.75" customHeight="1" x14ac:dyDescent="0.4">
      <c r="B8" s="284" t="s">
        <v>25</v>
      </c>
      <c r="C8" s="285"/>
      <c r="D8" s="286" t="s">
        <v>1815</v>
      </c>
      <c r="E8" s="287"/>
      <c r="F8" s="287"/>
      <c r="G8" s="287"/>
      <c r="H8" s="287"/>
      <c r="I8" s="65" t="s">
        <v>26</v>
      </c>
      <c r="J8" s="65" t="s">
        <v>27</v>
      </c>
      <c r="K8" s="288" t="s">
        <v>273</v>
      </c>
      <c r="L8" s="289"/>
      <c r="M8" s="6"/>
    </row>
    <row r="9" spans="2:13" ht="21.75" customHeight="1" x14ac:dyDescent="0.4">
      <c r="B9" s="284" t="s">
        <v>28</v>
      </c>
      <c r="C9" s="285"/>
      <c r="D9" s="287" t="s">
        <v>2302</v>
      </c>
      <c r="E9" s="287"/>
      <c r="F9" s="287"/>
      <c r="G9" s="287"/>
      <c r="H9" s="287"/>
      <c r="I9" s="292" t="s">
        <v>29</v>
      </c>
      <c r="J9" s="290">
        <v>44743</v>
      </c>
      <c r="K9" s="266" t="s">
        <v>1822</v>
      </c>
      <c r="L9" s="267"/>
      <c r="M9" s="6"/>
    </row>
    <row r="10" spans="2:13" ht="21.75" customHeight="1" x14ac:dyDescent="0.4">
      <c r="B10" s="284" t="s">
        <v>30</v>
      </c>
      <c r="C10" s="285"/>
      <c r="D10" s="294" t="s">
        <v>1816</v>
      </c>
      <c r="E10" s="294"/>
      <c r="F10" s="294"/>
      <c r="G10" s="294"/>
      <c r="H10" s="294"/>
      <c r="I10" s="293"/>
      <c r="J10" s="291"/>
      <c r="K10" s="268"/>
      <c r="L10" s="269"/>
      <c r="M10" s="6"/>
    </row>
    <row r="11" spans="2:13" ht="21.75" customHeight="1" x14ac:dyDescent="0.4">
      <c r="B11" s="284" t="s">
        <v>31</v>
      </c>
      <c r="C11" s="285"/>
      <c r="D11" s="287" t="s">
        <v>1817</v>
      </c>
      <c r="E11" s="287"/>
      <c r="F11" s="287"/>
      <c r="G11" s="287"/>
      <c r="H11" s="287"/>
      <c r="I11" s="292" t="s">
        <v>32</v>
      </c>
      <c r="J11" s="290">
        <v>44749</v>
      </c>
      <c r="K11" s="266" t="s">
        <v>1822</v>
      </c>
      <c r="L11" s="267"/>
      <c r="M11" s="6"/>
    </row>
    <row r="12" spans="2:13" ht="21.75" customHeight="1" x14ac:dyDescent="0.4">
      <c r="B12" s="284" t="s">
        <v>33</v>
      </c>
      <c r="C12" s="285"/>
      <c r="D12" s="287" t="s">
        <v>1818</v>
      </c>
      <c r="E12" s="287"/>
      <c r="F12" s="287"/>
      <c r="G12" s="287"/>
      <c r="H12" s="287"/>
      <c r="I12" s="293"/>
      <c r="J12" s="291"/>
      <c r="K12" s="268"/>
      <c r="L12" s="269"/>
      <c r="M12" s="6"/>
    </row>
    <row r="13" spans="2:13" ht="21.75" customHeight="1" x14ac:dyDescent="0.4">
      <c r="B13" s="284" t="s">
        <v>34</v>
      </c>
      <c r="C13" s="285"/>
      <c r="D13" s="295" t="s">
        <v>1819</v>
      </c>
      <c r="E13" s="295"/>
      <c r="F13" s="295"/>
      <c r="G13" s="295"/>
      <c r="H13" s="295"/>
      <c r="I13" s="292" t="s">
        <v>35</v>
      </c>
      <c r="J13" s="290">
        <v>44760</v>
      </c>
      <c r="K13" s="266" t="s">
        <v>1822</v>
      </c>
      <c r="L13" s="267"/>
      <c r="M13" s="6"/>
    </row>
    <row r="14" spans="2:13" ht="21.75" customHeight="1" x14ac:dyDescent="0.4">
      <c r="B14" s="284"/>
      <c r="C14" s="285"/>
      <c r="D14" s="296"/>
      <c r="E14" s="296"/>
      <c r="F14" s="296"/>
      <c r="G14" s="296"/>
      <c r="H14" s="296"/>
      <c r="I14" s="293"/>
      <c r="J14" s="291"/>
      <c r="K14" s="268"/>
      <c r="L14" s="269"/>
      <c r="M14" s="6"/>
    </row>
    <row r="15" spans="2:13" ht="21.75" customHeight="1" x14ac:dyDescent="0.4">
      <c r="B15" s="297" t="s">
        <v>36</v>
      </c>
      <c r="C15" s="298"/>
      <c r="D15" s="65" t="s">
        <v>37</v>
      </c>
      <c r="E15" s="7" t="s">
        <v>1820</v>
      </c>
      <c r="F15" s="8"/>
      <c r="G15" s="8"/>
      <c r="H15" s="9"/>
      <c r="I15" s="292" t="s">
        <v>38</v>
      </c>
      <c r="J15" s="290">
        <v>44767</v>
      </c>
      <c r="K15" s="266" t="s">
        <v>1822</v>
      </c>
      <c r="L15" s="267"/>
      <c r="M15" s="6"/>
    </row>
    <row r="16" spans="2:13" ht="21.75" customHeight="1" x14ac:dyDescent="0.4">
      <c r="B16" s="299"/>
      <c r="C16" s="300"/>
      <c r="D16" s="65" t="s">
        <v>39</v>
      </c>
      <c r="E16" s="326" t="s">
        <v>2284</v>
      </c>
      <c r="F16" s="327"/>
      <c r="G16" s="327"/>
      <c r="H16" s="328"/>
      <c r="I16" s="293"/>
      <c r="J16" s="291"/>
      <c r="K16" s="268"/>
      <c r="L16" s="269"/>
      <c r="M16" s="6"/>
    </row>
    <row r="17" spans="2:13" ht="21.75" customHeight="1" x14ac:dyDescent="0.4">
      <c r="B17" s="299"/>
      <c r="C17" s="300"/>
      <c r="D17" s="65" t="s">
        <v>37</v>
      </c>
      <c r="E17" s="10" t="s">
        <v>2286</v>
      </c>
      <c r="F17" s="11"/>
      <c r="G17" s="11"/>
      <c r="H17" s="151"/>
      <c r="I17" s="292" t="s">
        <v>40</v>
      </c>
      <c r="J17" s="290">
        <v>44790</v>
      </c>
      <c r="K17" s="266" t="s">
        <v>1822</v>
      </c>
      <c r="L17" s="267"/>
      <c r="M17" s="6"/>
    </row>
    <row r="18" spans="2:13" ht="21.75" customHeight="1" x14ac:dyDescent="0.4">
      <c r="B18" s="299"/>
      <c r="C18" s="300"/>
      <c r="D18" s="65" t="s">
        <v>39</v>
      </c>
      <c r="E18" s="326" t="s">
        <v>2285</v>
      </c>
      <c r="F18" s="327"/>
      <c r="G18" s="327"/>
      <c r="H18" s="328"/>
      <c r="I18" s="293"/>
      <c r="J18" s="291"/>
      <c r="K18" s="268"/>
      <c r="L18" s="269"/>
      <c r="M18" s="6"/>
    </row>
    <row r="19" spans="2:13" ht="21.75" customHeight="1" x14ac:dyDescent="0.4">
      <c r="B19" s="299"/>
      <c r="C19" s="300"/>
      <c r="D19" s="65" t="s">
        <v>37</v>
      </c>
      <c r="E19" s="10"/>
      <c r="F19" s="11"/>
      <c r="G19" s="11"/>
      <c r="H19" s="12"/>
      <c r="I19" s="314" t="s">
        <v>42</v>
      </c>
      <c r="J19" s="317"/>
      <c r="K19" s="318"/>
      <c r="L19" s="319"/>
      <c r="M19" s="6"/>
    </row>
    <row r="20" spans="2:13" ht="21.75" customHeight="1" x14ac:dyDescent="0.4">
      <c r="B20" s="312"/>
      <c r="C20" s="313"/>
      <c r="D20" s="65" t="s">
        <v>39</v>
      </c>
      <c r="E20" s="329"/>
      <c r="F20" s="330"/>
      <c r="G20" s="330"/>
      <c r="H20" s="331"/>
      <c r="I20" s="315"/>
      <c r="J20" s="320"/>
      <c r="K20" s="321"/>
      <c r="L20" s="322"/>
      <c r="M20" s="6"/>
    </row>
    <row r="21" spans="2:13" ht="21.75" customHeight="1" x14ac:dyDescent="0.4">
      <c r="B21" s="297" t="s">
        <v>41</v>
      </c>
      <c r="C21" s="298"/>
      <c r="D21" s="303" t="s">
        <v>1821</v>
      </c>
      <c r="E21" s="304"/>
      <c r="F21" s="304"/>
      <c r="G21" s="304"/>
      <c r="H21" s="305"/>
      <c r="I21" s="315"/>
      <c r="J21" s="320"/>
      <c r="K21" s="321"/>
      <c r="L21" s="322"/>
      <c r="M21" s="6"/>
    </row>
    <row r="22" spans="2:13" ht="21.75" customHeight="1" x14ac:dyDescent="0.4">
      <c r="B22" s="299"/>
      <c r="C22" s="300"/>
      <c r="D22" s="306"/>
      <c r="E22" s="307"/>
      <c r="F22" s="307"/>
      <c r="G22" s="307"/>
      <c r="H22" s="308"/>
      <c r="I22" s="315"/>
      <c r="J22" s="320"/>
      <c r="K22" s="321"/>
      <c r="L22" s="322"/>
      <c r="M22" s="6"/>
    </row>
    <row r="23" spans="2:13" ht="21.75" customHeight="1" thickBot="1" x14ac:dyDescent="0.45">
      <c r="B23" s="301"/>
      <c r="C23" s="302"/>
      <c r="D23" s="309"/>
      <c r="E23" s="310"/>
      <c r="F23" s="310"/>
      <c r="G23" s="310"/>
      <c r="H23" s="311"/>
      <c r="I23" s="316"/>
      <c r="J23" s="323"/>
      <c r="K23" s="324"/>
      <c r="L23" s="325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5"/>
  <sheetViews>
    <sheetView view="pageBreakPreview" zoomScale="80" zoomScaleNormal="85" zoomScaleSheetLayoutView="80" workbookViewId="0">
      <selection activeCell="M18" sqref="M18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70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7.399999999999999" customHeight="1" x14ac:dyDescent="0.4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4" spans="1:14" ht="28.2" customHeight="1" x14ac:dyDescent="0.4">
      <c r="F4" s="262" t="s">
        <v>125</v>
      </c>
      <c r="G4" s="262"/>
      <c r="H4" s="262"/>
      <c r="I4" s="262"/>
    </row>
    <row r="5" spans="1:14" ht="28.2" customHeight="1" x14ac:dyDescent="0.4">
      <c r="F5" s="262"/>
      <c r="G5" s="262"/>
      <c r="H5" s="262"/>
      <c r="I5" s="262"/>
    </row>
    <row r="6" spans="1:14" ht="28.2" customHeight="1" x14ac:dyDescent="0.4">
      <c r="H6" s="34"/>
    </row>
    <row r="7" spans="1:14" ht="28.2" customHeight="1" x14ac:dyDescent="0.4">
      <c r="F7" s="262" t="s">
        <v>128</v>
      </c>
      <c r="G7" s="262"/>
      <c r="H7" s="262"/>
      <c r="I7" s="262"/>
    </row>
    <row r="8" spans="1:14" ht="28.2" customHeight="1" x14ac:dyDescent="0.4">
      <c r="F8" s="262"/>
      <c r="G8" s="262"/>
      <c r="H8" s="262"/>
      <c r="I8" s="262"/>
    </row>
    <row r="9" spans="1:14" ht="28.2" customHeight="1" x14ac:dyDescent="0.4">
      <c r="A9" s="262" t="s">
        <v>130</v>
      </c>
      <c r="B9" s="262"/>
      <c r="C9" s="262"/>
      <c r="D9" s="262"/>
      <c r="E9" s="38"/>
      <c r="F9" s="39"/>
      <c r="G9" s="37"/>
      <c r="H9" s="39"/>
      <c r="I9" s="39"/>
      <c r="J9" s="36"/>
      <c r="K9" s="262" t="s">
        <v>178</v>
      </c>
      <c r="L9" s="262"/>
      <c r="M9" s="262"/>
      <c r="N9" s="262"/>
    </row>
    <row r="10" spans="1:14" ht="28.2" customHeight="1" x14ac:dyDescent="0.4">
      <c r="A10" s="261" t="s">
        <v>1796</v>
      </c>
      <c r="B10" s="262"/>
      <c r="C10" s="262"/>
      <c r="D10" s="262"/>
      <c r="G10" s="35"/>
      <c r="K10" s="261" t="s">
        <v>1797</v>
      </c>
      <c r="L10" s="262"/>
      <c r="M10" s="262"/>
      <c r="N10" s="262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262" t="s">
        <v>1798</v>
      </c>
      <c r="B13" s="262"/>
      <c r="C13" s="262"/>
      <c r="D13" s="262"/>
      <c r="F13" s="262" t="s">
        <v>1799</v>
      </c>
      <c r="G13" s="262"/>
      <c r="H13" s="262"/>
      <c r="I13" s="262"/>
      <c r="K13" s="262" t="s">
        <v>1800</v>
      </c>
      <c r="L13" s="262"/>
      <c r="M13" s="262"/>
      <c r="N13" s="262"/>
    </row>
    <row r="14" spans="1:14" ht="28.2" customHeight="1" x14ac:dyDescent="0.4">
      <c r="A14" s="262" t="s">
        <v>127</v>
      </c>
      <c r="B14" s="262"/>
      <c r="C14" s="262" t="s">
        <v>2296</v>
      </c>
      <c r="D14" s="262"/>
      <c r="F14" s="262" t="s">
        <v>127</v>
      </c>
      <c r="G14" s="262"/>
      <c r="H14" s="332" t="s">
        <v>2297</v>
      </c>
      <c r="I14" s="333"/>
      <c r="K14" s="262" t="s">
        <v>127</v>
      </c>
      <c r="L14" s="262"/>
      <c r="M14" s="334" t="s">
        <v>2297</v>
      </c>
      <c r="N14" s="333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262" t="s">
        <v>1801</v>
      </c>
      <c r="B16" s="262"/>
      <c r="C16" s="262" t="s">
        <v>2298</v>
      </c>
      <c r="D16" s="262"/>
      <c r="F16" s="262" t="s">
        <v>1801</v>
      </c>
      <c r="G16" s="262"/>
      <c r="H16" s="262" t="s">
        <v>2299</v>
      </c>
      <c r="I16" s="262"/>
      <c r="K16" s="262" t="s">
        <v>1801</v>
      </c>
      <c r="L16" s="262"/>
      <c r="M16" s="262" t="s">
        <v>2299</v>
      </c>
      <c r="N16" s="262"/>
    </row>
    <row r="17" spans="1:14" ht="28.2" customHeight="1" x14ac:dyDescent="0.4">
      <c r="A17" s="262" t="s">
        <v>126</v>
      </c>
      <c r="B17" s="262"/>
      <c r="C17" s="262" t="s">
        <v>1823</v>
      </c>
      <c r="D17" s="262"/>
      <c r="F17" s="262" t="s">
        <v>126</v>
      </c>
      <c r="G17" s="262"/>
      <c r="H17" s="262" t="s">
        <v>1823</v>
      </c>
      <c r="I17" s="262"/>
      <c r="K17" s="262" t="s">
        <v>126</v>
      </c>
      <c r="L17" s="262"/>
      <c r="M17" s="262" t="s">
        <v>2301</v>
      </c>
      <c r="N17" s="262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J329"/>
  <sheetViews>
    <sheetView zoomScale="85" zoomScaleNormal="85" zoomScaleSheetLayoutView="70" zoomScalePageLayoutView="55" workbookViewId="0">
      <pane ySplit="4" topLeftCell="A122" activePane="bottomLeft" state="frozen"/>
      <selection activeCell="E5" sqref="E5"/>
      <selection pane="bottomLeft" activeCell="R21" sqref="R21"/>
    </sheetView>
  </sheetViews>
  <sheetFormatPr defaultColWidth="10" defaultRowHeight="12" customHeight="1" outlineLevelRow="4" x14ac:dyDescent="0.4"/>
  <cols>
    <col min="1" max="1" width="9.09765625" style="233" hidden="1" customWidth="1"/>
    <col min="2" max="2" width="9" style="233" hidden="1" customWidth="1"/>
    <col min="3" max="3" width="8.3984375" style="233" hidden="1" customWidth="1"/>
    <col min="4" max="4" width="12.69921875" style="234" customWidth="1"/>
    <col min="5" max="9" width="2.69921875" style="235" customWidth="1"/>
    <col min="10" max="10" width="23.09765625" style="235" customWidth="1"/>
    <col min="11" max="11" width="0.5" style="235" hidden="1" customWidth="1"/>
    <col min="12" max="12" width="2.69921875" style="235" hidden="1" customWidth="1"/>
    <col min="13" max="13" width="14" style="235" hidden="1" customWidth="1"/>
    <col min="14" max="14" width="9.765625E-2" style="235" customWidth="1"/>
    <col min="15" max="15" width="6" style="236" customWidth="1"/>
    <col min="16" max="16" width="3" style="236" customWidth="1"/>
    <col min="17" max="18" width="9.8984375" style="237" customWidth="1"/>
    <col min="19" max="19" width="7.59765625" style="241" customWidth="1"/>
    <col min="20" max="20" width="6.3984375" style="238" customWidth="1"/>
    <col min="21" max="21" width="6.59765625" style="238" customWidth="1"/>
    <col min="22" max="22" width="5.8984375" style="238" customWidth="1"/>
    <col min="23" max="23" width="5" style="238" customWidth="1"/>
    <col min="24" max="25" width="9.69921875" style="237" hidden="1" customWidth="1"/>
    <col min="26" max="26" width="7.5" style="239" hidden="1" customWidth="1"/>
    <col min="27" max="27" width="6" style="240" hidden="1" customWidth="1"/>
    <col min="28" max="28" width="6.09765625" style="238" customWidth="1"/>
    <col min="29" max="29" width="8.59765625" style="241" customWidth="1"/>
    <col min="30" max="30" width="5.8984375" style="242" customWidth="1"/>
    <col min="31" max="31" width="7.69921875" style="243" customWidth="1"/>
    <col min="32" max="32" width="7.19921875" style="244" customWidth="1"/>
    <col min="33" max="452" width="1.8984375" style="187" customWidth="1"/>
    <col min="453" max="16384" width="10" style="187"/>
  </cols>
  <sheetData>
    <row r="1" spans="1:452" s="161" customFormat="1" ht="19.95" customHeight="1" x14ac:dyDescent="0.4">
      <c r="A1" s="155"/>
      <c r="B1" s="156"/>
      <c r="C1" s="157"/>
      <c r="D1" s="370" t="s">
        <v>1824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158" t="e">
        <f t="array" aca="1" ref="AF1" ca="1">xlgantt.ProjectProgressString()</f>
        <v>#NAME?</v>
      </c>
      <c r="AG1" s="159" t="s">
        <v>1825</v>
      </c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</row>
    <row r="2" spans="1:452" s="161" customFormat="1" ht="15" customHeight="1" x14ac:dyDescent="0.4">
      <c r="A2" s="155"/>
      <c r="B2" s="155"/>
      <c r="C2" s="157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162" t="e">
        <f t="array" aca="1" ref="AF2" ca="1">xlgantt.CommentOnHeadArea()</f>
        <v>#NAME?</v>
      </c>
      <c r="AG2" s="360" t="s">
        <v>1826</v>
      </c>
      <c r="AH2" s="360"/>
      <c r="AI2" s="360"/>
      <c r="AJ2" s="360"/>
      <c r="AK2" s="360" t="s">
        <v>1827</v>
      </c>
      <c r="AL2" s="360"/>
      <c r="AM2" s="360"/>
      <c r="AN2" s="360"/>
      <c r="AO2" s="360" t="s">
        <v>1828</v>
      </c>
      <c r="AP2" s="360"/>
      <c r="AQ2" s="360"/>
      <c r="AR2" s="360"/>
      <c r="AS2" s="360" t="s">
        <v>1829</v>
      </c>
      <c r="AT2" s="360"/>
      <c r="AU2" s="360"/>
      <c r="AV2" s="360"/>
      <c r="AW2" s="360" t="s">
        <v>1830</v>
      </c>
      <c r="AX2" s="360"/>
      <c r="AY2" s="360"/>
      <c r="AZ2" s="360"/>
      <c r="BA2" s="360" t="s">
        <v>1831</v>
      </c>
      <c r="BB2" s="360"/>
      <c r="BC2" s="360"/>
      <c r="BD2" s="360"/>
      <c r="BE2" s="360" t="s">
        <v>1832</v>
      </c>
      <c r="BF2" s="360"/>
      <c r="BG2" s="360"/>
      <c r="BH2" s="360"/>
      <c r="BI2" s="360" t="s">
        <v>1833</v>
      </c>
      <c r="BJ2" s="360"/>
      <c r="BK2" s="360"/>
      <c r="BL2" s="360"/>
      <c r="BM2" s="360" t="s">
        <v>1834</v>
      </c>
      <c r="BN2" s="360"/>
      <c r="BO2" s="360"/>
      <c r="BP2" s="360"/>
      <c r="BQ2" s="360" t="s">
        <v>1835</v>
      </c>
      <c r="BR2" s="360"/>
      <c r="BS2" s="360"/>
      <c r="BT2" s="360"/>
      <c r="BU2" s="360" t="s">
        <v>1836</v>
      </c>
      <c r="BV2" s="360"/>
      <c r="BW2" s="360"/>
      <c r="BX2" s="360"/>
      <c r="BY2" s="360" t="s">
        <v>1837</v>
      </c>
      <c r="BZ2" s="360"/>
      <c r="CA2" s="360"/>
      <c r="CB2" s="360"/>
      <c r="CC2" s="360" t="s">
        <v>1838</v>
      </c>
      <c r="CD2" s="360"/>
      <c r="CE2" s="360"/>
      <c r="CF2" s="360"/>
      <c r="CG2" s="360" t="s">
        <v>1839</v>
      </c>
      <c r="CH2" s="360"/>
      <c r="CI2" s="360"/>
      <c r="CJ2" s="360"/>
      <c r="CK2" s="360" t="s">
        <v>1840</v>
      </c>
      <c r="CL2" s="360"/>
      <c r="CM2" s="360"/>
      <c r="CN2" s="360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3"/>
      <c r="MC2" s="163"/>
      <c r="MD2" s="163"/>
      <c r="ME2" s="163"/>
      <c r="MF2" s="163"/>
      <c r="MG2" s="163"/>
      <c r="MH2" s="163"/>
      <c r="MI2" s="163"/>
      <c r="MJ2" s="163"/>
      <c r="MK2" s="163"/>
      <c r="ML2" s="163"/>
      <c r="MM2" s="163"/>
      <c r="MN2" s="163"/>
      <c r="MO2" s="163"/>
      <c r="MP2" s="163"/>
      <c r="MQ2" s="163"/>
      <c r="MR2" s="163"/>
      <c r="MS2" s="163"/>
      <c r="MT2" s="163"/>
      <c r="MU2" s="163"/>
      <c r="MV2" s="163"/>
      <c r="MW2" s="163"/>
      <c r="MX2" s="163"/>
      <c r="MY2" s="163"/>
      <c r="MZ2" s="163"/>
      <c r="NA2" s="163"/>
      <c r="NB2" s="163"/>
      <c r="NC2" s="163"/>
      <c r="ND2" s="163"/>
      <c r="NE2" s="163"/>
      <c r="NF2" s="163"/>
      <c r="NG2" s="163"/>
      <c r="NH2" s="163"/>
      <c r="NI2" s="163"/>
      <c r="NJ2" s="163"/>
      <c r="NK2" s="163"/>
      <c r="NL2" s="163"/>
      <c r="NM2" s="163"/>
      <c r="NN2" s="163"/>
      <c r="NO2" s="163"/>
      <c r="NP2" s="163"/>
      <c r="NQ2" s="163"/>
      <c r="NR2" s="163"/>
      <c r="NS2" s="163"/>
      <c r="NT2" s="163"/>
      <c r="NU2" s="163"/>
      <c r="NV2" s="163"/>
      <c r="NW2" s="163"/>
      <c r="NX2" s="163"/>
      <c r="NY2" s="163"/>
      <c r="NZ2" s="163"/>
      <c r="OA2" s="163"/>
      <c r="OB2" s="163"/>
      <c r="OC2" s="163"/>
      <c r="OD2" s="163"/>
      <c r="OE2" s="163"/>
      <c r="OF2" s="163"/>
      <c r="OG2" s="163"/>
      <c r="OH2" s="163"/>
      <c r="OI2" s="163"/>
      <c r="OJ2" s="163"/>
      <c r="OK2" s="163"/>
      <c r="OL2" s="163"/>
      <c r="OM2" s="163"/>
      <c r="ON2" s="163"/>
      <c r="OO2" s="163"/>
      <c r="OP2" s="163"/>
      <c r="OQ2" s="163"/>
      <c r="OR2" s="163"/>
      <c r="OS2" s="163"/>
      <c r="OT2" s="163"/>
      <c r="OU2" s="163"/>
      <c r="OV2" s="163"/>
      <c r="OW2" s="163"/>
      <c r="OX2" s="163"/>
      <c r="OY2" s="163"/>
      <c r="OZ2" s="163"/>
      <c r="PA2" s="163"/>
      <c r="PB2" s="163"/>
      <c r="PC2" s="163"/>
      <c r="PD2" s="163"/>
      <c r="PE2" s="163"/>
      <c r="PF2" s="163"/>
      <c r="PG2" s="163"/>
      <c r="PH2" s="163"/>
      <c r="PI2" s="163"/>
      <c r="PJ2" s="163"/>
      <c r="PK2" s="163"/>
      <c r="PL2" s="163"/>
      <c r="PM2" s="163"/>
      <c r="PN2" s="163"/>
      <c r="PO2" s="163"/>
      <c r="PP2" s="163"/>
      <c r="PQ2" s="163"/>
      <c r="PR2" s="163"/>
      <c r="PS2" s="163"/>
      <c r="PT2" s="163"/>
      <c r="PU2" s="163"/>
      <c r="PV2" s="163"/>
      <c r="PW2" s="163"/>
      <c r="PX2" s="163"/>
      <c r="PY2" s="163"/>
      <c r="PZ2" s="163"/>
      <c r="QA2" s="163"/>
      <c r="QB2" s="163"/>
      <c r="QC2" s="163"/>
      <c r="QD2" s="163"/>
      <c r="QE2" s="163"/>
      <c r="QF2" s="163"/>
      <c r="QG2" s="163"/>
      <c r="QH2" s="163"/>
      <c r="QI2" s="163"/>
      <c r="QJ2" s="163"/>
    </row>
    <row r="3" spans="1:452" s="165" customFormat="1" ht="19.05" customHeight="1" x14ac:dyDescent="0.4">
      <c r="A3" s="361" t="s">
        <v>1841</v>
      </c>
      <c r="B3" s="363" t="s">
        <v>1842</v>
      </c>
      <c r="C3" s="365" t="s">
        <v>1843</v>
      </c>
      <c r="D3" s="366" t="s">
        <v>1844</v>
      </c>
      <c r="E3" s="367" t="s">
        <v>1845</v>
      </c>
      <c r="F3" s="368"/>
      <c r="G3" s="368"/>
      <c r="H3" s="368"/>
      <c r="I3" s="368"/>
      <c r="J3" s="368"/>
      <c r="K3" s="368"/>
      <c r="L3" s="368"/>
      <c r="M3" s="368"/>
      <c r="N3" s="368"/>
      <c r="O3" s="338" t="s">
        <v>1846</v>
      </c>
      <c r="P3" s="164" t="s">
        <v>1847</v>
      </c>
      <c r="Q3" s="338" t="s">
        <v>1848</v>
      </c>
      <c r="R3" s="338" t="s">
        <v>1849</v>
      </c>
      <c r="S3" s="349" t="s">
        <v>1850</v>
      </c>
      <c r="T3" s="351" t="s">
        <v>1851</v>
      </c>
      <c r="U3" s="353" t="s">
        <v>1852</v>
      </c>
      <c r="V3" s="351" t="s">
        <v>1853</v>
      </c>
      <c r="W3" s="351" t="s">
        <v>1854</v>
      </c>
      <c r="X3" s="355" t="s">
        <v>1855</v>
      </c>
      <c r="Y3" s="355" t="s">
        <v>1856</v>
      </c>
      <c r="Z3" s="356" t="s">
        <v>1857</v>
      </c>
      <c r="AA3" s="358" t="s">
        <v>1858</v>
      </c>
      <c r="AB3" s="347" t="s">
        <v>1859</v>
      </c>
      <c r="AC3" s="338" t="s">
        <v>1860</v>
      </c>
      <c r="AD3" s="340" t="s">
        <v>1861</v>
      </c>
      <c r="AE3" s="342" t="s">
        <v>1862</v>
      </c>
      <c r="AF3" s="344" t="s">
        <v>1863</v>
      </c>
      <c r="AG3" s="346" t="s">
        <v>1864</v>
      </c>
      <c r="AH3" s="336"/>
      <c r="AI3" s="336"/>
      <c r="AJ3" s="336"/>
      <c r="AK3" s="335" t="s">
        <v>1865</v>
      </c>
      <c r="AL3" s="336"/>
      <c r="AM3" s="336"/>
      <c r="AN3" s="336"/>
      <c r="AO3" s="335" t="s">
        <v>1866</v>
      </c>
      <c r="AP3" s="336"/>
      <c r="AQ3" s="336"/>
      <c r="AR3" s="336"/>
      <c r="AS3" s="335" t="s">
        <v>1867</v>
      </c>
      <c r="AT3" s="336"/>
      <c r="AU3" s="336"/>
      <c r="AV3" s="336"/>
      <c r="AW3" s="335" t="s">
        <v>1868</v>
      </c>
      <c r="AX3" s="336"/>
      <c r="AY3" s="336"/>
      <c r="AZ3" s="336"/>
      <c r="BA3" s="335" t="s">
        <v>1869</v>
      </c>
      <c r="BB3" s="336"/>
      <c r="BC3" s="336"/>
      <c r="BD3" s="336"/>
      <c r="BE3" s="335" t="s">
        <v>1870</v>
      </c>
      <c r="BF3" s="336"/>
      <c r="BG3" s="336"/>
      <c r="BH3" s="336"/>
      <c r="BI3" s="335" t="s">
        <v>1871</v>
      </c>
      <c r="BJ3" s="336"/>
      <c r="BK3" s="336"/>
      <c r="BL3" s="336"/>
      <c r="BM3" s="335" t="s">
        <v>1872</v>
      </c>
      <c r="BN3" s="336"/>
      <c r="BO3" s="336"/>
      <c r="BP3" s="336"/>
      <c r="BQ3" s="335" t="s">
        <v>1873</v>
      </c>
      <c r="BR3" s="336"/>
      <c r="BS3" s="336"/>
      <c r="BT3" s="336"/>
      <c r="BU3" s="335" t="s">
        <v>1874</v>
      </c>
      <c r="BV3" s="336"/>
      <c r="BW3" s="336"/>
      <c r="BX3" s="336"/>
      <c r="BY3" s="335" t="s">
        <v>1875</v>
      </c>
      <c r="BZ3" s="336"/>
      <c r="CA3" s="336"/>
      <c r="CB3" s="336"/>
      <c r="CC3" s="335" t="s">
        <v>1876</v>
      </c>
      <c r="CD3" s="336"/>
      <c r="CE3" s="336"/>
      <c r="CF3" s="336"/>
      <c r="CG3" s="335" t="s">
        <v>1877</v>
      </c>
      <c r="CH3" s="336"/>
      <c r="CI3" s="336"/>
      <c r="CJ3" s="336"/>
      <c r="CK3" s="335" t="s">
        <v>1878</v>
      </c>
      <c r="CL3" s="336"/>
      <c r="CM3" s="336"/>
      <c r="CN3" s="337"/>
    </row>
    <row r="4" spans="1:452" s="171" customFormat="1" ht="6" customHeight="1" x14ac:dyDescent="0.4">
      <c r="A4" s="362"/>
      <c r="B4" s="364"/>
      <c r="C4" s="361"/>
      <c r="D4" s="341"/>
      <c r="E4" s="369"/>
      <c r="F4" s="368"/>
      <c r="G4" s="368"/>
      <c r="H4" s="368"/>
      <c r="I4" s="368"/>
      <c r="J4" s="368"/>
      <c r="K4" s="368"/>
      <c r="L4" s="368"/>
      <c r="M4" s="368"/>
      <c r="N4" s="368"/>
      <c r="O4" s="339"/>
      <c r="P4" s="166"/>
      <c r="Q4" s="339"/>
      <c r="R4" s="339"/>
      <c r="S4" s="350"/>
      <c r="T4" s="352"/>
      <c r="U4" s="354"/>
      <c r="V4" s="352"/>
      <c r="W4" s="352"/>
      <c r="X4" s="339"/>
      <c r="Y4" s="339"/>
      <c r="Z4" s="357"/>
      <c r="AA4" s="359"/>
      <c r="AB4" s="348"/>
      <c r="AC4" s="339"/>
      <c r="AD4" s="341"/>
      <c r="AE4" s="343"/>
      <c r="AF4" s="345"/>
      <c r="AG4" s="167">
        <v>44689</v>
      </c>
      <c r="AH4" s="168">
        <v>44696</v>
      </c>
      <c r="AI4" s="168">
        <v>44703</v>
      </c>
      <c r="AJ4" s="168">
        <v>44710</v>
      </c>
      <c r="AK4" s="168">
        <v>44717</v>
      </c>
      <c r="AL4" s="168">
        <v>44724</v>
      </c>
      <c r="AM4" s="168">
        <v>44731</v>
      </c>
      <c r="AN4" s="168">
        <v>44738</v>
      </c>
      <c r="AO4" s="168">
        <v>44745</v>
      </c>
      <c r="AP4" s="168">
        <v>44752</v>
      </c>
      <c r="AQ4" s="168">
        <v>44759</v>
      </c>
      <c r="AR4" s="168">
        <v>44766</v>
      </c>
      <c r="AS4" s="168">
        <v>44773</v>
      </c>
      <c r="AT4" s="168">
        <v>44780</v>
      </c>
      <c r="AU4" s="168">
        <v>44787</v>
      </c>
      <c r="AV4" s="168">
        <v>44794</v>
      </c>
      <c r="AW4" s="168">
        <v>44801</v>
      </c>
      <c r="AX4" s="168">
        <v>44808</v>
      </c>
      <c r="AY4" s="168">
        <v>44815</v>
      </c>
      <c r="AZ4" s="168">
        <v>44822</v>
      </c>
      <c r="BA4" s="168">
        <v>44829</v>
      </c>
      <c r="BB4" s="168">
        <v>44836</v>
      </c>
      <c r="BC4" s="168">
        <v>44843</v>
      </c>
      <c r="BD4" s="168">
        <v>44850</v>
      </c>
      <c r="BE4" s="168">
        <v>44857</v>
      </c>
      <c r="BF4" s="168">
        <v>44864</v>
      </c>
      <c r="BG4" s="168">
        <v>44871</v>
      </c>
      <c r="BH4" s="168">
        <v>44878</v>
      </c>
      <c r="BI4" s="168">
        <v>44885</v>
      </c>
      <c r="BJ4" s="168">
        <v>44892</v>
      </c>
      <c r="BK4" s="168">
        <v>44899</v>
      </c>
      <c r="BL4" s="168">
        <v>44906</v>
      </c>
      <c r="BM4" s="168">
        <v>44913</v>
      </c>
      <c r="BN4" s="168">
        <v>44920</v>
      </c>
      <c r="BO4" s="168">
        <v>44927</v>
      </c>
      <c r="BP4" s="168">
        <v>44934</v>
      </c>
      <c r="BQ4" s="168">
        <v>44941</v>
      </c>
      <c r="BR4" s="168">
        <v>44948</v>
      </c>
      <c r="BS4" s="168">
        <v>44955</v>
      </c>
      <c r="BT4" s="168">
        <v>44962</v>
      </c>
      <c r="BU4" s="168">
        <v>44969</v>
      </c>
      <c r="BV4" s="168">
        <v>44976</v>
      </c>
      <c r="BW4" s="168">
        <v>44983</v>
      </c>
      <c r="BX4" s="168">
        <v>44990</v>
      </c>
      <c r="BY4" s="168">
        <v>44997</v>
      </c>
      <c r="BZ4" s="168">
        <v>45004</v>
      </c>
      <c r="CA4" s="168">
        <v>45011</v>
      </c>
      <c r="CB4" s="168">
        <v>45018</v>
      </c>
      <c r="CC4" s="168">
        <v>45025</v>
      </c>
      <c r="CD4" s="168">
        <v>45032</v>
      </c>
      <c r="CE4" s="168">
        <v>45039</v>
      </c>
      <c r="CF4" s="168">
        <v>45046</v>
      </c>
      <c r="CG4" s="168">
        <v>45053</v>
      </c>
      <c r="CH4" s="168">
        <v>45060</v>
      </c>
      <c r="CI4" s="168">
        <v>45067</v>
      </c>
      <c r="CJ4" s="168">
        <v>45074</v>
      </c>
      <c r="CK4" s="168">
        <v>45081</v>
      </c>
      <c r="CL4" s="168">
        <v>45088</v>
      </c>
      <c r="CM4" s="168">
        <v>45095</v>
      </c>
      <c r="CN4" s="169">
        <v>45102</v>
      </c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  <c r="IO4" s="170"/>
      <c r="IP4" s="170"/>
      <c r="IQ4" s="170"/>
      <c r="IR4" s="170"/>
      <c r="IS4" s="170"/>
      <c r="IT4" s="170"/>
      <c r="IU4" s="170"/>
      <c r="IV4" s="170"/>
      <c r="IW4" s="170"/>
      <c r="IX4" s="170"/>
      <c r="IY4" s="170"/>
      <c r="IZ4" s="170"/>
      <c r="JA4" s="170"/>
      <c r="JB4" s="170"/>
      <c r="JC4" s="170"/>
      <c r="JD4" s="170"/>
      <c r="JE4" s="170"/>
      <c r="JF4" s="170"/>
      <c r="JG4" s="170"/>
      <c r="JH4" s="170"/>
      <c r="JI4" s="170"/>
      <c r="JJ4" s="170"/>
      <c r="JK4" s="170"/>
      <c r="JL4" s="170"/>
      <c r="JM4" s="170"/>
      <c r="JN4" s="170"/>
      <c r="JO4" s="170"/>
      <c r="JP4" s="170"/>
      <c r="JQ4" s="170"/>
      <c r="JR4" s="170"/>
      <c r="JS4" s="170"/>
      <c r="JT4" s="170"/>
      <c r="JU4" s="170"/>
      <c r="JV4" s="170"/>
      <c r="JW4" s="170"/>
      <c r="JX4" s="170"/>
      <c r="JY4" s="170"/>
      <c r="JZ4" s="170"/>
      <c r="KA4" s="170"/>
      <c r="KB4" s="170"/>
      <c r="KC4" s="170"/>
      <c r="KD4" s="170"/>
      <c r="KE4" s="170"/>
      <c r="KF4" s="170"/>
      <c r="KG4" s="170"/>
      <c r="KH4" s="170"/>
      <c r="KI4" s="170"/>
      <c r="KJ4" s="170"/>
      <c r="KK4" s="170"/>
      <c r="KL4" s="170"/>
      <c r="KM4" s="170"/>
      <c r="KN4" s="170"/>
      <c r="KO4" s="170"/>
      <c r="KP4" s="170"/>
      <c r="KQ4" s="170"/>
      <c r="KR4" s="170"/>
      <c r="KS4" s="170"/>
      <c r="KT4" s="170"/>
      <c r="KU4" s="170"/>
      <c r="KV4" s="170"/>
      <c r="KW4" s="170"/>
      <c r="KX4" s="170"/>
      <c r="KY4" s="170"/>
      <c r="KZ4" s="170"/>
      <c r="LA4" s="170"/>
      <c r="LB4" s="170"/>
      <c r="LC4" s="170"/>
      <c r="LD4" s="170"/>
      <c r="LE4" s="170"/>
      <c r="LF4" s="170"/>
      <c r="LG4" s="170"/>
      <c r="LH4" s="170"/>
      <c r="LI4" s="170"/>
      <c r="LJ4" s="170"/>
      <c r="LK4" s="170"/>
      <c r="LL4" s="170"/>
      <c r="LM4" s="170"/>
      <c r="LN4" s="170"/>
      <c r="LO4" s="170"/>
      <c r="LP4" s="170"/>
      <c r="LQ4" s="170"/>
      <c r="LR4" s="170"/>
      <c r="LS4" s="170"/>
      <c r="LT4" s="170"/>
      <c r="LU4" s="170"/>
      <c r="LV4" s="170"/>
      <c r="LW4" s="170"/>
      <c r="LX4" s="170"/>
      <c r="LY4" s="170"/>
      <c r="LZ4" s="170"/>
      <c r="MA4" s="170"/>
      <c r="MB4" s="170"/>
      <c r="MC4" s="170"/>
      <c r="MD4" s="170"/>
      <c r="ME4" s="170"/>
      <c r="MF4" s="170"/>
      <c r="MG4" s="170"/>
      <c r="MH4" s="170"/>
      <c r="MI4" s="170"/>
      <c r="MJ4" s="170"/>
      <c r="MK4" s="170"/>
      <c r="ML4" s="170"/>
      <c r="MM4" s="170"/>
      <c r="MN4" s="170"/>
      <c r="MO4" s="170"/>
      <c r="MP4" s="170"/>
      <c r="MQ4" s="170"/>
      <c r="MR4" s="170"/>
      <c r="MS4" s="170"/>
      <c r="MT4" s="170"/>
      <c r="MU4" s="170"/>
      <c r="MV4" s="170"/>
      <c r="MW4" s="170"/>
      <c r="MX4" s="170"/>
      <c r="MY4" s="170"/>
      <c r="MZ4" s="170"/>
      <c r="NA4" s="170"/>
      <c r="NB4" s="170"/>
      <c r="NC4" s="170"/>
      <c r="ND4" s="170"/>
      <c r="NE4" s="170"/>
      <c r="NF4" s="170"/>
      <c r="NG4" s="170"/>
      <c r="NH4" s="170"/>
      <c r="NI4" s="170"/>
      <c r="NJ4" s="170"/>
      <c r="NK4" s="170"/>
      <c r="NL4" s="170"/>
      <c r="NM4" s="170"/>
      <c r="NN4" s="170"/>
      <c r="NO4" s="170"/>
      <c r="NP4" s="170"/>
      <c r="NQ4" s="170"/>
      <c r="NR4" s="170"/>
      <c r="NS4" s="170"/>
      <c r="NT4" s="170"/>
      <c r="NU4" s="170"/>
      <c r="NV4" s="170"/>
      <c r="NW4" s="170"/>
      <c r="NX4" s="170"/>
      <c r="NY4" s="170"/>
      <c r="NZ4" s="170"/>
      <c r="OA4" s="170"/>
      <c r="OB4" s="170"/>
      <c r="OC4" s="170"/>
      <c r="OD4" s="170"/>
      <c r="OE4" s="170"/>
      <c r="OF4" s="170"/>
      <c r="OG4" s="170"/>
      <c r="OH4" s="170"/>
      <c r="OI4" s="170"/>
      <c r="OJ4" s="170"/>
      <c r="OK4" s="170"/>
      <c r="OL4" s="170"/>
      <c r="OM4" s="170"/>
      <c r="ON4" s="170"/>
      <c r="OO4" s="170"/>
      <c r="OP4" s="170"/>
      <c r="OQ4" s="170"/>
      <c r="OR4" s="170"/>
      <c r="OS4" s="170"/>
      <c r="OT4" s="170"/>
      <c r="OU4" s="170"/>
      <c r="OV4" s="170"/>
      <c r="OW4" s="170"/>
      <c r="OX4" s="170"/>
      <c r="OY4" s="170"/>
      <c r="OZ4" s="170"/>
      <c r="PA4" s="170"/>
      <c r="PB4" s="170"/>
      <c r="PC4" s="170"/>
      <c r="PD4" s="170"/>
      <c r="PE4" s="170"/>
      <c r="PF4" s="170"/>
      <c r="PG4" s="170"/>
      <c r="PH4" s="170"/>
      <c r="PI4" s="170"/>
      <c r="PJ4" s="170"/>
      <c r="PK4" s="170"/>
      <c r="PL4" s="170"/>
      <c r="PM4" s="170"/>
      <c r="PN4" s="170"/>
      <c r="PO4" s="170"/>
      <c r="PP4" s="170"/>
      <c r="PQ4" s="170"/>
      <c r="PR4" s="170"/>
      <c r="PS4" s="170"/>
      <c r="PT4" s="170"/>
      <c r="PU4" s="170"/>
      <c r="PV4" s="170"/>
      <c r="PW4" s="170"/>
      <c r="PX4" s="170"/>
      <c r="PY4" s="170"/>
      <c r="PZ4" s="170"/>
      <c r="QA4" s="170"/>
      <c r="QB4" s="170"/>
      <c r="QC4" s="170"/>
      <c r="QD4" s="170"/>
      <c r="QE4" s="170"/>
      <c r="QF4" s="170"/>
      <c r="QG4" s="170"/>
      <c r="QH4" s="170"/>
      <c r="QI4" s="170"/>
      <c r="QJ4" s="170"/>
    </row>
    <row r="5" spans="1:452" ht="15" customHeight="1" x14ac:dyDescent="0.4">
      <c r="A5" s="172"/>
      <c r="B5" s="172" t="s">
        <v>1879</v>
      </c>
      <c r="C5" s="172">
        <v>1</v>
      </c>
      <c r="D5" s="173" t="s">
        <v>1880</v>
      </c>
      <c r="E5" s="174" t="s">
        <v>1881</v>
      </c>
      <c r="F5" s="174"/>
      <c r="G5" s="174"/>
      <c r="H5" s="174"/>
      <c r="I5" s="174"/>
      <c r="J5" s="174"/>
      <c r="K5" s="174"/>
      <c r="L5" s="174"/>
      <c r="M5" s="174"/>
      <c r="N5" s="174"/>
      <c r="O5" s="175"/>
      <c r="P5" s="175"/>
      <c r="Q5" s="176">
        <v>44694</v>
      </c>
      <c r="R5" s="176">
        <v>44803</v>
      </c>
      <c r="S5" s="177"/>
      <c r="T5" s="178">
        <v>1697</v>
      </c>
      <c r="U5" s="178">
        <v>1422</v>
      </c>
      <c r="V5" s="178">
        <v>110</v>
      </c>
      <c r="W5" s="178">
        <v>76</v>
      </c>
      <c r="X5" s="179"/>
      <c r="Y5" s="179"/>
      <c r="Z5" s="180">
        <v>0</v>
      </c>
      <c r="AA5" s="181">
        <v>0</v>
      </c>
      <c r="AB5" s="178"/>
      <c r="AC5" s="177"/>
      <c r="AD5" s="182"/>
      <c r="AE5" s="183">
        <v>0.83794932233352981</v>
      </c>
      <c r="AF5" s="184">
        <v>0.82379222156747201</v>
      </c>
      <c r="AG5" s="185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 t="str">
        <f>"     " &amp; TEXT(AF5,"#0.00%") &amp; " " &amp; "설계" &amp; " " &amp; IF(Q5="","",TEXT(Q5,"M/D-")) &amp; IF(R5="","",TEXT(R5,"M/D")) &amp; " "</f>
        <v xml:space="preserve">     82.38% 설계 5/13-8/30 </v>
      </c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</row>
    <row r="6" spans="1:452" ht="15" customHeight="1" outlineLevel="1" x14ac:dyDescent="0.4">
      <c r="A6" s="172"/>
      <c r="B6" s="172" t="s">
        <v>1879</v>
      </c>
      <c r="C6" s="172">
        <v>2</v>
      </c>
      <c r="D6" s="173" t="s">
        <v>1882</v>
      </c>
      <c r="E6" s="174"/>
      <c r="F6" s="174" t="s">
        <v>1883</v>
      </c>
      <c r="G6" s="174"/>
      <c r="H6" s="174"/>
      <c r="I6" s="174"/>
      <c r="J6" s="174"/>
      <c r="K6" s="174"/>
      <c r="L6" s="174"/>
      <c r="M6" s="174"/>
      <c r="N6" s="174"/>
      <c r="O6" s="175"/>
      <c r="P6" s="175"/>
      <c r="Q6" s="176">
        <v>44694</v>
      </c>
      <c r="R6" s="176">
        <v>44803</v>
      </c>
      <c r="S6" s="177"/>
      <c r="T6" s="178">
        <v>1697</v>
      </c>
      <c r="U6" s="178">
        <v>1422</v>
      </c>
      <c r="V6" s="178">
        <v>110</v>
      </c>
      <c r="W6" s="178">
        <v>76</v>
      </c>
      <c r="X6" s="179"/>
      <c r="Y6" s="179"/>
      <c r="Z6" s="180">
        <v>0</v>
      </c>
      <c r="AA6" s="181">
        <v>0</v>
      </c>
      <c r="AB6" s="178"/>
      <c r="AC6" s="177"/>
      <c r="AD6" s="182"/>
      <c r="AE6" s="183">
        <v>0.83794932233352981</v>
      </c>
      <c r="AF6" s="184">
        <v>0.82379222156747201</v>
      </c>
      <c r="AG6" s="185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 t="str">
        <f>"     " &amp; TEXT(AF6,"#0.00%") &amp; " " &amp; "SKOH2" &amp; " " &amp; IF(Q6="","",TEXT(Q6,"M/D-")) &amp; IF(R6="","",TEXT(R6,"M/D")) &amp; " "</f>
        <v xml:space="preserve">     82.38% SKOH2 5/13-8/30 </v>
      </c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</row>
    <row r="7" spans="1:452" ht="15" customHeight="1" outlineLevel="2" x14ac:dyDescent="0.4">
      <c r="A7" s="172"/>
      <c r="B7" s="172"/>
      <c r="C7" s="172">
        <v>3</v>
      </c>
      <c r="D7" s="173" t="s">
        <v>1884</v>
      </c>
      <c r="E7" s="174"/>
      <c r="F7" s="174"/>
      <c r="G7" s="174" t="s">
        <v>1885</v>
      </c>
      <c r="H7" s="174"/>
      <c r="I7" s="174"/>
      <c r="J7" s="174"/>
      <c r="K7" s="174"/>
      <c r="L7" s="174"/>
      <c r="M7" s="174"/>
      <c r="N7" s="174"/>
      <c r="O7" s="175"/>
      <c r="P7" s="175"/>
      <c r="Q7" s="176">
        <v>44694</v>
      </c>
      <c r="R7" s="176">
        <v>44773</v>
      </c>
      <c r="S7" s="177"/>
      <c r="T7" s="178">
        <v>80</v>
      </c>
      <c r="U7" s="178">
        <v>76</v>
      </c>
      <c r="V7" s="178">
        <v>80</v>
      </c>
      <c r="W7" s="178">
        <v>76</v>
      </c>
      <c r="X7" s="179"/>
      <c r="Y7" s="179"/>
      <c r="Z7" s="180"/>
      <c r="AA7" s="181">
        <v>0</v>
      </c>
      <c r="AB7" s="178">
        <v>1</v>
      </c>
      <c r="AC7" s="177"/>
      <c r="AD7" s="182"/>
      <c r="AE7" s="183">
        <v>0.95</v>
      </c>
      <c r="AF7" s="188">
        <v>0.92500000000000004</v>
      </c>
      <c r="AG7" s="185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 t="str">
        <f>"  " &amp; TEXT(AF7,"#0.00%") &amp; " " &amp; "Layout" &amp; " " &amp; IF(Q7="","",TEXT(Q7,"M/D-")) &amp; IF(R7="","",TEXT(R7,"M/D")) &amp; " "</f>
        <v xml:space="preserve">  92.50% Layout 5/13-7/31 </v>
      </c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</row>
    <row r="8" spans="1:452" ht="15" customHeight="1" outlineLevel="2" x14ac:dyDescent="0.4">
      <c r="A8" s="172"/>
      <c r="B8" s="172" t="s">
        <v>1879</v>
      </c>
      <c r="C8" s="172">
        <v>3</v>
      </c>
      <c r="D8" s="173" t="s">
        <v>1886</v>
      </c>
      <c r="E8" s="174"/>
      <c r="F8" s="174"/>
      <c r="G8" s="174" t="s">
        <v>1887</v>
      </c>
      <c r="H8" s="174"/>
      <c r="I8" s="174"/>
      <c r="J8" s="174"/>
      <c r="K8" s="174"/>
      <c r="L8" s="174"/>
      <c r="M8" s="174"/>
      <c r="N8" s="174"/>
      <c r="O8" s="175" t="s">
        <v>1888</v>
      </c>
      <c r="P8" s="175"/>
      <c r="Q8" s="176">
        <v>44694</v>
      </c>
      <c r="R8" s="176">
        <v>44803</v>
      </c>
      <c r="S8" s="177"/>
      <c r="T8" s="178">
        <v>158</v>
      </c>
      <c r="U8" s="178">
        <v>119</v>
      </c>
      <c r="V8" s="178">
        <v>110</v>
      </c>
      <c r="W8" s="178">
        <v>76</v>
      </c>
      <c r="X8" s="179"/>
      <c r="Y8" s="179"/>
      <c r="Z8" s="180">
        <v>0</v>
      </c>
      <c r="AA8" s="181">
        <v>0</v>
      </c>
      <c r="AB8" s="178"/>
      <c r="AC8" s="177"/>
      <c r="AD8" s="182"/>
      <c r="AE8" s="183">
        <v>0.75316455696202533</v>
      </c>
      <c r="AF8" s="189">
        <v>0.76936708860759495</v>
      </c>
      <c r="AG8" s="185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 t="str">
        <f>"      " &amp; TEXT(AF8,"#0.00%") &amp; " "</f>
        <v xml:space="preserve">      76.94% </v>
      </c>
      <c r="AT8" s="186"/>
      <c r="AU8" s="186"/>
      <c r="AV8" s="186"/>
      <c r="AW8" s="186" t="str">
        <f>"   " &amp; "Rack" &amp; " " &amp; IF(Q8="","",TEXT(Q8,"M/D-")) &amp; IF(R8="","",TEXT(R8,"M/D")) &amp; " "</f>
        <v xml:space="preserve">   Rack 5/13-8/30 </v>
      </c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</row>
    <row r="9" spans="1:452" ht="15" customHeight="1" outlineLevel="3" x14ac:dyDescent="0.4">
      <c r="A9" s="172"/>
      <c r="B9" s="172"/>
      <c r="C9" s="172">
        <v>4</v>
      </c>
      <c r="D9" s="173" t="s">
        <v>1889</v>
      </c>
      <c r="E9" s="174"/>
      <c r="F9" s="174"/>
      <c r="G9" s="174"/>
      <c r="H9" s="174" t="s">
        <v>1890</v>
      </c>
      <c r="I9" s="174"/>
      <c r="J9" s="174"/>
      <c r="K9" s="174"/>
      <c r="L9" s="174"/>
      <c r="M9" s="174"/>
      <c r="N9" s="174"/>
      <c r="O9" s="175" t="s">
        <v>1888</v>
      </c>
      <c r="P9" s="175"/>
      <c r="Q9" s="176">
        <v>44694</v>
      </c>
      <c r="R9" s="176">
        <v>44773</v>
      </c>
      <c r="S9" s="177"/>
      <c r="T9" s="178">
        <v>80</v>
      </c>
      <c r="U9" s="178">
        <v>76</v>
      </c>
      <c r="V9" s="178">
        <v>80</v>
      </c>
      <c r="W9" s="178">
        <v>76</v>
      </c>
      <c r="X9" s="179"/>
      <c r="Y9" s="179"/>
      <c r="Z9" s="180"/>
      <c r="AA9" s="181">
        <v>0</v>
      </c>
      <c r="AB9" s="178">
        <v>1</v>
      </c>
      <c r="AC9" s="177"/>
      <c r="AD9" s="182"/>
      <c r="AE9" s="183">
        <v>0.95</v>
      </c>
      <c r="AF9" s="188">
        <v>0.92500000000000004</v>
      </c>
      <c r="AG9" s="185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 t="str">
        <f>"  " &amp; TEXT(AF9,"#0.00%") &amp; " " &amp; "DR" &amp; " " &amp; IF(Q9="","",TEXT(Q9,"M/D-")) &amp; IF(R9="","",TEXT(R9,"M/D")) &amp; " "</f>
        <v xml:space="preserve">  92.50% DR 5/13-7/31 </v>
      </c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</row>
    <row r="10" spans="1:452" ht="15" customHeight="1" outlineLevel="3" x14ac:dyDescent="0.4">
      <c r="A10" s="172"/>
      <c r="B10" s="172" t="s">
        <v>1879</v>
      </c>
      <c r="C10" s="172">
        <v>4</v>
      </c>
      <c r="D10" s="173" t="s">
        <v>1891</v>
      </c>
      <c r="E10" s="174"/>
      <c r="F10" s="174"/>
      <c r="G10" s="174"/>
      <c r="H10" s="174" t="s">
        <v>1892</v>
      </c>
      <c r="I10" s="174"/>
      <c r="J10" s="174"/>
      <c r="K10" s="174"/>
      <c r="L10" s="174"/>
      <c r="M10" s="174"/>
      <c r="N10" s="174"/>
      <c r="O10" s="175" t="s">
        <v>1888</v>
      </c>
      <c r="P10" s="175" t="s">
        <v>1893</v>
      </c>
      <c r="Q10" s="176">
        <v>44727</v>
      </c>
      <c r="R10" s="176">
        <v>44803</v>
      </c>
      <c r="S10" s="177"/>
      <c r="T10" s="178">
        <v>78</v>
      </c>
      <c r="U10" s="178">
        <v>43</v>
      </c>
      <c r="V10" s="178">
        <v>77</v>
      </c>
      <c r="W10" s="178">
        <v>43</v>
      </c>
      <c r="X10" s="179"/>
      <c r="Y10" s="179"/>
      <c r="Z10" s="180">
        <v>0</v>
      </c>
      <c r="AA10" s="181">
        <v>0</v>
      </c>
      <c r="AB10" s="178"/>
      <c r="AC10" s="177"/>
      <c r="AD10" s="182"/>
      <c r="AE10" s="183">
        <v>0.55128205128205132</v>
      </c>
      <c r="AF10" s="189">
        <v>0.60974358974358978</v>
      </c>
      <c r="AG10" s="185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 t="str">
        <f>" " &amp; TEXT(AF10,"#0.00%") &amp; " "</f>
        <v xml:space="preserve"> 60.97% </v>
      </c>
      <c r="AT10" s="186"/>
      <c r="AU10" s="186"/>
      <c r="AV10" s="186"/>
      <c r="AW10" s="186" t="str">
        <f>"   " &amp; "Aging 창고" &amp; " " &amp; IF(Q10="","",TEXT(Q10,"M/D-")) &amp; IF(R10="","",TEXT(R10,"M/D")) &amp; " "</f>
        <v xml:space="preserve">   Aging 창고 6/15-8/30 </v>
      </c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</row>
    <row r="11" spans="1:452" ht="15" customHeight="1" outlineLevel="4" x14ac:dyDescent="0.4">
      <c r="A11" s="172"/>
      <c r="B11" s="172"/>
      <c r="C11" s="172">
        <v>5</v>
      </c>
      <c r="D11" s="173" t="s">
        <v>1894</v>
      </c>
      <c r="E11" s="174"/>
      <c r="F11" s="174"/>
      <c r="G11" s="174"/>
      <c r="H11" s="174"/>
      <c r="I11" s="174" t="s">
        <v>1895</v>
      </c>
      <c r="J11" s="174"/>
      <c r="K11" s="174"/>
      <c r="L11" s="174"/>
      <c r="M11" s="174"/>
      <c r="N11" s="174"/>
      <c r="O11" s="175" t="s">
        <v>1888</v>
      </c>
      <c r="P11" s="175" t="s">
        <v>1893</v>
      </c>
      <c r="Q11" s="176">
        <v>44727</v>
      </c>
      <c r="R11" s="176">
        <v>44773</v>
      </c>
      <c r="S11" s="177"/>
      <c r="T11" s="178">
        <v>47</v>
      </c>
      <c r="U11" s="178">
        <v>43</v>
      </c>
      <c r="V11" s="178">
        <v>47</v>
      </c>
      <c r="W11" s="178">
        <v>43</v>
      </c>
      <c r="X11" s="179"/>
      <c r="Y11" s="179"/>
      <c r="Z11" s="180"/>
      <c r="AA11" s="181">
        <v>0</v>
      </c>
      <c r="AB11" s="178">
        <v>1</v>
      </c>
      <c r="AC11" s="177"/>
      <c r="AD11" s="182"/>
      <c r="AE11" s="183">
        <v>0.91489361702127658</v>
      </c>
      <c r="AF11" s="188">
        <v>0.88</v>
      </c>
      <c r="AG11" s="185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 t="str">
        <f>"  " &amp; TEXT(AF11,"#0.00%") &amp; " " &amp; "Layout 확정 및 기초설계" &amp; " " &amp; IF(Q11="","",TEXT(Q11,"M/D-")) &amp; IF(R11="","",TEXT(R11,"M/D")) &amp; " "</f>
        <v xml:space="preserve">  88.00% Layout 확정 및 기초설계 6/15-7/31 </v>
      </c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</row>
    <row r="12" spans="1:452" ht="15" customHeight="1" outlineLevel="4" x14ac:dyDescent="0.4">
      <c r="A12" s="172"/>
      <c r="B12" s="172"/>
      <c r="C12" s="172">
        <v>5</v>
      </c>
      <c r="D12" s="173" t="s">
        <v>1896</v>
      </c>
      <c r="E12" s="174"/>
      <c r="F12" s="174"/>
      <c r="G12" s="174"/>
      <c r="H12" s="174"/>
      <c r="I12" s="174" t="s">
        <v>1897</v>
      </c>
      <c r="J12" s="174"/>
      <c r="K12" s="174"/>
      <c r="L12" s="174"/>
      <c r="M12" s="174"/>
      <c r="N12" s="174"/>
      <c r="O12" s="175" t="s">
        <v>1888</v>
      </c>
      <c r="P12" s="175" t="s">
        <v>1893</v>
      </c>
      <c r="Q12" s="176">
        <v>44773</v>
      </c>
      <c r="R12" s="176">
        <v>44803</v>
      </c>
      <c r="S12" s="177"/>
      <c r="T12" s="178">
        <v>31</v>
      </c>
      <c r="U12" s="178">
        <v>0</v>
      </c>
      <c r="V12" s="178">
        <v>31</v>
      </c>
      <c r="W12" s="178">
        <v>0</v>
      </c>
      <c r="X12" s="179"/>
      <c r="Y12" s="179"/>
      <c r="Z12" s="180"/>
      <c r="AA12" s="181">
        <v>0</v>
      </c>
      <c r="AB12" s="178">
        <v>1</v>
      </c>
      <c r="AC12" s="177"/>
      <c r="AD12" s="182"/>
      <c r="AE12" s="183">
        <v>0</v>
      </c>
      <c r="AF12" s="190">
        <v>0.2</v>
      </c>
      <c r="AG12" s="185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 t="str">
        <f>"      " &amp; TEXT(AF12,"#0.00%") &amp; " "</f>
        <v xml:space="preserve">      20.00% </v>
      </c>
      <c r="AT12" s="186"/>
      <c r="AU12" s="186"/>
      <c r="AV12" s="186"/>
      <c r="AW12" s="186" t="str">
        <f>"   " &amp; "상세설계" &amp; " " &amp; IF(Q12="","",TEXT(Q12,"M/D-")) &amp; IF(R12="","",TEXT(R12,"M/D")) &amp; " "</f>
        <v xml:space="preserve">   상세설계 7/31-8/30 </v>
      </c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</row>
    <row r="13" spans="1:452" ht="15" customHeight="1" outlineLevel="2" x14ac:dyDescent="0.4">
      <c r="A13" s="172"/>
      <c r="B13" s="172" t="s">
        <v>1879</v>
      </c>
      <c r="C13" s="172">
        <v>3</v>
      </c>
      <c r="D13" s="173" t="s">
        <v>1898</v>
      </c>
      <c r="E13" s="174"/>
      <c r="F13" s="174"/>
      <c r="G13" s="174" t="s">
        <v>1899</v>
      </c>
      <c r="H13" s="174"/>
      <c r="I13" s="174"/>
      <c r="J13" s="174"/>
      <c r="K13" s="174"/>
      <c r="L13" s="174"/>
      <c r="M13" s="174"/>
      <c r="N13" s="174"/>
      <c r="O13" s="175" t="s">
        <v>1900</v>
      </c>
      <c r="P13" s="175"/>
      <c r="Q13" s="176">
        <v>44694</v>
      </c>
      <c r="R13" s="176">
        <v>44788</v>
      </c>
      <c r="S13" s="177"/>
      <c r="T13" s="178">
        <v>830</v>
      </c>
      <c r="U13" s="178">
        <v>735</v>
      </c>
      <c r="V13" s="178">
        <v>95</v>
      </c>
      <c r="W13" s="178">
        <v>76</v>
      </c>
      <c r="X13" s="179"/>
      <c r="Y13" s="179"/>
      <c r="Z13" s="180">
        <v>0</v>
      </c>
      <c r="AA13" s="181">
        <v>0</v>
      </c>
      <c r="AB13" s="178"/>
      <c r="AC13" s="177"/>
      <c r="AD13" s="182"/>
      <c r="AE13" s="183">
        <v>0.88554216867469882</v>
      </c>
      <c r="AF13" s="184">
        <v>0.86327156626506019</v>
      </c>
      <c r="AG13" s="185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 t="str">
        <f>"   " &amp; TEXT(AF13,"#0.00%") &amp; " " &amp; "MSC Crane" &amp; " " &amp; IF(Q13="","",TEXT(Q13,"M/D-")) &amp; IF(R13="","",TEXT(R13,"M/D")) &amp; " "</f>
        <v xml:space="preserve">   86.33% MSC Crane 5/13-8/15 </v>
      </c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</row>
    <row r="14" spans="1:452" ht="15" customHeight="1" outlineLevel="3" x14ac:dyDescent="0.4">
      <c r="A14" s="172"/>
      <c r="B14" s="172"/>
      <c r="C14" s="172">
        <v>4</v>
      </c>
      <c r="D14" s="173" t="s">
        <v>1901</v>
      </c>
      <c r="E14" s="174"/>
      <c r="F14" s="174"/>
      <c r="G14" s="174"/>
      <c r="H14" s="174" t="s">
        <v>1902</v>
      </c>
      <c r="I14" s="174"/>
      <c r="J14" s="174"/>
      <c r="K14" s="174"/>
      <c r="L14" s="174"/>
      <c r="M14" s="174"/>
      <c r="N14" s="174"/>
      <c r="O14" s="175" t="s">
        <v>1900</v>
      </c>
      <c r="P14" s="191"/>
      <c r="Q14" s="176">
        <v>44713</v>
      </c>
      <c r="R14" s="176">
        <v>44773</v>
      </c>
      <c r="S14" s="179"/>
      <c r="T14" s="192">
        <v>61</v>
      </c>
      <c r="U14" s="178">
        <v>57</v>
      </c>
      <c r="V14" s="178">
        <v>61</v>
      </c>
      <c r="W14" s="178">
        <v>57</v>
      </c>
      <c r="X14" s="178"/>
      <c r="Y14" s="179"/>
      <c r="Z14" s="179"/>
      <c r="AA14" s="180">
        <v>0</v>
      </c>
      <c r="AB14" s="181">
        <v>1</v>
      </c>
      <c r="AC14" s="178"/>
      <c r="AD14" s="182"/>
      <c r="AE14" s="183">
        <v>0.93442622950819676</v>
      </c>
      <c r="AF14" s="188">
        <v>0.91</v>
      </c>
      <c r="AG14" s="185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 t="str">
        <f>"   " &amp; TEXT(AF14,"#0.00%") &amp; " " &amp; "장납기 구매품 발주(모터류)" &amp; " " &amp; IF(Q14="","",TEXT(Q14,"M/D-")) &amp; IF(R14="","",TEXT(R14,"M/D")) &amp; " "</f>
        <v xml:space="preserve">   91.00% 장납기 구매품 발주(모터류) 6/1-7/31 </v>
      </c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</row>
    <row r="15" spans="1:452" ht="15" customHeight="1" outlineLevel="3" x14ac:dyDescent="0.4">
      <c r="A15" s="172"/>
      <c r="B15" s="172"/>
      <c r="C15" s="172">
        <v>4</v>
      </c>
      <c r="D15" s="173" t="s">
        <v>1903</v>
      </c>
      <c r="E15" s="174"/>
      <c r="F15" s="174"/>
      <c r="G15" s="174"/>
      <c r="H15" s="174" t="s">
        <v>1890</v>
      </c>
      <c r="I15" s="174"/>
      <c r="J15" s="174"/>
      <c r="K15" s="174"/>
      <c r="L15" s="174"/>
      <c r="M15" s="174"/>
      <c r="N15" s="174"/>
      <c r="O15" s="175" t="s">
        <v>1900</v>
      </c>
      <c r="P15" s="175"/>
      <c r="Q15" s="176">
        <v>44694</v>
      </c>
      <c r="R15" s="176">
        <v>44783</v>
      </c>
      <c r="S15" s="177"/>
      <c r="T15" s="178">
        <v>90</v>
      </c>
      <c r="U15" s="178">
        <v>76</v>
      </c>
      <c r="V15" s="178">
        <v>90</v>
      </c>
      <c r="W15" s="178">
        <v>76</v>
      </c>
      <c r="X15" s="179"/>
      <c r="Y15" s="179"/>
      <c r="Z15" s="180"/>
      <c r="AA15" s="181">
        <v>0</v>
      </c>
      <c r="AB15" s="178">
        <v>1</v>
      </c>
      <c r="AC15" s="177"/>
      <c r="AD15" s="182"/>
      <c r="AE15" s="183">
        <v>0.84444444444444444</v>
      </c>
      <c r="AF15" s="188">
        <v>0.83</v>
      </c>
      <c r="AG15" s="185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 t="str">
        <f>"   " &amp; TEXT(AF15,"#0.00%") &amp; " " &amp; "DR" &amp; " " &amp; IF(Q15="","",TEXT(Q15,"M/D-")) &amp; IF(R15="","",TEXT(R15,"M/D")) &amp; " "</f>
        <v xml:space="preserve">   83.00% DR 5/13-8/10 </v>
      </c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</row>
    <row r="16" spans="1:452" ht="15" customHeight="1" outlineLevel="3" x14ac:dyDescent="0.4">
      <c r="A16" s="172"/>
      <c r="B16" s="172" t="s">
        <v>1879</v>
      </c>
      <c r="C16" s="172">
        <v>4</v>
      </c>
      <c r="D16" s="173" t="s">
        <v>1904</v>
      </c>
      <c r="E16" s="174"/>
      <c r="F16" s="174"/>
      <c r="G16" s="174"/>
      <c r="H16" s="174" t="s">
        <v>1905</v>
      </c>
      <c r="I16" s="174"/>
      <c r="J16" s="174"/>
      <c r="K16" s="174"/>
      <c r="L16" s="174"/>
      <c r="M16" s="174"/>
      <c r="N16" s="174"/>
      <c r="O16" s="175" t="s">
        <v>1900</v>
      </c>
      <c r="P16" s="175" t="s">
        <v>1893</v>
      </c>
      <c r="Q16" s="176">
        <v>44694</v>
      </c>
      <c r="R16" s="176">
        <v>44773</v>
      </c>
      <c r="S16" s="177"/>
      <c r="T16" s="178">
        <v>314</v>
      </c>
      <c r="U16" s="178">
        <v>298</v>
      </c>
      <c r="V16" s="178">
        <v>80</v>
      </c>
      <c r="W16" s="178">
        <v>76</v>
      </c>
      <c r="X16" s="179"/>
      <c r="Y16" s="179"/>
      <c r="Z16" s="180">
        <v>0</v>
      </c>
      <c r="AA16" s="181">
        <v>0</v>
      </c>
      <c r="AB16" s="178"/>
      <c r="AC16" s="177"/>
      <c r="AD16" s="182"/>
      <c r="AE16" s="183">
        <v>0.94904458598726116</v>
      </c>
      <c r="AF16" s="184">
        <v>0.92358407643312102</v>
      </c>
      <c r="AG16" s="185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 t="str">
        <f>"  " &amp; TEXT(AF16,"#0.00%") &amp; " " &amp; "상온/고온 Aging, 충방전" &amp; " " &amp; IF(Q16="","",TEXT(Q16,"M/D-")) &amp; IF(R16="","",TEXT(R16,"M/D")) &amp; " "</f>
        <v xml:space="preserve">  92.36% 상온/고온 Aging, 충방전 5/13-7/31 </v>
      </c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</row>
    <row r="17" spans="1:93" ht="15" customHeight="1" outlineLevel="4" x14ac:dyDescent="0.4">
      <c r="A17" s="172"/>
      <c r="B17" s="172"/>
      <c r="C17" s="172">
        <v>5</v>
      </c>
      <c r="D17" s="173" t="s">
        <v>1906</v>
      </c>
      <c r="E17" s="174"/>
      <c r="F17" s="174"/>
      <c r="G17" s="174"/>
      <c r="H17" s="174"/>
      <c r="I17" s="174" t="s">
        <v>1907</v>
      </c>
      <c r="J17" s="174"/>
      <c r="K17" s="174"/>
      <c r="L17" s="174"/>
      <c r="M17" s="174"/>
      <c r="N17" s="174"/>
      <c r="O17" s="175" t="s">
        <v>1900</v>
      </c>
      <c r="P17" s="175" t="s">
        <v>1893</v>
      </c>
      <c r="Q17" s="176">
        <v>44694</v>
      </c>
      <c r="R17" s="176">
        <v>44773</v>
      </c>
      <c r="S17" s="177"/>
      <c r="T17" s="178">
        <v>80</v>
      </c>
      <c r="U17" s="178">
        <v>76</v>
      </c>
      <c r="V17" s="178">
        <v>80</v>
      </c>
      <c r="W17" s="178">
        <v>76</v>
      </c>
      <c r="X17" s="179"/>
      <c r="Y17" s="179"/>
      <c r="Z17" s="180"/>
      <c r="AA17" s="181">
        <v>0</v>
      </c>
      <c r="AB17" s="178">
        <v>1</v>
      </c>
      <c r="AC17" s="177"/>
      <c r="AD17" s="182"/>
      <c r="AE17" s="183">
        <v>0.95</v>
      </c>
      <c r="AF17" s="188">
        <v>0.92500000000000004</v>
      </c>
      <c r="AG17" s="185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 t="str">
        <f>"  " &amp; TEXT(AF17,"#0.00%") &amp; " " &amp; "Concept (R/Sketch)" &amp; " " &amp; IF(Q17="","",TEXT(Q17,"M/D-")) &amp; IF(R17="","",TEXT(R17,"M/D")) &amp; " "</f>
        <v xml:space="preserve">  92.50% Concept (R/Sketch) 5/13-7/31 </v>
      </c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</row>
    <row r="18" spans="1:93" ht="15" customHeight="1" outlineLevel="4" x14ac:dyDescent="0.4">
      <c r="A18" s="172"/>
      <c r="B18" s="172"/>
      <c r="C18" s="172">
        <v>5</v>
      </c>
      <c r="D18" s="173" t="s">
        <v>1908</v>
      </c>
      <c r="E18" s="174"/>
      <c r="F18" s="174"/>
      <c r="G18" s="174"/>
      <c r="H18" s="174"/>
      <c r="I18" s="174" t="s">
        <v>1909</v>
      </c>
      <c r="J18" s="174"/>
      <c r="K18" s="174"/>
      <c r="L18" s="174"/>
      <c r="M18" s="174"/>
      <c r="N18" s="174"/>
      <c r="O18" s="175" t="s">
        <v>1900</v>
      </c>
      <c r="P18" s="175" t="s">
        <v>1893</v>
      </c>
      <c r="Q18" s="176">
        <v>44696</v>
      </c>
      <c r="R18" s="176">
        <v>44773</v>
      </c>
      <c r="S18" s="177"/>
      <c r="T18" s="178">
        <v>78</v>
      </c>
      <c r="U18" s="178">
        <v>74</v>
      </c>
      <c r="V18" s="178">
        <v>78</v>
      </c>
      <c r="W18" s="178">
        <v>74</v>
      </c>
      <c r="X18" s="179"/>
      <c r="Y18" s="179"/>
      <c r="Z18" s="180"/>
      <c r="AA18" s="181">
        <v>0</v>
      </c>
      <c r="AB18" s="178">
        <v>1</v>
      </c>
      <c r="AC18" s="177"/>
      <c r="AD18" s="182"/>
      <c r="AE18" s="183">
        <v>0.94871794871794868</v>
      </c>
      <c r="AF18" s="188">
        <v>0.92310000000000003</v>
      </c>
      <c r="AG18" s="185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 t="str">
        <f>"  " &amp; TEXT(AF18,"#0.00%") &amp; " " &amp; "Assy" &amp; " " &amp; IF(Q18="","",TEXT(Q18,"M/D-")) &amp; IF(R18="","",TEXT(R18,"M/D")) &amp; " "</f>
        <v xml:space="preserve">  92.31% Assy 5/15-7/31 </v>
      </c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</row>
    <row r="19" spans="1:93" ht="15" customHeight="1" outlineLevel="4" x14ac:dyDescent="0.4">
      <c r="A19" s="172"/>
      <c r="B19" s="172"/>
      <c r="C19" s="172">
        <v>5</v>
      </c>
      <c r="D19" s="173" t="s">
        <v>1910</v>
      </c>
      <c r="E19" s="174"/>
      <c r="F19" s="174"/>
      <c r="G19" s="174"/>
      <c r="H19" s="174"/>
      <c r="I19" s="174" t="s">
        <v>1911</v>
      </c>
      <c r="J19" s="174"/>
      <c r="K19" s="174"/>
      <c r="L19" s="174"/>
      <c r="M19" s="174"/>
      <c r="N19" s="174"/>
      <c r="O19" s="175" t="s">
        <v>1900</v>
      </c>
      <c r="P19" s="175" t="s">
        <v>1893</v>
      </c>
      <c r="Q19" s="176">
        <v>44696</v>
      </c>
      <c r="R19" s="176">
        <v>44773</v>
      </c>
      <c r="S19" s="177"/>
      <c r="T19" s="178">
        <v>78</v>
      </c>
      <c r="U19" s="178">
        <v>74</v>
      </c>
      <c r="V19" s="178">
        <v>78</v>
      </c>
      <c r="W19" s="178">
        <v>74</v>
      </c>
      <c r="X19" s="179"/>
      <c r="Y19" s="179"/>
      <c r="Z19" s="180"/>
      <c r="AA19" s="181">
        <v>0</v>
      </c>
      <c r="AB19" s="178">
        <v>1</v>
      </c>
      <c r="AC19" s="177"/>
      <c r="AD19" s="182"/>
      <c r="AE19" s="183">
        <v>0.94871794871794868</v>
      </c>
      <c r="AF19" s="188">
        <v>0.92310000000000003</v>
      </c>
      <c r="AG19" s="185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 t="str">
        <f>"  " &amp; TEXT(AF19,"#0.00%") &amp; " " &amp; "Part - (Main Frame)" &amp; " " &amp; IF(Q19="","",TEXT(Q19,"M/D-")) &amp; IF(R19="","",TEXT(R19,"M/D")) &amp; " "</f>
        <v xml:space="preserve">  92.31% Part - (Main Frame) 5/15-7/31 </v>
      </c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</row>
    <row r="20" spans="1:93" ht="15" customHeight="1" outlineLevel="4" x14ac:dyDescent="0.4">
      <c r="A20" s="172"/>
      <c r="B20" s="172"/>
      <c r="C20" s="172">
        <v>5</v>
      </c>
      <c r="D20" s="173" t="s">
        <v>1912</v>
      </c>
      <c r="E20" s="174"/>
      <c r="F20" s="174"/>
      <c r="G20" s="174"/>
      <c r="H20" s="174"/>
      <c r="I20" s="174" t="s">
        <v>1913</v>
      </c>
      <c r="J20" s="174"/>
      <c r="K20" s="174"/>
      <c r="L20" s="174"/>
      <c r="M20" s="174"/>
      <c r="N20" s="174"/>
      <c r="O20" s="175" t="s">
        <v>1900</v>
      </c>
      <c r="P20" s="175" t="s">
        <v>1893</v>
      </c>
      <c r="Q20" s="176">
        <v>44696</v>
      </c>
      <c r="R20" s="176">
        <v>44773</v>
      </c>
      <c r="S20" s="177"/>
      <c r="T20" s="178">
        <v>78</v>
      </c>
      <c r="U20" s="178">
        <v>74</v>
      </c>
      <c r="V20" s="178">
        <v>78</v>
      </c>
      <c r="W20" s="178">
        <v>74</v>
      </c>
      <c r="X20" s="179"/>
      <c r="Y20" s="179"/>
      <c r="Z20" s="180"/>
      <c r="AA20" s="181">
        <v>0</v>
      </c>
      <c r="AB20" s="178">
        <v>1</v>
      </c>
      <c r="AC20" s="177"/>
      <c r="AD20" s="182"/>
      <c r="AE20" s="183">
        <v>0.94871794871794868</v>
      </c>
      <c r="AF20" s="188">
        <v>0.92310000000000003</v>
      </c>
      <c r="AG20" s="185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 t="str">
        <f>"  " &amp; TEXT(AF20,"#0.00%") &amp; " " &amp; "Part - (Carriage/Fork)" &amp; " " &amp; IF(Q20="","",TEXT(Q20,"M/D-")) &amp; IF(R20="","",TEXT(R20,"M/D")) &amp; " "</f>
        <v xml:space="preserve">  92.31% Part - (Carriage/Fork) 5/15-7/31 </v>
      </c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</row>
    <row r="21" spans="1:93" ht="15" customHeight="1" outlineLevel="3" x14ac:dyDescent="0.4">
      <c r="A21" s="172"/>
      <c r="B21" s="172" t="s">
        <v>1879</v>
      </c>
      <c r="C21" s="172">
        <v>4</v>
      </c>
      <c r="D21" s="173" t="s">
        <v>1914</v>
      </c>
      <c r="E21" s="174"/>
      <c r="F21" s="174"/>
      <c r="G21" s="174"/>
      <c r="H21" s="174" t="s">
        <v>1915</v>
      </c>
      <c r="I21" s="174"/>
      <c r="J21" s="174"/>
      <c r="K21" s="174"/>
      <c r="L21" s="174"/>
      <c r="M21" s="174"/>
      <c r="N21" s="174"/>
      <c r="O21" s="175" t="s">
        <v>1900</v>
      </c>
      <c r="P21" s="175" t="s">
        <v>1916</v>
      </c>
      <c r="Q21" s="176">
        <v>44694</v>
      </c>
      <c r="R21" s="176">
        <v>44788</v>
      </c>
      <c r="S21" s="177"/>
      <c r="T21" s="178">
        <v>365</v>
      </c>
      <c r="U21" s="178">
        <v>304</v>
      </c>
      <c r="V21" s="178">
        <v>95</v>
      </c>
      <c r="W21" s="178">
        <v>76</v>
      </c>
      <c r="X21" s="179"/>
      <c r="Y21" s="179"/>
      <c r="Z21" s="180">
        <v>0</v>
      </c>
      <c r="AA21" s="181">
        <v>0</v>
      </c>
      <c r="AB21" s="178"/>
      <c r="AC21" s="177"/>
      <c r="AD21" s="182"/>
      <c r="AE21" s="183">
        <v>0.83287671232876714</v>
      </c>
      <c r="AF21" s="184">
        <v>0.8117808219178082</v>
      </c>
      <c r="AG21" s="185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 t="str">
        <f>"     " &amp; TEXT(AF21,"#0.00%") &amp; " " &amp; "PPC" &amp; " " &amp; IF(Q21="","",TEXT(Q21,"M/D-")) &amp; IF(R21="","",TEXT(R21,"M/D")) &amp; " "</f>
        <v xml:space="preserve">     81.18% PPC 5/13-8/15 </v>
      </c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</row>
    <row r="22" spans="1:93" ht="15" customHeight="1" outlineLevel="4" x14ac:dyDescent="0.4">
      <c r="A22" s="172"/>
      <c r="B22" s="172"/>
      <c r="C22" s="172">
        <v>5</v>
      </c>
      <c r="D22" s="173" t="s">
        <v>1917</v>
      </c>
      <c r="E22" s="174"/>
      <c r="F22" s="174"/>
      <c r="G22" s="174"/>
      <c r="H22" s="174"/>
      <c r="I22" s="174" t="s">
        <v>1907</v>
      </c>
      <c r="J22" s="174"/>
      <c r="K22" s="174"/>
      <c r="L22" s="174"/>
      <c r="M22" s="174"/>
      <c r="N22" s="174"/>
      <c r="O22" s="175" t="s">
        <v>1900</v>
      </c>
      <c r="P22" s="175" t="s">
        <v>1916</v>
      </c>
      <c r="Q22" s="176">
        <v>44694</v>
      </c>
      <c r="R22" s="176">
        <v>44773</v>
      </c>
      <c r="S22" s="177"/>
      <c r="T22" s="178">
        <v>80</v>
      </c>
      <c r="U22" s="178">
        <v>76</v>
      </c>
      <c r="V22" s="178">
        <v>80</v>
      </c>
      <c r="W22" s="178">
        <v>76</v>
      </c>
      <c r="X22" s="179"/>
      <c r="Y22" s="179"/>
      <c r="Z22" s="180"/>
      <c r="AA22" s="181">
        <v>0</v>
      </c>
      <c r="AB22" s="178">
        <v>1</v>
      </c>
      <c r="AC22" s="177"/>
      <c r="AD22" s="182"/>
      <c r="AE22" s="183">
        <v>0.95</v>
      </c>
      <c r="AF22" s="188">
        <v>0.92500000000000004</v>
      </c>
      <c r="AG22" s="185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 t="str">
        <f>"  " &amp; TEXT(AF22,"#0.00%") &amp; " " &amp; "Concept (R/Sketch)" &amp; " " &amp; IF(Q22="","",TEXT(Q22,"M/D-")) &amp; IF(R22="","",TEXT(R22,"M/D")) &amp; " "</f>
        <v xml:space="preserve">  92.50% Concept (R/Sketch) 5/13-7/31 </v>
      </c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1:93" ht="15" customHeight="1" outlineLevel="4" x14ac:dyDescent="0.4">
      <c r="A23" s="172"/>
      <c r="B23" s="172"/>
      <c r="C23" s="172">
        <v>5</v>
      </c>
      <c r="D23" s="173" t="s">
        <v>1918</v>
      </c>
      <c r="E23" s="174"/>
      <c r="F23" s="174"/>
      <c r="G23" s="174"/>
      <c r="H23" s="174"/>
      <c r="I23" s="174" t="s">
        <v>1909</v>
      </c>
      <c r="J23" s="174"/>
      <c r="K23" s="174"/>
      <c r="L23" s="174"/>
      <c r="M23" s="174"/>
      <c r="N23" s="174"/>
      <c r="O23" s="175" t="s">
        <v>1900</v>
      </c>
      <c r="P23" s="175" t="s">
        <v>1916</v>
      </c>
      <c r="Q23" s="176">
        <v>44694</v>
      </c>
      <c r="R23" s="176">
        <v>44788</v>
      </c>
      <c r="S23" s="177"/>
      <c r="T23" s="178">
        <v>95</v>
      </c>
      <c r="U23" s="178">
        <v>76</v>
      </c>
      <c r="V23" s="178">
        <v>95</v>
      </c>
      <c r="W23" s="178">
        <v>76</v>
      </c>
      <c r="X23" s="179"/>
      <c r="Y23" s="179"/>
      <c r="Z23" s="180"/>
      <c r="AA23" s="181">
        <v>0</v>
      </c>
      <c r="AB23" s="178">
        <v>1</v>
      </c>
      <c r="AC23" s="177"/>
      <c r="AD23" s="182"/>
      <c r="AE23" s="183">
        <v>0.8</v>
      </c>
      <c r="AF23" s="188">
        <v>0.78</v>
      </c>
      <c r="AG23" s="185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 t="str">
        <f>"  " &amp; TEXT(AF23,"#0.00%") &amp; " "</f>
        <v xml:space="preserve">  78.00% </v>
      </c>
      <c r="AS23" s="186"/>
      <c r="AT23" s="186"/>
      <c r="AU23" s="186" t="str">
        <f>"  " &amp; "Assy" &amp; " " &amp; IF(Q23="","",TEXT(Q23,"M/D-")) &amp; IF(R23="","",TEXT(R23,"M/D")) &amp; " "</f>
        <v xml:space="preserve">  Assy 5/13-8/15 </v>
      </c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1:93" ht="15" customHeight="1" outlineLevel="4" x14ac:dyDescent="0.4">
      <c r="A24" s="172"/>
      <c r="B24" s="172"/>
      <c r="C24" s="172">
        <v>5</v>
      </c>
      <c r="D24" s="173" t="s">
        <v>1919</v>
      </c>
      <c r="E24" s="174"/>
      <c r="F24" s="174"/>
      <c r="G24" s="174"/>
      <c r="H24" s="174"/>
      <c r="I24" s="174" t="s">
        <v>1911</v>
      </c>
      <c r="J24" s="174"/>
      <c r="K24" s="174"/>
      <c r="L24" s="174"/>
      <c r="M24" s="174"/>
      <c r="N24" s="174"/>
      <c r="O24" s="175" t="s">
        <v>1900</v>
      </c>
      <c r="P24" s="175" t="s">
        <v>1916</v>
      </c>
      <c r="Q24" s="176">
        <v>44694</v>
      </c>
      <c r="R24" s="176">
        <v>44788</v>
      </c>
      <c r="S24" s="177"/>
      <c r="T24" s="178">
        <v>95</v>
      </c>
      <c r="U24" s="178">
        <v>76</v>
      </c>
      <c r="V24" s="178">
        <v>95</v>
      </c>
      <c r="W24" s="178">
        <v>76</v>
      </c>
      <c r="X24" s="179"/>
      <c r="Y24" s="179"/>
      <c r="Z24" s="180"/>
      <c r="AA24" s="181">
        <v>0</v>
      </c>
      <c r="AB24" s="178">
        <v>1</v>
      </c>
      <c r="AC24" s="177"/>
      <c r="AD24" s="182"/>
      <c r="AE24" s="183">
        <v>0.8</v>
      </c>
      <c r="AF24" s="188">
        <v>0.78</v>
      </c>
      <c r="AG24" s="185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 t="str">
        <f>"  " &amp; TEXT(AF24,"#0.00%") &amp; " "</f>
        <v xml:space="preserve">  78.00% </v>
      </c>
      <c r="AS24" s="186"/>
      <c r="AT24" s="186"/>
      <c r="AU24" s="186" t="str">
        <f>"  " &amp; "Part - (Main Frame)" &amp; " " &amp; IF(Q24="","",TEXT(Q24,"M/D-")) &amp; IF(R24="","",TEXT(R24,"M/D")) &amp; " "</f>
        <v xml:space="preserve">  Part - (Main Frame) 5/13-8/15 </v>
      </c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</row>
    <row r="25" spans="1:93" ht="15" customHeight="1" outlineLevel="4" x14ac:dyDescent="0.4">
      <c r="A25" s="172"/>
      <c r="B25" s="172"/>
      <c r="C25" s="172">
        <v>5</v>
      </c>
      <c r="D25" s="173" t="s">
        <v>1920</v>
      </c>
      <c r="E25" s="174"/>
      <c r="F25" s="174"/>
      <c r="G25" s="174"/>
      <c r="H25" s="174"/>
      <c r="I25" s="174" t="s">
        <v>1913</v>
      </c>
      <c r="J25" s="174"/>
      <c r="K25" s="174"/>
      <c r="L25" s="174"/>
      <c r="M25" s="174"/>
      <c r="N25" s="174"/>
      <c r="O25" s="175" t="s">
        <v>1900</v>
      </c>
      <c r="P25" s="175" t="s">
        <v>1916</v>
      </c>
      <c r="Q25" s="176">
        <v>44694</v>
      </c>
      <c r="R25" s="176">
        <v>44788</v>
      </c>
      <c r="S25" s="177"/>
      <c r="T25" s="178">
        <v>95</v>
      </c>
      <c r="U25" s="178">
        <v>76</v>
      </c>
      <c r="V25" s="178">
        <v>95</v>
      </c>
      <c r="W25" s="178">
        <v>76</v>
      </c>
      <c r="X25" s="179"/>
      <c r="Y25" s="179"/>
      <c r="Z25" s="180"/>
      <c r="AA25" s="181">
        <v>0</v>
      </c>
      <c r="AB25" s="178">
        <v>1</v>
      </c>
      <c r="AC25" s="177"/>
      <c r="AD25" s="182"/>
      <c r="AE25" s="183">
        <v>0.8</v>
      </c>
      <c r="AF25" s="188">
        <v>0.78</v>
      </c>
      <c r="AG25" s="185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 t="str">
        <f>"  " &amp; TEXT(AF25,"#0.00%") &amp; " "</f>
        <v xml:space="preserve">  78.00% </v>
      </c>
      <c r="AS25" s="186"/>
      <c r="AT25" s="186"/>
      <c r="AU25" s="186" t="str">
        <f>"  " &amp; "Part - (Carriage/Fork)" &amp; " " &amp; IF(Q25="","",TEXT(Q25,"M/D-")) &amp; IF(R25="","",TEXT(R25,"M/D")) &amp; " "</f>
        <v xml:space="preserve">  Part - (Carriage/Fork) 5/13-8/15 </v>
      </c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</row>
    <row r="26" spans="1:93" ht="15" customHeight="1" outlineLevel="2" x14ac:dyDescent="0.4">
      <c r="A26" s="172"/>
      <c r="B26" s="172" t="s">
        <v>1879</v>
      </c>
      <c r="C26" s="172">
        <v>3</v>
      </c>
      <c r="D26" s="173" t="s">
        <v>1921</v>
      </c>
      <c r="E26" s="174"/>
      <c r="F26" s="174"/>
      <c r="G26" s="193" t="s">
        <v>1922</v>
      </c>
      <c r="H26" s="174"/>
      <c r="I26" s="174"/>
      <c r="J26" s="174"/>
      <c r="K26" s="174"/>
      <c r="L26" s="174"/>
      <c r="M26" s="174"/>
      <c r="N26" s="174"/>
      <c r="O26" s="175" t="s">
        <v>1923</v>
      </c>
      <c r="P26" s="175"/>
      <c r="Q26" s="176">
        <v>44694</v>
      </c>
      <c r="R26" s="176">
        <v>44788</v>
      </c>
      <c r="S26" s="177"/>
      <c r="T26" s="178">
        <v>365</v>
      </c>
      <c r="U26" s="178">
        <v>304</v>
      </c>
      <c r="V26" s="178">
        <v>95</v>
      </c>
      <c r="W26" s="178">
        <v>76</v>
      </c>
      <c r="X26" s="179"/>
      <c r="Y26" s="179"/>
      <c r="Z26" s="180">
        <v>0</v>
      </c>
      <c r="AA26" s="181">
        <v>0</v>
      </c>
      <c r="AB26" s="178"/>
      <c r="AC26" s="177"/>
      <c r="AD26" s="182"/>
      <c r="AE26" s="183">
        <v>0.83287671232876714</v>
      </c>
      <c r="AF26" s="184">
        <v>0.8117808219178082</v>
      </c>
      <c r="AG26" s="185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 t="str">
        <f>"     " &amp; TEXT(AF26,"#0.00%") &amp; " " &amp; "환적 이재기" &amp; " " &amp; IF(Q26="","",TEXT(Q26,"M/D-")) &amp; IF(R26="","",TEXT(R26,"M/D")) &amp; " "</f>
        <v xml:space="preserve">     81.18% 환적 이재기 5/13-8/15 </v>
      </c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</row>
    <row r="27" spans="1:93" ht="15" customHeight="1" outlineLevel="3" x14ac:dyDescent="0.4">
      <c r="A27" s="172"/>
      <c r="B27" s="172"/>
      <c r="C27" s="172">
        <v>4</v>
      </c>
      <c r="D27" s="173" t="s">
        <v>1924</v>
      </c>
      <c r="E27" s="174"/>
      <c r="F27" s="174"/>
      <c r="G27" s="174"/>
      <c r="H27" s="174" t="s">
        <v>1890</v>
      </c>
      <c r="I27" s="174"/>
      <c r="J27" s="174"/>
      <c r="K27" s="174"/>
      <c r="L27" s="174"/>
      <c r="M27" s="174"/>
      <c r="N27" s="174"/>
      <c r="O27" s="175" t="s">
        <v>1923</v>
      </c>
      <c r="P27" s="175"/>
      <c r="Q27" s="176">
        <v>44694</v>
      </c>
      <c r="R27" s="176">
        <v>44773</v>
      </c>
      <c r="S27" s="177"/>
      <c r="T27" s="178">
        <v>80</v>
      </c>
      <c r="U27" s="178">
        <v>76</v>
      </c>
      <c r="V27" s="178">
        <v>80</v>
      </c>
      <c r="W27" s="178">
        <v>76</v>
      </c>
      <c r="X27" s="179"/>
      <c r="Y27" s="179"/>
      <c r="Z27" s="180"/>
      <c r="AA27" s="181">
        <v>0</v>
      </c>
      <c r="AB27" s="178">
        <v>1</v>
      </c>
      <c r="AC27" s="177"/>
      <c r="AD27" s="182"/>
      <c r="AE27" s="183">
        <v>0.95</v>
      </c>
      <c r="AF27" s="188">
        <v>0.92500000000000004</v>
      </c>
      <c r="AG27" s="185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 t="str">
        <f>"  " &amp; TEXT(AF27,"#0.00%") &amp; " " &amp; "DR" &amp; " " &amp; IF(Q27="","",TEXT(Q27,"M/D-")) &amp; IF(R27="","",TEXT(R27,"M/D")) &amp; " "</f>
        <v xml:space="preserve">  92.50% DR 5/13-7/31 </v>
      </c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</row>
    <row r="28" spans="1:93" ht="15" customHeight="1" outlineLevel="3" x14ac:dyDescent="0.4">
      <c r="A28" s="172"/>
      <c r="B28" s="172" t="s">
        <v>1879</v>
      </c>
      <c r="C28" s="172">
        <v>4</v>
      </c>
      <c r="D28" s="173" t="s">
        <v>1925</v>
      </c>
      <c r="E28" s="174"/>
      <c r="F28" s="174"/>
      <c r="G28" s="174"/>
      <c r="H28" s="174" t="s">
        <v>1926</v>
      </c>
      <c r="I28" s="174"/>
      <c r="J28" s="174"/>
      <c r="K28" s="174"/>
      <c r="L28" s="174"/>
      <c r="M28" s="174"/>
      <c r="N28" s="174"/>
      <c r="O28" s="175" t="s">
        <v>1923</v>
      </c>
      <c r="P28" s="175" t="s">
        <v>1916</v>
      </c>
      <c r="Q28" s="176">
        <v>44694</v>
      </c>
      <c r="R28" s="176">
        <v>44788</v>
      </c>
      <c r="S28" s="177"/>
      <c r="T28" s="178">
        <v>285</v>
      </c>
      <c r="U28" s="178">
        <v>228</v>
      </c>
      <c r="V28" s="178">
        <v>95</v>
      </c>
      <c r="W28" s="178">
        <v>76</v>
      </c>
      <c r="X28" s="179"/>
      <c r="Y28" s="179"/>
      <c r="Z28" s="180">
        <v>0</v>
      </c>
      <c r="AA28" s="181">
        <v>0</v>
      </c>
      <c r="AB28" s="178"/>
      <c r="AC28" s="177"/>
      <c r="AD28" s="182"/>
      <c r="AE28" s="183">
        <v>0.8</v>
      </c>
      <c r="AF28" s="184">
        <v>0.78</v>
      </c>
      <c r="AG28" s="185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 t="str">
        <f>"  " &amp; TEXT(AF28,"#0.00%") &amp; " "</f>
        <v xml:space="preserve">  78.00% </v>
      </c>
      <c r="AS28" s="186"/>
      <c r="AT28" s="186"/>
      <c r="AU28" s="186" t="str">
        <f>"  " &amp; "Cell 환적 이재기" &amp; " " &amp; IF(Q28="","",TEXT(Q28,"M/D-")) &amp; IF(R28="","",TEXT(R28,"M/D")) &amp; " "</f>
        <v xml:space="preserve">  Cell 환적 이재기 5/13-8/15 </v>
      </c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</row>
    <row r="29" spans="1:93" ht="15" customHeight="1" outlineLevel="4" x14ac:dyDescent="0.4">
      <c r="A29" s="172"/>
      <c r="B29" s="172"/>
      <c r="C29" s="172">
        <v>5</v>
      </c>
      <c r="D29" s="173" t="s">
        <v>1927</v>
      </c>
      <c r="E29" s="174"/>
      <c r="F29" s="174"/>
      <c r="G29" s="194"/>
      <c r="H29" s="174"/>
      <c r="I29" s="174" t="s">
        <v>1928</v>
      </c>
      <c r="J29" s="174"/>
      <c r="K29" s="174"/>
      <c r="L29" s="174"/>
      <c r="M29" s="174"/>
      <c r="N29" s="174"/>
      <c r="O29" s="175" t="s">
        <v>1923</v>
      </c>
      <c r="P29" s="175" t="s">
        <v>1916</v>
      </c>
      <c r="Q29" s="176">
        <v>44694</v>
      </c>
      <c r="R29" s="176">
        <v>44788</v>
      </c>
      <c r="S29" s="177"/>
      <c r="T29" s="178">
        <v>95</v>
      </c>
      <c r="U29" s="178">
        <v>76</v>
      </c>
      <c r="V29" s="178">
        <v>95</v>
      </c>
      <c r="W29" s="178">
        <v>76</v>
      </c>
      <c r="X29" s="179"/>
      <c r="Y29" s="179"/>
      <c r="Z29" s="180"/>
      <c r="AA29" s="181">
        <v>0</v>
      </c>
      <c r="AB29" s="178">
        <v>1</v>
      </c>
      <c r="AC29" s="177"/>
      <c r="AD29" s="182"/>
      <c r="AE29" s="183">
        <v>0.8</v>
      </c>
      <c r="AF29" s="188">
        <v>0.78</v>
      </c>
      <c r="AG29" s="185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 t="str">
        <f>"  " &amp; TEXT(AF29,"#0.00%") &amp; " "</f>
        <v xml:space="preserve">  78.00% </v>
      </c>
      <c r="AS29" s="186"/>
      <c r="AT29" s="186"/>
      <c r="AU29" s="186" t="str">
        <f>"  " &amp; "Concept " &amp; " " &amp; IF(Q29="","",TEXT(Q29,"M/D-")) &amp; IF(R29="","",TEXT(R29,"M/D")) &amp; " "</f>
        <v xml:space="preserve">  Concept  5/13-8/15 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</row>
    <row r="30" spans="1:93" ht="15" customHeight="1" outlineLevel="4" x14ac:dyDescent="0.4">
      <c r="A30" s="172"/>
      <c r="B30" s="172"/>
      <c r="C30" s="172">
        <v>5</v>
      </c>
      <c r="D30" s="173" t="s">
        <v>1929</v>
      </c>
      <c r="E30" s="174"/>
      <c r="F30" s="174"/>
      <c r="G30" s="174"/>
      <c r="H30" s="174"/>
      <c r="I30" s="174" t="s">
        <v>1909</v>
      </c>
      <c r="J30" s="174"/>
      <c r="K30" s="174"/>
      <c r="L30" s="174"/>
      <c r="M30" s="174"/>
      <c r="N30" s="174"/>
      <c r="O30" s="175" t="s">
        <v>1923</v>
      </c>
      <c r="P30" s="175" t="s">
        <v>1916</v>
      </c>
      <c r="Q30" s="176">
        <v>44694</v>
      </c>
      <c r="R30" s="176">
        <v>44788</v>
      </c>
      <c r="S30" s="177"/>
      <c r="T30" s="178">
        <v>95</v>
      </c>
      <c r="U30" s="178">
        <v>76</v>
      </c>
      <c r="V30" s="178">
        <v>95</v>
      </c>
      <c r="W30" s="178">
        <v>76</v>
      </c>
      <c r="X30" s="179"/>
      <c r="Y30" s="179"/>
      <c r="Z30" s="180"/>
      <c r="AA30" s="181">
        <v>0</v>
      </c>
      <c r="AB30" s="178">
        <v>1</v>
      </c>
      <c r="AC30" s="177"/>
      <c r="AD30" s="182"/>
      <c r="AE30" s="183">
        <v>0.8</v>
      </c>
      <c r="AF30" s="188">
        <v>0.78</v>
      </c>
      <c r="AG30" s="185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 t="str">
        <f>"  " &amp; TEXT(AF30,"#0.00%") &amp; " "</f>
        <v xml:space="preserve">  78.00% </v>
      </c>
      <c r="AS30" s="186"/>
      <c r="AT30" s="186"/>
      <c r="AU30" s="186" t="str">
        <f>"  " &amp; "Assy" &amp; " " &amp; IF(Q30="","",TEXT(Q30,"M/D-")) &amp; IF(R30="","",TEXT(R30,"M/D")) &amp; " "</f>
        <v xml:space="preserve">  Assy 5/13-8/15 </v>
      </c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</row>
    <row r="31" spans="1:93" ht="15" customHeight="1" outlineLevel="4" x14ac:dyDescent="0.4">
      <c r="A31" s="172"/>
      <c r="B31" s="172"/>
      <c r="C31" s="172">
        <v>5</v>
      </c>
      <c r="D31" s="173" t="s">
        <v>1930</v>
      </c>
      <c r="E31" s="174"/>
      <c r="F31" s="174"/>
      <c r="G31" s="174"/>
      <c r="H31" s="174"/>
      <c r="I31" s="174" t="s">
        <v>1931</v>
      </c>
      <c r="J31" s="174"/>
      <c r="K31" s="174"/>
      <c r="L31" s="174"/>
      <c r="M31" s="174"/>
      <c r="N31" s="174"/>
      <c r="O31" s="175" t="s">
        <v>1923</v>
      </c>
      <c r="P31" s="175" t="s">
        <v>1916</v>
      </c>
      <c r="Q31" s="176">
        <v>44694</v>
      </c>
      <c r="R31" s="176">
        <v>44788</v>
      </c>
      <c r="S31" s="177"/>
      <c r="T31" s="178">
        <v>95</v>
      </c>
      <c r="U31" s="178">
        <v>76</v>
      </c>
      <c r="V31" s="178">
        <v>95</v>
      </c>
      <c r="W31" s="178">
        <v>76</v>
      </c>
      <c r="X31" s="179"/>
      <c r="Y31" s="179"/>
      <c r="Z31" s="180"/>
      <c r="AA31" s="181">
        <v>0</v>
      </c>
      <c r="AB31" s="178">
        <v>1</v>
      </c>
      <c r="AC31" s="177"/>
      <c r="AD31" s="182"/>
      <c r="AE31" s="183">
        <v>0.8</v>
      </c>
      <c r="AF31" s="188">
        <v>0.78</v>
      </c>
      <c r="AG31" s="185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 t="str">
        <f>"  " &amp; TEXT(AF31,"#0.00%") &amp; " "</f>
        <v xml:space="preserve">  78.00% </v>
      </c>
      <c r="AS31" s="186"/>
      <c r="AT31" s="186"/>
      <c r="AU31" s="186" t="str">
        <f>"  " &amp; "Part " &amp; " " &amp; IF(Q31="","",TEXT(Q31,"M/D-")) &amp; IF(R31="","",TEXT(R31,"M/D")) &amp; " "</f>
        <v xml:space="preserve">  Part  5/13-8/15 </v>
      </c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</row>
    <row r="32" spans="1:93" ht="15" customHeight="1" outlineLevel="2" x14ac:dyDescent="0.4">
      <c r="A32" s="172"/>
      <c r="B32" s="172" t="s">
        <v>1879</v>
      </c>
      <c r="C32" s="172">
        <v>3</v>
      </c>
      <c r="D32" s="173" t="s">
        <v>1932</v>
      </c>
      <c r="E32" s="174"/>
      <c r="F32" s="174"/>
      <c r="G32" s="174" t="s">
        <v>1933</v>
      </c>
      <c r="H32" s="174"/>
      <c r="I32" s="174"/>
      <c r="J32" s="174"/>
      <c r="K32" s="174"/>
      <c r="L32" s="174"/>
      <c r="M32" s="174"/>
      <c r="N32" s="174"/>
      <c r="O32" s="175" t="s">
        <v>1934</v>
      </c>
      <c r="P32" s="175"/>
      <c r="Q32" s="176">
        <v>44694</v>
      </c>
      <c r="R32" s="176">
        <v>44803</v>
      </c>
      <c r="S32" s="177"/>
      <c r="T32" s="178">
        <v>132</v>
      </c>
      <c r="U32" s="178">
        <v>94</v>
      </c>
      <c r="V32" s="178">
        <v>110</v>
      </c>
      <c r="W32" s="178">
        <v>76</v>
      </c>
      <c r="X32" s="179"/>
      <c r="Y32" s="179"/>
      <c r="Z32" s="180">
        <v>0</v>
      </c>
      <c r="AA32" s="181">
        <v>0</v>
      </c>
      <c r="AB32" s="178"/>
      <c r="AC32" s="177"/>
      <c r="AD32" s="182"/>
      <c r="AE32" s="183">
        <v>0.71212121212121215</v>
      </c>
      <c r="AF32" s="189">
        <v>0.71818181818181825</v>
      </c>
      <c r="AG32" s="185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 t="str">
        <f>"" &amp; TEXT(AF32,"#0.00%") &amp; " "</f>
        <v xml:space="preserve">71.82% </v>
      </c>
      <c r="AT32" s="186"/>
      <c r="AU32" s="186"/>
      <c r="AV32" s="186"/>
      <c r="AW32" s="186" t="str">
        <f>"   " &amp; "Conveyor" &amp; " " &amp; IF(Q32="","",TEXT(Q32,"M/D-")) &amp; IF(R32="","",TEXT(R32,"M/D")) &amp; " "</f>
        <v xml:space="preserve">   Conveyor 5/13-8/30 </v>
      </c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</row>
    <row r="33" spans="1:93" ht="15" customHeight="1" outlineLevel="3" x14ac:dyDescent="0.4">
      <c r="A33" s="172"/>
      <c r="B33" s="172"/>
      <c r="C33" s="172">
        <v>4</v>
      </c>
      <c r="D33" s="173" t="s">
        <v>1935</v>
      </c>
      <c r="E33" s="174"/>
      <c r="F33" s="174"/>
      <c r="G33" s="174"/>
      <c r="H33" s="174" t="s">
        <v>1890</v>
      </c>
      <c r="I33" s="174"/>
      <c r="J33" s="174"/>
      <c r="K33" s="174"/>
      <c r="L33" s="174"/>
      <c r="M33" s="174"/>
      <c r="N33" s="174"/>
      <c r="O33" s="175" t="s">
        <v>1934</v>
      </c>
      <c r="P33" s="175"/>
      <c r="Q33" s="176">
        <v>44694</v>
      </c>
      <c r="R33" s="176">
        <v>44773</v>
      </c>
      <c r="S33" s="177"/>
      <c r="T33" s="178">
        <v>80</v>
      </c>
      <c r="U33" s="178">
        <v>76</v>
      </c>
      <c r="V33" s="178">
        <v>80</v>
      </c>
      <c r="W33" s="178">
        <v>76</v>
      </c>
      <c r="X33" s="179"/>
      <c r="Y33" s="179"/>
      <c r="Z33" s="180"/>
      <c r="AA33" s="181">
        <v>0</v>
      </c>
      <c r="AB33" s="178">
        <v>1</v>
      </c>
      <c r="AC33" s="177"/>
      <c r="AD33" s="182"/>
      <c r="AE33" s="183">
        <v>0.95</v>
      </c>
      <c r="AF33" s="188">
        <v>0.92500000000000004</v>
      </c>
      <c r="AG33" s="185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 t="str">
        <f>"  " &amp; TEXT(AF33,"#0.00%") &amp; " " &amp; "DR" &amp; " " &amp; IF(Q33="","",TEXT(Q33,"M/D-")) &amp; IF(R33="","",TEXT(R33,"M/D")) &amp; " "</f>
        <v xml:space="preserve">  92.50% DR 5/13-7/31 </v>
      </c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</row>
    <row r="34" spans="1:93" ht="15" customHeight="1" outlineLevel="3" x14ac:dyDescent="0.4">
      <c r="A34" s="172"/>
      <c r="B34" s="172" t="s">
        <v>1879</v>
      </c>
      <c r="C34" s="172">
        <v>4</v>
      </c>
      <c r="D34" s="173" t="s">
        <v>1936</v>
      </c>
      <c r="E34" s="174"/>
      <c r="F34" s="174"/>
      <c r="G34" s="174"/>
      <c r="H34" s="174" t="s">
        <v>1937</v>
      </c>
      <c r="I34" s="174"/>
      <c r="J34" s="174"/>
      <c r="K34" s="174"/>
      <c r="L34" s="174"/>
      <c r="M34" s="174"/>
      <c r="N34" s="174"/>
      <c r="O34" s="175" t="s">
        <v>1934</v>
      </c>
      <c r="P34" s="175" t="s">
        <v>1893</v>
      </c>
      <c r="Q34" s="176">
        <v>44752</v>
      </c>
      <c r="R34" s="176">
        <v>44803</v>
      </c>
      <c r="S34" s="177"/>
      <c r="T34" s="178">
        <v>52</v>
      </c>
      <c r="U34" s="178">
        <v>18</v>
      </c>
      <c r="V34" s="178">
        <v>52</v>
      </c>
      <c r="W34" s="178">
        <v>18</v>
      </c>
      <c r="X34" s="179"/>
      <c r="Y34" s="179"/>
      <c r="Z34" s="180">
        <v>0</v>
      </c>
      <c r="AA34" s="181">
        <v>0</v>
      </c>
      <c r="AB34" s="178"/>
      <c r="AC34" s="177"/>
      <c r="AD34" s="182"/>
      <c r="AE34" s="183">
        <v>0.34615384615384615</v>
      </c>
      <c r="AF34" s="189">
        <v>0.4</v>
      </c>
      <c r="AG34" s="185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 t="str">
        <f>"" &amp; TEXT(AF34,"#0.00%") &amp; " "</f>
        <v xml:space="preserve">40.00% </v>
      </c>
      <c r="AT34" s="186"/>
      <c r="AU34" s="186"/>
      <c r="AV34" s="186"/>
      <c r="AW34" s="186" t="str">
        <f>"   " &amp; "화성동(All)" &amp; " " &amp; IF(Q34="","",TEXT(Q34,"M/D-")) &amp; IF(R34="","",TEXT(R34,"M/D")) &amp; " "</f>
        <v xml:space="preserve">   화성동(All) 7/10-8/30 </v>
      </c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</row>
    <row r="35" spans="1:93" ht="15" customHeight="1" outlineLevel="4" x14ac:dyDescent="0.4">
      <c r="A35" s="172"/>
      <c r="B35" s="172"/>
      <c r="C35" s="172">
        <v>5</v>
      </c>
      <c r="D35" s="173" t="s">
        <v>1938</v>
      </c>
      <c r="E35" s="174"/>
      <c r="F35" s="174"/>
      <c r="G35" s="174"/>
      <c r="H35" s="174"/>
      <c r="I35" s="174" t="s">
        <v>1897</v>
      </c>
      <c r="J35" s="174"/>
      <c r="K35" s="174"/>
      <c r="L35" s="174"/>
      <c r="M35" s="174"/>
      <c r="N35" s="174"/>
      <c r="O35" s="175" t="s">
        <v>1934</v>
      </c>
      <c r="P35" s="175" t="s">
        <v>1893</v>
      </c>
      <c r="Q35" s="176">
        <v>44752</v>
      </c>
      <c r="R35" s="176">
        <v>44803</v>
      </c>
      <c r="S35" s="177"/>
      <c r="T35" s="178">
        <v>52</v>
      </c>
      <c r="U35" s="178">
        <v>18</v>
      </c>
      <c r="V35" s="178">
        <v>52</v>
      </c>
      <c r="W35" s="178">
        <v>18</v>
      </c>
      <c r="X35" s="179"/>
      <c r="Y35" s="179"/>
      <c r="Z35" s="180"/>
      <c r="AA35" s="181">
        <v>0</v>
      </c>
      <c r="AB35" s="178">
        <v>1</v>
      </c>
      <c r="AC35" s="177"/>
      <c r="AD35" s="182"/>
      <c r="AE35" s="183">
        <v>0.34615384615384615</v>
      </c>
      <c r="AF35" s="190">
        <v>0.4</v>
      </c>
      <c r="AG35" s="185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 t="str">
        <f>"" &amp; TEXT(AF35,"#0.00%") &amp; " "</f>
        <v xml:space="preserve">40.00% </v>
      </c>
      <c r="AT35" s="186"/>
      <c r="AU35" s="186"/>
      <c r="AV35" s="186"/>
      <c r="AW35" s="186" t="str">
        <f>"   " &amp; "상세설계" &amp; " " &amp; IF(Q35="","",TEXT(Q35,"M/D-")) &amp; IF(R35="","",TEXT(R35,"M/D")) &amp; " "</f>
        <v xml:space="preserve">   상세설계 7/10-8/30 </v>
      </c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</row>
    <row r="36" spans="1:93" ht="15" customHeight="1" outlineLevel="2" x14ac:dyDescent="0.4">
      <c r="A36" s="172"/>
      <c r="B36" s="172" t="s">
        <v>1879</v>
      </c>
      <c r="C36" s="172">
        <v>3</v>
      </c>
      <c r="D36" s="173" t="s">
        <v>1939</v>
      </c>
      <c r="E36" s="174"/>
      <c r="F36" s="174"/>
      <c r="G36" s="174" t="s">
        <v>1940</v>
      </c>
      <c r="H36" s="174"/>
      <c r="I36" s="174"/>
      <c r="J36" s="174"/>
      <c r="K36" s="174"/>
      <c r="L36" s="174"/>
      <c r="M36" s="174"/>
      <c r="N36" s="174"/>
      <c r="O36" s="175" t="s">
        <v>1941</v>
      </c>
      <c r="P36" s="175"/>
      <c r="Q36" s="176">
        <v>44694</v>
      </c>
      <c r="R36" s="176">
        <v>44803</v>
      </c>
      <c r="S36" s="177"/>
      <c r="T36" s="178">
        <v>132</v>
      </c>
      <c r="U36" s="178">
        <v>94</v>
      </c>
      <c r="V36" s="178">
        <v>110</v>
      </c>
      <c r="W36" s="178">
        <v>76</v>
      </c>
      <c r="X36" s="179"/>
      <c r="Y36" s="179"/>
      <c r="Z36" s="180">
        <v>0</v>
      </c>
      <c r="AA36" s="181">
        <v>0</v>
      </c>
      <c r="AB36" s="178"/>
      <c r="AC36" s="177"/>
      <c r="AD36" s="182"/>
      <c r="AE36" s="183">
        <v>0.71212121212121215</v>
      </c>
      <c r="AF36" s="189">
        <v>0.71818181818181825</v>
      </c>
      <c r="AG36" s="185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 t="str">
        <f>"" &amp; TEXT(AF36,"#0.00%") &amp; " "</f>
        <v xml:space="preserve">71.82% </v>
      </c>
      <c r="AT36" s="186"/>
      <c r="AU36" s="186"/>
      <c r="AV36" s="186"/>
      <c r="AW36" s="186" t="str">
        <f>"   " &amp; "Lifter" &amp; " " &amp; IF(Q36="","",TEXT(Q36,"M/D-")) &amp; IF(R36="","",TEXT(R36,"M/D")) &amp; " "</f>
        <v xml:space="preserve">   Lifter 5/13-8/30 </v>
      </c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</row>
    <row r="37" spans="1:93" ht="15" customHeight="1" outlineLevel="3" x14ac:dyDescent="0.4">
      <c r="A37" s="172"/>
      <c r="B37" s="172"/>
      <c r="C37" s="172">
        <v>4</v>
      </c>
      <c r="D37" s="173" t="s">
        <v>1942</v>
      </c>
      <c r="E37" s="174"/>
      <c r="F37" s="174"/>
      <c r="G37" s="174"/>
      <c r="H37" s="174" t="s">
        <v>1890</v>
      </c>
      <c r="I37" s="174"/>
      <c r="J37" s="174"/>
      <c r="K37" s="174"/>
      <c r="L37" s="174"/>
      <c r="M37" s="174"/>
      <c r="N37" s="174"/>
      <c r="O37" s="175" t="s">
        <v>1941</v>
      </c>
      <c r="P37" s="175"/>
      <c r="Q37" s="176">
        <v>44694</v>
      </c>
      <c r="R37" s="176">
        <v>44773</v>
      </c>
      <c r="S37" s="177"/>
      <c r="T37" s="178">
        <v>80</v>
      </c>
      <c r="U37" s="178">
        <v>76</v>
      </c>
      <c r="V37" s="178">
        <v>80</v>
      </c>
      <c r="W37" s="178">
        <v>76</v>
      </c>
      <c r="X37" s="179"/>
      <c r="Y37" s="179"/>
      <c r="Z37" s="180"/>
      <c r="AA37" s="181">
        <v>0</v>
      </c>
      <c r="AB37" s="178">
        <v>1</v>
      </c>
      <c r="AC37" s="177"/>
      <c r="AD37" s="182"/>
      <c r="AE37" s="183">
        <v>0.95</v>
      </c>
      <c r="AF37" s="188">
        <v>0.92500000000000004</v>
      </c>
      <c r="AG37" s="185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 t="str">
        <f>"  " &amp; TEXT(AF37,"#0.00%") &amp; " " &amp; "DR" &amp; " " &amp; IF(Q37="","",TEXT(Q37,"M/D-")) &amp; IF(R37="","",TEXT(R37,"M/D")) &amp; " "</f>
        <v xml:space="preserve">  92.50% DR 5/13-7/31 </v>
      </c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</row>
    <row r="38" spans="1:93" ht="15" customHeight="1" outlineLevel="3" x14ac:dyDescent="0.4">
      <c r="A38" s="172"/>
      <c r="B38" s="172" t="s">
        <v>1879</v>
      </c>
      <c r="C38" s="172">
        <v>4</v>
      </c>
      <c r="D38" s="173" t="s">
        <v>1943</v>
      </c>
      <c r="E38" s="174"/>
      <c r="F38" s="174"/>
      <c r="G38" s="174"/>
      <c r="H38" s="174" t="s">
        <v>1944</v>
      </c>
      <c r="I38" s="174"/>
      <c r="J38" s="174"/>
      <c r="K38" s="174"/>
      <c r="L38" s="174"/>
      <c r="M38" s="174"/>
      <c r="N38" s="174"/>
      <c r="O38" s="175" t="s">
        <v>1941</v>
      </c>
      <c r="P38" s="175" t="s">
        <v>1888</v>
      </c>
      <c r="Q38" s="176">
        <v>44752</v>
      </c>
      <c r="R38" s="176">
        <v>44803</v>
      </c>
      <c r="S38" s="177"/>
      <c r="T38" s="178">
        <v>52</v>
      </c>
      <c r="U38" s="178">
        <v>18</v>
      </c>
      <c r="V38" s="178">
        <v>52</v>
      </c>
      <c r="W38" s="178">
        <v>18</v>
      </c>
      <c r="X38" s="179"/>
      <c r="Y38" s="179"/>
      <c r="Z38" s="180">
        <v>0</v>
      </c>
      <c r="AA38" s="181">
        <v>0</v>
      </c>
      <c r="AB38" s="178"/>
      <c r="AC38" s="177"/>
      <c r="AD38" s="182"/>
      <c r="AE38" s="183">
        <v>0.34615384615384615</v>
      </c>
      <c r="AF38" s="189">
        <v>0.4</v>
      </c>
      <c r="AG38" s="185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 t="str">
        <f>"" &amp; TEXT(AF38,"#0.00%") &amp; " "</f>
        <v xml:space="preserve">40.00% </v>
      </c>
      <c r="AT38" s="186"/>
      <c r="AU38" s="186"/>
      <c r="AV38" s="186"/>
      <c r="AW38" s="186" t="str">
        <f>"   " &amp; "층간 Lifter" &amp; " " &amp; IF(Q38="","",TEXT(Q38,"M/D-")) &amp; IF(R38="","",TEXT(R38,"M/D")) &amp; " "</f>
        <v xml:space="preserve">   층간 Lifter 7/10-8/30 </v>
      </c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</row>
    <row r="39" spans="1:93" ht="15" customHeight="1" outlineLevel="4" x14ac:dyDescent="0.4">
      <c r="A39" s="172"/>
      <c r="B39" s="172"/>
      <c r="C39" s="172">
        <v>5</v>
      </c>
      <c r="D39" s="173" t="s">
        <v>1945</v>
      </c>
      <c r="E39" s="174"/>
      <c r="F39" s="174"/>
      <c r="G39" s="174"/>
      <c r="H39" s="174"/>
      <c r="I39" s="174" t="s">
        <v>1897</v>
      </c>
      <c r="J39" s="174"/>
      <c r="K39" s="174"/>
      <c r="L39" s="174"/>
      <c r="M39" s="174"/>
      <c r="N39" s="174"/>
      <c r="O39" s="175" t="s">
        <v>1941</v>
      </c>
      <c r="P39" s="175" t="s">
        <v>1888</v>
      </c>
      <c r="Q39" s="176">
        <v>44752</v>
      </c>
      <c r="R39" s="176">
        <v>44803</v>
      </c>
      <c r="S39" s="177"/>
      <c r="T39" s="178">
        <v>52</v>
      </c>
      <c r="U39" s="178">
        <v>18</v>
      </c>
      <c r="V39" s="178">
        <v>52</v>
      </c>
      <c r="W39" s="178">
        <v>18</v>
      </c>
      <c r="X39" s="179"/>
      <c r="Y39" s="179"/>
      <c r="Z39" s="180"/>
      <c r="AA39" s="181">
        <v>0</v>
      </c>
      <c r="AB39" s="178">
        <v>1</v>
      </c>
      <c r="AC39" s="177"/>
      <c r="AD39" s="182"/>
      <c r="AE39" s="183">
        <v>0.34615384615384615</v>
      </c>
      <c r="AF39" s="190">
        <v>0.4</v>
      </c>
      <c r="AG39" s="185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 t="str">
        <f>"" &amp; TEXT(AF39,"#0.00%") &amp; " "</f>
        <v xml:space="preserve">40.00% </v>
      </c>
      <c r="AT39" s="186"/>
      <c r="AU39" s="186"/>
      <c r="AV39" s="186"/>
      <c r="AW39" s="186" t="str">
        <f>"   " &amp; "상세설계" &amp; " " &amp; IF(Q39="","",TEXT(Q39,"M/D-")) &amp; IF(R39="","",TEXT(R39,"M/D")) &amp; " "</f>
        <v xml:space="preserve">   상세설계 7/10-8/30 </v>
      </c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</row>
    <row r="40" spans="1:93" ht="15" customHeight="1" x14ac:dyDescent="0.4">
      <c r="A40" s="172"/>
      <c r="B40" s="172" t="s">
        <v>1879</v>
      </c>
      <c r="C40" s="172">
        <v>1</v>
      </c>
      <c r="D40" s="173" t="s">
        <v>1946</v>
      </c>
      <c r="E40" s="174" t="s">
        <v>1947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5"/>
      <c r="P40" s="175"/>
      <c r="Q40" s="176">
        <v>44713</v>
      </c>
      <c r="R40" s="176">
        <v>44977</v>
      </c>
      <c r="S40" s="177"/>
      <c r="T40" s="178">
        <v>5960</v>
      </c>
      <c r="U40" s="178">
        <v>492</v>
      </c>
      <c r="V40" s="178">
        <v>265</v>
      </c>
      <c r="W40" s="178">
        <v>57</v>
      </c>
      <c r="X40" s="179"/>
      <c r="Y40" s="179"/>
      <c r="Z40" s="180">
        <v>0</v>
      </c>
      <c r="AA40" s="181">
        <v>0</v>
      </c>
      <c r="AB40" s="178"/>
      <c r="AC40" s="177"/>
      <c r="AD40" s="182"/>
      <c r="AE40" s="183">
        <v>8.2550335570469799E-2</v>
      </c>
      <c r="AF40" s="184">
        <v>7.0278120805369132E-2</v>
      </c>
      <c r="AG40" s="185"/>
      <c r="AH40" s="186"/>
      <c r="AI40" s="186"/>
      <c r="AJ40" s="186"/>
      <c r="AK40" s="186"/>
      <c r="AL40" s="186"/>
      <c r="AM40" s="186" t="str">
        <f>" " &amp; TEXT(AF40,"#0.00%") &amp; " "</f>
        <v xml:space="preserve"> 7.03% </v>
      </c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 t="str">
        <f>"  " &amp; "제작" &amp; " " &amp; IF(Q40="","",TEXT(Q40,"M/D-")) &amp; IF(R40="","",TEXT(R40,"M/D")) &amp; " "</f>
        <v xml:space="preserve">  제작 6/1-2/20 </v>
      </c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</row>
    <row r="41" spans="1:93" ht="15" customHeight="1" outlineLevel="1" x14ac:dyDescent="0.4">
      <c r="A41" s="172"/>
      <c r="B41" s="172" t="s">
        <v>1879</v>
      </c>
      <c r="C41" s="172">
        <v>2</v>
      </c>
      <c r="D41" s="173" t="s">
        <v>1948</v>
      </c>
      <c r="E41" s="174"/>
      <c r="F41" s="174" t="s">
        <v>1883</v>
      </c>
      <c r="G41" s="174"/>
      <c r="H41" s="174"/>
      <c r="I41" s="174"/>
      <c r="J41" s="174"/>
      <c r="K41" s="174"/>
      <c r="L41" s="174"/>
      <c r="M41" s="174"/>
      <c r="N41" s="174"/>
      <c r="O41" s="175"/>
      <c r="P41" s="175"/>
      <c r="Q41" s="176">
        <v>44713</v>
      </c>
      <c r="R41" s="176">
        <v>44977</v>
      </c>
      <c r="S41" s="177"/>
      <c r="T41" s="178">
        <v>5960</v>
      </c>
      <c r="U41" s="178">
        <v>492</v>
      </c>
      <c r="V41" s="178">
        <v>265</v>
      </c>
      <c r="W41" s="178">
        <v>57</v>
      </c>
      <c r="X41" s="179"/>
      <c r="Y41" s="179"/>
      <c r="Z41" s="180">
        <v>0</v>
      </c>
      <c r="AA41" s="181">
        <v>0</v>
      </c>
      <c r="AB41" s="178"/>
      <c r="AC41" s="177"/>
      <c r="AD41" s="182"/>
      <c r="AE41" s="183">
        <v>8.2550335570469799E-2</v>
      </c>
      <c r="AF41" s="184">
        <v>7.0278120805369132E-2</v>
      </c>
      <c r="AG41" s="185"/>
      <c r="AH41" s="186"/>
      <c r="AI41" s="186"/>
      <c r="AJ41" s="186"/>
      <c r="AK41" s="186"/>
      <c r="AL41" s="186"/>
      <c r="AM41" s="186" t="str">
        <f>" " &amp; TEXT(AF41,"#0.00%") &amp; " "</f>
        <v xml:space="preserve"> 7.03% </v>
      </c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 t="str">
        <f>"  " &amp; "SKOH2" &amp; " " &amp; IF(Q41="","",TEXT(Q41,"M/D-")) &amp; IF(R41="","",TEXT(R41,"M/D")) &amp; " "</f>
        <v xml:space="preserve">  SKOH2 6/1-2/20 </v>
      </c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</row>
    <row r="42" spans="1:93" ht="15" customHeight="1" outlineLevel="2" x14ac:dyDescent="0.4">
      <c r="A42" s="172"/>
      <c r="B42" s="172" t="s">
        <v>1879</v>
      </c>
      <c r="C42" s="172">
        <v>3</v>
      </c>
      <c r="D42" s="173" t="s">
        <v>1949</v>
      </c>
      <c r="E42" s="174"/>
      <c r="F42" s="174"/>
      <c r="G42" s="174" t="s">
        <v>1887</v>
      </c>
      <c r="H42" s="174"/>
      <c r="I42" s="174"/>
      <c r="J42" s="174"/>
      <c r="K42" s="174"/>
      <c r="L42" s="174"/>
      <c r="M42" s="174"/>
      <c r="N42" s="174"/>
      <c r="O42" s="191" t="s">
        <v>1888</v>
      </c>
      <c r="P42" s="191"/>
      <c r="Q42" s="179">
        <v>44762</v>
      </c>
      <c r="R42" s="179">
        <v>44915</v>
      </c>
      <c r="S42" s="177"/>
      <c r="T42" s="178">
        <v>1385</v>
      </c>
      <c r="U42" s="178">
        <v>120</v>
      </c>
      <c r="V42" s="178">
        <v>154</v>
      </c>
      <c r="W42" s="178">
        <v>8</v>
      </c>
      <c r="X42" s="179"/>
      <c r="Y42" s="179"/>
      <c r="Z42" s="180">
        <v>0</v>
      </c>
      <c r="AA42" s="181">
        <v>0</v>
      </c>
      <c r="AB42" s="178"/>
      <c r="AC42" s="177"/>
      <c r="AD42" s="182"/>
      <c r="AE42" s="183">
        <v>8.6642599277978335E-2</v>
      </c>
      <c r="AF42" s="184">
        <v>6.500144404332131E-2</v>
      </c>
      <c r="AG42" s="185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 t="str">
        <f>"      " &amp; TEXT(AF42,"#0.00%") &amp; " "</f>
        <v xml:space="preserve">      6.50% </v>
      </c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 t="str">
        <f>"   " &amp; "Rack" &amp; " " &amp; IF(Q42="","",TEXT(Q42,"M/D-")) &amp; IF(R42="","",TEXT(R42,"M/D")) &amp; " "</f>
        <v xml:space="preserve">   Rack 7/20-12/20 </v>
      </c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</row>
    <row r="43" spans="1:93" ht="15" customHeight="1" outlineLevel="3" x14ac:dyDescent="0.4">
      <c r="A43" s="172"/>
      <c r="B43" s="172" t="s">
        <v>1879</v>
      </c>
      <c r="C43" s="172">
        <v>4</v>
      </c>
      <c r="D43" s="173" t="s">
        <v>1950</v>
      </c>
      <c r="E43" s="174"/>
      <c r="F43" s="174"/>
      <c r="G43" s="174"/>
      <c r="H43" s="174" t="s">
        <v>1951</v>
      </c>
      <c r="I43" s="174"/>
      <c r="J43" s="174"/>
      <c r="K43" s="174"/>
      <c r="L43" s="174"/>
      <c r="M43" s="174"/>
      <c r="N43" s="174"/>
      <c r="O43" s="191" t="s">
        <v>1888</v>
      </c>
      <c r="P43" s="191" t="s">
        <v>1893</v>
      </c>
      <c r="Q43" s="179">
        <v>44762</v>
      </c>
      <c r="R43" s="179">
        <v>44854</v>
      </c>
      <c r="S43" s="177"/>
      <c r="T43" s="178">
        <v>274</v>
      </c>
      <c r="U43" s="178">
        <v>24</v>
      </c>
      <c r="V43" s="178">
        <v>93</v>
      </c>
      <c r="W43" s="178">
        <v>8</v>
      </c>
      <c r="X43" s="179"/>
      <c r="Y43" s="179"/>
      <c r="Z43" s="180">
        <v>0</v>
      </c>
      <c r="AA43" s="181">
        <v>0</v>
      </c>
      <c r="AB43" s="178"/>
      <c r="AC43" s="177"/>
      <c r="AD43" s="182"/>
      <c r="AE43" s="183">
        <v>8.7591240875912413E-2</v>
      </c>
      <c r="AF43" s="184">
        <v>6.5713138686131392E-2</v>
      </c>
      <c r="AG43" s="185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 t="str">
        <f>"  " &amp; TEXT(AF43,"#0.00%") &amp; " "</f>
        <v xml:space="preserve">  6.57% </v>
      </c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 t="str">
        <f>"     " &amp; "상온1,고온1 Aging 창고(전면Deck포함)" &amp; " " &amp; IF(Q43="","",TEXT(Q43,"M/D-")) &amp; IF(R43="","",TEXT(R43,"M/D")) &amp; " "</f>
        <v xml:space="preserve">     상온1,고온1 Aging 창고(전면Deck포함) 7/20-10/20 </v>
      </c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</row>
    <row r="44" spans="1:93" ht="15" customHeight="1" outlineLevel="4" x14ac:dyDescent="0.4">
      <c r="A44" s="172"/>
      <c r="B44" s="172"/>
      <c r="C44" s="172">
        <v>5</v>
      </c>
      <c r="D44" s="173" t="s">
        <v>1952</v>
      </c>
      <c r="E44" s="174"/>
      <c r="F44" s="174"/>
      <c r="G44" s="174"/>
      <c r="H44" s="174"/>
      <c r="I44" s="174" t="s">
        <v>1953</v>
      </c>
      <c r="J44" s="174"/>
      <c r="K44" s="174"/>
      <c r="L44" s="174"/>
      <c r="M44" s="174"/>
      <c r="N44" s="174"/>
      <c r="O44" s="191" t="s">
        <v>1888</v>
      </c>
      <c r="P44" s="191" t="s">
        <v>1893</v>
      </c>
      <c r="Q44" s="179">
        <v>44762</v>
      </c>
      <c r="R44" s="179">
        <v>44803</v>
      </c>
      <c r="S44" s="177">
        <f>R44-Q44</f>
        <v>41</v>
      </c>
      <c r="T44" s="178">
        <v>126</v>
      </c>
      <c r="U44" s="178">
        <v>24</v>
      </c>
      <c r="V44" s="178">
        <v>42</v>
      </c>
      <c r="W44" s="178">
        <v>8</v>
      </c>
      <c r="X44" s="179"/>
      <c r="Y44" s="179"/>
      <c r="Z44" s="180"/>
      <c r="AA44" s="181">
        <v>0</v>
      </c>
      <c r="AB44" s="178">
        <v>3</v>
      </c>
      <c r="AC44" s="177"/>
      <c r="AD44" s="182"/>
      <c r="AE44" s="183">
        <v>0.19047619047619047</v>
      </c>
      <c r="AF44" s="188">
        <v>0.1429</v>
      </c>
      <c r="AG44" s="185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 t="str">
        <f>"  " &amp; TEXT(AF44,"#0.00%") &amp; " "</f>
        <v xml:space="preserve">  14.29% </v>
      </c>
      <c r="AS44" s="186"/>
      <c r="AT44" s="186"/>
      <c r="AU44" s="186"/>
      <c r="AV44" s="186"/>
      <c r="AW44" s="186" t="str">
        <f>"   " &amp; "구매품 발주 및 입고" &amp; " " &amp; IF(Q44="","",TEXT(Q44,"M/D-")) &amp; IF(R44="","",TEXT(R44,"M/D")) &amp; " "</f>
        <v xml:space="preserve">   구매품 발주 및 입고 7/20-8/30 </v>
      </c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</row>
    <row r="45" spans="1:93" ht="15" customHeight="1" outlineLevel="4" x14ac:dyDescent="0.4">
      <c r="A45" s="172"/>
      <c r="B45" s="172"/>
      <c r="C45" s="172">
        <v>5</v>
      </c>
      <c r="D45" s="173" t="s">
        <v>1954</v>
      </c>
      <c r="E45" s="174"/>
      <c r="F45" s="174"/>
      <c r="G45" s="174"/>
      <c r="H45" s="174"/>
      <c r="I45" s="174" t="s">
        <v>1955</v>
      </c>
      <c r="J45" s="174"/>
      <c r="K45" s="174"/>
      <c r="L45" s="174"/>
      <c r="M45" s="174"/>
      <c r="N45" s="174"/>
      <c r="O45" s="191" t="s">
        <v>1888</v>
      </c>
      <c r="P45" s="191" t="s">
        <v>1893</v>
      </c>
      <c r="Q45" s="179">
        <v>44805</v>
      </c>
      <c r="R45" s="179">
        <v>44820</v>
      </c>
      <c r="S45" s="177">
        <f>R45-Q45</f>
        <v>15</v>
      </c>
      <c r="T45" s="178">
        <v>80</v>
      </c>
      <c r="U45" s="178">
        <v>0</v>
      </c>
      <c r="V45" s="178">
        <v>16</v>
      </c>
      <c r="W45" s="178">
        <v>0</v>
      </c>
      <c r="X45" s="179"/>
      <c r="Y45" s="179"/>
      <c r="Z45" s="180"/>
      <c r="AA45" s="181">
        <v>0</v>
      </c>
      <c r="AB45" s="178">
        <v>5</v>
      </c>
      <c r="AC45" s="177"/>
      <c r="AD45" s="182"/>
      <c r="AE45" s="183">
        <v>0</v>
      </c>
      <c r="AF45" s="195">
        <v>0</v>
      </c>
      <c r="AG45" s="185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 t="str">
        <f>"    " &amp; TEXT(AF45,"#0.00%") &amp; " " &amp; "단품 및 Post 제작" &amp; " " &amp; IF(Q45="","",TEXT(Q45,"M/D-")) &amp; IF(R45="","",TEXT(R45,"M/D")) &amp; " "</f>
        <v xml:space="preserve">    0.00% 단품 및 Post 제작 9/1-9/16 </v>
      </c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</row>
    <row r="46" spans="1:93" ht="15" customHeight="1" outlineLevel="4" x14ac:dyDescent="0.4">
      <c r="A46" s="172"/>
      <c r="B46" s="172"/>
      <c r="C46" s="172">
        <v>5</v>
      </c>
      <c r="D46" s="173" t="s">
        <v>1956</v>
      </c>
      <c r="E46" s="174"/>
      <c r="F46" s="174"/>
      <c r="G46" s="174"/>
      <c r="H46" s="174"/>
      <c r="I46" s="174" t="s">
        <v>1957</v>
      </c>
      <c r="J46" s="174"/>
      <c r="K46" s="174"/>
      <c r="L46" s="174"/>
      <c r="M46" s="174"/>
      <c r="N46" s="174"/>
      <c r="O46" s="191" t="s">
        <v>1888</v>
      </c>
      <c r="P46" s="191" t="s">
        <v>1893</v>
      </c>
      <c r="Q46" s="179">
        <v>44821</v>
      </c>
      <c r="R46" s="179">
        <v>44854</v>
      </c>
      <c r="S46" s="177">
        <f>R46-Q46</f>
        <v>33</v>
      </c>
      <c r="T46" s="178">
        <v>68</v>
      </c>
      <c r="U46" s="178">
        <v>0</v>
      </c>
      <c r="V46" s="178">
        <v>34</v>
      </c>
      <c r="W46" s="178">
        <v>0</v>
      </c>
      <c r="X46" s="179"/>
      <c r="Y46" s="179"/>
      <c r="Z46" s="180"/>
      <c r="AA46" s="181">
        <v>0</v>
      </c>
      <c r="AB46" s="178">
        <v>2</v>
      </c>
      <c r="AC46" s="177"/>
      <c r="AD46" s="182"/>
      <c r="AE46" s="183">
        <v>0</v>
      </c>
      <c r="AF46" s="195">
        <v>0</v>
      </c>
      <c r="AG46" s="185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 t="str">
        <f>"      " &amp; TEXT(AF46,"#0.00%") &amp; " "</f>
        <v xml:space="preserve">      0.00% </v>
      </c>
      <c r="AZ46" s="186"/>
      <c r="BA46" s="186"/>
      <c r="BB46" s="186"/>
      <c r="BC46" s="186"/>
      <c r="BD46" s="186" t="str">
        <f>"     " &amp; "1차조립" &amp; " " &amp; IF(Q46="","",TEXT(Q46,"M/D-")) &amp; IF(R46="","",TEXT(R46,"M/D")) &amp; " "</f>
        <v xml:space="preserve">     1차조립 9/17-10/20 </v>
      </c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</row>
    <row r="47" spans="1:93" ht="15" customHeight="1" outlineLevel="3" x14ac:dyDescent="0.4">
      <c r="A47" s="172"/>
      <c r="B47" s="172" t="s">
        <v>1879</v>
      </c>
      <c r="C47" s="172">
        <v>4</v>
      </c>
      <c r="D47" s="173" t="s">
        <v>1958</v>
      </c>
      <c r="E47" s="174"/>
      <c r="F47" s="174"/>
      <c r="G47" s="174"/>
      <c r="H47" s="174" t="s">
        <v>1959</v>
      </c>
      <c r="I47" s="174"/>
      <c r="J47" s="174"/>
      <c r="K47" s="174"/>
      <c r="L47" s="174"/>
      <c r="M47" s="174"/>
      <c r="N47" s="174"/>
      <c r="O47" s="191" t="s">
        <v>1888</v>
      </c>
      <c r="P47" s="191" t="s">
        <v>1916</v>
      </c>
      <c r="Q47" s="179">
        <v>44762</v>
      </c>
      <c r="R47" s="179">
        <v>44870</v>
      </c>
      <c r="S47" s="177"/>
      <c r="T47" s="178">
        <v>259</v>
      </c>
      <c r="U47" s="178">
        <v>24</v>
      </c>
      <c r="V47" s="178">
        <v>109</v>
      </c>
      <c r="W47" s="178">
        <v>8</v>
      </c>
      <c r="X47" s="179"/>
      <c r="Y47" s="179"/>
      <c r="Z47" s="180">
        <v>0</v>
      </c>
      <c r="AA47" s="181">
        <v>0</v>
      </c>
      <c r="AB47" s="178"/>
      <c r="AC47" s="177"/>
      <c r="AD47" s="182"/>
      <c r="AE47" s="183">
        <v>9.2664092664092659E-2</v>
      </c>
      <c r="AF47" s="184">
        <v>6.9518918918918926E-2</v>
      </c>
      <c r="AG47" s="185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 t="str">
        <f>"    " &amp; TEXT(AF47,"#0.00%") &amp; " "</f>
        <v xml:space="preserve">    6.95% </v>
      </c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 t="str">
        <f>"" &amp; "고온2 Aging 창고" &amp; " " &amp; IF(Q47="","",TEXT(Q47,"M/D-")) &amp; IF(R47="","",TEXT(R47,"M/D")) &amp; " "</f>
        <v xml:space="preserve">고온2 Aging 창고 7/20-11/5 </v>
      </c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</row>
    <row r="48" spans="1:93" ht="15" customHeight="1" outlineLevel="4" x14ac:dyDescent="0.4">
      <c r="A48" s="172"/>
      <c r="B48" s="172"/>
      <c r="C48" s="172">
        <v>5</v>
      </c>
      <c r="D48" s="173" t="s">
        <v>1960</v>
      </c>
      <c r="E48" s="174"/>
      <c r="F48" s="174"/>
      <c r="G48" s="174"/>
      <c r="H48" s="174"/>
      <c r="I48" s="174" t="s">
        <v>1953</v>
      </c>
      <c r="J48" s="174"/>
      <c r="K48" s="174"/>
      <c r="L48" s="174"/>
      <c r="M48" s="174"/>
      <c r="N48" s="174"/>
      <c r="O48" s="191" t="s">
        <v>1888</v>
      </c>
      <c r="P48" s="191" t="s">
        <v>1916</v>
      </c>
      <c r="Q48" s="179">
        <v>44762</v>
      </c>
      <c r="R48" s="179">
        <v>44803</v>
      </c>
      <c r="S48" s="177">
        <f>R48-Q48</f>
        <v>41</v>
      </c>
      <c r="T48" s="178">
        <v>126</v>
      </c>
      <c r="U48" s="178">
        <v>24</v>
      </c>
      <c r="V48" s="178">
        <v>42</v>
      </c>
      <c r="W48" s="178">
        <v>8</v>
      </c>
      <c r="X48" s="179"/>
      <c r="Y48" s="179"/>
      <c r="Z48" s="180"/>
      <c r="AA48" s="181">
        <v>0</v>
      </c>
      <c r="AB48" s="178">
        <v>3</v>
      </c>
      <c r="AC48" s="177"/>
      <c r="AD48" s="182"/>
      <c r="AE48" s="183">
        <v>0.19047619047619047</v>
      </c>
      <c r="AF48" s="188">
        <v>0.1429</v>
      </c>
      <c r="AG48" s="185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 t="str">
        <f>"  " &amp; TEXT(AF48,"#0.00%") &amp; " "</f>
        <v xml:space="preserve">  14.29% </v>
      </c>
      <c r="AS48" s="186"/>
      <c r="AT48" s="186"/>
      <c r="AU48" s="186"/>
      <c r="AV48" s="186"/>
      <c r="AW48" s="186" t="str">
        <f>"   " &amp; "구매품 발주 및 입고" &amp; " " &amp; IF(Q48="","",TEXT(Q48,"M/D-")) &amp; IF(R48="","",TEXT(R48,"M/D")) &amp; " "</f>
        <v xml:space="preserve">   구매품 발주 및 입고 7/20-8/30 </v>
      </c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</row>
    <row r="49" spans="1:93" ht="15" customHeight="1" outlineLevel="4" x14ac:dyDescent="0.4">
      <c r="A49" s="172"/>
      <c r="B49" s="172"/>
      <c r="C49" s="172">
        <v>5</v>
      </c>
      <c r="D49" s="173" t="s">
        <v>1961</v>
      </c>
      <c r="E49" s="174"/>
      <c r="F49" s="174"/>
      <c r="G49" s="174"/>
      <c r="H49" s="174"/>
      <c r="I49" s="174" t="s">
        <v>1955</v>
      </c>
      <c r="J49" s="174"/>
      <c r="K49" s="174"/>
      <c r="L49" s="174"/>
      <c r="M49" s="174"/>
      <c r="N49" s="174"/>
      <c r="O49" s="191" t="s">
        <v>1888</v>
      </c>
      <c r="P49" s="191" t="s">
        <v>1916</v>
      </c>
      <c r="Q49" s="179">
        <v>44821</v>
      </c>
      <c r="R49" s="179">
        <v>44831</v>
      </c>
      <c r="S49" s="177">
        <f>R49-Q49</f>
        <v>10</v>
      </c>
      <c r="T49" s="178">
        <v>55</v>
      </c>
      <c r="U49" s="178">
        <v>0</v>
      </c>
      <c r="V49" s="178">
        <v>11</v>
      </c>
      <c r="W49" s="178">
        <v>0</v>
      </c>
      <c r="X49" s="179"/>
      <c r="Y49" s="179"/>
      <c r="Z49" s="180"/>
      <c r="AA49" s="181">
        <v>0</v>
      </c>
      <c r="AB49" s="178">
        <v>5</v>
      </c>
      <c r="AC49" s="177"/>
      <c r="AD49" s="182"/>
      <c r="AE49" s="183">
        <v>0</v>
      </c>
      <c r="AF49" s="195">
        <v>0</v>
      </c>
      <c r="AG49" s="185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 t="str">
        <f>"      " &amp; TEXT(AF49,"#0.00%") &amp; " " &amp; "단품 및 Post 제작" &amp; " " &amp; IF(Q49="","",TEXT(Q49,"M/D-")) &amp; IF(R49="","",TEXT(R49,"M/D")) &amp; " "</f>
        <v xml:space="preserve">      0.00% 단품 및 Post 제작 9/17-9/27 </v>
      </c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</row>
    <row r="50" spans="1:93" ht="15" customHeight="1" outlineLevel="4" x14ac:dyDescent="0.4">
      <c r="A50" s="172"/>
      <c r="B50" s="172"/>
      <c r="C50" s="172">
        <v>5</v>
      </c>
      <c r="D50" s="173" t="s">
        <v>1962</v>
      </c>
      <c r="E50" s="174"/>
      <c r="F50" s="174"/>
      <c r="G50" s="174"/>
      <c r="H50" s="174"/>
      <c r="I50" s="174" t="s">
        <v>1957</v>
      </c>
      <c r="J50" s="174"/>
      <c r="K50" s="174"/>
      <c r="L50" s="174"/>
      <c r="M50" s="174"/>
      <c r="N50" s="174"/>
      <c r="O50" s="191" t="s">
        <v>1888</v>
      </c>
      <c r="P50" s="191" t="s">
        <v>1916</v>
      </c>
      <c r="Q50" s="179">
        <v>44832</v>
      </c>
      <c r="R50" s="179">
        <v>44870</v>
      </c>
      <c r="S50" s="177">
        <f>R50-Q50</f>
        <v>38</v>
      </c>
      <c r="T50" s="178">
        <v>78</v>
      </c>
      <c r="U50" s="178">
        <v>0</v>
      </c>
      <c r="V50" s="178">
        <v>39</v>
      </c>
      <c r="W50" s="178">
        <v>0</v>
      </c>
      <c r="X50" s="179"/>
      <c r="Y50" s="179"/>
      <c r="Z50" s="180"/>
      <c r="AA50" s="181">
        <v>0</v>
      </c>
      <c r="AB50" s="178">
        <v>2</v>
      </c>
      <c r="AC50" s="177"/>
      <c r="AD50" s="182"/>
      <c r="AE50" s="183">
        <v>0</v>
      </c>
      <c r="AF50" s="195">
        <v>0</v>
      </c>
      <c r="AG50" s="185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 t="str">
        <f>"   " &amp; TEXT(AF50,"#0.00%") &amp; " "</f>
        <v xml:space="preserve">   0.00% </v>
      </c>
      <c r="BB50" s="186"/>
      <c r="BC50" s="186"/>
      <c r="BD50" s="186"/>
      <c r="BE50" s="186"/>
      <c r="BF50" s="186"/>
      <c r="BG50" s="186" t="str">
        <f>"" &amp; "1차조립" &amp; " " &amp; IF(Q50="","",TEXT(Q50,"M/D-")) &amp; IF(R50="","",TEXT(R50,"M/D")) &amp; " "</f>
        <v xml:space="preserve">1차조립 9/28-11/5 </v>
      </c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</row>
    <row r="51" spans="1:93" ht="15" customHeight="1" outlineLevel="3" x14ac:dyDescent="0.4">
      <c r="A51" s="172"/>
      <c r="B51" s="172" t="s">
        <v>1879</v>
      </c>
      <c r="C51" s="172">
        <v>4</v>
      </c>
      <c r="D51" s="173" t="s">
        <v>1963</v>
      </c>
      <c r="E51" s="174"/>
      <c r="F51" s="174"/>
      <c r="G51" s="174"/>
      <c r="H51" s="174" t="s">
        <v>1964</v>
      </c>
      <c r="I51" s="174"/>
      <c r="J51" s="174"/>
      <c r="K51" s="174"/>
      <c r="L51" s="174"/>
      <c r="M51" s="174"/>
      <c r="N51" s="174"/>
      <c r="O51" s="191" t="s">
        <v>1888</v>
      </c>
      <c r="P51" s="191" t="s">
        <v>1965</v>
      </c>
      <c r="Q51" s="179">
        <v>44762</v>
      </c>
      <c r="R51" s="179">
        <v>44885</v>
      </c>
      <c r="S51" s="177"/>
      <c r="T51" s="178">
        <v>318</v>
      </c>
      <c r="U51" s="178">
        <v>24</v>
      </c>
      <c r="V51" s="178">
        <v>124</v>
      </c>
      <c r="W51" s="178">
        <v>8</v>
      </c>
      <c r="X51" s="179"/>
      <c r="Y51" s="179"/>
      <c r="Z51" s="180">
        <v>0</v>
      </c>
      <c r="AA51" s="181">
        <v>0</v>
      </c>
      <c r="AB51" s="178"/>
      <c r="AC51" s="177"/>
      <c r="AD51" s="182"/>
      <c r="AE51" s="183">
        <v>7.5471698113207544E-2</v>
      </c>
      <c r="AF51" s="184">
        <v>5.6620754716981136E-2</v>
      </c>
      <c r="AG51" s="185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 t="str">
        <f>"   " &amp; TEXT(AF51,"#0.00%") &amp; " "</f>
        <v xml:space="preserve">   5.66% </v>
      </c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 t="str">
        <f>" " &amp; "상온2-1 Aging 창고" &amp; " " &amp; IF(Q51="","",TEXT(Q51,"M/D-")) &amp; IF(R51="","",TEXT(R51,"M/D")) &amp; " "</f>
        <v xml:space="preserve"> 상온2-1 Aging 창고 7/20-11/20 </v>
      </c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</row>
    <row r="52" spans="1:93" ht="15" customHeight="1" outlineLevel="4" x14ac:dyDescent="0.4">
      <c r="A52" s="172"/>
      <c r="B52" s="172"/>
      <c r="C52" s="172">
        <v>5</v>
      </c>
      <c r="D52" s="173" t="s">
        <v>1966</v>
      </c>
      <c r="E52" s="174"/>
      <c r="F52" s="174"/>
      <c r="G52" s="174"/>
      <c r="H52" s="174"/>
      <c r="I52" s="174" t="s">
        <v>1953</v>
      </c>
      <c r="J52" s="174"/>
      <c r="K52" s="174"/>
      <c r="L52" s="174"/>
      <c r="M52" s="174"/>
      <c r="N52" s="174"/>
      <c r="O52" s="191" t="s">
        <v>1888</v>
      </c>
      <c r="P52" s="191" t="s">
        <v>1965</v>
      </c>
      <c r="Q52" s="179">
        <v>44762</v>
      </c>
      <c r="R52" s="179">
        <v>44803</v>
      </c>
      <c r="S52" s="177">
        <f>R52-Q52</f>
        <v>41</v>
      </c>
      <c r="T52" s="178">
        <v>126</v>
      </c>
      <c r="U52" s="178">
        <v>24</v>
      </c>
      <c r="V52" s="178">
        <v>42</v>
      </c>
      <c r="W52" s="178">
        <v>8</v>
      </c>
      <c r="X52" s="179"/>
      <c r="Y52" s="179"/>
      <c r="Z52" s="180"/>
      <c r="AA52" s="181">
        <v>0</v>
      </c>
      <c r="AB52" s="178">
        <v>3</v>
      </c>
      <c r="AC52" s="177"/>
      <c r="AD52" s="182"/>
      <c r="AE52" s="183">
        <v>0.19047619047619047</v>
      </c>
      <c r="AF52" s="188">
        <v>0.1429</v>
      </c>
      <c r="AG52" s="185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 t="str">
        <f>"  " &amp; TEXT(AF52,"#0.00%") &amp; " "</f>
        <v xml:space="preserve">  14.29% </v>
      </c>
      <c r="AS52" s="186"/>
      <c r="AT52" s="186"/>
      <c r="AU52" s="186"/>
      <c r="AV52" s="186"/>
      <c r="AW52" s="186" t="str">
        <f>"   " &amp; "구매품 발주 및 입고" &amp; " " &amp; IF(Q52="","",TEXT(Q52,"M/D-")) &amp; IF(R52="","",TEXT(R52,"M/D")) &amp; " "</f>
        <v xml:space="preserve">   구매품 발주 및 입고 7/20-8/30 </v>
      </c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</row>
    <row r="53" spans="1:93" ht="15" customHeight="1" outlineLevel="4" x14ac:dyDescent="0.4">
      <c r="A53" s="172"/>
      <c r="B53" s="172"/>
      <c r="C53" s="172">
        <v>5</v>
      </c>
      <c r="D53" s="173" t="s">
        <v>1967</v>
      </c>
      <c r="E53" s="174"/>
      <c r="F53" s="174"/>
      <c r="G53" s="174"/>
      <c r="H53" s="174"/>
      <c r="I53" s="174" t="s">
        <v>1955</v>
      </c>
      <c r="J53" s="174"/>
      <c r="K53" s="174"/>
      <c r="L53" s="174"/>
      <c r="M53" s="174"/>
      <c r="N53" s="174"/>
      <c r="O53" s="191" t="s">
        <v>1888</v>
      </c>
      <c r="P53" s="191" t="s">
        <v>1965</v>
      </c>
      <c r="Q53" s="179">
        <v>44832</v>
      </c>
      <c r="R53" s="179">
        <v>44859</v>
      </c>
      <c r="S53" s="177">
        <f>R53-Q53</f>
        <v>27</v>
      </c>
      <c r="T53" s="178">
        <v>140</v>
      </c>
      <c r="U53" s="178">
        <v>0</v>
      </c>
      <c r="V53" s="178">
        <v>28</v>
      </c>
      <c r="W53" s="178">
        <v>0</v>
      </c>
      <c r="X53" s="179"/>
      <c r="Y53" s="179"/>
      <c r="Z53" s="180"/>
      <c r="AA53" s="181">
        <v>0</v>
      </c>
      <c r="AB53" s="178">
        <v>5</v>
      </c>
      <c r="AC53" s="177"/>
      <c r="AD53" s="182"/>
      <c r="AE53" s="183">
        <v>0</v>
      </c>
      <c r="AF53" s="195">
        <v>0</v>
      </c>
      <c r="AG53" s="185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 t="str">
        <f>"   " &amp; TEXT(AF53,"#0.00%") &amp; " "</f>
        <v xml:space="preserve">   0.00% </v>
      </c>
      <c r="BB53" s="186"/>
      <c r="BC53" s="186"/>
      <c r="BD53" s="186"/>
      <c r="BE53" s="186" t="str">
        <f>"   " &amp; "단품 및 Post 제작" &amp; " " &amp; IF(Q53="","",TEXT(Q53,"M/D-")) &amp; IF(R53="","",TEXT(R53,"M/D")) &amp; " "</f>
        <v xml:space="preserve">   단품 및 Post 제작 9/28-10/25 </v>
      </c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</row>
    <row r="54" spans="1:93" ht="15" customHeight="1" outlineLevel="4" x14ac:dyDescent="0.4">
      <c r="A54" s="172"/>
      <c r="B54" s="172"/>
      <c r="C54" s="172">
        <v>5</v>
      </c>
      <c r="D54" s="173" t="s">
        <v>1968</v>
      </c>
      <c r="E54" s="174"/>
      <c r="F54" s="174"/>
      <c r="G54" s="174"/>
      <c r="H54" s="174"/>
      <c r="I54" s="174" t="s">
        <v>1957</v>
      </c>
      <c r="J54" s="174"/>
      <c r="K54" s="174"/>
      <c r="L54" s="174"/>
      <c r="M54" s="174"/>
      <c r="N54" s="174"/>
      <c r="O54" s="191" t="s">
        <v>1888</v>
      </c>
      <c r="P54" s="191" t="s">
        <v>1965</v>
      </c>
      <c r="Q54" s="179">
        <v>44860</v>
      </c>
      <c r="R54" s="179">
        <v>44885</v>
      </c>
      <c r="S54" s="177">
        <f>R54-Q54</f>
        <v>25</v>
      </c>
      <c r="T54" s="178">
        <v>52</v>
      </c>
      <c r="U54" s="178">
        <v>0</v>
      </c>
      <c r="V54" s="178">
        <v>26</v>
      </c>
      <c r="W54" s="178">
        <v>0</v>
      </c>
      <c r="X54" s="179"/>
      <c r="Y54" s="179"/>
      <c r="Z54" s="180"/>
      <c r="AA54" s="181">
        <v>0</v>
      </c>
      <c r="AB54" s="178">
        <v>2</v>
      </c>
      <c r="AC54" s="177"/>
      <c r="AD54" s="182"/>
      <c r="AE54" s="183">
        <v>0</v>
      </c>
      <c r="AF54" s="195">
        <v>0</v>
      </c>
      <c r="AG54" s="185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 t="str">
        <f>"   " &amp; TEXT(AF54,"#0.00%") &amp; " "</f>
        <v xml:space="preserve">   0.00% </v>
      </c>
      <c r="BF54" s="186"/>
      <c r="BG54" s="186"/>
      <c r="BH54" s="186"/>
      <c r="BI54" s="186" t="str">
        <f>" " &amp; "1차조립" &amp; " " &amp; IF(Q54="","",TEXT(Q54,"M/D-")) &amp; IF(R54="","",TEXT(R54,"M/D")) &amp; " "</f>
        <v xml:space="preserve"> 1차조립 10/26-11/20 </v>
      </c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</row>
    <row r="55" spans="1:93" ht="15" customHeight="1" outlineLevel="3" x14ac:dyDescent="0.4">
      <c r="A55" s="172"/>
      <c r="B55" s="172" t="s">
        <v>1879</v>
      </c>
      <c r="C55" s="172">
        <v>4</v>
      </c>
      <c r="D55" s="173" t="s">
        <v>1969</v>
      </c>
      <c r="E55" s="174"/>
      <c r="F55" s="174"/>
      <c r="G55" s="174"/>
      <c r="H55" s="174" t="s">
        <v>1970</v>
      </c>
      <c r="I55" s="174"/>
      <c r="J55" s="174"/>
      <c r="K55" s="174"/>
      <c r="L55" s="174"/>
      <c r="M55" s="174"/>
      <c r="N55" s="174"/>
      <c r="O55" s="191" t="s">
        <v>1888</v>
      </c>
      <c r="P55" s="191" t="s">
        <v>1888</v>
      </c>
      <c r="Q55" s="179">
        <v>44762</v>
      </c>
      <c r="R55" s="179">
        <v>44900</v>
      </c>
      <c r="S55" s="177"/>
      <c r="T55" s="178">
        <v>286</v>
      </c>
      <c r="U55" s="178">
        <v>24</v>
      </c>
      <c r="V55" s="178">
        <v>139</v>
      </c>
      <c r="W55" s="178">
        <v>8</v>
      </c>
      <c r="X55" s="179"/>
      <c r="Y55" s="179"/>
      <c r="Z55" s="180">
        <v>0</v>
      </c>
      <c r="AA55" s="181">
        <v>0</v>
      </c>
      <c r="AB55" s="178"/>
      <c r="AC55" s="177"/>
      <c r="AD55" s="182"/>
      <c r="AE55" s="183">
        <v>8.3916083916083919E-2</v>
      </c>
      <c r="AF55" s="184">
        <v>6.2955944055944055E-2</v>
      </c>
      <c r="AG55" s="185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 t="str">
        <f>"     " &amp; TEXT(AF55,"#0.00%") &amp; " "</f>
        <v xml:space="preserve">     6.30% </v>
      </c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 t="str">
        <f>"  " &amp; "상온2-2 Aging 창고" &amp; " " &amp; IF(Q55="","",TEXT(Q55,"M/D-")) &amp; IF(R55="","",TEXT(R55,"M/D")) &amp; " "</f>
        <v xml:space="preserve">  상온2-2 Aging 창고 7/20-12/5 </v>
      </c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</row>
    <row r="56" spans="1:93" ht="15" customHeight="1" outlineLevel="4" x14ac:dyDescent="0.4">
      <c r="A56" s="172"/>
      <c r="B56" s="172"/>
      <c r="C56" s="172">
        <v>5</v>
      </c>
      <c r="D56" s="173" t="s">
        <v>1971</v>
      </c>
      <c r="E56" s="174"/>
      <c r="F56" s="174"/>
      <c r="G56" s="174"/>
      <c r="H56" s="174"/>
      <c r="I56" s="174" t="s">
        <v>1953</v>
      </c>
      <c r="J56" s="174"/>
      <c r="K56" s="174"/>
      <c r="L56" s="174"/>
      <c r="M56" s="174"/>
      <c r="N56" s="174"/>
      <c r="O56" s="191" t="s">
        <v>1888</v>
      </c>
      <c r="P56" s="191" t="s">
        <v>1888</v>
      </c>
      <c r="Q56" s="179">
        <v>44762</v>
      </c>
      <c r="R56" s="179">
        <v>44803</v>
      </c>
      <c r="S56" s="177">
        <f>R56-Q56</f>
        <v>41</v>
      </c>
      <c r="T56" s="178">
        <v>126</v>
      </c>
      <c r="U56" s="178">
        <v>24</v>
      </c>
      <c r="V56" s="178">
        <v>42</v>
      </c>
      <c r="W56" s="178">
        <v>8</v>
      </c>
      <c r="X56" s="179"/>
      <c r="Y56" s="179"/>
      <c r="Z56" s="180"/>
      <c r="AA56" s="181">
        <v>0</v>
      </c>
      <c r="AB56" s="178">
        <v>3</v>
      </c>
      <c r="AC56" s="177"/>
      <c r="AD56" s="182"/>
      <c r="AE56" s="183">
        <v>0.19047619047619047</v>
      </c>
      <c r="AF56" s="188">
        <v>0.1429</v>
      </c>
      <c r="AG56" s="185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 t="str">
        <f>"  " &amp; TEXT(AF56,"#0.00%") &amp; " "</f>
        <v xml:space="preserve">  14.29% </v>
      </c>
      <c r="AS56" s="186"/>
      <c r="AT56" s="186"/>
      <c r="AU56" s="186"/>
      <c r="AV56" s="186"/>
      <c r="AW56" s="186" t="str">
        <f>"   " &amp; "구매품 발주 및 입고" &amp; " " &amp; IF(Q56="","",TEXT(Q56,"M/D-")) &amp; IF(R56="","",TEXT(R56,"M/D")) &amp; " "</f>
        <v xml:space="preserve">   구매품 발주 및 입고 7/20-8/30 </v>
      </c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</row>
    <row r="57" spans="1:93" ht="15" customHeight="1" outlineLevel="4" x14ac:dyDescent="0.4">
      <c r="A57" s="172"/>
      <c r="B57" s="172"/>
      <c r="C57" s="172">
        <v>5</v>
      </c>
      <c r="D57" s="173" t="s">
        <v>1972</v>
      </c>
      <c r="E57" s="174"/>
      <c r="F57" s="174"/>
      <c r="G57" s="174"/>
      <c r="H57" s="174"/>
      <c r="I57" s="174" t="s">
        <v>1955</v>
      </c>
      <c r="J57" s="174"/>
      <c r="K57" s="174"/>
      <c r="L57" s="174"/>
      <c r="M57" s="174"/>
      <c r="N57" s="174"/>
      <c r="O57" s="191" t="s">
        <v>1888</v>
      </c>
      <c r="P57" s="191" t="s">
        <v>1888</v>
      </c>
      <c r="Q57" s="179">
        <v>44860</v>
      </c>
      <c r="R57" s="179">
        <v>44885</v>
      </c>
      <c r="S57" s="177">
        <f>R57-Q57</f>
        <v>25</v>
      </c>
      <c r="T57" s="178">
        <v>130</v>
      </c>
      <c r="U57" s="178">
        <v>0</v>
      </c>
      <c r="V57" s="178">
        <v>26</v>
      </c>
      <c r="W57" s="178">
        <v>0</v>
      </c>
      <c r="X57" s="179"/>
      <c r="Y57" s="179"/>
      <c r="Z57" s="180"/>
      <c r="AA57" s="181">
        <v>0</v>
      </c>
      <c r="AB57" s="178">
        <v>5</v>
      </c>
      <c r="AC57" s="177"/>
      <c r="AD57" s="182"/>
      <c r="AE57" s="183">
        <v>0</v>
      </c>
      <c r="AF57" s="195">
        <v>0</v>
      </c>
      <c r="AG57" s="185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 t="str">
        <f>"   " &amp; TEXT(AF57,"#0.00%") &amp; " "</f>
        <v xml:space="preserve">   0.00% </v>
      </c>
      <c r="BF57" s="186"/>
      <c r="BG57" s="186"/>
      <c r="BH57" s="186"/>
      <c r="BI57" s="186" t="str">
        <f>" " &amp; "단품 및 Post 제작" &amp; " " &amp; IF(Q57="","",TEXT(Q57,"M/D-")) &amp; IF(R57="","",TEXT(R57,"M/D")) &amp; " "</f>
        <v xml:space="preserve"> 단품 및 Post 제작 10/26-11/20 </v>
      </c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</row>
    <row r="58" spans="1:93" ht="15" customHeight="1" outlineLevel="4" x14ac:dyDescent="0.4">
      <c r="A58" s="172"/>
      <c r="B58" s="172"/>
      <c r="C58" s="172">
        <v>5</v>
      </c>
      <c r="D58" s="173" t="s">
        <v>1973</v>
      </c>
      <c r="E58" s="174"/>
      <c r="F58" s="174"/>
      <c r="G58" s="174"/>
      <c r="H58" s="174"/>
      <c r="I58" s="174" t="s">
        <v>1957</v>
      </c>
      <c r="J58" s="174"/>
      <c r="K58" s="174"/>
      <c r="L58" s="174"/>
      <c r="M58" s="174"/>
      <c r="N58" s="174"/>
      <c r="O58" s="191" t="s">
        <v>1888</v>
      </c>
      <c r="P58" s="191" t="s">
        <v>1888</v>
      </c>
      <c r="Q58" s="179">
        <v>44886</v>
      </c>
      <c r="R58" s="179">
        <v>44900</v>
      </c>
      <c r="S58" s="177">
        <f>R58-Q58</f>
        <v>14</v>
      </c>
      <c r="T58" s="178">
        <v>30</v>
      </c>
      <c r="U58" s="178">
        <v>0</v>
      </c>
      <c r="V58" s="178">
        <v>15</v>
      </c>
      <c r="W58" s="178">
        <v>0</v>
      </c>
      <c r="X58" s="179"/>
      <c r="Y58" s="179"/>
      <c r="Z58" s="180"/>
      <c r="AA58" s="181">
        <v>0</v>
      </c>
      <c r="AB58" s="178">
        <v>2</v>
      </c>
      <c r="AC58" s="177"/>
      <c r="AD58" s="182"/>
      <c r="AE58" s="183">
        <v>0</v>
      </c>
      <c r="AF58" s="195">
        <v>0</v>
      </c>
      <c r="AG58" s="185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 t="str">
        <f>" " &amp; TEXT(AF58,"#0.00%") &amp; " " &amp; "1차조립" &amp; " " &amp; IF(Q58="","",TEXT(Q58,"M/D-")) &amp; IF(R58="","",TEXT(R58,"M/D")) &amp; " "</f>
        <v xml:space="preserve"> 0.00% 1차조립 11/21-12/5 </v>
      </c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</row>
    <row r="59" spans="1:93" ht="15" customHeight="1" outlineLevel="3" x14ac:dyDescent="0.4">
      <c r="A59" s="172"/>
      <c r="B59" s="172" t="s">
        <v>1879</v>
      </c>
      <c r="C59" s="172">
        <v>4</v>
      </c>
      <c r="D59" s="196" t="s">
        <v>1974</v>
      </c>
      <c r="E59" s="197"/>
      <c r="F59" s="197"/>
      <c r="G59" s="197"/>
      <c r="H59" s="197" t="s">
        <v>1975</v>
      </c>
      <c r="I59" s="197"/>
      <c r="J59" s="197"/>
      <c r="K59" s="197"/>
      <c r="L59" s="197"/>
      <c r="M59" s="197"/>
      <c r="N59" s="197"/>
      <c r="O59" s="198" t="s">
        <v>1888</v>
      </c>
      <c r="P59" s="198" t="s">
        <v>1888</v>
      </c>
      <c r="Q59" s="199">
        <v>44762</v>
      </c>
      <c r="R59" s="199">
        <v>44915</v>
      </c>
      <c r="S59" s="200"/>
      <c r="T59" s="201">
        <v>248</v>
      </c>
      <c r="U59" s="201">
        <v>24</v>
      </c>
      <c r="V59" s="201">
        <v>154</v>
      </c>
      <c r="W59" s="201">
        <v>8</v>
      </c>
      <c r="X59" s="199"/>
      <c r="Y59" s="199"/>
      <c r="Z59" s="202">
        <v>0</v>
      </c>
      <c r="AA59" s="203">
        <v>0</v>
      </c>
      <c r="AB59" s="201"/>
      <c r="AC59" s="200"/>
      <c r="AD59" s="204"/>
      <c r="AE59" s="205">
        <v>9.6774193548387094E-2</v>
      </c>
      <c r="AF59" s="184">
        <v>7.2602419354838715E-2</v>
      </c>
      <c r="AG59" s="185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 t="str">
        <f>"" &amp; TEXT(AF59,"#0.00%") &amp; " "</f>
        <v xml:space="preserve">7.26% </v>
      </c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 t="str">
        <f>"   " &amp; "RACK 마감자재(후면Deck포함)" &amp; " " &amp; IF(Q59="","",TEXT(Q59,"M/D-")) &amp; IF(R59="","",TEXT(R59,"M/D")) &amp; " "</f>
        <v xml:space="preserve">   RACK 마감자재(후면Deck포함) 7/20-12/20 </v>
      </c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</row>
    <row r="60" spans="1:93" ht="15" customHeight="1" outlineLevel="4" x14ac:dyDescent="0.4">
      <c r="A60" s="172"/>
      <c r="B60" s="172"/>
      <c r="C60" s="172">
        <v>5</v>
      </c>
      <c r="D60" s="173" t="s">
        <v>1976</v>
      </c>
      <c r="E60" s="174"/>
      <c r="F60" s="174"/>
      <c r="G60" s="174"/>
      <c r="H60" s="174"/>
      <c r="I60" s="174" t="s">
        <v>1953</v>
      </c>
      <c r="J60" s="174"/>
      <c r="K60" s="174"/>
      <c r="L60" s="174"/>
      <c r="M60" s="174"/>
      <c r="N60" s="174"/>
      <c r="O60" s="191" t="s">
        <v>1888</v>
      </c>
      <c r="P60" s="191" t="s">
        <v>1888</v>
      </c>
      <c r="Q60" s="179">
        <v>44762</v>
      </c>
      <c r="R60" s="179">
        <v>44803</v>
      </c>
      <c r="S60" s="177">
        <f>R60-Q60</f>
        <v>41</v>
      </c>
      <c r="T60" s="178">
        <v>126</v>
      </c>
      <c r="U60" s="178">
        <v>24</v>
      </c>
      <c r="V60" s="178">
        <v>42</v>
      </c>
      <c r="W60" s="178">
        <v>8</v>
      </c>
      <c r="X60" s="179"/>
      <c r="Y60" s="179"/>
      <c r="Z60" s="180"/>
      <c r="AA60" s="181">
        <v>0</v>
      </c>
      <c r="AB60" s="178">
        <v>3</v>
      </c>
      <c r="AC60" s="177"/>
      <c r="AD60" s="182"/>
      <c r="AE60" s="183">
        <v>0.19047619047619047</v>
      </c>
      <c r="AF60" s="188">
        <v>0.1429</v>
      </c>
      <c r="AG60" s="185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 t="str">
        <f>"  " &amp; TEXT(AF60,"#0.00%") &amp; " "</f>
        <v xml:space="preserve">  14.29% </v>
      </c>
      <c r="AS60" s="186"/>
      <c r="AT60" s="186"/>
      <c r="AU60" s="186"/>
      <c r="AV60" s="186"/>
      <c r="AW60" s="186" t="str">
        <f>"   " &amp; "구매품 발주 및 입고" &amp; " " &amp; IF(Q60="","",TEXT(Q60,"M/D-")) &amp; IF(R60="","",TEXT(R60,"M/D")) &amp; " "</f>
        <v xml:space="preserve">   구매품 발주 및 입고 7/20-8/30 </v>
      </c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</row>
    <row r="61" spans="1:93" ht="15" customHeight="1" outlineLevel="4" x14ac:dyDescent="0.4">
      <c r="A61" s="172"/>
      <c r="B61" s="172"/>
      <c r="C61" s="172">
        <v>5</v>
      </c>
      <c r="D61" s="173" t="s">
        <v>1977</v>
      </c>
      <c r="E61" s="174"/>
      <c r="F61" s="174"/>
      <c r="G61" s="174"/>
      <c r="H61" s="174"/>
      <c r="I61" s="174" t="s">
        <v>1955</v>
      </c>
      <c r="J61" s="174"/>
      <c r="K61" s="174"/>
      <c r="L61" s="174"/>
      <c r="M61" s="174"/>
      <c r="N61" s="174"/>
      <c r="O61" s="191" t="s">
        <v>1888</v>
      </c>
      <c r="P61" s="191" t="s">
        <v>1888</v>
      </c>
      <c r="Q61" s="179">
        <v>44886</v>
      </c>
      <c r="R61" s="179">
        <v>44905</v>
      </c>
      <c r="S61" s="177">
        <f>R61-Q61</f>
        <v>19</v>
      </c>
      <c r="T61" s="178">
        <v>100</v>
      </c>
      <c r="U61" s="178">
        <v>0</v>
      </c>
      <c r="V61" s="178">
        <v>20</v>
      </c>
      <c r="W61" s="178">
        <v>0</v>
      </c>
      <c r="X61" s="179"/>
      <c r="Y61" s="179"/>
      <c r="Z61" s="180"/>
      <c r="AA61" s="181">
        <v>0</v>
      </c>
      <c r="AB61" s="178">
        <v>5</v>
      </c>
      <c r="AC61" s="177"/>
      <c r="AD61" s="182"/>
      <c r="AE61" s="183">
        <v>0</v>
      </c>
      <c r="AF61" s="195">
        <v>0</v>
      </c>
      <c r="AG61" s="185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 t="str">
        <f>" " &amp; TEXT(AF61,"#0.00%") &amp; " "</f>
        <v xml:space="preserve"> 0.00% </v>
      </c>
      <c r="BJ61" s="186"/>
      <c r="BK61" s="186"/>
      <c r="BL61" s="186" t="str">
        <f>"" &amp; "단품 및 Post 제작" &amp; " " &amp; IF(Q61="","",TEXT(Q61,"M/D-")) &amp; IF(R61="","",TEXT(R61,"M/D")) &amp; " "</f>
        <v xml:space="preserve">단품 및 Post 제작 11/21-12/10 </v>
      </c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</row>
    <row r="62" spans="1:93" ht="15" customHeight="1" outlineLevel="4" x14ac:dyDescent="0.4">
      <c r="A62" s="172"/>
      <c r="B62" s="172"/>
      <c r="C62" s="172">
        <v>5</v>
      </c>
      <c r="D62" s="173" t="s">
        <v>1978</v>
      </c>
      <c r="E62" s="174"/>
      <c r="F62" s="174"/>
      <c r="G62" s="174"/>
      <c r="H62" s="174"/>
      <c r="I62" s="174" t="s">
        <v>1957</v>
      </c>
      <c r="J62" s="174"/>
      <c r="K62" s="174"/>
      <c r="L62" s="174"/>
      <c r="M62" s="174"/>
      <c r="N62" s="174"/>
      <c r="O62" s="191" t="s">
        <v>1888</v>
      </c>
      <c r="P62" s="191" t="s">
        <v>1888</v>
      </c>
      <c r="Q62" s="179">
        <v>44905</v>
      </c>
      <c r="R62" s="179">
        <v>44915</v>
      </c>
      <c r="S62" s="177">
        <f>R62-Q62</f>
        <v>10</v>
      </c>
      <c r="T62" s="178">
        <v>22</v>
      </c>
      <c r="U62" s="178">
        <v>0</v>
      </c>
      <c r="V62" s="178">
        <v>11</v>
      </c>
      <c r="W62" s="178">
        <v>0</v>
      </c>
      <c r="X62" s="179"/>
      <c r="Y62" s="179"/>
      <c r="Z62" s="180"/>
      <c r="AA62" s="181">
        <v>0</v>
      </c>
      <c r="AB62" s="178">
        <v>2</v>
      </c>
      <c r="AC62" s="177"/>
      <c r="AD62" s="182"/>
      <c r="AE62" s="183">
        <v>0</v>
      </c>
      <c r="AF62" s="195">
        <v>0</v>
      </c>
      <c r="AG62" s="185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 t="str">
        <f>"      " &amp; TEXT(AF62,"#0.00%") &amp; " " &amp; "1차조립" &amp; " " &amp; IF(Q62="","",TEXT(Q62,"M/D-")) &amp; IF(R62="","",TEXT(R62,"M/D")) &amp; " "</f>
        <v xml:space="preserve">      0.00% 1차조립 12/10-12/20 </v>
      </c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</row>
    <row r="63" spans="1:93" ht="15" customHeight="1" outlineLevel="2" x14ac:dyDescent="0.4">
      <c r="A63" s="172"/>
      <c r="B63" s="172" t="s">
        <v>1879</v>
      </c>
      <c r="C63" s="172">
        <v>3</v>
      </c>
      <c r="D63" s="173" t="s">
        <v>1979</v>
      </c>
      <c r="E63" s="174"/>
      <c r="F63" s="174"/>
      <c r="G63" s="174" t="s">
        <v>1899</v>
      </c>
      <c r="H63" s="174"/>
      <c r="I63" s="174"/>
      <c r="J63" s="174"/>
      <c r="K63" s="174"/>
      <c r="L63" s="174"/>
      <c r="M63" s="174"/>
      <c r="N63" s="174"/>
      <c r="O63" s="175" t="s">
        <v>1900</v>
      </c>
      <c r="P63" s="175"/>
      <c r="Q63" s="179">
        <v>44713</v>
      </c>
      <c r="R63" s="179">
        <v>44946</v>
      </c>
      <c r="S63" s="177"/>
      <c r="T63" s="178">
        <v>1428</v>
      </c>
      <c r="U63" s="178">
        <v>228</v>
      </c>
      <c r="V63" s="178">
        <v>234</v>
      </c>
      <c r="W63" s="178">
        <v>57</v>
      </c>
      <c r="X63" s="179"/>
      <c r="Y63" s="179"/>
      <c r="Z63" s="180">
        <v>0</v>
      </c>
      <c r="AA63" s="181">
        <v>0</v>
      </c>
      <c r="AB63" s="178"/>
      <c r="AC63" s="177"/>
      <c r="AD63" s="182"/>
      <c r="AE63" s="183">
        <v>0.15966386554621848</v>
      </c>
      <c r="AF63" s="184">
        <v>0.15462184873949578</v>
      </c>
      <c r="AG63" s="185"/>
      <c r="AH63" s="186"/>
      <c r="AI63" s="186"/>
      <c r="AJ63" s="186"/>
      <c r="AK63" s="186"/>
      <c r="AL63" s="186"/>
      <c r="AM63" s="186"/>
      <c r="AN63" s="186"/>
      <c r="AO63" s="186" t="str">
        <f>"    " &amp; TEXT(AF63,"#0.00%") &amp; " "</f>
        <v xml:space="preserve">    15.46% </v>
      </c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 t="str">
        <f>"      " &amp; "MSC Crane" &amp; " " &amp; IF(Q63="","",TEXT(Q63,"M/D-")) &amp; IF(R63="","",TEXT(R63,"M/D")) &amp; " "</f>
        <v xml:space="preserve">      MSC Crane 6/1-1/20 </v>
      </c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</row>
    <row r="64" spans="1:93" ht="15" customHeight="1" outlineLevel="3" x14ac:dyDescent="0.4">
      <c r="A64" s="172"/>
      <c r="B64" s="172" t="s">
        <v>1879</v>
      </c>
      <c r="C64" s="172">
        <v>4</v>
      </c>
      <c r="D64" s="173" t="s">
        <v>1980</v>
      </c>
      <c r="E64" s="174"/>
      <c r="F64" s="174"/>
      <c r="G64" s="174"/>
      <c r="H64" s="174" t="s">
        <v>1981</v>
      </c>
      <c r="I64" s="174"/>
      <c r="J64" s="174"/>
      <c r="K64" s="174"/>
      <c r="L64" s="174"/>
      <c r="M64" s="174"/>
      <c r="N64" s="174"/>
      <c r="O64" s="175" t="s">
        <v>1900</v>
      </c>
      <c r="P64" s="175" t="s">
        <v>1893</v>
      </c>
      <c r="Q64" s="179">
        <v>44713</v>
      </c>
      <c r="R64" s="179">
        <v>44915</v>
      </c>
      <c r="S64" s="177"/>
      <c r="T64" s="178">
        <v>747</v>
      </c>
      <c r="U64" s="178">
        <v>114</v>
      </c>
      <c r="V64" s="178">
        <v>203</v>
      </c>
      <c r="W64" s="178">
        <v>57</v>
      </c>
      <c r="X64" s="179"/>
      <c r="Y64" s="179"/>
      <c r="Z64" s="180">
        <v>0</v>
      </c>
      <c r="AA64" s="181">
        <v>0</v>
      </c>
      <c r="AB64" s="178"/>
      <c r="AC64" s="177"/>
      <c r="AD64" s="182"/>
      <c r="AE64" s="183">
        <v>0.15261044176706828</v>
      </c>
      <c r="AF64" s="184">
        <v>0.14779116465863454</v>
      </c>
      <c r="AG64" s="185"/>
      <c r="AH64" s="186"/>
      <c r="AI64" s="186"/>
      <c r="AJ64" s="186"/>
      <c r="AK64" s="186"/>
      <c r="AL64" s="186"/>
      <c r="AM64" s="186"/>
      <c r="AN64" s="186" t="str">
        <f>"     " &amp; TEXT(AF64,"#0.00%") &amp; " "</f>
        <v xml:space="preserve">     14.78% </v>
      </c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 t="str">
        <f>"   " &amp; "상온1,고온1,PPC,충방전" &amp; " " &amp; IF(Q64="","",TEXT(Q64,"M/D-")) &amp; IF(R64="","",TEXT(R64,"M/D")) &amp; " "</f>
        <v xml:space="preserve">   상온1,고온1,PPC,충방전 6/1-12/20 </v>
      </c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</row>
    <row r="65" spans="1:93" ht="15" customHeight="1" outlineLevel="4" x14ac:dyDescent="0.4">
      <c r="A65" s="172"/>
      <c r="B65" s="172"/>
      <c r="C65" s="172">
        <v>5</v>
      </c>
      <c r="D65" s="173" t="s">
        <v>1982</v>
      </c>
      <c r="E65" s="174"/>
      <c r="F65" s="174"/>
      <c r="G65" s="174"/>
      <c r="H65" s="174"/>
      <c r="I65" s="174" t="s">
        <v>1983</v>
      </c>
      <c r="J65" s="174"/>
      <c r="K65" s="174"/>
      <c r="L65" s="174"/>
      <c r="M65" s="174"/>
      <c r="N65" s="174"/>
      <c r="O65" s="175" t="s">
        <v>1900</v>
      </c>
      <c r="P65" s="175" t="s">
        <v>1893</v>
      </c>
      <c r="Q65" s="179">
        <v>44713</v>
      </c>
      <c r="R65" s="179">
        <v>44896</v>
      </c>
      <c r="S65" s="177">
        <f>R65-Q65</f>
        <v>183</v>
      </c>
      <c r="T65" s="178">
        <v>368</v>
      </c>
      <c r="U65" s="178">
        <v>114</v>
      </c>
      <c r="V65" s="178">
        <v>184</v>
      </c>
      <c r="W65" s="178">
        <v>57</v>
      </c>
      <c r="X65" s="179"/>
      <c r="Y65" s="179"/>
      <c r="Z65" s="180"/>
      <c r="AA65" s="181">
        <v>0</v>
      </c>
      <c r="AB65" s="178">
        <v>2</v>
      </c>
      <c r="AC65" s="177"/>
      <c r="AD65" s="182"/>
      <c r="AE65" s="183">
        <v>0.30978260869565216</v>
      </c>
      <c r="AF65" s="188">
        <v>0.3</v>
      </c>
      <c r="AG65" s="185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 t="str">
        <f>"  " &amp; TEXT(AF65,"#0.00%") &amp; " "</f>
        <v xml:space="preserve">  30.00% </v>
      </c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 t="str">
        <f>"     " &amp; "장납기 구매품 발주 및 입고" &amp; " " &amp; IF(Q65="","",TEXT(Q65,"M/D-")) &amp; IF(R65="","",TEXT(R65,"M/D")) &amp; " "</f>
        <v xml:space="preserve">     장납기 구매품 발주 및 입고 6/1-12/1 </v>
      </c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</row>
    <row r="66" spans="1:93" ht="15" customHeight="1" outlineLevel="4" x14ac:dyDescent="0.4">
      <c r="A66" s="172"/>
      <c r="B66" s="172"/>
      <c r="C66" s="172">
        <v>5</v>
      </c>
      <c r="D66" s="173" t="s">
        <v>1984</v>
      </c>
      <c r="E66" s="174"/>
      <c r="F66" s="174"/>
      <c r="G66" s="174"/>
      <c r="H66" s="174"/>
      <c r="I66" s="174" t="s">
        <v>1985</v>
      </c>
      <c r="J66" s="174"/>
      <c r="K66" s="174"/>
      <c r="L66" s="174"/>
      <c r="M66" s="174"/>
      <c r="N66" s="174"/>
      <c r="O66" s="175" t="s">
        <v>1900</v>
      </c>
      <c r="P66" s="175" t="s">
        <v>1893</v>
      </c>
      <c r="Q66" s="179">
        <v>44805</v>
      </c>
      <c r="R66" s="179">
        <v>44855</v>
      </c>
      <c r="S66" s="177">
        <f>R66-Q66</f>
        <v>50</v>
      </c>
      <c r="T66" s="178">
        <v>153</v>
      </c>
      <c r="U66" s="178">
        <v>0</v>
      </c>
      <c r="V66" s="178">
        <v>51</v>
      </c>
      <c r="W66" s="178">
        <v>0</v>
      </c>
      <c r="X66" s="179"/>
      <c r="Y66" s="179"/>
      <c r="Z66" s="180"/>
      <c r="AA66" s="181">
        <v>0</v>
      </c>
      <c r="AB66" s="178">
        <v>3</v>
      </c>
      <c r="AC66" s="177"/>
      <c r="AD66" s="182"/>
      <c r="AE66" s="183">
        <v>0</v>
      </c>
      <c r="AF66" s="195">
        <v>0</v>
      </c>
      <c r="AG66" s="185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 t="str">
        <f>"    " &amp; TEXT(AF66,"#0.00%") &amp; " "</f>
        <v xml:space="preserve">    0.00% </v>
      </c>
      <c r="AX66" s="186"/>
      <c r="AY66" s="186"/>
      <c r="AZ66" s="186"/>
      <c r="BA66" s="186"/>
      <c r="BB66" s="186"/>
      <c r="BC66" s="186"/>
      <c r="BD66" s="186" t="str">
        <f>"      " &amp; "단품제작" &amp; " " &amp; IF(Q66="","",TEXT(Q66,"M/D-")) &amp; IF(R66="","",TEXT(R66,"M/D")) &amp; " "</f>
        <v xml:space="preserve">      단품제작 9/1-10/21 </v>
      </c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</row>
    <row r="67" spans="1:93" ht="15" customHeight="1" outlineLevel="4" x14ac:dyDescent="0.4">
      <c r="A67" s="172"/>
      <c r="B67" s="172"/>
      <c r="C67" s="172">
        <v>5</v>
      </c>
      <c r="D67" s="173" t="s">
        <v>1986</v>
      </c>
      <c r="E67" s="174"/>
      <c r="F67" s="174"/>
      <c r="G67" s="174"/>
      <c r="H67" s="174"/>
      <c r="I67" s="174" t="s">
        <v>1987</v>
      </c>
      <c r="J67" s="174"/>
      <c r="K67" s="174"/>
      <c r="L67" s="174"/>
      <c r="M67" s="174"/>
      <c r="N67" s="174"/>
      <c r="O67" s="175" t="s">
        <v>1900</v>
      </c>
      <c r="P67" s="175" t="s">
        <v>1893</v>
      </c>
      <c r="Q67" s="179">
        <v>44844</v>
      </c>
      <c r="R67" s="179">
        <v>44894</v>
      </c>
      <c r="S67" s="177">
        <f>R67-Q67</f>
        <v>50</v>
      </c>
      <c r="T67" s="178">
        <v>204</v>
      </c>
      <c r="U67" s="178">
        <v>0</v>
      </c>
      <c r="V67" s="178">
        <v>51</v>
      </c>
      <c r="W67" s="178">
        <v>0</v>
      </c>
      <c r="X67" s="179"/>
      <c r="Y67" s="179"/>
      <c r="Z67" s="180"/>
      <c r="AA67" s="181">
        <v>0</v>
      </c>
      <c r="AB67" s="178">
        <v>4</v>
      </c>
      <c r="AC67" s="177"/>
      <c r="AD67" s="182"/>
      <c r="AE67" s="183">
        <v>0</v>
      </c>
      <c r="AF67" s="195">
        <v>0</v>
      </c>
      <c r="AG67" s="185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 t="str">
        <f>" " &amp; TEXT(AF67,"#0.00%") &amp; " "</f>
        <v xml:space="preserve"> 0.00% </v>
      </c>
      <c r="BD67" s="186"/>
      <c r="BE67" s="186"/>
      <c r="BF67" s="186"/>
      <c r="BG67" s="186"/>
      <c r="BH67" s="186"/>
      <c r="BI67" s="186"/>
      <c r="BJ67" s="186" t="str">
        <f>"   " &amp; "기구조립" &amp; " " &amp; IF(Q67="","",TEXT(Q67,"M/D-")) &amp; IF(R67="","",TEXT(R67,"M/D")) &amp; " "</f>
        <v xml:space="preserve">   기구조립 10/10-11/29 </v>
      </c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</row>
    <row r="68" spans="1:93" ht="15" customHeight="1" outlineLevel="4" x14ac:dyDescent="0.4">
      <c r="A68" s="172"/>
      <c r="B68" s="172"/>
      <c r="C68" s="172">
        <v>5</v>
      </c>
      <c r="D68" s="173" t="s">
        <v>1988</v>
      </c>
      <c r="E68" s="174"/>
      <c r="F68" s="174"/>
      <c r="G68" s="174"/>
      <c r="H68" s="174"/>
      <c r="I68" s="174" t="s">
        <v>1989</v>
      </c>
      <c r="J68" s="174"/>
      <c r="K68" s="174"/>
      <c r="L68" s="174"/>
      <c r="M68" s="174"/>
      <c r="N68" s="174"/>
      <c r="O68" s="175" t="s">
        <v>1900</v>
      </c>
      <c r="P68" s="175" t="s">
        <v>1893</v>
      </c>
      <c r="Q68" s="179">
        <v>44894</v>
      </c>
      <c r="R68" s="179">
        <v>44915</v>
      </c>
      <c r="S68" s="177">
        <f>R68-Q68</f>
        <v>21</v>
      </c>
      <c r="T68" s="178">
        <v>22</v>
      </c>
      <c r="U68" s="178">
        <v>0</v>
      </c>
      <c r="V68" s="178">
        <v>22</v>
      </c>
      <c r="W68" s="178">
        <v>0</v>
      </c>
      <c r="X68" s="179"/>
      <c r="Y68" s="179"/>
      <c r="Z68" s="180"/>
      <c r="AA68" s="181">
        <v>0</v>
      </c>
      <c r="AB68" s="178">
        <v>1</v>
      </c>
      <c r="AC68" s="177"/>
      <c r="AD68" s="182"/>
      <c r="AE68" s="183">
        <v>0</v>
      </c>
      <c r="AF68" s="195">
        <v>0</v>
      </c>
      <c r="AG68" s="185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 t="str">
        <f>"  " &amp; TEXT(AF68,"#0.00%") &amp; " "</f>
        <v xml:space="preserve">  0.00% </v>
      </c>
      <c r="BK68" s="186"/>
      <c r="BL68" s="186"/>
      <c r="BM68" s="186" t="str">
        <f>"   " &amp; "전장조립" &amp; " " &amp; IF(Q68="","",TEXT(Q68,"M/D-")) &amp; IF(R68="","",TEXT(R68,"M/D")) &amp; " "</f>
        <v xml:space="preserve">   전장조립 11/29-12/20 </v>
      </c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</row>
    <row r="69" spans="1:93" ht="15" customHeight="1" outlineLevel="3" x14ac:dyDescent="0.4">
      <c r="A69" s="172"/>
      <c r="B69" s="172" t="s">
        <v>1879</v>
      </c>
      <c r="C69" s="172">
        <v>4</v>
      </c>
      <c r="D69" s="173" t="s">
        <v>1990</v>
      </c>
      <c r="E69" s="174"/>
      <c r="F69" s="174"/>
      <c r="G69" s="174"/>
      <c r="H69" s="174" t="s">
        <v>1991</v>
      </c>
      <c r="I69" s="174"/>
      <c r="J69" s="174"/>
      <c r="K69" s="174"/>
      <c r="L69" s="174"/>
      <c r="M69" s="174"/>
      <c r="N69" s="174"/>
      <c r="O69" s="175" t="s">
        <v>1900</v>
      </c>
      <c r="P69" s="175" t="s">
        <v>1916</v>
      </c>
      <c r="Q69" s="179">
        <v>44713</v>
      </c>
      <c r="R69" s="179">
        <v>44946</v>
      </c>
      <c r="S69" s="177"/>
      <c r="T69" s="178">
        <v>681</v>
      </c>
      <c r="U69" s="178">
        <v>114</v>
      </c>
      <c r="V69" s="178">
        <v>234</v>
      </c>
      <c r="W69" s="178">
        <v>57</v>
      </c>
      <c r="X69" s="179"/>
      <c r="Y69" s="179"/>
      <c r="Z69" s="180">
        <v>0</v>
      </c>
      <c r="AA69" s="181">
        <v>0</v>
      </c>
      <c r="AB69" s="178"/>
      <c r="AC69" s="177"/>
      <c r="AD69" s="182"/>
      <c r="AE69" s="183">
        <v>0.16740088105726872</v>
      </c>
      <c r="AF69" s="184">
        <v>0.1621145374449339</v>
      </c>
      <c r="AG69" s="185"/>
      <c r="AH69" s="186"/>
      <c r="AI69" s="186"/>
      <c r="AJ69" s="186"/>
      <c r="AK69" s="186"/>
      <c r="AL69" s="186"/>
      <c r="AM69" s="186"/>
      <c r="AN69" s="186"/>
      <c r="AO69" s="186" t="str">
        <f>"      " &amp; TEXT(AF69,"#0.00%") &amp; " "</f>
        <v xml:space="preserve">      16.21% </v>
      </c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 t="str">
        <f>"      " &amp; "상온2,고온2" &amp; " " &amp; IF(Q69="","",TEXT(Q69,"M/D-")) &amp; IF(R69="","",TEXT(R69,"M/D")) &amp; " "</f>
        <v xml:space="preserve">      상온2,고온2 6/1-1/20 </v>
      </c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</row>
    <row r="70" spans="1:93" ht="15" customHeight="1" outlineLevel="4" x14ac:dyDescent="0.4">
      <c r="A70" s="172"/>
      <c r="B70" s="172"/>
      <c r="C70" s="172">
        <v>5</v>
      </c>
      <c r="D70" s="173" t="s">
        <v>1992</v>
      </c>
      <c r="E70" s="174"/>
      <c r="F70" s="174"/>
      <c r="G70" s="174"/>
      <c r="H70" s="174"/>
      <c r="I70" s="174" t="s">
        <v>1983</v>
      </c>
      <c r="J70" s="174"/>
      <c r="K70" s="174"/>
      <c r="L70" s="174"/>
      <c r="M70" s="174"/>
      <c r="N70" s="174"/>
      <c r="O70" s="175" t="s">
        <v>1900</v>
      </c>
      <c r="P70" s="175" t="s">
        <v>1916</v>
      </c>
      <c r="Q70" s="179">
        <v>44713</v>
      </c>
      <c r="R70" s="179">
        <v>44896</v>
      </c>
      <c r="S70" s="177">
        <f>R70-Q70</f>
        <v>183</v>
      </c>
      <c r="T70" s="178">
        <v>368</v>
      </c>
      <c r="U70" s="178">
        <v>114</v>
      </c>
      <c r="V70" s="178">
        <v>184</v>
      </c>
      <c r="W70" s="178">
        <v>57</v>
      </c>
      <c r="X70" s="179"/>
      <c r="Y70" s="179"/>
      <c r="Z70" s="180"/>
      <c r="AA70" s="181">
        <v>0</v>
      </c>
      <c r="AB70" s="178">
        <v>2</v>
      </c>
      <c r="AC70" s="177"/>
      <c r="AD70" s="182"/>
      <c r="AE70" s="183">
        <v>0.30978260869565216</v>
      </c>
      <c r="AF70" s="188">
        <v>0.3</v>
      </c>
      <c r="AG70" s="185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 t="str">
        <f>"  " &amp; TEXT(AF70,"#0.00%") &amp; " "</f>
        <v xml:space="preserve">  30.00% </v>
      </c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 t="str">
        <f>"     " &amp; "장납기 구매품 발주 및 입고" &amp; " " &amp; IF(Q70="","",TEXT(Q70,"M/D-")) &amp; IF(R70="","",TEXT(R70,"M/D")) &amp; " "</f>
        <v xml:space="preserve">     장납기 구매품 발주 및 입고 6/1-12/1 </v>
      </c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</row>
    <row r="71" spans="1:93" ht="15" customHeight="1" outlineLevel="4" x14ac:dyDescent="0.4">
      <c r="A71" s="172"/>
      <c r="B71" s="172"/>
      <c r="C71" s="172">
        <v>5</v>
      </c>
      <c r="D71" s="173" t="s">
        <v>1993</v>
      </c>
      <c r="E71" s="174"/>
      <c r="F71" s="174"/>
      <c r="G71" s="174"/>
      <c r="H71" s="174"/>
      <c r="I71" s="174" t="s">
        <v>1985</v>
      </c>
      <c r="J71" s="174"/>
      <c r="K71" s="174"/>
      <c r="L71" s="174"/>
      <c r="M71" s="174"/>
      <c r="N71" s="174"/>
      <c r="O71" s="175" t="s">
        <v>1900</v>
      </c>
      <c r="P71" s="175" t="s">
        <v>1916</v>
      </c>
      <c r="Q71" s="179">
        <v>44853</v>
      </c>
      <c r="R71" s="179">
        <v>44895</v>
      </c>
      <c r="S71" s="177">
        <f>R71-Q71</f>
        <v>42</v>
      </c>
      <c r="T71" s="178">
        <v>129</v>
      </c>
      <c r="U71" s="178">
        <v>0</v>
      </c>
      <c r="V71" s="178">
        <v>43</v>
      </c>
      <c r="W71" s="178">
        <v>0</v>
      </c>
      <c r="X71" s="179"/>
      <c r="Y71" s="179"/>
      <c r="Z71" s="180"/>
      <c r="AA71" s="181">
        <v>0</v>
      </c>
      <c r="AB71" s="178">
        <v>3</v>
      </c>
      <c r="AC71" s="177"/>
      <c r="AD71" s="182"/>
      <c r="AE71" s="183">
        <v>0</v>
      </c>
      <c r="AF71" s="195">
        <v>0</v>
      </c>
      <c r="AG71" s="185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 t="str">
        <f>"   " &amp; TEXT(AF71,"#0.00%") &amp; " "</f>
        <v xml:space="preserve">   0.00% </v>
      </c>
      <c r="BE71" s="186"/>
      <c r="BF71" s="186"/>
      <c r="BG71" s="186"/>
      <c r="BH71" s="186"/>
      <c r="BI71" s="186"/>
      <c r="BJ71" s="186" t="str">
        <f>"    " &amp; "단품제작" &amp; " " &amp; IF(Q71="","",TEXT(Q71,"M/D-")) &amp; IF(R71="","",TEXT(R71,"M/D")) &amp; " "</f>
        <v xml:space="preserve">    단품제작 10/19-11/30 </v>
      </c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</row>
    <row r="72" spans="1:93" ht="15" customHeight="1" outlineLevel="4" x14ac:dyDescent="0.4">
      <c r="A72" s="172"/>
      <c r="B72" s="172"/>
      <c r="C72" s="172">
        <v>5</v>
      </c>
      <c r="D72" s="173" t="s">
        <v>1994</v>
      </c>
      <c r="E72" s="174"/>
      <c r="F72" s="174"/>
      <c r="G72" s="174"/>
      <c r="H72" s="174"/>
      <c r="I72" s="174" t="s">
        <v>1987</v>
      </c>
      <c r="J72" s="174"/>
      <c r="K72" s="174"/>
      <c r="L72" s="174"/>
      <c r="M72" s="174"/>
      <c r="N72" s="174"/>
      <c r="O72" s="175" t="s">
        <v>1900</v>
      </c>
      <c r="P72" s="175" t="s">
        <v>1916</v>
      </c>
      <c r="Q72" s="179">
        <v>44885</v>
      </c>
      <c r="R72" s="179">
        <v>44925</v>
      </c>
      <c r="S72" s="177">
        <f>R72-Q72</f>
        <v>40</v>
      </c>
      <c r="T72" s="178">
        <v>164</v>
      </c>
      <c r="U72" s="178">
        <v>0</v>
      </c>
      <c r="V72" s="178">
        <v>41</v>
      </c>
      <c r="W72" s="178">
        <v>0</v>
      </c>
      <c r="X72" s="179"/>
      <c r="Y72" s="179"/>
      <c r="Z72" s="180"/>
      <c r="AA72" s="181">
        <v>0</v>
      </c>
      <c r="AB72" s="178">
        <v>4</v>
      </c>
      <c r="AC72" s="177"/>
      <c r="AD72" s="182"/>
      <c r="AE72" s="183">
        <v>0</v>
      </c>
      <c r="AF72" s="195">
        <v>0</v>
      </c>
      <c r="AG72" s="185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 t="str">
        <f>"" &amp; TEXT(AF72,"#0.00%") &amp; " "</f>
        <v xml:space="preserve">0.00% </v>
      </c>
      <c r="BJ72" s="186"/>
      <c r="BK72" s="186"/>
      <c r="BL72" s="186"/>
      <c r="BM72" s="186"/>
      <c r="BN72" s="186" t="str">
        <f>"      " &amp; "기구조립" &amp; " " &amp; IF(Q72="","",TEXT(Q72,"M/D-")) &amp; IF(R72="","",TEXT(R72,"M/D")) &amp; " "</f>
        <v xml:space="preserve">      기구조립 11/20-12/30 </v>
      </c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</row>
    <row r="73" spans="1:93" ht="15" customHeight="1" outlineLevel="4" x14ac:dyDescent="0.4">
      <c r="A73" s="172"/>
      <c r="B73" s="172"/>
      <c r="C73" s="172">
        <v>5</v>
      </c>
      <c r="D73" s="173" t="s">
        <v>1995</v>
      </c>
      <c r="E73" s="174"/>
      <c r="F73" s="174"/>
      <c r="G73" s="174"/>
      <c r="H73" s="174"/>
      <c r="I73" s="174" t="s">
        <v>1989</v>
      </c>
      <c r="J73" s="174"/>
      <c r="K73" s="174"/>
      <c r="L73" s="174"/>
      <c r="M73" s="174"/>
      <c r="N73" s="174"/>
      <c r="O73" s="175" t="s">
        <v>1900</v>
      </c>
      <c r="P73" s="175" t="s">
        <v>1916</v>
      </c>
      <c r="Q73" s="179">
        <v>44927</v>
      </c>
      <c r="R73" s="179">
        <v>44946</v>
      </c>
      <c r="S73" s="177">
        <f>R73-Q73</f>
        <v>19</v>
      </c>
      <c r="T73" s="178">
        <v>20</v>
      </c>
      <c r="U73" s="178">
        <v>0</v>
      </c>
      <c r="V73" s="178">
        <v>20</v>
      </c>
      <c r="W73" s="178">
        <v>0</v>
      </c>
      <c r="X73" s="179"/>
      <c r="Y73" s="179"/>
      <c r="Z73" s="180"/>
      <c r="AA73" s="181">
        <v>0</v>
      </c>
      <c r="AB73" s="178">
        <v>1</v>
      </c>
      <c r="AC73" s="177"/>
      <c r="AD73" s="182"/>
      <c r="AE73" s="183">
        <v>0</v>
      </c>
      <c r="AF73" s="195">
        <v>0</v>
      </c>
      <c r="AG73" s="185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 t="str">
        <f>"" &amp; TEXT(AF73,"#0.00%") &amp; " " &amp; "전장조립" &amp; " " &amp; IF(Q73="","",TEXT(Q73,"M/D-")) &amp; IF(R73="","",TEXT(R73,"M/D")) &amp; " "</f>
        <v xml:space="preserve">0.00% 전장조립 1/1-1/20 </v>
      </c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</row>
    <row r="74" spans="1:93" ht="15" customHeight="1" outlineLevel="2" x14ac:dyDescent="0.4">
      <c r="A74" s="172"/>
      <c r="B74" s="172" t="s">
        <v>1879</v>
      </c>
      <c r="C74" s="172">
        <v>3</v>
      </c>
      <c r="D74" s="173" t="s">
        <v>1996</v>
      </c>
      <c r="E74" s="174"/>
      <c r="F74" s="174"/>
      <c r="G74" s="193" t="s">
        <v>1922</v>
      </c>
      <c r="H74" s="193"/>
      <c r="I74" s="174"/>
      <c r="J74" s="174"/>
      <c r="K74" s="174"/>
      <c r="L74" s="174"/>
      <c r="M74" s="174"/>
      <c r="N74" s="174"/>
      <c r="O74" s="175" t="s">
        <v>1923</v>
      </c>
      <c r="P74" s="175"/>
      <c r="Q74" s="179">
        <v>44762</v>
      </c>
      <c r="R74" s="179">
        <v>44870</v>
      </c>
      <c r="S74" s="177"/>
      <c r="T74" s="178">
        <v>443</v>
      </c>
      <c r="U74" s="178">
        <v>16</v>
      </c>
      <c r="V74" s="178">
        <v>109</v>
      </c>
      <c r="W74" s="178">
        <v>8</v>
      </c>
      <c r="X74" s="179"/>
      <c r="Y74" s="179"/>
      <c r="Z74" s="180">
        <v>0</v>
      </c>
      <c r="AA74" s="181">
        <v>0</v>
      </c>
      <c r="AB74" s="178"/>
      <c r="AC74" s="177"/>
      <c r="AD74" s="182"/>
      <c r="AE74" s="183">
        <v>3.6117381489841983E-2</v>
      </c>
      <c r="AF74" s="184">
        <v>2.7092099322799098E-2</v>
      </c>
      <c r="AG74" s="185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 t="str">
        <f>"      " &amp; TEXT(AF74,"#0.00%") &amp; " "</f>
        <v xml:space="preserve">      2.71% </v>
      </c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 t="str">
        <f>"" &amp; "환적 이재기" &amp; " " &amp; IF(Q74="","",TEXT(Q74,"M/D-")) &amp; IF(R74="","",TEXT(R74,"M/D")) &amp; " "</f>
        <v xml:space="preserve">환적 이재기 7/20-11/5 </v>
      </c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</row>
    <row r="75" spans="1:93" ht="15" customHeight="1" outlineLevel="3" x14ac:dyDescent="0.4">
      <c r="A75" s="172"/>
      <c r="B75" s="172" t="s">
        <v>1879</v>
      </c>
      <c r="C75" s="172">
        <v>4</v>
      </c>
      <c r="D75" s="173" t="s">
        <v>1997</v>
      </c>
      <c r="E75" s="174"/>
      <c r="F75" s="174"/>
      <c r="G75" s="174"/>
      <c r="H75" s="174" t="s">
        <v>1926</v>
      </c>
      <c r="I75" s="174"/>
      <c r="J75" s="174"/>
      <c r="K75" s="174"/>
      <c r="L75" s="174"/>
      <c r="M75" s="174"/>
      <c r="N75" s="174"/>
      <c r="O75" s="175" t="s">
        <v>1923</v>
      </c>
      <c r="P75" s="175" t="s">
        <v>1916</v>
      </c>
      <c r="Q75" s="179">
        <v>44762</v>
      </c>
      <c r="R75" s="179">
        <v>44870</v>
      </c>
      <c r="S75" s="177"/>
      <c r="T75" s="178">
        <v>443</v>
      </c>
      <c r="U75" s="178">
        <v>16</v>
      </c>
      <c r="V75" s="178">
        <v>109</v>
      </c>
      <c r="W75" s="178">
        <v>8</v>
      </c>
      <c r="X75" s="179"/>
      <c r="Y75" s="179"/>
      <c r="Z75" s="180">
        <v>0</v>
      </c>
      <c r="AA75" s="181">
        <v>0</v>
      </c>
      <c r="AB75" s="178"/>
      <c r="AC75" s="177"/>
      <c r="AD75" s="182"/>
      <c r="AE75" s="183">
        <v>3.6117381489841983E-2</v>
      </c>
      <c r="AF75" s="184">
        <v>2.7092099322799098E-2</v>
      </c>
      <c r="AG75" s="185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 t="str">
        <f>"      " &amp; TEXT(AF75,"#0.00%") &amp; " "</f>
        <v xml:space="preserve">      2.71% </v>
      </c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 t="str">
        <f>"" &amp; "Cell 환적 이재기" &amp; " " &amp; IF(Q75="","",TEXT(Q75,"M/D-")) &amp; IF(R75="","",TEXT(R75,"M/D")) &amp; " "</f>
        <v xml:space="preserve">Cell 환적 이재기 7/20-11/5 </v>
      </c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</row>
    <row r="76" spans="1:93" ht="15" customHeight="1" outlineLevel="4" x14ac:dyDescent="0.4">
      <c r="A76" s="172"/>
      <c r="B76" s="172"/>
      <c r="C76" s="172">
        <v>5</v>
      </c>
      <c r="D76" s="173" t="s">
        <v>1998</v>
      </c>
      <c r="E76" s="174"/>
      <c r="F76" s="174"/>
      <c r="G76" s="174"/>
      <c r="H76" s="174"/>
      <c r="I76" s="174" t="s">
        <v>1983</v>
      </c>
      <c r="J76" s="174"/>
      <c r="K76" s="174"/>
      <c r="L76" s="174"/>
      <c r="M76" s="174"/>
      <c r="N76" s="174"/>
      <c r="O76" s="175" t="s">
        <v>1923</v>
      </c>
      <c r="P76" s="175" t="s">
        <v>1916</v>
      </c>
      <c r="Q76" s="179">
        <v>44762</v>
      </c>
      <c r="R76" s="179">
        <v>44844</v>
      </c>
      <c r="S76" s="177">
        <f>R76-Q76</f>
        <v>82</v>
      </c>
      <c r="T76" s="178">
        <v>166</v>
      </c>
      <c r="U76" s="178">
        <v>16</v>
      </c>
      <c r="V76" s="178">
        <v>83</v>
      </c>
      <c r="W76" s="178">
        <v>8</v>
      </c>
      <c r="X76" s="179"/>
      <c r="Y76" s="179"/>
      <c r="Z76" s="180"/>
      <c r="AA76" s="181">
        <v>0</v>
      </c>
      <c r="AB76" s="178">
        <v>2</v>
      </c>
      <c r="AC76" s="177"/>
      <c r="AD76" s="182"/>
      <c r="AE76" s="183">
        <v>9.6385542168674704E-2</v>
      </c>
      <c r="AF76" s="188">
        <v>7.2300000000000003E-2</v>
      </c>
      <c r="AG76" s="185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 t="str">
        <f>"  " &amp; TEXT(AF76,"#0.00%") &amp; " "</f>
        <v xml:space="preserve">  7.23% </v>
      </c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 t="str">
        <f>"  " &amp; "장납기 구매품 발주 및 입고" &amp; " " &amp; IF(Q76="","",TEXT(Q76,"M/D-")) &amp; IF(R76="","",TEXT(R76,"M/D")) &amp; " "</f>
        <v xml:space="preserve">  장납기 구매품 발주 및 입고 7/20-10/10 </v>
      </c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</row>
    <row r="77" spans="1:93" ht="15" customHeight="1" outlineLevel="4" x14ac:dyDescent="0.4">
      <c r="A77" s="172"/>
      <c r="B77" s="172"/>
      <c r="C77" s="172">
        <v>5</v>
      </c>
      <c r="D77" s="173" t="s">
        <v>1999</v>
      </c>
      <c r="E77" s="174"/>
      <c r="F77" s="174"/>
      <c r="G77" s="174"/>
      <c r="H77" s="174"/>
      <c r="I77" s="174" t="s">
        <v>2000</v>
      </c>
      <c r="J77" s="174"/>
      <c r="K77" s="174"/>
      <c r="L77" s="174"/>
      <c r="M77" s="174"/>
      <c r="N77" s="174"/>
      <c r="O77" s="175" t="s">
        <v>1923</v>
      </c>
      <c r="P77" s="175" t="s">
        <v>1916</v>
      </c>
      <c r="Q77" s="179">
        <v>44774</v>
      </c>
      <c r="R77" s="179">
        <v>44821</v>
      </c>
      <c r="S77" s="177">
        <f>R77-Q77</f>
        <v>47</v>
      </c>
      <c r="T77" s="178">
        <v>144</v>
      </c>
      <c r="U77" s="178">
        <v>0</v>
      </c>
      <c r="V77" s="178">
        <v>48</v>
      </c>
      <c r="W77" s="178">
        <v>0</v>
      </c>
      <c r="X77" s="179"/>
      <c r="Y77" s="179"/>
      <c r="Z77" s="180"/>
      <c r="AA77" s="181">
        <v>0</v>
      </c>
      <c r="AB77" s="178">
        <v>3</v>
      </c>
      <c r="AC77" s="177"/>
      <c r="AD77" s="182"/>
      <c r="AE77" s="183">
        <v>0</v>
      </c>
      <c r="AF77" s="195">
        <v>0</v>
      </c>
      <c r="AG77" s="185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 t="str">
        <f>" " &amp; TEXT(AF77,"#0.00%") &amp; " "</f>
        <v xml:space="preserve"> 0.00% </v>
      </c>
      <c r="AT77" s="186"/>
      <c r="AU77" s="186"/>
      <c r="AV77" s="186"/>
      <c r="AW77" s="186"/>
      <c r="AX77" s="186"/>
      <c r="AY77" s="186"/>
      <c r="AZ77" s="186" t="str">
        <f>"" &amp; "가공품 발주 및 입고" &amp; " " &amp; IF(Q77="","",TEXT(Q77,"M/D-")) &amp; IF(R77="","",TEXT(R77,"M/D")) &amp; " "</f>
        <v xml:space="preserve">가공품 발주 및 입고 8/1-9/17 </v>
      </c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</row>
    <row r="78" spans="1:93" ht="15" customHeight="1" outlineLevel="4" x14ac:dyDescent="0.4">
      <c r="A78" s="172"/>
      <c r="B78" s="172"/>
      <c r="C78" s="172">
        <v>5</v>
      </c>
      <c r="D78" s="173" t="s">
        <v>2001</v>
      </c>
      <c r="E78" s="174"/>
      <c r="F78" s="174"/>
      <c r="G78" s="174"/>
      <c r="H78" s="174"/>
      <c r="I78" s="174" t="s">
        <v>1987</v>
      </c>
      <c r="J78" s="174"/>
      <c r="K78" s="174"/>
      <c r="L78" s="174"/>
      <c r="M78" s="174"/>
      <c r="N78" s="174"/>
      <c r="O78" s="175" t="s">
        <v>1923</v>
      </c>
      <c r="P78" s="175" t="s">
        <v>1916</v>
      </c>
      <c r="Q78" s="179">
        <v>44821</v>
      </c>
      <c r="R78" s="179">
        <v>44851</v>
      </c>
      <c r="S78" s="177">
        <f>R78-Q78</f>
        <v>30</v>
      </c>
      <c r="T78" s="178">
        <v>93</v>
      </c>
      <c r="U78" s="178">
        <v>0</v>
      </c>
      <c r="V78" s="178">
        <v>31</v>
      </c>
      <c r="W78" s="178">
        <v>0</v>
      </c>
      <c r="X78" s="179"/>
      <c r="Y78" s="179"/>
      <c r="Z78" s="180"/>
      <c r="AA78" s="181">
        <v>0</v>
      </c>
      <c r="AB78" s="178">
        <v>3</v>
      </c>
      <c r="AC78" s="177"/>
      <c r="AD78" s="182"/>
      <c r="AE78" s="183">
        <v>0</v>
      </c>
      <c r="AF78" s="195">
        <v>0</v>
      </c>
      <c r="AG78" s="185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 t="str">
        <f>"      " &amp; TEXT(AF78,"#0.00%") &amp; " "</f>
        <v xml:space="preserve">      0.00% </v>
      </c>
      <c r="AZ78" s="186"/>
      <c r="BA78" s="186"/>
      <c r="BB78" s="186"/>
      <c r="BC78" s="186"/>
      <c r="BD78" s="186" t="str">
        <f>"  " &amp; "기구조립" &amp; " " &amp; IF(Q78="","",TEXT(Q78,"M/D-")) &amp; IF(R78="","",TEXT(R78,"M/D")) &amp; " "</f>
        <v xml:space="preserve">  기구조립 9/17-10/17 </v>
      </c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</row>
    <row r="79" spans="1:93" ht="15" customHeight="1" outlineLevel="4" x14ac:dyDescent="0.4">
      <c r="A79" s="172"/>
      <c r="B79" s="172"/>
      <c r="C79" s="172">
        <v>5</v>
      </c>
      <c r="D79" s="173" t="s">
        <v>2002</v>
      </c>
      <c r="E79" s="174"/>
      <c r="F79" s="174"/>
      <c r="G79" s="174"/>
      <c r="H79" s="174"/>
      <c r="I79" s="174" t="s">
        <v>1989</v>
      </c>
      <c r="J79" s="174"/>
      <c r="K79" s="174"/>
      <c r="L79" s="174"/>
      <c r="M79" s="174"/>
      <c r="N79" s="174"/>
      <c r="O79" s="175" t="s">
        <v>1923</v>
      </c>
      <c r="P79" s="175" t="s">
        <v>1916</v>
      </c>
      <c r="Q79" s="179">
        <v>44851</v>
      </c>
      <c r="R79" s="179">
        <v>44870</v>
      </c>
      <c r="S79" s="177">
        <f>R79-Q79</f>
        <v>19</v>
      </c>
      <c r="T79" s="178">
        <v>40</v>
      </c>
      <c r="U79" s="178">
        <v>0</v>
      </c>
      <c r="V79" s="178">
        <v>20</v>
      </c>
      <c r="W79" s="178">
        <v>0</v>
      </c>
      <c r="X79" s="179"/>
      <c r="Y79" s="179"/>
      <c r="Z79" s="180"/>
      <c r="AA79" s="181">
        <v>0</v>
      </c>
      <c r="AB79" s="178">
        <v>2</v>
      </c>
      <c r="AC79" s="177"/>
      <c r="AD79" s="182"/>
      <c r="AE79" s="183">
        <v>0</v>
      </c>
      <c r="AF79" s="195">
        <v>0</v>
      </c>
      <c r="AG79" s="185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 t="str">
        <f>" " &amp; TEXT(AF79,"#0.00%") &amp; " "</f>
        <v xml:space="preserve"> 0.00% </v>
      </c>
      <c r="BE79" s="186"/>
      <c r="BF79" s="186"/>
      <c r="BG79" s="186" t="str">
        <f>"" &amp; "전장조립" &amp; " " &amp; IF(Q79="","",TEXT(Q79,"M/D-")) &amp; IF(R79="","",TEXT(R79,"M/D")) &amp; " "</f>
        <v xml:space="preserve">전장조립 10/17-11/5 </v>
      </c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</row>
    <row r="80" spans="1:93" ht="15" customHeight="1" outlineLevel="2" x14ac:dyDescent="0.4">
      <c r="A80" s="172"/>
      <c r="B80" s="172" t="s">
        <v>1879</v>
      </c>
      <c r="C80" s="172">
        <v>3</v>
      </c>
      <c r="D80" s="173" t="s">
        <v>2003</v>
      </c>
      <c r="E80" s="174"/>
      <c r="F80" s="174"/>
      <c r="G80" s="174" t="s">
        <v>1933</v>
      </c>
      <c r="H80" s="174"/>
      <c r="I80" s="174"/>
      <c r="J80" s="174"/>
      <c r="K80" s="174"/>
      <c r="L80" s="174"/>
      <c r="M80" s="174"/>
      <c r="N80" s="174"/>
      <c r="O80" s="175" t="s">
        <v>1934</v>
      </c>
      <c r="P80" s="175"/>
      <c r="Q80" s="179">
        <v>44762</v>
      </c>
      <c r="R80" s="179">
        <v>44977</v>
      </c>
      <c r="S80" s="177"/>
      <c r="T80" s="178">
        <v>1964</v>
      </c>
      <c r="U80" s="178">
        <v>96</v>
      </c>
      <c r="V80" s="178">
        <v>216</v>
      </c>
      <c r="W80" s="178">
        <v>8</v>
      </c>
      <c r="X80" s="179"/>
      <c r="Y80" s="179"/>
      <c r="Z80" s="180">
        <v>0</v>
      </c>
      <c r="AA80" s="181">
        <v>0</v>
      </c>
      <c r="AB80" s="178"/>
      <c r="AC80" s="177"/>
      <c r="AD80" s="182"/>
      <c r="AE80" s="183">
        <v>4.8879837067209775E-2</v>
      </c>
      <c r="AF80" s="184">
        <v>3.667087576374746E-2</v>
      </c>
      <c r="AG80" s="185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 t="str">
        <f>"    " &amp; TEXT(AF80,"#0.00%") &amp; " "</f>
        <v xml:space="preserve">    3.67% </v>
      </c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 t="str">
        <f>"  " &amp; "Conveyor" &amp; " " &amp; IF(Q80="","",TEXT(Q80,"M/D-")) &amp; IF(R80="","",TEXT(R80,"M/D")) &amp; " "</f>
        <v xml:space="preserve">  Conveyor 7/20-2/20 </v>
      </c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</row>
    <row r="81" spans="1:93" ht="15" customHeight="1" outlineLevel="3" x14ac:dyDescent="0.4">
      <c r="A81" s="172"/>
      <c r="B81" s="172" t="s">
        <v>1879</v>
      </c>
      <c r="C81" s="172">
        <v>4</v>
      </c>
      <c r="D81" s="173" t="s">
        <v>2004</v>
      </c>
      <c r="E81" s="174"/>
      <c r="F81" s="174"/>
      <c r="G81" s="174"/>
      <c r="H81" s="174" t="s">
        <v>2005</v>
      </c>
      <c r="I81" s="174"/>
      <c r="J81" s="174"/>
      <c r="K81" s="174"/>
      <c r="L81" s="174"/>
      <c r="M81" s="174"/>
      <c r="N81" s="174"/>
      <c r="O81" s="175" t="s">
        <v>1934</v>
      </c>
      <c r="P81" s="175" t="s">
        <v>1893</v>
      </c>
      <c r="Q81" s="179">
        <v>44762</v>
      </c>
      <c r="R81" s="179">
        <v>44870</v>
      </c>
      <c r="S81" s="177"/>
      <c r="T81" s="178">
        <v>254</v>
      </c>
      <c r="U81" s="178">
        <v>16</v>
      </c>
      <c r="V81" s="178">
        <v>109</v>
      </c>
      <c r="W81" s="178">
        <v>8</v>
      </c>
      <c r="X81" s="179"/>
      <c r="Y81" s="179"/>
      <c r="Z81" s="180">
        <v>0</v>
      </c>
      <c r="AA81" s="181">
        <v>0</v>
      </c>
      <c r="AB81" s="178"/>
      <c r="AC81" s="177"/>
      <c r="AD81" s="182"/>
      <c r="AE81" s="183">
        <v>6.2992125984251968E-2</v>
      </c>
      <c r="AF81" s="184">
        <v>4.7258267716535435E-2</v>
      </c>
      <c r="AG81" s="185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 t="str">
        <f>" " &amp; TEXT(AF81,"#0.00%") &amp; " "</f>
        <v xml:space="preserve"> 4.73% </v>
      </c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 t="str">
        <f>"" &amp; "PPC&amp;충방-C/V" &amp; " " &amp; IF(Q81="","",TEXT(Q81,"M/D-")) &amp; IF(R81="","",TEXT(R81,"M/D")) &amp; " "</f>
        <v xml:space="preserve">PPC&amp;충방-C/V 7/20-11/5 </v>
      </c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</row>
    <row r="82" spans="1:93" ht="15" customHeight="1" outlineLevel="4" x14ac:dyDescent="0.4">
      <c r="A82" s="172"/>
      <c r="B82" s="172"/>
      <c r="C82" s="172">
        <v>5</v>
      </c>
      <c r="D82" s="173" t="s">
        <v>2006</v>
      </c>
      <c r="E82" s="174"/>
      <c r="F82" s="174"/>
      <c r="G82" s="174"/>
      <c r="H82" s="174"/>
      <c r="I82" s="174" t="s">
        <v>1983</v>
      </c>
      <c r="J82" s="174"/>
      <c r="K82" s="174"/>
      <c r="L82" s="174"/>
      <c r="M82" s="174"/>
      <c r="N82" s="174"/>
      <c r="O82" s="175" t="s">
        <v>1934</v>
      </c>
      <c r="P82" s="175" t="s">
        <v>1893</v>
      </c>
      <c r="Q82" s="179">
        <v>44762</v>
      </c>
      <c r="R82" s="179">
        <v>44803</v>
      </c>
      <c r="S82" s="177">
        <f>R82-Q82</f>
        <v>41</v>
      </c>
      <c r="T82" s="178">
        <v>84</v>
      </c>
      <c r="U82" s="178">
        <v>16</v>
      </c>
      <c r="V82" s="178">
        <v>42</v>
      </c>
      <c r="W82" s="178">
        <v>8</v>
      </c>
      <c r="X82" s="179"/>
      <c r="Y82" s="179"/>
      <c r="Z82" s="180"/>
      <c r="AA82" s="181">
        <v>0</v>
      </c>
      <c r="AB82" s="178">
        <v>2</v>
      </c>
      <c r="AC82" s="177"/>
      <c r="AD82" s="182"/>
      <c r="AE82" s="183">
        <v>0.19047619047619047</v>
      </c>
      <c r="AF82" s="188">
        <v>0.1429</v>
      </c>
      <c r="AG82" s="185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 t="str">
        <f>"  " &amp; TEXT(AF82,"#0.00%") &amp; " "</f>
        <v xml:space="preserve">  14.29% </v>
      </c>
      <c r="AS82" s="186"/>
      <c r="AT82" s="186"/>
      <c r="AU82" s="186"/>
      <c r="AV82" s="186"/>
      <c r="AW82" s="186" t="str">
        <f>"   " &amp; "장납기 구매품 발주 및 입고" &amp; " " &amp; IF(Q82="","",TEXT(Q82,"M/D-")) &amp; IF(R82="","",TEXT(R82,"M/D")) &amp; " "</f>
        <v xml:space="preserve">   장납기 구매품 발주 및 입고 7/20-8/30 </v>
      </c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</row>
    <row r="83" spans="1:93" ht="15" customHeight="1" outlineLevel="4" x14ac:dyDescent="0.4">
      <c r="A83" s="172"/>
      <c r="B83" s="172"/>
      <c r="C83" s="172">
        <v>5</v>
      </c>
      <c r="D83" s="173" t="s">
        <v>2007</v>
      </c>
      <c r="E83" s="174"/>
      <c r="F83" s="174"/>
      <c r="G83" s="174"/>
      <c r="H83" s="174"/>
      <c r="I83" s="174" t="s">
        <v>2000</v>
      </c>
      <c r="J83" s="174"/>
      <c r="K83" s="174"/>
      <c r="L83" s="174"/>
      <c r="M83" s="174"/>
      <c r="N83" s="174"/>
      <c r="O83" s="175" t="s">
        <v>1934</v>
      </c>
      <c r="P83" s="175" t="s">
        <v>1893</v>
      </c>
      <c r="Q83" s="179">
        <v>44805</v>
      </c>
      <c r="R83" s="179">
        <v>44844</v>
      </c>
      <c r="S83" s="177">
        <f>R83-Q83</f>
        <v>39</v>
      </c>
      <c r="T83" s="178">
        <v>80</v>
      </c>
      <c r="U83" s="178">
        <v>0</v>
      </c>
      <c r="V83" s="178">
        <v>40</v>
      </c>
      <c r="W83" s="178">
        <v>0</v>
      </c>
      <c r="X83" s="179"/>
      <c r="Y83" s="179"/>
      <c r="Z83" s="180"/>
      <c r="AA83" s="181">
        <v>0</v>
      </c>
      <c r="AB83" s="178">
        <v>2</v>
      </c>
      <c r="AC83" s="177"/>
      <c r="AD83" s="182"/>
      <c r="AE83" s="183">
        <v>0</v>
      </c>
      <c r="AF83" s="195">
        <v>0</v>
      </c>
      <c r="AG83" s="185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 t="str">
        <f>"    " &amp; TEXT(AF83,"#0.00%") &amp; " "</f>
        <v xml:space="preserve">    0.00% </v>
      </c>
      <c r="AX83" s="186"/>
      <c r="AY83" s="186"/>
      <c r="AZ83" s="186"/>
      <c r="BA83" s="186"/>
      <c r="BB83" s="186"/>
      <c r="BC83" s="186" t="str">
        <f>"  " &amp; "가공품 발주 및 입고" &amp; " " &amp; IF(Q83="","",TEXT(Q83,"M/D-")) &amp; IF(R83="","",TEXT(R83,"M/D")) &amp; " "</f>
        <v xml:space="preserve">  가공품 발주 및 입고 9/1-10/10 </v>
      </c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</row>
    <row r="84" spans="1:93" ht="15" customHeight="1" outlineLevel="4" x14ac:dyDescent="0.4">
      <c r="A84" s="172"/>
      <c r="B84" s="172"/>
      <c r="C84" s="172">
        <v>5</v>
      </c>
      <c r="D84" s="173" t="s">
        <v>2008</v>
      </c>
      <c r="E84" s="174"/>
      <c r="F84" s="174"/>
      <c r="G84" s="174"/>
      <c r="H84" s="174"/>
      <c r="I84" s="174" t="s">
        <v>1987</v>
      </c>
      <c r="J84" s="174"/>
      <c r="K84" s="174"/>
      <c r="L84" s="174"/>
      <c r="M84" s="174"/>
      <c r="N84" s="174"/>
      <c r="O84" s="175" t="s">
        <v>1934</v>
      </c>
      <c r="P84" s="175" t="s">
        <v>1893</v>
      </c>
      <c r="Q84" s="179">
        <v>44844</v>
      </c>
      <c r="R84" s="179">
        <v>44860</v>
      </c>
      <c r="S84" s="177">
        <f>R84-Q84</f>
        <v>16</v>
      </c>
      <c r="T84" s="178">
        <v>68</v>
      </c>
      <c r="U84" s="178">
        <v>0</v>
      </c>
      <c r="V84" s="178">
        <v>17</v>
      </c>
      <c r="W84" s="178">
        <v>0</v>
      </c>
      <c r="X84" s="179"/>
      <c r="Y84" s="179"/>
      <c r="Z84" s="180"/>
      <c r="AA84" s="181">
        <v>0</v>
      </c>
      <c r="AB84" s="178">
        <v>4</v>
      </c>
      <c r="AC84" s="177"/>
      <c r="AD84" s="182"/>
      <c r="AE84" s="183">
        <v>0</v>
      </c>
      <c r="AF84" s="195">
        <v>0</v>
      </c>
      <c r="AG84" s="185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 t="str">
        <f>" " &amp; TEXT(AF84,"#0.00%") &amp; " " &amp; "기구조립" &amp; " " &amp; IF(Q84="","",TEXT(Q84,"M/D-")) &amp; IF(R84="","",TEXT(R84,"M/D")) &amp; " "</f>
        <v xml:space="preserve"> 0.00% 기구조립 10/10-10/26 </v>
      </c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</row>
    <row r="85" spans="1:93" ht="15" customHeight="1" outlineLevel="4" x14ac:dyDescent="0.4">
      <c r="A85" s="172"/>
      <c r="B85" s="172"/>
      <c r="C85" s="172">
        <v>5</v>
      </c>
      <c r="D85" s="173" t="s">
        <v>2009</v>
      </c>
      <c r="E85" s="174"/>
      <c r="F85" s="174"/>
      <c r="G85" s="174"/>
      <c r="H85" s="174"/>
      <c r="I85" s="174" t="s">
        <v>1989</v>
      </c>
      <c r="J85" s="174"/>
      <c r="K85" s="174"/>
      <c r="L85" s="174"/>
      <c r="M85" s="174"/>
      <c r="N85" s="174"/>
      <c r="O85" s="175" t="s">
        <v>1934</v>
      </c>
      <c r="P85" s="175" t="s">
        <v>1893</v>
      </c>
      <c r="Q85" s="179">
        <v>44860</v>
      </c>
      <c r="R85" s="179">
        <v>44870</v>
      </c>
      <c r="S85" s="177">
        <f>R85-Q85</f>
        <v>10</v>
      </c>
      <c r="T85" s="178">
        <v>22</v>
      </c>
      <c r="U85" s="178">
        <v>0</v>
      </c>
      <c r="V85" s="178">
        <v>11</v>
      </c>
      <c r="W85" s="178">
        <v>0</v>
      </c>
      <c r="X85" s="179"/>
      <c r="Y85" s="179"/>
      <c r="Z85" s="180"/>
      <c r="AA85" s="181">
        <v>0</v>
      </c>
      <c r="AB85" s="178">
        <v>2</v>
      </c>
      <c r="AC85" s="177"/>
      <c r="AD85" s="182"/>
      <c r="AE85" s="183">
        <v>0</v>
      </c>
      <c r="AF85" s="195">
        <v>0</v>
      </c>
      <c r="AG85" s="185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 t="str">
        <f>"   " &amp; TEXT(AF85,"#0.00%") &amp; " " &amp; "전장조립" &amp; " " &amp; IF(Q85="","",TEXT(Q85,"M/D-")) &amp; IF(R85="","",TEXT(R85,"M/D")) &amp; " "</f>
        <v xml:space="preserve">   0.00% 전장조립 10/26-11/5 </v>
      </c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</row>
    <row r="86" spans="1:93" ht="15" customHeight="1" outlineLevel="3" x14ac:dyDescent="0.4">
      <c r="A86" s="172"/>
      <c r="B86" s="172" t="s">
        <v>1879</v>
      </c>
      <c r="C86" s="172">
        <v>4</v>
      </c>
      <c r="D86" s="173" t="s">
        <v>2010</v>
      </c>
      <c r="E86" s="174"/>
      <c r="F86" s="174"/>
      <c r="G86" s="174"/>
      <c r="H86" s="174" t="s">
        <v>2011</v>
      </c>
      <c r="I86" s="174"/>
      <c r="J86" s="174"/>
      <c r="K86" s="174"/>
      <c r="L86" s="174"/>
      <c r="M86" s="174"/>
      <c r="N86" s="174"/>
      <c r="O86" s="175" t="s">
        <v>1934</v>
      </c>
      <c r="P86" s="175" t="s">
        <v>1893</v>
      </c>
      <c r="Q86" s="179">
        <v>44762</v>
      </c>
      <c r="R86" s="179">
        <v>44900</v>
      </c>
      <c r="S86" s="177"/>
      <c r="T86" s="178">
        <v>334</v>
      </c>
      <c r="U86" s="178">
        <v>16</v>
      </c>
      <c r="V86" s="178">
        <v>139</v>
      </c>
      <c r="W86" s="178">
        <v>8</v>
      </c>
      <c r="X86" s="179"/>
      <c r="Y86" s="179"/>
      <c r="Z86" s="180">
        <v>0</v>
      </c>
      <c r="AA86" s="181">
        <v>0</v>
      </c>
      <c r="AB86" s="178"/>
      <c r="AC86" s="177"/>
      <c r="AD86" s="182"/>
      <c r="AE86" s="183">
        <v>4.790419161676647E-2</v>
      </c>
      <c r="AF86" s="184">
        <v>3.5938922155688627E-2</v>
      </c>
      <c r="AG86" s="185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 t="str">
        <f>" " &amp; TEXT(AF86,"#0.00%") &amp; " "</f>
        <v xml:space="preserve"> 3.59% </v>
      </c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 t="str">
        <f>"  " &amp; "조립&amp;후단물류-Deck, Lifter" &amp; " " &amp; IF(Q86="","",TEXT(Q86,"M/D-")) &amp; IF(R86="","",TEXT(R86,"M/D")) &amp; " "</f>
        <v xml:space="preserve">  조립&amp;후단물류-Deck, Lifter 7/20-12/5 </v>
      </c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</row>
    <row r="87" spans="1:93" ht="15" customHeight="1" outlineLevel="4" x14ac:dyDescent="0.4">
      <c r="A87" s="172"/>
      <c r="B87" s="172"/>
      <c r="C87" s="172">
        <v>5</v>
      </c>
      <c r="D87" s="173" t="s">
        <v>2012</v>
      </c>
      <c r="E87" s="174"/>
      <c r="F87" s="174"/>
      <c r="G87" s="174"/>
      <c r="H87" s="174"/>
      <c r="I87" s="174" t="s">
        <v>1983</v>
      </c>
      <c r="J87" s="174"/>
      <c r="K87" s="174"/>
      <c r="L87" s="174"/>
      <c r="M87" s="174"/>
      <c r="N87" s="174"/>
      <c r="O87" s="175" t="s">
        <v>1934</v>
      </c>
      <c r="P87" s="175" t="s">
        <v>1893</v>
      </c>
      <c r="Q87" s="179">
        <v>44762</v>
      </c>
      <c r="R87" s="179">
        <v>44803</v>
      </c>
      <c r="S87" s="177">
        <f>R87-Q87</f>
        <v>41</v>
      </c>
      <c r="T87" s="178">
        <v>84</v>
      </c>
      <c r="U87" s="178">
        <v>16</v>
      </c>
      <c r="V87" s="178">
        <v>42</v>
      </c>
      <c r="W87" s="178">
        <v>8</v>
      </c>
      <c r="X87" s="179"/>
      <c r="Y87" s="179"/>
      <c r="Z87" s="180"/>
      <c r="AA87" s="181">
        <v>0</v>
      </c>
      <c r="AB87" s="178">
        <v>2</v>
      </c>
      <c r="AC87" s="177"/>
      <c r="AD87" s="182"/>
      <c r="AE87" s="183">
        <v>0.19047619047619047</v>
      </c>
      <c r="AF87" s="188">
        <v>0.1429</v>
      </c>
      <c r="AG87" s="185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 t="str">
        <f>"  " &amp; TEXT(AF87,"#0.00%") &amp; " "</f>
        <v xml:space="preserve">  14.29% </v>
      </c>
      <c r="AS87" s="186"/>
      <c r="AT87" s="186"/>
      <c r="AU87" s="186"/>
      <c r="AV87" s="186"/>
      <c r="AW87" s="186" t="str">
        <f>"   " &amp; "장납기 구매품 발주 및 입고" &amp; " " &amp; IF(Q87="","",TEXT(Q87,"M/D-")) &amp; IF(R87="","",TEXT(R87,"M/D")) &amp; " "</f>
        <v xml:space="preserve">   장납기 구매품 발주 및 입고 7/20-8/30 </v>
      </c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</row>
    <row r="88" spans="1:93" ht="15" customHeight="1" outlineLevel="4" x14ac:dyDescent="0.4">
      <c r="A88" s="172"/>
      <c r="B88" s="172"/>
      <c r="C88" s="172">
        <v>5</v>
      </c>
      <c r="D88" s="173" t="s">
        <v>2013</v>
      </c>
      <c r="E88" s="174"/>
      <c r="F88" s="174"/>
      <c r="G88" s="174"/>
      <c r="H88" s="174"/>
      <c r="I88" s="174" t="s">
        <v>2000</v>
      </c>
      <c r="J88" s="174"/>
      <c r="K88" s="174"/>
      <c r="L88" s="174"/>
      <c r="M88" s="174"/>
      <c r="N88" s="174"/>
      <c r="O88" s="175" t="s">
        <v>1934</v>
      </c>
      <c r="P88" s="175" t="s">
        <v>1893</v>
      </c>
      <c r="Q88" s="179">
        <v>44805</v>
      </c>
      <c r="R88" s="179">
        <v>44866</v>
      </c>
      <c r="S88" s="177">
        <f>R88-Q88</f>
        <v>61</v>
      </c>
      <c r="T88" s="178">
        <v>124</v>
      </c>
      <c r="U88" s="178">
        <v>0</v>
      </c>
      <c r="V88" s="178">
        <v>62</v>
      </c>
      <c r="W88" s="178">
        <v>0</v>
      </c>
      <c r="X88" s="179"/>
      <c r="Y88" s="179"/>
      <c r="Z88" s="180"/>
      <c r="AA88" s="181">
        <v>0</v>
      </c>
      <c r="AB88" s="178">
        <v>2</v>
      </c>
      <c r="AC88" s="177"/>
      <c r="AD88" s="182"/>
      <c r="AE88" s="183">
        <v>0</v>
      </c>
      <c r="AF88" s="195">
        <v>0</v>
      </c>
      <c r="AG88" s="185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 t="str">
        <f>"    " &amp; TEXT(AF88,"#0.00%") &amp; " "</f>
        <v xml:space="preserve">    0.00% </v>
      </c>
      <c r="AX88" s="186"/>
      <c r="AY88" s="186"/>
      <c r="AZ88" s="186"/>
      <c r="BA88" s="186"/>
      <c r="BB88" s="186"/>
      <c r="BC88" s="186"/>
      <c r="BD88" s="186"/>
      <c r="BE88" s="186"/>
      <c r="BF88" s="186" t="str">
        <f>"   " &amp; "가공품 발주 및 입고" &amp; " " &amp; IF(Q88="","",TEXT(Q88,"M/D-")) &amp; IF(R88="","",TEXT(R88,"M/D")) &amp; " "</f>
        <v xml:space="preserve">   가공품 발주 및 입고 9/1-11/1 </v>
      </c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</row>
    <row r="89" spans="1:93" ht="15" customHeight="1" outlineLevel="4" x14ac:dyDescent="0.4">
      <c r="A89" s="172"/>
      <c r="B89" s="172"/>
      <c r="C89" s="172">
        <v>5</v>
      </c>
      <c r="D89" s="173" t="s">
        <v>2014</v>
      </c>
      <c r="E89" s="174"/>
      <c r="F89" s="174"/>
      <c r="G89" s="174"/>
      <c r="H89" s="174"/>
      <c r="I89" s="174" t="s">
        <v>1987</v>
      </c>
      <c r="J89" s="174"/>
      <c r="K89" s="174"/>
      <c r="L89" s="174"/>
      <c r="M89" s="174"/>
      <c r="N89" s="174"/>
      <c r="O89" s="175" t="s">
        <v>1934</v>
      </c>
      <c r="P89" s="175" t="s">
        <v>1893</v>
      </c>
      <c r="Q89" s="179">
        <v>44866</v>
      </c>
      <c r="R89" s="179">
        <v>44886</v>
      </c>
      <c r="S89" s="177">
        <f>R89-Q89</f>
        <v>20</v>
      </c>
      <c r="T89" s="178">
        <v>84</v>
      </c>
      <c r="U89" s="178">
        <v>0</v>
      </c>
      <c r="V89" s="178">
        <v>21</v>
      </c>
      <c r="W89" s="178">
        <v>0</v>
      </c>
      <c r="X89" s="179"/>
      <c r="Y89" s="179"/>
      <c r="Z89" s="180"/>
      <c r="AA89" s="181">
        <v>0</v>
      </c>
      <c r="AB89" s="178">
        <v>4</v>
      </c>
      <c r="AC89" s="177"/>
      <c r="AD89" s="182"/>
      <c r="AE89" s="183">
        <v>0</v>
      </c>
      <c r="AF89" s="195">
        <v>0</v>
      </c>
      <c r="AG89" s="185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 t="str">
        <f>"  " &amp; TEXT(AF89,"#0.00%") &amp; " "</f>
        <v xml:space="preserve">  0.00% </v>
      </c>
      <c r="BG89" s="186"/>
      <c r="BH89" s="186"/>
      <c r="BI89" s="186" t="str">
        <f>"  " &amp; "기구조립" &amp; " " &amp; IF(Q89="","",TEXT(Q89,"M/D-")) &amp; IF(R89="","",TEXT(R89,"M/D")) &amp; " "</f>
        <v xml:space="preserve">  기구조립 11/1-11/21 </v>
      </c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</row>
    <row r="90" spans="1:93" ht="15" customHeight="1" outlineLevel="4" x14ac:dyDescent="0.4">
      <c r="A90" s="172"/>
      <c r="B90" s="172"/>
      <c r="C90" s="172">
        <v>5</v>
      </c>
      <c r="D90" s="173" t="s">
        <v>2015</v>
      </c>
      <c r="E90" s="174"/>
      <c r="F90" s="174"/>
      <c r="G90" s="174"/>
      <c r="H90" s="174"/>
      <c r="I90" s="174" t="s">
        <v>1989</v>
      </c>
      <c r="J90" s="174"/>
      <c r="K90" s="174"/>
      <c r="L90" s="174"/>
      <c r="M90" s="174"/>
      <c r="N90" s="174"/>
      <c r="O90" s="175" t="s">
        <v>1934</v>
      </c>
      <c r="P90" s="175" t="s">
        <v>1893</v>
      </c>
      <c r="Q90" s="179">
        <v>44880</v>
      </c>
      <c r="R90" s="179">
        <v>44900</v>
      </c>
      <c r="S90" s="177">
        <f>R90-Q90</f>
        <v>20</v>
      </c>
      <c r="T90" s="178">
        <v>42</v>
      </c>
      <c r="U90" s="178">
        <v>0</v>
      </c>
      <c r="V90" s="178">
        <v>21</v>
      </c>
      <c r="W90" s="178">
        <v>0</v>
      </c>
      <c r="X90" s="179"/>
      <c r="Y90" s="179"/>
      <c r="Z90" s="180"/>
      <c r="AA90" s="181">
        <v>0</v>
      </c>
      <c r="AB90" s="178">
        <v>2</v>
      </c>
      <c r="AC90" s="177"/>
      <c r="AD90" s="182"/>
      <c r="AE90" s="183">
        <v>0</v>
      </c>
      <c r="AF90" s="195">
        <v>0</v>
      </c>
      <c r="AG90" s="185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 t="str">
        <f>"  " &amp; TEXT(AF90,"#0.00%") &amp; " "</f>
        <v xml:space="preserve">  0.00% </v>
      </c>
      <c r="BI90" s="186"/>
      <c r="BJ90" s="186"/>
      <c r="BK90" s="186" t="str">
        <f>"  " &amp; "전장조립" &amp; " " &amp; IF(Q90="","",TEXT(Q90,"M/D-")) &amp; IF(R90="","",TEXT(R90,"M/D")) &amp; " "</f>
        <v xml:space="preserve">  전장조립 11/15-12/5 </v>
      </c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</row>
    <row r="91" spans="1:93" ht="15" customHeight="1" outlineLevel="3" x14ac:dyDescent="0.4">
      <c r="A91" s="172"/>
      <c r="B91" s="172" t="s">
        <v>1879</v>
      </c>
      <c r="C91" s="172">
        <v>4</v>
      </c>
      <c r="D91" s="173" t="s">
        <v>2016</v>
      </c>
      <c r="E91" s="174"/>
      <c r="F91" s="174"/>
      <c r="G91" s="174"/>
      <c r="H91" s="174" t="s">
        <v>2017</v>
      </c>
      <c r="I91" s="174"/>
      <c r="J91" s="174"/>
      <c r="K91" s="174"/>
      <c r="L91" s="174"/>
      <c r="M91" s="174"/>
      <c r="N91" s="174"/>
      <c r="O91" s="175" t="s">
        <v>1934</v>
      </c>
      <c r="P91" s="175" t="s">
        <v>1916</v>
      </c>
      <c r="Q91" s="179">
        <v>44762</v>
      </c>
      <c r="R91" s="179">
        <v>44931</v>
      </c>
      <c r="S91" s="177"/>
      <c r="T91" s="178">
        <v>354</v>
      </c>
      <c r="U91" s="178">
        <v>16</v>
      </c>
      <c r="V91" s="178">
        <v>170</v>
      </c>
      <c r="W91" s="178">
        <v>8</v>
      </c>
      <c r="X91" s="179"/>
      <c r="Y91" s="179"/>
      <c r="Z91" s="180">
        <v>0</v>
      </c>
      <c r="AA91" s="181">
        <v>0</v>
      </c>
      <c r="AB91" s="178"/>
      <c r="AC91" s="177"/>
      <c r="AD91" s="182"/>
      <c r="AE91" s="183">
        <v>4.519774011299435E-2</v>
      </c>
      <c r="AF91" s="184">
        <v>3.3908474576271184E-2</v>
      </c>
      <c r="AG91" s="185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 t="str">
        <f>"  " &amp; TEXT(AF91,"#0.00%") &amp; " "</f>
        <v xml:space="preserve">  3.39% </v>
      </c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 t="str">
        <f>"     " &amp; "동간물류(1) &amp; 조립후단/Aging - C/V" &amp; " " &amp; IF(Q91="","",TEXT(Q91,"M/D-")) &amp; IF(R91="","",TEXT(R91,"M/D")) &amp; " "</f>
        <v xml:space="preserve">     동간물류(1) &amp; 조립후단/Aging - C/V 7/20-1/5 </v>
      </c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</row>
    <row r="92" spans="1:93" ht="15" customHeight="1" outlineLevel="4" x14ac:dyDescent="0.4">
      <c r="A92" s="172"/>
      <c r="B92" s="172"/>
      <c r="C92" s="172">
        <v>5</v>
      </c>
      <c r="D92" s="173" t="s">
        <v>2018</v>
      </c>
      <c r="E92" s="174"/>
      <c r="F92" s="174"/>
      <c r="G92" s="174"/>
      <c r="H92" s="174"/>
      <c r="I92" s="174" t="s">
        <v>1983</v>
      </c>
      <c r="J92" s="174"/>
      <c r="K92" s="174"/>
      <c r="L92" s="174"/>
      <c r="M92" s="174"/>
      <c r="N92" s="174"/>
      <c r="O92" s="175" t="s">
        <v>1934</v>
      </c>
      <c r="P92" s="175" t="s">
        <v>1916</v>
      </c>
      <c r="Q92" s="179">
        <v>44762</v>
      </c>
      <c r="R92" s="179">
        <v>44803</v>
      </c>
      <c r="S92" s="177">
        <f>R92-Q92</f>
        <v>41</v>
      </c>
      <c r="T92" s="178">
        <v>84</v>
      </c>
      <c r="U92" s="178">
        <v>16</v>
      </c>
      <c r="V92" s="178">
        <v>42</v>
      </c>
      <c r="W92" s="178">
        <v>8</v>
      </c>
      <c r="X92" s="179"/>
      <c r="Y92" s="179"/>
      <c r="Z92" s="180"/>
      <c r="AA92" s="181">
        <v>0</v>
      </c>
      <c r="AB92" s="178">
        <v>2</v>
      </c>
      <c r="AC92" s="177"/>
      <c r="AD92" s="182"/>
      <c r="AE92" s="183">
        <v>0.19047619047619047</v>
      </c>
      <c r="AF92" s="188">
        <v>0.1429</v>
      </c>
      <c r="AG92" s="185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 t="str">
        <f>"  " &amp; TEXT(AF92,"#0.00%") &amp; " "</f>
        <v xml:space="preserve">  14.29% </v>
      </c>
      <c r="AS92" s="186"/>
      <c r="AT92" s="186"/>
      <c r="AU92" s="186"/>
      <c r="AV92" s="186"/>
      <c r="AW92" s="186" t="str">
        <f>"   " &amp; "장납기 구매품 발주 및 입고" &amp; " " &amp; IF(Q92="","",TEXT(Q92,"M/D-")) &amp; IF(R92="","",TEXT(R92,"M/D")) &amp; " "</f>
        <v xml:space="preserve">   장납기 구매품 발주 및 입고 7/20-8/30 </v>
      </c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</row>
    <row r="93" spans="1:93" ht="15" customHeight="1" outlineLevel="4" x14ac:dyDescent="0.4">
      <c r="A93" s="172"/>
      <c r="B93" s="172"/>
      <c r="C93" s="172">
        <v>5</v>
      </c>
      <c r="D93" s="173" t="s">
        <v>2019</v>
      </c>
      <c r="E93" s="174"/>
      <c r="F93" s="174"/>
      <c r="G93" s="174"/>
      <c r="H93" s="174"/>
      <c r="I93" s="174" t="s">
        <v>2000</v>
      </c>
      <c r="J93" s="174"/>
      <c r="K93" s="174"/>
      <c r="L93" s="174"/>
      <c r="M93" s="174"/>
      <c r="N93" s="174"/>
      <c r="O93" s="175" t="s">
        <v>1934</v>
      </c>
      <c r="P93" s="175" t="s">
        <v>1916</v>
      </c>
      <c r="Q93" s="179">
        <v>44805</v>
      </c>
      <c r="R93" s="179">
        <v>44866</v>
      </c>
      <c r="S93" s="177">
        <f>R93-Q93</f>
        <v>61</v>
      </c>
      <c r="T93" s="178">
        <v>124</v>
      </c>
      <c r="U93" s="178">
        <v>0</v>
      </c>
      <c r="V93" s="178">
        <v>62</v>
      </c>
      <c r="W93" s="178">
        <v>0</v>
      </c>
      <c r="X93" s="179"/>
      <c r="Y93" s="179"/>
      <c r="Z93" s="180"/>
      <c r="AA93" s="181">
        <v>0</v>
      </c>
      <c r="AB93" s="178">
        <v>2</v>
      </c>
      <c r="AC93" s="177"/>
      <c r="AD93" s="182"/>
      <c r="AE93" s="183">
        <v>0</v>
      </c>
      <c r="AF93" s="195">
        <v>0</v>
      </c>
      <c r="AG93" s="185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 t="str">
        <f>"    " &amp; TEXT(AF93,"#0.00%") &amp; " "</f>
        <v xml:space="preserve">    0.00% </v>
      </c>
      <c r="AX93" s="186"/>
      <c r="AY93" s="186"/>
      <c r="AZ93" s="186"/>
      <c r="BA93" s="186"/>
      <c r="BB93" s="186"/>
      <c r="BC93" s="186"/>
      <c r="BD93" s="186"/>
      <c r="BE93" s="186"/>
      <c r="BF93" s="186" t="str">
        <f>"   " &amp; "가공품 발주 및 입고" &amp; " " &amp; IF(Q93="","",TEXT(Q93,"M/D-")) &amp; IF(R93="","",TEXT(R93,"M/D")) &amp; " "</f>
        <v xml:space="preserve">   가공품 발주 및 입고 9/1-11/1 </v>
      </c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</row>
    <row r="94" spans="1:93" ht="15" customHeight="1" outlineLevel="4" x14ac:dyDescent="0.4">
      <c r="A94" s="172"/>
      <c r="B94" s="172"/>
      <c r="C94" s="172">
        <v>5</v>
      </c>
      <c r="D94" s="173" t="s">
        <v>2020</v>
      </c>
      <c r="E94" s="174"/>
      <c r="F94" s="174"/>
      <c r="G94" s="174"/>
      <c r="H94" s="174"/>
      <c r="I94" s="174" t="s">
        <v>1987</v>
      </c>
      <c r="J94" s="174"/>
      <c r="K94" s="174"/>
      <c r="L94" s="174"/>
      <c r="M94" s="174"/>
      <c r="N94" s="174"/>
      <c r="O94" s="175" t="s">
        <v>1934</v>
      </c>
      <c r="P94" s="175" t="s">
        <v>1916</v>
      </c>
      <c r="Q94" s="179">
        <v>44893</v>
      </c>
      <c r="R94" s="179">
        <v>44918</v>
      </c>
      <c r="S94" s="177">
        <f>R94-Q94</f>
        <v>25</v>
      </c>
      <c r="T94" s="178">
        <v>104</v>
      </c>
      <c r="U94" s="178">
        <v>0</v>
      </c>
      <c r="V94" s="178">
        <v>26</v>
      </c>
      <c r="W94" s="178">
        <v>0</v>
      </c>
      <c r="X94" s="179"/>
      <c r="Y94" s="179"/>
      <c r="Z94" s="180"/>
      <c r="AA94" s="181">
        <v>0</v>
      </c>
      <c r="AB94" s="178">
        <v>4</v>
      </c>
      <c r="AC94" s="177"/>
      <c r="AD94" s="182"/>
      <c r="AE94" s="183">
        <v>0</v>
      </c>
      <c r="AF94" s="195">
        <v>0</v>
      </c>
      <c r="AG94" s="185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 t="str">
        <f>" " &amp; TEXT(AF94,"#0.00%") &amp; " "</f>
        <v xml:space="preserve"> 0.00% </v>
      </c>
      <c r="BK94" s="186"/>
      <c r="BL94" s="186"/>
      <c r="BM94" s="186" t="str">
        <f>"      " &amp; "기구조립" &amp; " " &amp; IF(Q94="","",TEXT(Q94,"M/D-")) &amp; IF(R94="","",TEXT(R94,"M/D")) &amp; " "</f>
        <v xml:space="preserve">      기구조립 11/28-12/23 </v>
      </c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</row>
    <row r="95" spans="1:93" ht="15" customHeight="1" outlineLevel="4" x14ac:dyDescent="0.4">
      <c r="A95" s="172"/>
      <c r="B95" s="172"/>
      <c r="C95" s="172">
        <v>5</v>
      </c>
      <c r="D95" s="173" t="s">
        <v>2021</v>
      </c>
      <c r="E95" s="174"/>
      <c r="F95" s="174"/>
      <c r="G95" s="174"/>
      <c r="H95" s="174"/>
      <c r="I95" s="174" t="s">
        <v>1989</v>
      </c>
      <c r="J95" s="174"/>
      <c r="K95" s="174"/>
      <c r="L95" s="174"/>
      <c r="M95" s="174"/>
      <c r="N95" s="174"/>
      <c r="O95" s="175" t="s">
        <v>1934</v>
      </c>
      <c r="P95" s="175" t="s">
        <v>1916</v>
      </c>
      <c r="Q95" s="179">
        <v>44911</v>
      </c>
      <c r="R95" s="179">
        <v>44931</v>
      </c>
      <c r="S95" s="177">
        <f>R95-Q95</f>
        <v>20</v>
      </c>
      <c r="T95" s="178">
        <v>42</v>
      </c>
      <c r="U95" s="178">
        <v>0</v>
      </c>
      <c r="V95" s="178">
        <v>21</v>
      </c>
      <c r="W95" s="178">
        <v>0</v>
      </c>
      <c r="X95" s="179"/>
      <c r="Y95" s="179"/>
      <c r="Z95" s="180"/>
      <c r="AA95" s="181">
        <v>0</v>
      </c>
      <c r="AB95" s="178">
        <v>2</v>
      </c>
      <c r="AC95" s="177"/>
      <c r="AD95" s="182"/>
      <c r="AE95" s="183">
        <v>0</v>
      </c>
      <c r="AF95" s="195">
        <v>0</v>
      </c>
      <c r="AG95" s="185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 t="str">
        <f>"     " &amp; TEXT(AF95,"#0.00%") &amp; " " &amp; "전장조립" &amp; " " &amp; IF(Q95="","",TEXT(Q95,"M/D-")) &amp; IF(R95="","",TEXT(R95,"M/D")) &amp; " "</f>
        <v xml:space="preserve">     0.00% 전장조립 12/16-1/5 </v>
      </c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</row>
    <row r="96" spans="1:93" ht="15" customHeight="1" outlineLevel="3" x14ac:dyDescent="0.4">
      <c r="A96" s="172"/>
      <c r="B96" s="172" t="s">
        <v>1879</v>
      </c>
      <c r="C96" s="172">
        <v>4</v>
      </c>
      <c r="D96" s="173" t="s">
        <v>2022</v>
      </c>
      <c r="E96" s="174"/>
      <c r="F96" s="174"/>
      <c r="G96" s="174"/>
      <c r="H96" s="174" t="s">
        <v>2023</v>
      </c>
      <c r="I96" s="174"/>
      <c r="J96" s="174"/>
      <c r="K96" s="174"/>
      <c r="L96" s="174"/>
      <c r="M96" s="174"/>
      <c r="N96" s="174"/>
      <c r="O96" s="175" t="s">
        <v>1934</v>
      </c>
      <c r="P96" s="175" t="s">
        <v>1888</v>
      </c>
      <c r="Q96" s="179">
        <v>44762</v>
      </c>
      <c r="R96" s="179">
        <v>44946</v>
      </c>
      <c r="S96" s="177"/>
      <c r="T96" s="178">
        <v>334</v>
      </c>
      <c r="U96" s="178">
        <v>16</v>
      </c>
      <c r="V96" s="178">
        <v>185</v>
      </c>
      <c r="W96" s="178">
        <v>8</v>
      </c>
      <c r="X96" s="179"/>
      <c r="Y96" s="179"/>
      <c r="Z96" s="180">
        <v>0</v>
      </c>
      <c r="AA96" s="181">
        <v>0</v>
      </c>
      <c r="AB96" s="178"/>
      <c r="AC96" s="177"/>
      <c r="AD96" s="182"/>
      <c r="AE96" s="183">
        <v>4.790419161676647E-2</v>
      </c>
      <c r="AF96" s="184">
        <v>3.5938922155688627E-2</v>
      </c>
      <c r="AG96" s="185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 t="str">
        <f>"   " &amp; TEXT(AF96,"#0.00%") &amp; " "</f>
        <v xml:space="preserve">   3.59% </v>
      </c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 t="str">
        <f>"      " &amp; "동간물류(2) &amp; 화성동(1)/NG Line - C/V" &amp; " " &amp; IF(Q96="","",TEXT(Q96,"M/D-")) &amp; IF(R96="","",TEXT(R96,"M/D")) &amp; " "</f>
        <v xml:space="preserve">      동간물류(2) &amp; 화성동(1)/NG Line - C/V 7/20-1/20 </v>
      </c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</row>
    <row r="97" spans="1:93" ht="15" customHeight="1" outlineLevel="4" x14ac:dyDescent="0.4">
      <c r="A97" s="172"/>
      <c r="B97" s="172"/>
      <c r="C97" s="172">
        <v>5</v>
      </c>
      <c r="D97" s="173" t="s">
        <v>2024</v>
      </c>
      <c r="E97" s="174"/>
      <c r="F97" s="174"/>
      <c r="G97" s="174"/>
      <c r="H97" s="174"/>
      <c r="I97" s="174" t="s">
        <v>1983</v>
      </c>
      <c r="J97" s="174"/>
      <c r="K97" s="174"/>
      <c r="L97" s="174"/>
      <c r="M97" s="174"/>
      <c r="N97" s="174"/>
      <c r="O97" s="175" t="s">
        <v>1934</v>
      </c>
      <c r="P97" s="175" t="s">
        <v>1888</v>
      </c>
      <c r="Q97" s="179">
        <v>44762</v>
      </c>
      <c r="R97" s="179">
        <v>44803</v>
      </c>
      <c r="S97" s="177">
        <f>R97-Q97</f>
        <v>41</v>
      </c>
      <c r="T97" s="178">
        <v>84</v>
      </c>
      <c r="U97" s="178">
        <v>16</v>
      </c>
      <c r="V97" s="178">
        <v>42</v>
      </c>
      <c r="W97" s="178">
        <v>8</v>
      </c>
      <c r="X97" s="179"/>
      <c r="Y97" s="179"/>
      <c r="Z97" s="180"/>
      <c r="AA97" s="181">
        <v>0</v>
      </c>
      <c r="AB97" s="178">
        <v>2</v>
      </c>
      <c r="AC97" s="177"/>
      <c r="AD97" s="182"/>
      <c r="AE97" s="183">
        <v>0.19047619047619047</v>
      </c>
      <c r="AF97" s="188">
        <v>0.1429</v>
      </c>
      <c r="AG97" s="185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 t="str">
        <f>"  " &amp; TEXT(AF97,"#0.00%") &amp; " "</f>
        <v xml:space="preserve">  14.29% </v>
      </c>
      <c r="AS97" s="186"/>
      <c r="AT97" s="186"/>
      <c r="AU97" s="186"/>
      <c r="AV97" s="186"/>
      <c r="AW97" s="186" t="str">
        <f>"   " &amp; "장납기 구매품 발주 및 입고" &amp; " " &amp; IF(Q97="","",TEXT(Q97,"M/D-")) &amp; IF(R97="","",TEXT(R97,"M/D")) &amp; " "</f>
        <v xml:space="preserve">   장납기 구매품 발주 및 입고 7/20-8/30 </v>
      </c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</row>
    <row r="98" spans="1:93" ht="15" customHeight="1" outlineLevel="4" x14ac:dyDescent="0.4">
      <c r="A98" s="172"/>
      <c r="B98" s="172"/>
      <c r="C98" s="172">
        <v>5</v>
      </c>
      <c r="D98" s="173" t="s">
        <v>2025</v>
      </c>
      <c r="E98" s="174"/>
      <c r="F98" s="174"/>
      <c r="G98" s="174"/>
      <c r="H98" s="174"/>
      <c r="I98" s="174" t="s">
        <v>2000</v>
      </c>
      <c r="J98" s="174"/>
      <c r="K98" s="174"/>
      <c r="L98" s="174"/>
      <c r="M98" s="174"/>
      <c r="N98" s="174"/>
      <c r="O98" s="175" t="s">
        <v>1934</v>
      </c>
      <c r="P98" s="175" t="s">
        <v>1888</v>
      </c>
      <c r="Q98" s="179">
        <v>44805</v>
      </c>
      <c r="R98" s="179">
        <v>44866</v>
      </c>
      <c r="S98" s="177">
        <f>R98-Q98</f>
        <v>61</v>
      </c>
      <c r="T98" s="178">
        <v>124</v>
      </c>
      <c r="U98" s="178">
        <v>0</v>
      </c>
      <c r="V98" s="178">
        <v>62</v>
      </c>
      <c r="W98" s="178">
        <v>0</v>
      </c>
      <c r="X98" s="179"/>
      <c r="Y98" s="179"/>
      <c r="Z98" s="180"/>
      <c r="AA98" s="181">
        <v>0</v>
      </c>
      <c r="AB98" s="178">
        <v>2</v>
      </c>
      <c r="AC98" s="177"/>
      <c r="AD98" s="182"/>
      <c r="AE98" s="183">
        <v>0</v>
      </c>
      <c r="AF98" s="195">
        <v>0</v>
      </c>
      <c r="AG98" s="185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 t="str">
        <f>"    " &amp; TEXT(AF98,"#0.00%") &amp; " "</f>
        <v xml:space="preserve">    0.00% </v>
      </c>
      <c r="AX98" s="186"/>
      <c r="AY98" s="186"/>
      <c r="AZ98" s="186"/>
      <c r="BA98" s="186"/>
      <c r="BB98" s="186"/>
      <c r="BC98" s="186"/>
      <c r="BD98" s="186"/>
      <c r="BE98" s="186"/>
      <c r="BF98" s="186" t="str">
        <f>"   " &amp; "가공품 발주 및 입고" &amp; " " &amp; IF(Q98="","",TEXT(Q98,"M/D-")) &amp; IF(R98="","",TEXT(R98,"M/D")) &amp; " "</f>
        <v xml:space="preserve">   가공품 발주 및 입고 9/1-11/1 </v>
      </c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</row>
    <row r="99" spans="1:93" ht="15" customHeight="1" outlineLevel="4" x14ac:dyDescent="0.4">
      <c r="A99" s="172"/>
      <c r="B99" s="172"/>
      <c r="C99" s="172">
        <v>5</v>
      </c>
      <c r="D99" s="173" t="s">
        <v>2026</v>
      </c>
      <c r="E99" s="174"/>
      <c r="F99" s="174"/>
      <c r="G99" s="174"/>
      <c r="H99" s="174"/>
      <c r="I99" s="174" t="s">
        <v>1987</v>
      </c>
      <c r="J99" s="174"/>
      <c r="K99" s="174"/>
      <c r="L99" s="174"/>
      <c r="M99" s="174"/>
      <c r="N99" s="174"/>
      <c r="O99" s="175" t="s">
        <v>1934</v>
      </c>
      <c r="P99" s="175" t="s">
        <v>1888</v>
      </c>
      <c r="Q99" s="179">
        <v>44915</v>
      </c>
      <c r="R99" s="179">
        <v>44936</v>
      </c>
      <c r="S99" s="177">
        <f>R99-Q99</f>
        <v>21</v>
      </c>
      <c r="T99" s="178">
        <v>88</v>
      </c>
      <c r="U99" s="178">
        <v>0</v>
      </c>
      <c r="V99" s="178">
        <v>22</v>
      </c>
      <c r="W99" s="178">
        <v>0</v>
      </c>
      <c r="X99" s="179"/>
      <c r="Y99" s="179"/>
      <c r="Z99" s="180"/>
      <c r="AA99" s="181">
        <v>0</v>
      </c>
      <c r="AB99" s="178">
        <v>4</v>
      </c>
      <c r="AC99" s="177"/>
      <c r="AD99" s="182"/>
      <c r="AE99" s="183">
        <v>0</v>
      </c>
      <c r="AF99" s="195">
        <v>0</v>
      </c>
      <c r="AG99" s="185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 t="str">
        <f>"  " &amp; TEXT(AF99,"#0.00%") &amp; " "</f>
        <v xml:space="preserve">  0.00% </v>
      </c>
      <c r="BN99" s="186"/>
      <c r="BO99" s="186"/>
      <c r="BP99" s="186" t="str">
        <f>"   " &amp; "기구조립" &amp; " " &amp; IF(Q99="","",TEXT(Q99,"M/D-")) &amp; IF(R99="","",TEXT(R99,"M/D")) &amp; " "</f>
        <v xml:space="preserve">   기구조립 12/20-1/10 </v>
      </c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</row>
    <row r="100" spans="1:93" ht="15" customHeight="1" outlineLevel="4" x14ac:dyDescent="0.4">
      <c r="A100" s="172"/>
      <c r="B100" s="172"/>
      <c r="C100" s="172">
        <v>5</v>
      </c>
      <c r="D100" s="173" t="s">
        <v>2027</v>
      </c>
      <c r="E100" s="174"/>
      <c r="F100" s="174"/>
      <c r="G100" s="174"/>
      <c r="H100" s="174"/>
      <c r="I100" s="174" t="s">
        <v>1989</v>
      </c>
      <c r="J100" s="174"/>
      <c r="K100" s="174"/>
      <c r="L100" s="174"/>
      <c r="M100" s="174"/>
      <c r="N100" s="174"/>
      <c r="O100" s="175" t="s">
        <v>1934</v>
      </c>
      <c r="P100" s="175" t="s">
        <v>1888</v>
      </c>
      <c r="Q100" s="179">
        <v>44928</v>
      </c>
      <c r="R100" s="179">
        <v>44946</v>
      </c>
      <c r="S100" s="177">
        <f>R100-Q100</f>
        <v>18</v>
      </c>
      <c r="T100" s="178">
        <v>38</v>
      </c>
      <c r="U100" s="178">
        <v>0</v>
      </c>
      <c r="V100" s="178">
        <v>19</v>
      </c>
      <c r="W100" s="178">
        <v>0</v>
      </c>
      <c r="X100" s="179"/>
      <c r="Y100" s="179"/>
      <c r="Z100" s="180"/>
      <c r="AA100" s="181">
        <v>0</v>
      </c>
      <c r="AB100" s="178">
        <v>2</v>
      </c>
      <c r="AC100" s="177"/>
      <c r="AD100" s="182"/>
      <c r="AE100" s="183">
        <v>0</v>
      </c>
      <c r="AF100" s="195">
        <v>0</v>
      </c>
      <c r="AG100" s="185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 t="str">
        <f>" " &amp; TEXT(AF100,"#0.00%") &amp; " " &amp; "전장조립" &amp; " " &amp; IF(Q100="","",TEXT(Q100,"M/D-")) &amp; IF(R100="","",TEXT(R100,"M/D")) &amp; " "</f>
        <v xml:space="preserve"> 0.00% 전장조립 1/2-1/20 </v>
      </c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</row>
    <row r="101" spans="1:93" ht="15" customHeight="1" outlineLevel="3" x14ac:dyDescent="0.4">
      <c r="A101" s="172"/>
      <c r="B101" s="172" t="s">
        <v>1879</v>
      </c>
      <c r="C101" s="172">
        <v>4</v>
      </c>
      <c r="D101" s="173" t="s">
        <v>2028</v>
      </c>
      <c r="E101" s="174"/>
      <c r="F101" s="174"/>
      <c r="G101" s="174"/>
      <c r="H101" s="174" t="s">
        <v>2029</v>
      </c>
      <c r="I101" s="174"/>
      <c r="J101" s="174"/>
      <c r="K101" s="174"/>
      <c r="L101" s="174"/>
      <c r="M101" s="174"/>
      <c r="N101" s="174"/>
      <c r="O101" s="175" t="s">
        <v>1934</v>
      </c>
      <c r="P101" s="175" t="s">
        <v>1888</v>
      </c>
      <c r="Q101" s="179">
        <v>44762</v>
      </c>
      <c r="R101" s="179">
        <v>44962</v>
      </c>
      <c r="S101" s="177"/>
      <c r="T101" s="178">
        <v>358</v>
      </c>
      <c r="U101" s="178">
        <v>16</v>
      </c>
      <c r="V101" s="178">
        <v>201</v>
      </c>
      <c r="W101" s="178">
        <v>8</v>
      </c>
      <c r="X101" s="179"/>
      <c r="Y101" s="179"/>
      <c r="Z101" s="180">
        <v>0</v>
      </c>
      <c r="AA101" s="181">
        <v>0</v>
      </c>
      <c r="AB101" s="178"/>
      <c r="AC101" s="177"/>
      <c r="AD101" s="182"/>
      <c r="AE101" s="183">
        <v>4.4692737430167599E-2</v>
      </c>
      <c r="AF101" s="184">
        <v>3.3529608938547485E-2</v>
      </c>
      <c r="AG101" s="185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 t="str">
        <f>"   " &amp; TEXT(AF101,"#0.00%") &amp; " "</f>
        <v xml:space="preserve">   3.35% </v>
      </c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 t="str">
        <f>" " &amp; "조립동(1) &amp; 화성동(2)/후단물류 - C/V" &amp; " " &amp; IF(Q101="","",TEXT(Q101,"M/D-")) &amp; IF(R101="","",TEXT(R101,"M/D")) &amp; " "</f>
        <v xml:space="preserve"> 조립동(1) &amp; 화성동(2)/후단물류 - C/V 7/20-2/5 </v>
      </c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</row>
    <row r="102" spans="1:93" ht="15" customHeight="1" outlineLevel="4" x14ac:dyDescent="0.4">
      <c r="A102" s="172"/>
      <c r="B102" s="172"/>
      <c r="C102" s="172">
        <v>5</v>
      </c>
      <c r="D102" s="173" t="s">
        <v>2030</v>
      </c>
      <c r="E102" s="174"/>
      <c r="F102" s="174"/>
      <c r="G102" s="174"/>
      <c r="H102" s="174"/>
      <c r="I102" s="174" t="s">
        <v>1983</v>
      </c>
      <c r="J102" s="174"/>
      <c r="K102" s="174"/>
      <c r="L102" s="174"/>
      <c r="M102" s="174"/>
      <c r="N102" s="174"/>
      <c r="O102" s="175" t="s">
        <v>1934</v>
      </c>
      <c r="P102" s="175" t="s">
        <v>1888</v>
      </c>
      <c r="Q102" s="179">
        <v>44762</v>
      </c>
      <c r="R102" s="179">
        <v>44803</v>
      </c>
      <c r="S102" s="177">
        <f>R102-Q102</f>
        <v>41</v>
      </c>
      <c r="T102" s="178">
        <v>84</v>
      </c>
      <c r="U102" s="178">
        <v>16</v>
      </c>
      <c r="V102" s="178">
        <v>42</v>
      </c>
      <c r="W102" s="178">
        <v>8</v>
      </c>
      <c r="X102" s="179"/>
      <c r="Y102" s="179"/>
      <c r="Z102" s="180"/>
      <c r="AA102" s="181">
        <v>0</v>
      </c>
      <c r="AB102" s="178">
        <v>2</v>
      </c>
      <c r="AC102" s="177"/>
      <c r="AD102" s="182"/>
      <c r="AE102" s="183">
        <v>0.19047619047619047</v>
      </c>
      <c r="AF102" s="188">
        <v>0.1429</v>
      </c>
      <c r="AG102" s="185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 t="str">
        <f>"  " &amp; TEXT(AF102,"#0.00%") &amp; " "</f>
        <v xml:space="preserve">  14.29% </v>
      </c>
      <c r="AS102" s="186"/>
      <c r="AT102" s="186"/>
      <c r="AU102" s="186"/>
      <c r="AV102" s="186"/>
      <c r="AW102" s="186" t="str">
        <f>"   " &amp; "장납기 구매품 발주 및 입고" &amp; " " &amp; IF(Q102="","",TEXT(Q102,"M/D-")) &amp; IF(R102="","",TEXT(R102,"M/D")) &amp; " "</f>
        <v xml:space="preserve">   장납기 구매품 발주 및 입고 7/20-8/30 </v>
      </c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</row>
    <row r="103" spans="1:93" ht="15" customHeight="1" outlineLevel="4" x14ac:dyDescent="0.4">
      <c r="A103" s="172"/>
      <c r="B103" s="172"/>
      <c r="C103" s="172">
        <v>5</v>
      </c>
      <c r="D103" s="173" t="s">
        <v>2031</v>
      </c>
      <c r="E103" s="174"/>
      <c r="F103" s="174"/>
      <c r="G103" s="174"/>
      <c r="H103" s="174"/>
      <c r="I103" s="174" t="s">
        <v>2000</v>
      </c>
      <c r="J103" s="174"/>
      <c r="K103" s="174"/>
      <c r="L103" s="174"/>
      <c r="M103" s="174"/>
      <c r="N103" s="174"/>
      <c r="O103" s="175" t="s">
        <v>1934</v>
      </c>
      <c r="P103" s="175" t="s">
        <v>1888</v>
      </c>
      <c r="Q103" s="179">
        <v>44805</v>
      </c>
      <c r="R103" s="179">
        <v>44866</v>
      </c>
      <c r="S103" s="177">
        <f>R103-Q103</f>
        <v>61</v>
      </c>
      <c r="T103" s="178">
        <v>124</v>
      </c>
      <c r="U103" s="178">
        <v>0</v>
      </c>
      <c r="V103" s="178">
        <v>62</v>
      </c>
      <c r="W103" s="178">
        <v>0</v>
      </c>
      <c r="X103" s="179"/>
      <c r="Y103" s="179"/>
      <c r="Z103" s="180"/>
      <c r="AA103" s="181">
        <v>0</v>
      </c>
      <c r="AB103" s="178">
        <v>2</v>
      </c>
      <c r="AC103" s="177"/>
      <c r="AD103" s="182"/>
      <c r="AE103" s="183">
        <v>0</v>
      </c>
      <c r="AF103" s="195">
        <v>0</v>
      </c>
      <c r="AG103" s="185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 t="str">
        <f>"    " &amp; TEXT(AF103,"#0.00%") &amp; " "</f>
        <v xml:space="preserve">    0.00% </v>
      </c>
      <c r="AX103" s="186"/>
      <c r="AY103" s="186"/>
      <c r="AZ103" s="186"/>
      <c r="BA103" s="186"/>
      <c r="BB103" s="186"/>
      <c r="BC103" s="186"/>
      <c r="BD103" s="186"/>
      <c r="BE103" s="186"/>
      <c r="BF103" s="186" t="str">
        <f>"   " &amp; "가공품 발주 및 입고" &amp; " " &amp; IF(Q103="","",TEXT(Q103,"M/D-")) &amp; IF(R103="","",TEXT(R103,"M/D")) &amp; " "</f>
        <v xml:space="preserve">   가공품 발주 및 입고 9/1-11/1 </v>
      </c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</row>
    <row r="104" spans="1:93" ht="15" customHeight="1" outlineLevel="4" x14ac:dyDescent="0.4">
      <c r="A104" s="172"/>
      <c r="B104" s="172"/>
      <c r="C104" s="172">
        <v>5</v>
      </c>
      <c r="D104" s="173" t="s">
        <v>2032</v>
      </c>
      <c r="E104" s="174"/>
      <c r="F104" s="174"/>
      <c r="G104" s="174"/>
      <c r="H104" s="174"/>
      <c r="I104" s="174" t="s">
        <v>1987</v>
      </c>
      <c r="J104" s="174"/>
      <c r="K104" s="174"/>
      <c r="L104" s="174"/>
      <c r="M104" s="174"/>
      <c r="N104" s="174"/>
      <c r="O104" s="175" t="s">
        <v>1934</v>
      </c>
      <c r="P104" s="175" t="s">
        <v>1888</v>
      </c>
      <c r="Q104" s="179">
        <v>44931</v>
      </c>
      <c r="R104" s="179">
        <v>44957</v>
      </c>
      <c r="S104" s="177">
        <f>R104-Q104</f>
        <v>26</v>
      </c>
      <c r="T104" s="178">
        <v>108</v>
      </c>
      <c r="U104" s="178">
        <v>0</v>
      </c>
      <c r="V104" s="178">
        <v>27</v>
      </c>
      <c r="W104" s="178">
        <v>0</v>
      </c>
      <c r="X104" s="179"/>
      <c r="Y104" s="179"/>
      <c r="Z104" s="180"/>
      <c r="AA104" s="181">
        <v>0</v>
      </c>
      <c r="AB104" s="178">
        <v>4</v>
      </c>
      <c r="AC104" s="177"/>
      <c r="AD104" s="182"/>
      <c r="AE104" s="183">
        <v>0</v>
      </c>
      <c r="AF104" s="195">
        <v>0</v>
      </c>
      <c r="AG104" s="185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 t="str">
        <f>"    " &amp; TEXT(AF104,"#0.00%") &amp; " "</f>
        <v xml:space="preserve">    0.00% </v>
      </c>
      <c r="BP104" s="186"/>
      <c r="BQ104" s="186"/>
      <c r="BR104" s="186"/>
      <c r="BS104" s="186" t="str">
        <f>"   " &amp; "기구조립" &amp; " " &amp; IF(Q104="","",TEXT(Q104,"M/D-")) &amp; IF(R104="","",TEXT(R104,"M/D")) &amp; " "</f>
        <v xml:space="preserve">   기구조립 1/5-1/31 </v>
      </c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</row>
    <row r="105" spans="1:93" ht="15" customHeight="1" outlineLevel="4" x14ac:dyDescent="0.4">
      <c r="A105" s="172"/>
      <c r="B105" s="172"/>
      <c r="C105" s="172">
        <v>5</v>
      </c>
      <c r="D105" s="173" t="s">
        <v>2033</v>
      </c>
      <c r="E105" s="174"/>
      <c r="F105" s="174"/>
      <c r="G105" s="174"/>
      <c r="H105" s="174"/>
      <c r="I105" s="174" t="s">
        <v>1989</v>
      </c>
      <c r="J105" s="174"/>
      <c r="K105" s="174"/>
      <c r="L105" s="174"/>
      <c r="M105" s="174"/>
      <c r="N105" s="174"/>
      <c r="O105" s="175" t="s">
        <v>1934</v>
      </c>
      <c r="P105" s="175" t="s">
        <v>1888</v>
      </c>
      <c r="Q105" s="179">
        <v>44942</v>
      </c>
      <c r="R105" s="179">
        <v>44962</v>
      </c>
      <c r="S105" s="177">
        <f>R105-Q105</f>
        <v>20</v>
      </c>
      <c r="T105" s="178">
        <v>42</v>
      </c>
      <c r="U105" s="178">
        <v>0</v>
      </c>
      <c r="V105" s="178">
        <v>21</v>
      </c>
      <c r="W105" s="178">
        <v>0</v>
      </c>
      <c r="X105" s="179"/>
      <c r="Y105" s="179"/>
      <c r="Z105" s="180"/>
      <c r="AA105" s="181">
        <v>0</v>
      </c>
      <c r="AB105" s="178">
        <v>2</v>
      </c>
      <c r="AC105" s="177"/>
      <c r="AD105" s="182"/>
      <c r="AE105" s="183">
        <v>0</v>
      </c>
      <c r="AF105" s="195">
        <v>0</v>
      </c>
      <c r="AG105" s="185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 t="str">
        <f>" " &amp; TEXT(AF105,"#0.00%") &amp; " "</f>
        <v xml:space="preserve"> 0.00% </v>
      </c>
      <c r="BR105" s="186"/>
      <c r="BS105" s="186"/>
      <c r="BT105" s="186" t="str">
        <f>" " &amp; "전장조립" &amp; " " &amp; IF(Q105="","",TEXT(Q105,"M/D-")) &amp; IF(R105="","",TEXT(R105,"M/D")) &amp; " "</f>
        <v xml:space="preserve"> 전장조립 1/16-2/5 </v>
      </c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</row>
    <row r="106" spans="1:93" ht="15" customHeight="1" outlineLevel="3" x14ac:dyDescent="0.4">
      <c r="A106" s="172"/>
      <c r="B106" s="172" t="s">
        <v>1879</v>
      </c>
      <c r="C106" s="172">
        <v>4</v>
      </c>
      <c r="D106" s="196" t="s">
        <v>2034</v>
      </c>
      <c r="E106" s="197"/>
      <c r="F106" s="197"/>
      <c r="G106" s="197"/>
      <c r="H106" s="197" t="s">
        <v>2035</v>
      </c>
      <c r="I106" s="197"/>
      <c r="J106" s="197"/>
      <c r="K106" s="197"/>
      <c r="L106" s="197"/>
      <c r="M106" s="197"/>
      <c r="N106" s="197"/>
      <c r="O106" s="206" t="s">
        <v>1934</v>
      </c>
      <c r="P106" s="206" t="s">
        <v>1888</v>
      </c>
      <c r="Q106" s="199">
        <v>44762</v>
      </c>
      <c r="R106" s="199">
        <v>44977</v>
      </c>
      <c r="S106" s="200"/>
      <c r="T106" s="201">
        <v>330</v>
      </c>
      <c r="U106" s="201">
        <v>16</v>
      </c>
      <c r="V106" s="201">
        <v>216</v>
      </c>
      <c r="W106" s="201">
        <v>8</v>
      </c>
      <c r="X106" s="199"/>
      <c r="Y106" s="199"/>
      <c r="Z106" s="202">
        <v>0</v>
      </c>
      <c r="AA106" s="203">
        <v>0</v>
      </c>
      <c r="AB106" s="201"/>
      <c r="AC106" s="200"/>
      <c r="AD106" s="204"/>
      <c r="AE106" s="205">
        <v>4.8484848484848485E-2</v>
      </c>
      <c r="AF106" s="184">
        <v>3.6374545454545458E-2</v>
      </c>
      <c r="AG106" s="185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 t="str">
        <f>"    " &amp; TEXT(AF106,"#0.00%") &amp; " "</f>
        <v xml:space="preserve">    3.64% </v>
      </c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 t="str">
        <f>"  " &amp; "조립동(2) &amp; 화성동(3) - C/V,Fence" &amp; " " &amp; IF(Q106="","",TEXT(Q106,"M/D-")) &amp; IF(R106="","",TEXT(R106,"M/D")) &amp; " "</f>
        <v xml:space="preserve">  조립동(2) &amp; 화성동(3) - C/V,Fence 7/20-2/20 </v>
      </c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</row>
    <row r="107" spans="1:93" ht="15" customHeight="1" outlineLevel="4" x14ac:dyDescent="0.4">
      <c r="A107" s="172"/>
      <c r="B107" s="172"/>
      <c r="C107" s="172">
        <v>5</v>
      </c>
      <c r="D107" s="173" t="s">
        <v>2036</v>
      </c>
      <c r="E107" s="174"/>
      <c r="F107" s="174"/>
      <c r="G107" s="174"/>
      <c r="H107" s="174"/>
      <c r="I107" s="174" t="s">
        <v>1983</v>
      </c>
      <c r="J107" s="174"/>
      <c r="K107" s="174"/>
      <c r="L107" s="174"/>
      <c r="M107" s="174"/>
      <c r="N107" s="174"/>
      <c r="O107" s="175" t="s">
        <v>1934</v>
      </c>
      <c r="P107" s="175" t="s">
        <v>1888</v>
      </c>
      <c r="Q107" s="179">
        <v>44762</v>
      </c>
      <c r="R107" s="179">
        <v>44803</v>
      </c>
      <c r="S107" s="177">
        <f>R107-Q107</f>
        <v>41</v>
      </c>
      <c r="T107" s="178">
        <v>84</v>
      </c>
      <c r="U107" s="178">
        <v>16</v>
      </c>
      <c r="V107" s="178">
        <v>42</v>
      </c>
      <c r="W107" s="178">
        <v>8</v>
      </c>
      <c r="X107" s="179"/>
      <c r="Y107" s="179"/>
      <c r="Z107" s="180"/>
      <c r="AA107" s="181">
        <v>0</v>
      </c>
      <c r="AB107" s="178">
        <v>2</v>
      </c>
      <c r="AC107" s="177"/>
      <c r="AD107" s="182"/>
      <c r="AE107" s="183">
        <v>0.19047619047619047</v>
      </c>
      <c r="AF107" s="188">
        <v>0.1429</v>
      </c>
      <c r="AG107" s="185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 t="str">
        <f>"  " &amp; TEXT(AF107,"#0.00%") &amp; " "</f>
        <v xml:space="preserve">  14.29% </v>
      </c>
      <c r="AS107" s="186"/>
      <c r="AT107" s="186"/>
      <c r="AU107" s="186"/>
      <c r="AV107" s="186"/>
      <c r="AW107" s="186" t="str">
        <f>"   " &amp; "장납기 구매품 발주 및 입고" &amp; " " &amp; IF(Q107="","",TEXT(Q107,"M/D-")) &amp; IF(R107="","",TEXT(R107,"M/D")) &amp; " "</f>
        <v xml:space="preserve">   장납기 구매품 발주 및 입고 7/20-8/30 </v>
      </c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</row>
    <row r="108" spans="1:93" ht="15" customHeight="1" outlineLevel="4" x14ac:dyDescent="0.4">
      <c r="A108" s="172"/>
      <c r="B108" s="172"/>
      <c r="C108" s="172">
        <v>5</v>
      </c>
      <c r="D108" s="173" t="s">
        <v>2037</v>
      </c>
      <c r="E108" s="174"/>
      <c r="F108" s="174"/>
      <c r="G108" s="174"/>
      <c r="H108" s="174"/>
      <c r="I108" s="174" t="s">
        <v>2000</v>
      </c>
      <c r="J108" s="174"/>
      <c r="K108" s="174"/>
      <c r="L108" s="174"/>
      <c r="M108" s="174"/>
      <c r="N108" s="174"/>
      <c r="O108" s="175" t="s">
        <v>1934</v>
      </c>
      <c r="P108" s="175" t="s">
        <v>1888</v>
      </c>
      <c r="Q108" s="179">
        <v>44805</v>
      </c>
      <c r="R108" s="179">
        <v>44866</v>
      </c>
      <c r="S108" s="177">
        <f>R108-Q108</f>
        <v>61</v>
      </c>
      <c r="T108" s="178">
        <v>124</v>
      </c>
      <c r="U108" s="178">
        <v>0</v>
      </c>
      <c r="V108" s="178">
        <v>62</v>
      </c>
      <c r="W108" s="178">
        <v>0</v>
      </c>
      <c r="X108" s="179"/>
      <c r="Y108" s="179"/>
      <c r="Z108" s="180"/>
      <c r="AA108" s="181">
        <v>0</v>
      </c>
      <c r="AB108" s="178">
        <v>2</v>
      </c>
      <c r="AC108" s="177"/>
      <c r="AD108" s="182"/>
      <c r="AE108" s="183">
        <v>0</v>
      </c>
      <c r="AF108" s="195">
        <v>0</v>
      </c>
      <c r="AG108" s="185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 t="str">
        <f>"    " &amp; TEXT(AF108,"#0.00%") &amp; " "</f>
        <v xml:space="preserve">    0.00% </v>
      </c>
      <c r="AX108" s="186"/>
      <c r="AY108" s="186"/>
      <c r="AZ108" s="186"/>
      <c r="BA108" s="186"/>
      <c r="BB108" s="186"/>
      <c r="BC108" s="186"/>
      <c r="BD108" s="186"/>
      <c r="BE108" s="186"/>
      <c r="BF108" s="186" t="str">
        <f>"   " &amp; "가공품 발주 및 입고" &amp; " " &amp; IF(Q108="","",TEXT(Q108,"M/D-")) &amp; IF(R108="","",TEXT(R108,"M/D")) &amp; " "</f>
        <v xml:space="preserve">   가공품 발주 및 입고 9/1-11/1 </v>
      </c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</row>
    <row r="109" spans="1:93" ht="15" customHeight="1" outlineLevel="4" x14ac:dyDescent="0.4">
      <c r="A109" s="172"/>
      <c r="B109" s="172"/>
      <c r="C109" s="172">
        <v>5</v>
      </c>
      <c r="D109" s="173" t="s">
        <v>2038</v>
      </c>
      <c r="E109" s="174"/>
      <c r="F109" s="174"/>
      <c r="G109" s="174"/>
      <c r="H109" s="174"/>
      <c r="I109" s="174" t="s">
        <v>1987</v>
      </c>
      <c r="J109" s="174"/>
      <c r="K109" s="174"/>
      <c r="L109" s="174"/>
      <c r="M109" s="174"/>
      <c r="N109" s="174"/>
      <c r="O109" s="175" t="s">
        <v>1934</v>
      </c>
      <c r="P109" s="175" t="s">
        <v>1888</v>
      </c>
      <c r="Q109" s="179">
        <v>44951</v>
      </c>
      <c r="R109" s="179">
        <v>44971</v>
      </c>
      <c r="S109" s="177">
        <f>R109-Q109</f>
        <v>20</v>
      </c>
      <c r="T109" s="178">
        <v>84</v>
      </c>
      <c r="U109" s="178">
        <v>0</v>
      </c>
      <c r="V109" s="178">
        <v>21</v>
      </c>
      <c r="W109" s="178">
        <v>0</v>
      </c>
      <c r="X109" s="179"/>
      <c r="Y109" s="179"/>
      <c r="Z109" s="180"/>
      <c r="AA109" s="181">
        <v>0</v>
      </c>
      <c r="AB109" s="178">
        <v>4</v>
      </c>
      <c r="AC109" s="177"/>
      <c r="AD109" s="182"/>
      <c r="AE109" s="183">
        <v>0</v>
      </c>
      <c r="AF109" s="195">
        <v>0</v>
      </c>
      <c r="AG109" s="185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 t="str">
        <f>"   " &amp; TEXT(AF109,"#0.00%") &amp; " "</f>
        <v xml:space="preserve">   0.00% </v>
      </c>
      <c r="BS109" s="186"/>
      <c r="BT109" s="186"/>
      <c r="BU109" s="186" t="str">
        <f>"   " &amp; "기구조립" &amp; " " &amp; IF(Q109="","",TEXT(Q109,"M/D-")) &amp; IF(R109="","",TEXT(R109,"M/D")) &amp; " "</f>
        <v xml:space="preserve">   기구조립 1/25-2/14 </v>
      </c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</row>
    <row r="110" spans="1:93" ht="15" customHeight="1" outlineLevel="4" x14ac:dyDescent="0.4">
      <c r="A110" s="172"/>
      <c r="B110" s="172"/>
      <c r="C110" s="172">
        <v>5</v>
      </c>
      <c r="D110" s="173" t="s">
        <v>2039</v>
      </c>
      <c r="E110" s="174"/>
      <c r="F110" s="174"/>
      <c r="G110" s="174"/>
      <c r="H110" s="174"/>
      <c r="I110" s="174" t="s">
        <v>1989</v>
      </c>
      <c r="J110" s="174"/>
      <c r="K110" s="174"/>
      <c r="L110" s="174"/>
      <c r="M110" s="174"/>
      <c r="N110" s="174"/>
      <c r="O110" s="175" t="s">
        <v>1934</v>
      </c>
      <c r="P110" s="175" t="s">
        <v>1888</v>
      </c>
      <c r="Q110" s="179">
        <v>44959</v>
      </c>
      <c r="R110" s="179">
        <v>44977</v>
      </c>
      <c r="S110" s="177">
        <f>R110-Q110</f>
        <v>18</v>
      </c>
      <c r="T110" s="178">
        <v>38</v>
      </c>
      <c r="U110" s="178">
        <v>0</v>
      </c>
      <c r="V110" s="178">
        <v>19</v>
      </c>
      <c r="W110" s="178">
        <v>0</v>
      </c>
      <c r="X110" s="179"/>
      <c r="Y110" s="179"/>
      <c r="Z110" s="180"/>
      <c r="AA110" s="181">
        <v>0</v>
      </c>
      <c r="AB110" s="178">
        <v>2</v>
      </c>
      <c r="AC110" s="177"/>
      <c r="AD110" s="182"/>
      <c r="AE110" s="183">
        <v>0</v>
      </c>
      <c r="AF110" s="195">
        <v>0</v>
      </c>
      <c r="AG110" s="185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 t="str">
        <f>"    " &amp; TEXT(AF110,"#0.00%") &amp; " " &amp; "전장조립" &amp; " " &amp; IF(Q110="","",TEXT(Q110,"M/D-")) &amp; IF(R110="","",TEXT(R110,"M/D")) &amp; " "</f>
        <v xml:space="preserve">    0.00% 전장조립 2/2-2/20 </v>
      </c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</row>
    <row r="111" spans="1:93" ht="15" customHeight="1" outlineLevel="2" x14ac:dyDescent="0.4">
      <c r="A111" s="172"/>
      <c r="B111" s="172" t="s">
        <v>1879</v>
      </c>
      <c r="C111" s="172">
        <v>3</v>
      </c>
      <c r="D111" s="173" t="s">
        <v>2040</v>
      </c>
      <c r="E111" s="174"/>
      <c r="F111" s="174"/>
      <c r="G111" s="174" t="s">
        <v>1940</v>
      </c>
      <c r="H111" s="174"/>
      <c r="I111" s="174"/>
      <c r="J111" s="174"/>
      <c r="K111" s="174"/>
      <c r="L111" s="174"/>
      <c r="M111" s="174"/>
      <c r="N111" s="174"/>
      <c r="O111" s="175" t="s">
        <v>1941</v>
      </c>
      <c r="P111" s="175"/>
      <c r="Q111" s="179">
        <v>44762</v>
      </c>
      <c r="R111" s="179">
        <v>44915</v>
      </c>
      <c r="S111" s="177"/>
      <c r="T111" s="178">
        <v>740</v>
      </c>
      <c r="U111" s="178">
        <v>32</v>
      </c>
      <c r="V111" s="178">
        <v>154</v>
      </c>
      <c r="W111" s="178">
        <v>8</v>
      </c>
      <c r="X111" s="179"/>
      <c r="Y111" s="179"/>
      <c r="Z111" s="180">
        <v>0</v>
      </c>
      <c r="AA111" s="181">
        <v>0</v>
      </c>
      <c r="AB111" s="178"/>
      <c r="AC111" s="177"/>
      <c r="AD111" s="182"/>
      <c r="AE111" s="183">
        <v>4.3243243243243246E-2</v>
      </c>
      <c r="AF111" s="184">
        <v>3.2442162162162162E-2</v>
      </c>
      <c r="AG111" s="185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 t="str">
        <f>" " &amp; TEXT(AF111,"#0.00%") &amp; " "</f>
        <v xml:space="preserve"> 3.24% </v>
      </c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 t="str">
        <f>"   " &amp; "Lifter" &amp; " " &amp; IF(Q111="","",TEXT(Q111,"M/D-")) &amp; IF(R111="","",TEXT(R111,"M/D")) &amp; " "</f>
        <v xml:space="preserve">   Lifter 7/20-12/20 </v>
      </c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</row>
    <row r="112" spans="1:93" ht="15" customHeight="1" outlineLevel="3" x14ac:dyDescent="0.4">
      <c r="A112" s="172"/>
      <c r="B112" s="172" t="s">
        <v>1879</v>
      </c>
      <c r="C112" s="172">
        <v>4</v>
      </c>
      <c r="D112" s="173" t="s">
        <v>2041</v>
      </c>
      <c r="E112" s="174"/>
      <c r="F112" s="174"/>
      <c r="G112" s="174"/>
      <c r="H112" s="174" t="s">
        <v>2042</v>
      </c>
      <c r="I112" s="174"/>
      <c r="J112" s="174"/>
      <c r="K112" s="174"/>
      <c r="L112" s="174"/>
      <c r="M112" s="174"/>
      <c r="N112" s="174"/>
      <c r="O112" s="175" t="s">
        <v>1941</v>
      </c>
      <c r="P112" s="175" t="s">
        <v>1888</v>
      </c>
      <c r="Q112" s="179">
        <v>44762</v>
      </c>
      <c r="R112" s="179">
        <v>44900</v>
      </c>
      <c r="S112" s="177"/>
      <c r="T112" s="178">
        <v>368</v>
      </c>
      <c r="U112" s="178">
        <v>16</v>
      </c>
      <c r="V112" s="178">
        <v>139</v>
      </c>
      <c r="W112" s="178">
        <v>8</v>
      </c>
      <c r="X112" s="179"/>
      <c r="Y112" s="179"/>
      <c r="Z112" s="180">
        <v>0</v>
      </c>
      <c r="AA112" s="181">
        <v>0</v>
      </c>
      <c r="AB112" s="178"/>
      <c r="AC112" s="177"/>
      <c r="AD112" s="182"/>
      <c r="AE112" s="183">
        <v>4.3478260869565216E-2</v>
      </c>
      <c r="AF112" s="184">
        <v>3.2618478260869568E-2</v>
      </c>
      <c r="AG112" s="185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 t="str">
        <f>" " &amp; TEXT(AF112,"#0.00%") &amp; " "</f>
        <v xml:space="preserve"> 3.26% </v>
      </c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 t="str">
        <f>"  " &amp; "상온,고온 Aging + PPC,충방전" &amp; " " &amp; IF(Q112="","",TEXT(Q112,"M/D-")) &amp; IF(R112="","",TEXT(R112,"M/D")) &amp; " "</f>
        <v xml:space="preserve">  상온,고온 Aging + PPC,충방전 7/20-12/5 </v>
      </c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</row>
    <row r="113" spans="1:93" ht="15" customHeight="1" outlineLevel="4" x14ac:dyDescent="0.4">
      <c r="A113" s="172"/>
      <c r="B113" s="172"/>
      <c r="C113" s="172">
        <v>5</v>
      </c>
      <c r="D113" s="173" t="s">
        <v>2043</v>
      </c>
      <c r="E113" s="174"/>
      <c r="F113" s="174"/>
      <c r="G113" s="174"/>
      <c r="H113" s="174"/>
      <c r="I113" s="174" t="s">
        <v>1983</v>
      </c>
      <c r="J113" s="174"/>
      <c r="K113" s="174"/>
      <c r="L113" s="174"/>
      <c r="M113" s="174"/>
      <c r="N113" s="174"/>
      <c r="O113" s="175" t="s">
        <v>1941</v>
      </c>
      <c r="P113" s="175" t="s">
        <v>1888</v>
      </c>
      <c r="Q113" s="179">
        <v>44762</v>
      </c>
      <c r="R113" s="179">
        <v>44803</v>
      </c>
      <c r="S113" s="177">
        <f>R113-Q113</f>
        <v>41</v>
      </c>
      <c r="T113" s="178">
        <v>84</v>
      </c>
      <c r="U113" s="178">
        <v>16</v>
      </c>
      <c r="V113" s="178">
        <v>42</v>
      </c>
      <c r="W113" s="178">
        <v>8</v>
      </c>
      <c r="X113" s="179"/>
      <c r="Y113" s="179"/>
      <c r="Z113" s="180"/>
      <c r="AA113" s="181">
        <v>0</v>
      </c>
      <c r="AB113" s="178">
        <v>2</v>
      </c>
      <c r="AC113" s="177"/>
      <c r="AD113" s="182"/>
      <c r="AE113" s="183">
        <v>0.19047619047619047</v>
      </c>
      <c r="AF113" s="188">
        <v>0.1429</v>
      </c>
      <c r="AG113" s="185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 t="str">
        <f>"  " &amp; TEXT(AF113,"#0.00%") &amp; " "</f>
        <v xml:space="preserve">  14.29% </v>
      </c>
      <c r="AS113" s="186"/>
      <c r="AT113" s="186"/>
      <c r="AU113" s="186"/>
      <c r="AV113" s="186"/>
      <c r="AW113" s="186" t="str">
        <f>"   " &amp; "장납기 구매품 발주 및 입고" &amp; " " &amp; IF(Q113="","",TEXT(Q113,"M/D-")) &amp; IF(R113="","",TEXT(R113,"M/D")) &amp; " "</f>
        <v xml:space="preserve">   장납기 구매품 발주 및 입고 7/20-8/30 </v>
      </c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</row>
    <row r="114" spans="1:93" ht="15" customHeight="1" outlineLevel="4" x14ac:dyDescent="0.4">
      <c r="A114" s="172"/>
      <c r="B114" s="172"/>
      <c r="C114" s="172">
        <v>5</v>
      </c>
      <c r="D114" s="173" t="s">
        <v>2044</v>
      </c>
      <c r="E114" s="174"/>
      <c r="F114" s="174"/>
      <c r="G114" s="174"/>
      <c r="H114" s="174"/>
      <c r="I114" s="174" t="s">
        <v>2000</v>
      </c>
      <c r="J114" s="174"/>
      <c r="K114" s="174"/>
      <c r="L114" s="174"/>
      <c r="M114" s="174"/>
      <c r="N114" s="174"/>
      <c r="O114" s="175" t="s">
        <v>1941</v>
      </c>
      <c r="P114" s="175" t="s">
        <v>1888</v>
      </c>
      <c r="Q114" s="179">
        <v>44805</v>
      </c>
      <c r="R114" s="179">
        <v>44866</v>
      </c>
      <c r="S114" s="177">
        <f>R114-Q114</f>
        <v>61</v>
      </c>
      <c r="T114" s="178">
        <v>124</v>
      </c>
      <c r="U114" s="178">
        <v>0</v>
      </c>
      <c r="V114" s="178">
        <v>62</v>
      </c>
      <c r="W114" s="178">
        <v>0</v>
      </c>
      <c r="X114" s="179"/>
      <c r="Y114" s="179"/>
      <c r="Z114" s="180"/>
      <c r="AA114" s="181">
        <v>0</v>
      </c>
      <c r="AB114" s="178">
        <v>2</v>
      </c>
      <c r="AC114" s="177"/>
      <c r="AD114" s="182"/>
      <c r="AE114" s="183">
        <v>0</v>
      </c>
      <c r="AF114" s="195">
        <v>0</v>
      </c>
      <c r="AG114" s="185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 t="str">
        <f>"    " &amp; TEXT(AF114,"#0.00%") &amp; " "</f>
        <v xml:space="preserve">    0.00% </v>
      </c>
      <c r="AX114" s="186"/>
      <c r="AY114" s="186"/>
      <c r="AZ114" s="186"/>
      <c r="BA114" s="186"/>
      <c r="BB114" s="186"/>
      <c r="BC114" s="186"/>
      <c r="BD114" s="186"/>
      <c r="BE114" s="186"/>
      <c r="BF114" s="186" t="str">
        <f>"   " &amp; "가공품 발주 및 입고" &amp; " " &amp; IF(Q114="","",TEXT(Q114,"M/D-")) &amp; IF(R114="","",TEXT(R114,"M/D")) &amp; " "</f>
        <v xml:space="preserve">   가공품 발주 및 입고 9/1-11/1 </v>
      </c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</row>
    <row r="115" spans="1:93" ht="15" customHeight="1" outlineLevel="4" x14ac:dyDescent="0.4">
      <c r="A115" s="172"/>
      <c r="B115" s="172"/>
      <c r="C115" s="172">
        <v>5</v>
      </c>
      <c r="D115" s="173" t="s">
        <v>2045</v>
      </c>
      <c r="E115" s="174"/>
      <c r="F115" s="174"/>
      <c r="G115" s="174"/>
      <c r="H115" s="174"/>
      <c r="I115" s="174" t="s">
        <v>1987</v>
      </c>
      <c r="J115" s="174"/>
      <c r="K115" s="174"/>
      <c r="L115" s="174"/>
      <c r="M115" s="174"/>
      <c r="N115" s="174"/>
      <c r="O115" s="175" t="s">
        <v>1941</v>
      </c>
      <c r="P115" s="175" t="s">
        <v>1888</v>
      </c>
      <c r="Q115" s="179">
        <v>44854</v>
      </c>
      <c r="R115" s="179">
        <v>44885</v>
      </c>
      <c r="S115" s="177">
        <f>R115-Q115</f>
        <v>31</v>
      </c>
      <c r="T115" s="178">
        <v>128</v>
      </c>
      <c r="U115" s="178">
        <v>0</v>
      </c>
      <c r="V115" s="178">
        <v>32</v>
      </c>
      <c r="W115" s="178">
        <v>0</v>
      </c>
      <c r="X115" s="179"/>
      <c r="Y115" s="179"/>
      <c r="Z115" s="180"/>
      <c r="AA115" s="181">
        <v>0</v>
      </c>
      <c r="AB115" s="178">
        <v>4</v>
      </c>
      <c r="AC115" s="177"/>
      <c r="AD115" s="182"/>
      <c r="AE115" s="183">
        <v>0</v>
      </c>
      <c r="AF115" s="195">
        <v>0</v>
      </c>
      <c r="AG115" s="185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 t="str">
        <f>"    " &amp; TEXT(AF115,"#0.00%") &amp; " "</f>
        <v xml:space="preserve">    0.00% </v>
      </c>
      <c r="BE115" s="186"/>
      <c r="BF115" s="186"/>
      <c r="BG115" s="186"/>
      <c r="BH115" s="186"/>
      <c r="BI115" s="186" t="str">
        <f>" " &amp; "기구조립" &amp; " " &amp; IF(Q115="","",TEXT(Q115,"M/D-")) &amp; IF(R115="","",TEXT(R115,"M/D")) &amp; " "</f>
        <v xml:space="preserve"> 기구조립 10/20-11/20 </v>
      </c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</row>
    <row r="116" spans="1:93" ht="15" customHeight="1" outlineLevel="4" x14ac:dyDescent="0.4">
      <c r="A116" s="172"/>
      <c r="B116" s="172"/>
      <c r="C116" s="172">
        <v>5</v>
      </c>
      <c r="D116" s="173" t="s">
        <v>2046</v>
      </c>
      <c r="E116" s="174"/>
      <c r="F116" s="174"/>
      <c r="G116" s="174"/>
      <c r="H116" s="174"/>
      <c r="I116" s="174" t="s">
        <v>1989</v>
      </c>
      <c r="J116" s="174"/>
      <c r="K116" s="174"/>
      <c r="L116" s="174"/>
      <c r="M116" s="174"/>
      <c r="N116" s="174"/>
      <c r="O116" s="175" t="s">
        <v>1941</v>
      </c>
      <c r="P116" s="175" t="s">
        <v>1888</v>
      </c>
      <c r="Q116" s="179">
        <v>44885</v>
      </c>
      <c r="R116" s="179">
        <v>44900</v>
      </c>
      <c r="S116" s="177">
        <f>R116-Q116</f>
        <v>15</v>
      </c>
      <c r="T116" s="178">
        <v>32</v>
      </c>
      <c r="U116" s="178">
        <v>0</v>
      </c>
      <c r="V116" s="178">
        <v>16</v>
      </c>
      <c r="W116" s="178">
        <v>0</v>
      </c>
      <c r="X116" s="179"/>
      <c r="Y116" s="179"/>
      <c r="Z116" s="180"/>
      <c r="AA116" s="181">
        <v>0</v>
      </c>
      <c r="AB116" s="178">
        <v>2</v>
      </c>
      <c r="AC116" s="177"/>
      <c r="AD116" s="182"/>
      <c r="AE116" s="183">
        <v>0</v>
      </c>
      <c r="AF116" s="195">
        <v>0</v>
      </c>
      <c r="AG116" s="185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 t="str">
        <f>"" &amp; TEXT(AF116,"#0.00%") &amp; " " &amp; "전장조립" &amp; " " &amp; IF(Q116="","",TEXT(Q116,"M/D-")) &amp; IF(R116="","",TEXT(R116,"M/D")) &amp; " "</f>
        <v xml:space="preserve">0.00% 전장조립 11/20-12/5 </v>
      </c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</row>
    <row r="117" spans="1:93" ht="15" customHeight="1" outlineLevel="3" x14ac:dyDescent="0.4">
      <c r="A117" s="172"/>
      <c r="B117" s="172" t="s">
        <v>1879</v>
      </c>
      <c r="C117" s="172">
        <v>4</v>
      </c>
      <c r="D117" s="173" t="s">
        <v>2047</v>
      </c>
      <c r="E117" s="174"/>
      <c r="F117" s="174"/>
      <c r="G117" s="174"/>
      <c r="H117" s="174" t="s">
        <v>2048</v>
      </c>
      <c r="I117" s="174"/>
      <c r="J117" s="174"/>
      <c r="K117" s="174"/>
      <c r="L117" s="174"/>
      <c r="M117" s="174"/>
      <c r="N117" s="174"/>
      <c r="O117" s="175" t="s">
        <v>1941</v>
      </c>
      <c r="P117" s="175" t="s">
        <v>1888</v>
      </c>
      <c r="Q117" s="179">
        <v>44762</v>
      </c>
      <c r="R117" s="179">
        <v>44915</v>
      </c>
      <c r="S117" s="177"/>
      <c r="T117" s="178">
        <v>372</v>
      </c>
      <c r="U117" s="178">
        <v>16</v>
      </c>
      <c r="V117" s="178">
        <v>154</v>
      </c>
      <c r="W117" s="178">
        <v>8</v>
      </c>
      <c r="X117" s="179"/>
      <c r="Y117" s="179"/>
      <c r="Z117" s="180">
        <v>0</v>
      </c>
      <c r="AA117" s="181">
        <v>0</v>
      </c>
      <c r="AB117" s="178"/>
      <c r="AC117" s="177"/>
      <c r="AD117" s="182"/>
      <c r="AE117" s="183">
        <v>4.3010752688172046E-2</v>
      </c>
      <c r="AF117" s="184">
        <v>3.2267741935483873E-2</v>
      </c>
      <c r="AG117" s="185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 t="str">
        <f>" " &amp; TEXT(AF117,"#0.00%") &amp; " "</f>
        <v xml:space="preserve"> 3.23% </v>
      </c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 t="str">
        <f>"   " &amp; "상온,고온 Aging" &amp; " " &amp; IF(Q117="","",TEXT(Q117,"M/D-")) &amp; IF(R117="","",TEXT(R117,"M/D")) &amp; " "</f>
        <v xml:space="preserve">   상온,고온 Aging 7/20-12/20 </v>
      </c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</row>
    <row r="118" spans="1:93" ht="15" customHeight="1" outlineLevel="4" x14ac:dyDescent="0.4">
      <c r="A118" s="172"/>
      <c r="B118" s="172"/>
      <c r="C118" s="172">
        <v>5</v>
      </c>
      <c r="D118" s="173" t="s">
        <v>2049</v>
      </c>
      <c r="E118" s="174"/>
      <c r="F118" s="174"/>
      <c r="G118" s="174"/>
      <c r="H118" s="174"/>
      <c r="I118" s="174" t="s">
        <v>1983</v>
      </c>
      <c r="J118" s="174"/>
      <c r="K118" s="174"/>
      <c r="L118" s="174"/>
      <c r="M118" s="174"/>
      <c r="N118" s="174"/>
      <c r="O118" s="175" t="s">
        <v>1941</v>
      </c>
      <c r="P118" s="175" t="s">
        <v>1888</v>
      </c>
      <c r="Q118" s="179">
        <v>44762</v>
      </c>
      <c r="R118" s="179">
        <v>44803</v>
      </c>
      <c r="S118" s="177">
        <f>R118-Q118</f>
        <v>41</v>
      </c>
      <c r="T118" s="178">
        <v>84</v>
      </c>
      <c r="U118" s="178">
        <v>16</v>
      </c>
      <c r="V118" s="178">
        <v>42</v>
      </c>
      <c r="W118" s="178">
        <v>8</v>
      </c>
      <c r="X118" s="179"/>
      <c r="Y118" s="179"/>
      <c r="Z118" s="180"/>
      <c r="AA118" s="181">
        <v>0</v>
      </c>
      <c r="AB118" s="178">
        <v>2</v>
      </c>
      <c r="AC118" s="177"/>
      <c r="AD118" s="182"/>
      <c r="AE118" s="183">
        <v>0.19047619047619047</v>
      </c>
      <c r="AF118" s="188">
        <v>0.1429</v>
      </c>
      <c r="AG118" s="185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 t="str">
        <f>"  " &amp; TEXT(AF118,"#0.00%") &amp; " "</f>
        <v xml:space="preserve">  14.29% </v>
      </c>
      <c r="AS118" s="186"/>
      <c r="AT118" s="186"/>
      <c r="AU118" s="186"/>
      <c r="AV118" s="186"/>
      <c r="AW118" s="186" t="str">
        <f>"   " &amp; "장납기 구매품 발주 및 입고" &amp; " " &amp; IF(Q118="","",TEXT(Q118,"M/D-")) &amp; IF(R118="","",TEXT(R118,"M/D")) &amp; " "</f>
        <v xml:space="preserve">   장납기 구매품 발주 및 입고 7/20-8/30 </v>
      </c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</row>
    <row r="119" spans="1:93" ht="15" customHeight="1" outlineLevel="4" x14ac:dyDescent="0.4">
      <c r="A119" s="172"/>
      <c r="B119" s="172"/>
      <c r="C119" s="172">
        <v>5</v>
      </c>
      <c r="D119" s="173" t="s">
        <v>2050</v>
      </c>
      <c r="E119" s="174"/>
      <c r="F119" s="174"/>
      <c r="G119" s="174"/>
      <c r="H119" s="174"/>
      <c r="I119" s="174" t="s">
        <v>2000</v>
      </c>
      <c r="J119" s="174"/>
      <c r="K119" s="174"/>
      <c r="L119" s="174"/>
      <c r="M119" s="174"/>
      <c r="N119" s="174"/>
      <c r="O119" s="175" t="s">
        <v>1941</v>
      </c>
      <c r="P119" s="175" t="s">
        <v>1888</v>
      </c>
      <c r="Q119" s="179">
        <v>44805</v>
      </c>
      <c r="R119" s="179">
        <v>44866</v>
      </c>
      <c r="S119" s="177">
        <f>R119-Q119</f>
        <v>61</v>
      </c>
      <c r="T119" s="178">
        <v>124</v>
      </c>
      <c r="U119" s="178">
        <v>0</v>
      </c>
      <c r="V119" s="178">
        <v>62</v>
      </c>
      <c r="W119" s="178">
        <v>0</v>
      </c>
      <c r="X119" s="179"/>
      <c r="Y119" s="179"/>
      <c r="Z119" s="180"/>
      <c r="AA119" s="181">
        <v>0</v>
      </c>
      <c r="AB119" s="178">
        <v>2</v>
      </c>
      <c r="AC119" s="177"/>
      <c r="AD119" s="182"/>
      <c r="AE119" s="183">
        <v>0</v>
      </c>
      <c r="AF119" s="195">
        <v>0</v>
      </c>
      <c r="AG119" s="185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 t="str">
        <f>"    " &amp; TEXT(AF119,"#0.00%") &amp; " "</f>
        <v xml:space="preserve">    0.00% </v>
      </c>
      <c r="AX119" s="186"/>
      <c r="AY119" s="186"/>
      <c r="AZ119" s="186"/>
      <c r="BA119" s="186"/>
      <c r="BB119" s="186"/>
      <c r="BC119" s="186"/>
      <c r="BD119" s="186"/>
      <c r="BE119" s="186"/>
      <c r="BF119" s="186" t="str">
        <f>"   " &amp; "가공품 발주 및 입고" &amp; " " &amp; IF(Q119="","",TEXT(Q119,"M/D-")) &amp; IF(R119="","",TEXT(R119,"M/D")) &amp; " "</f>
        <v xml:space="preserve">   가공품 발주 및 입고 9/1-11/1 </v>
      </c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</row>
    <row r="120" spans="1:93" ht="15" customHeight="1" outlineLevel="4" x14ac:dyDescent="0.4">
      <c r="A120" s="172"/>
      <c r="B120" s="172"/>
      <c r="C120" s="172">
        <v>5</v>
      </c>
      <c r="D120" s="173" t="s">
        <v>2051</v>
      </c>
      <c r="E120" s="174"/>
      <c r="F120" s="174"/>
      <c r="G120" s="174"/>
      <c r="H120" s="174"/>
      <c r="I120" s="174" t="s">
        <v>1987</v>
      </c>
      <c r="J120" s="174"/>
      <c r="K120" s="174"/>
      <c r="L120" s="174"/>
      <c r="M120" s="174"/>
      <c r="N120" s="174"/>
      <c r="O120" s="175" t="s">
        <v>1941</v>
      </c>
      <c r="P120" s="175" t="s">
        <v>1888</v>
      </c>
      <c r="Q120" s="179">
        <v>44866</v>
      </c>
      <c r="R120" s="179">
        <v>44896</v>
      </c>
      <c r="S120" s="177">
        <f>R120-Q120</f>
        <v>30</v>
      </c>
      <c r="T120" s="178">
        <v>124</v>
      </c>
      <c r="U120" s="178">
        <v>0</v>
      </c>
      <c r="V120" s="178">
        <v>31</v>
      </c>
      <c r="W120" s="178">
        <v>0</v>
      </c>
      <c r="X120" s="179"/>
      <c r="Y120" s="179"/>
      <c r="Z120" s="180"/>
      <c r="AA120" s="181">
        <v>0</v>
      </c>
      <c r="AB120" s="178">
        <v>4</v>
      </c>
      <c r="AC120" s="177"/>
      <c r="AD120" s="182"/>
      <c r="AE120" s="183">
        <v>0</v>
      </c>
      <c r="AF120" s="195">
        <v>0</v>
      </c>
      <c r="AG120" s="185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 t="str">
        <f>"  " &amp; TEXT(AF120,"#0.00%") &amp; " "</f>
        <v xml:space="preserve">  0.00% </v>
      </c>
      <c r="BG120" s="186"/>
      <c r="BH120" s="186"/>
      <c r="BI120" s="186"/>
      <c r="BJ120" s="186" t="str">
        <f>"     " &amp; "기구조립" &amp; " " &amp; IF(Q120="","",TEXT(Q120,"M/D-")) &amp; IF(R120="","",TEXT(R120,"M/D")) &amp; " "</f>
        <v xml:space="preserve">     기구조립 11/1-12/1 </v>
      </c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</row>
    <row r="121" spans="1:93" ht="15" customHeight="1" outlineLevel="4" x14ac:dyDescent="0.4">
      <c r="A121" s="172"/>
      <c r="B121" s="172"/>
      <c r="C121" s="172">
        <v>5</v>
      </c>
      <c r="D121" s="173" t="s">
        <v>2052</v>
      </c>
      <c r="E121" s="174"/>
      <c r="F121" s="174"/>
      <c r="G121" s="174"/>
      <c r="H121" s="174"/>
      <c r="I121" s="174" t="s">
        <v>1989</v>
      </c>
      <c r="J121" s="174"/>
      <c r="K121" s="174"/>
      <c r="L121" s="174"/>
      <c r="M121" s="174"/>
      <c r="N121" s="174"/>
      <c r="O121" s="175" t="s">
        <v>1941</v>
      </c>
      <c r="P121" s="175" t="s">
        <v>1888</v>
      </c>
      <c r="Q121" s="179">
        <v>44896</v>
      </c>
      <c r="R121" s="179">
        <v>44915</v>
      </c>
      <c r="S121" s="177">
        <f>R121-Q121</f>
        <v>19</v>
      </c>
      <c r="T121" s="178">
        <v>40</v>
      </c>
      <c r="U121" s="178">
        <v>0</v>
      </c>
      <c r="V121" s="178">
        <v>20</v>
      </c>
      <c r="W121" s="178">
        <v>0</v>
      </c>
      <c r="X121" s="179"/>
      <c r="Y121" s="179"/>
      <c r="Z121" s="180"/>
      <c r="AA121" s="181">
        <v>0</v>
      </c>
      <c r="AB121" s="178">
        <v>2</v>
      </c>
      <c r="AC121" s="177"/>
      <c r="AD121" s="182"/>
      <c r="AE121" s="183">
        <v>0</v>
      </c>
      <c r="AF121" s="195">
        <v>0</v>
      </c>
      <c r="AG121" s="185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 t="str">
        <f>"    " &amp; TEXT(AF121,"#0.00%") &amp; " " &amp; "전장조립" &amp; " " &amp; IF(Q121="","",TEXT(Q121,"M/D-")) &amp; IF(R121="","",TEXT(R121,"M/D")) &amp; " "</f>
        <v xml:space="preserve">    0.00% 전장조립 12/1-12/20 </v>
      </c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</row>
    <row r="122" spans="1:93" ht="15" customHeight="1" x14ac:dyDescent="0.4">
      <c r="A122" s="172"/>
      <c r="B122" s="172" t="s">
        <v>1879</v>
      </c>
      <c r="C122" s="172">
        <v>1</v>
      </c>
      <c r="D122" s="173" t="s">
        <v>2053</v>
      </c>
      <c r="E122" s="174" t="s">
        <v>2054</v>
      </c>
      <c r="F122" s="174"/>
      <c r="G122" s="174"/>
      <c r="H122" s="174"/>
      <c r="I122" s="174"/>
      <c r="J122" s="174"/>
      <c r="K122" s="174"/>
      <c r="L122" s="174"/>
      <c r="M122" s="174"/>
      <c r="N122" s="174"/>
      <c r="O122" s="175"/>
      <c r="P122" s="175"/>
      <c r="Q122" s="179">
        <v>44840</v>
      </c>
      <c r="R122" s="179">
        <v>44915</v>
      </c>
      <c r="S122" s="177"/>
      <c r="T122" s="178">
        <v>140</v>
      </c>
      <c r="U122" s="178">
        <v>0</v>
      </c>
      <c r="V122" s="178">
        <v>76</v>
      </c>
      <c r="W122" s="178">
        <v>0</v>
      </c>
      <c r="X122" s="179"/>
      <c r="Y122" s="179"/>
      <c r="Z122" s="180">
        <v>0</v>
      </c>
      <c r="AA122" s="181">
        <v>0</v>
      </c>
      <c r="AB122" s="178"/>
      <c r="AC122" s="177"/>
      <c r="AD122" s="182"/>
      <c r="AE122" s="183">
        <v>0</v>
      </c>
      <c r="AF122" s="207">
        <v>0</v>
      </c>
      <c r="AG122" s="185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 t="str">
        <f>"    " &amp; TEXT(AF122,"#0.00%") &amp; " "</f>
        <v xml:space="preserve">    0.00% </v>
      </c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 t="str">
        <f>"   " &amp; "FAT" &amp; " " &amp; IF(Q122="","",TEXT(Q122,"M/D-")) &amp; IF(R122="","",TEXT(R122,"M/D")) &amp; " "</f>
        <v xml:space="preserve">   FAT 10/6-12/20 </v>
      </c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</row>
    <row r="123" spans="1:93" ht="15" customHeight="1" outlineLevel="1" x14ac:dyDescent="0.4">
      <c r="A123" s="172"/>
      <c r="B123" s="172" t="s">
        <v>1879</v>
      </c>
      <c r="C123" s="172">
        <v>2</v>
      </c>
      <c r="D123" s="173" t="s">
        <v>2055</v>
      </c>
      <c r="E123" s="174"/>
      <c r="F123" s="174" t="s">
        <v>1883</v>
      </c>
      <c r="G123" s="174"/>
      <c r="H123" s="174"/>
      <c r="I123" s="174"/>
      <c r="J123" s="174"/>
      <c r="K123" s="174"/>
      <c r="L123" s="174"/>
      <c r="M123" s="174"/>
      <c r="N123" s="174"/>
      <c r="O123" s="175"/>
      <c r="P123" s="175"/>
      <c r="Q123" s="179">
        <v>44840</v>
      </c>
      <c r="R123" s="179">
        <v>44915</v>
      </c>
      <c r="S123" s="177"/>
      <c r="T123" s="178">
        <v>140</v>
      </c>
      <c r="U123" s="178">
        <v>0</v>
      </c>
      <c r="V123" s="178">
        <v>76</v>
      </c>
      <c r="W123" s="178">
        <v>0</v>
      </c>
      <c r="X123" s="179"/>
      <c r="Y123" s="179"/>
      <c r="Z123" s="180">
        <v>0</v>
      </c>
      <c r="AA123" s="181">
        <v>0</v>
      </c>
      <c r="AB123" s="178"/>
      <c r="AC123" s="177"/>
      <c r="AD123" s="182"/>
      <c r="AE123" s="183">
        <v>0</v>
      </c>
      <c r="AF123" s="207">
        <v>0</v>
      </c>
      <c r="AG123" s="185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 t="str">
        <f>"    " &amp; TEXT(AF123,"#0.00%") &amp; " "</f>
        <v xml:space="preserve">    0.00% </v>
      </c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 t="str">
        <f>"   " &amp; "SKOH2" &amp; " " &amp; IF(Q123="","",TEXT(Q123,"M/D-")) &amp; IF(R123="","",TEXT(R123,"M/D")) &amp; " "</f>
        <v xml:space="preserve">   SKOH2 10/6-12/20 </v>
      </c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</row>
    <row r="124" spans="1:93" ht="15" customHeight="1" outlineLevel="2" x14ac:dyDescent="0.4">
      <c r="A124" s="172"/>
      <c r="B124" s="172" t="s">
        <v>1879</v>
      </c>
      <c r="C124" s="172">
        <v>3</v>
      </c>
      <c r="D124" s="173" t="s">
        <v>2056</v>
      </c>
      <c r="E124" s="174"/>
      <c r="F124" s="174"/>
      <c r="G124" s="208" t="s">
        <v>1887</v>
      </c>
      <c r="H124" s="174"/>
      <c r="I124" s="174"/>
      <c r="J124" s="174"/>
      <c r="K124" s="174"/>
      <c r="L124" s="174"/>
      <c r="M124" s="174"/>
      <c r="N124" s="174"/>
      <c r="O124" s="191" t="s">
        <v>1888</v>
      </c>
      <c r="P124" s="191"/>
      <c r="Q124" s="179">
        <v>44844</v>
      </c>
      <c r="R124" s="179">
        <v>44854</v>
      </c>
      <c r="S124" s="177"/>
      <c r="T124" s="178">
        <v>11</v>
      </c>
      <c r="U124" s="178">
        <v>0</v>
      </c>
      <c r="V124" s="178">
        <v>11</v>
      </c>
      <c r="W124" s="178">
        <v>0</v>
      </c>
      <c r="X124" s="179"/>
      <c r="Y124" s="179"/>
      <c r="Z124" s="180">
        <v>0</v>
      </c>
      <c r="AA124" s="181">
        <v>0</v>
      </c>
      <c r="AB124" s="178"/>
      <c r="AC124" s="192"/>
      <c r="AD124" s="182"/>
      <c r="AE124" s="183">
        <v>0</v>
      </c>
      <c r="AF124" s="207">
        <v>0</v>
      </c>
      <c r="AG124" s="185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 t="str">
        <f>" " &amp; TEXT(AF124,"#0.00%") &amp; " " &amp; "Rack" &amp; " " &amp; IF(Q124="","",TEXT(Q124,"M/D-")) &amp; IF(R124="","",TEXT(R124,"M/D")) &amp; " "</f>
        <v xml:space="preserve"> 0.00% Rack 10/10-10/20 </v>
      </c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</row>
    <row r="125" spans="1:93" ht="15" customHeight="1" outlineLevel="3" x14ac:dyDescent="0.4">
      <c r="A125" s="172"/>
      <c r="B125" s="172" t="s">
        <v>1879</v>
      </c>
      <c r="C125" s="172">
        <v>4</v>
      </c>
      <c r="D125" s="173" t="s">
        <v>2057</v>
      </c>
      <c r="E125" s="174"/>
      <c r="F125" s="174"/>
      <c r="G125" s="174"/>
      <c r="H125" s="174" t="s">
        <v>2058</v>
      </c>
      <c r="I125" s="174"/>
      <c r="J125" s="174"/>
      <c r="K125" s="174"/>
      <c r="L125" s="174"/>
      <c r="M125" s="174"/>
      <c r="N125" s="174"/>
      <c r="O125" s="191" t="s">
        <v>1888</v>
      </c>
      <c r="P125" s="191" t="s">
        <v>1893</v>
      </c>
      <c r="Q125" s="179">
        <v>44844</v>
      </c>
      <c r="R125" s="179">
        <v>44854</v>
      </c>
      <c r="S125" s="177"/>
      <c r="T125" s="178">
        <v>11</v>
      </c>
      <c r="U125" s="178">
        <v>0</v>
      </c>
      <c r="V125" s="178">
        <v>11</v>
      </c>
      <c r="W125" s="178">
        <v>0</v>
      </c>
      <c r="X125" s="179"/>
      <c r="Y125" s="179"/>
      <c r="Z125" s="180">
        <v>0</v>
      </c>
      <c r="AA125" s="181">
        <v>0</v>
      </c>
      <c r="AB125" s="178"/>
      <c r="AC125" s="192"/>
      <c r="AD125" s="182"/>
      <c r="AE125" s="183">
        <v>0</v>
      </c>
      <c r="AF125" s="207">
        <v>0</v>
      </c>
      <c r="AG125" s="185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 t="str">
        <f>" " &amp; TEXT(AF125,"#0.00%") &amp; " " &amp; "RACK &amp; DECK" &amp; " " &amp; IF(Q125="","",TEXT(Q125,"M/D-")) &amp; IF(R125="","",TEXT(R125,"M/D")) &amp; " "</f>
        <v xml:space="preserve"> 0.00% RACK &amp; DECK 10/10-10/20 </v>
      </c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</row>
    <row r="126" spans="1:93" ht="15" customHeight="1" outlineLevel="4" x14ac:dyDescent="0.4">
      <c r="A126" s="172"/>
      <c r="B126" s="172"/>
      <c r="C126" s="172">
        <v>5</v>
      </c>
      <c r="D126" s="173" t="s">
        <v>2059</v>
      </c>
      <c r="E126" s="174"/>
      <c r="F126" s="174"/>
      <c r="G126" s="174"/>
      <c r="H126" s="174"/>
      <c r="I126" s="174" t="s">
        <v>2054</v>
      </c>
      <c r="J126" s="174"/>
      <c r="K126" s="174"/>
      <c r="L126" s="174"/>
      <c r="M126" s="174"/>
      <c r="N126" s="174"/>
      <c r="O126" s="191" t="s">
        <v>1888</v>
      </c>
      <c r="P126" s="191" t="s">
        <v>1893</v>
      </c>
      <c r="Q126" s="179">
        <v>44844</v>
      </c>
      <c r="R126" s="179">
        <v>44854</v>
      </c>
      <c r="S126" s="177">
        <f>R126-Q126</f>
        <v>10</v>
      </c>
      <c r="T126" s="178">
        <v>11</v>
      </c>
      <c r="U126" s="178">
        <v>0</v>
      </c>
      <c r="V126" s="178">
        <v>11</v>
      </c>
      <c r="W126" s="178">
        <v>0</v>
      </c>
      <c r="X126" s="179"/>
      <c r="Y126" s="179"/>
      <c r="Z126" s="180"/>
      <c r="AA126" s="181">
        <v>0</v>
      </c>
      <c r="AB126" s="178">
        <v>1</v>
      </c>
      <c r="AC126" s="192"/>
      <c r="AD126" s="182"/>
      <c r="AE126" s="183">
        <v>0</v>
      </c>
      <c r="AF126" s="195">
        <v>0</v>
      </c>
      <c r="AG126" s="185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 t="str">
        <f>" " &amp; TEXT(AF126,"#0.00%") &amp; " " &amp; "FAT" &amp; " " &amp; IF(Q126="","",TEXT(Q126,"M/D-")) &amp; IF(R126="","",TEXT(R126,"M/D")) &amp; " "</f>
        <v xml:space="preserve"> 0.00% FAT 10/10-10/20 </v>
      </c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</row>
    <row r="127" spans="1:93" ht="15" customHeight="1" outlineLevel="2" x14ac:dyDescent="0.4">
      <c r="A127" s="172"/>
      <c r="B127" s="172" t="s">
        <v>1879</v>
      </c>
      <c r="C127" s="172">
        <v>3</v>
      </c>
      <c r="D127" s="173" t="s">
        <v>2060</v>
      </c>
      <c r="E127" s="174"/>
      <c r="F127" s="174"/>
      <c r="G127" s="174" t="s">
        <v>1899</v>
      </c>
      <c r="H127" s="174"/>
      <c r="I127" s="174"/>
      <c r="J127" s="174"/>
      <c r="K127" s="174"/>
      <c r="L127" s="174"/>
      <c r="M127" s="174"/>
      <c r="N127" s="174"/>
      <c r="O127" s="191" t="s">
        <v>1900</v>
      </c>
      <c r="P127" s="191"/>
      <c r="Q127" s="179">
        <v>44894</v>
      </c>
      <c r="R127" s="179">
        <v>44915</v>
      </c>
      <c r="S127" s="177"/>
      <c r="T127" s="178">
        <v>33</v>
      </c>
      <c r="U127" s="178">
        <v>0</v>
      </c>
      <c r="V127" s="178">
        <v>22</v>
      </c>
      <c r="W127" s="178">
        <v>0</v>
      </c>
      <c r="X127" s="179"/>
      <c r="Y127" s="179"/>
      <c r="Z127" s="180">
        <v>0</v>
      </c>
      <c r="AA127" s="181">
        <v>0</v>
      </c>
      <c r="AB127" s="178"/>
      <c r="AC127" s="192"/>
      <c r="AD127" s="182"/>
      <c r="AE127" s="183">
        <v>0</v>
      </c>
      <c r="AF127" s="207">
        <v>0</v>
      </c>
      <c r="AG127" s="185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 t="str">
        <f>"  " &amp; TEXT(AF127,"#0.00%") &amp; " "</f>
        <v xml:space="preserve">  0.00% </v>
      </c>
      <c r="BK127" s="186"/>
      <c r="BL127" s="186"/>
      <c r="BM127" s="186" t="str">
        <f>"   " &amp; "MSC Crane" &amp; " " &amp; IF(Q127="","",TEXT(Q127,"M/D-")) &amp; IF(R127="","",TEXT(R127,"M/D")) &amp; " "</f>
        <v xml:space="preserve">   MSC Crane 11/29-12/20 </v>
      </c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</row>
    <row r="128" spans="1:93" ht="15" customHeight="1" outlineLevel="3" x14ac:dyDescent="0.4">
      <c r="A128" s="172"/>
      <c r="B128" s="172" t="s">
        <v>1879</v>
      </c>
      <c r="C128" s="172">
        <v>4</v>
      </c>
      <c r="D128" s="173" t="s">
        <v>2061</v>
      </c>
      <c r="E128" s="174"/>
      <c r="F128" s="174"/>
      <c r="G128" s="174"/>
      <c r="H128" s="174" t="s">
        <v>2062</v>
      </c>
      <c r="I128" s="174"/>
      <c r="J128" s="174"/>
      <c r="K128" s="174"/>
      <c r="L128" s="174"/>
      <c r="M128" s="174"/>
      <c r="N128" s="174"/>
      <c r="O128" s="191" t="s">
        <v>1900</v>
      </c>
      <c r="P128" s="191" t="s">
        <v>1893</v>
      </c>
      <c r="Q128" s="179">
        <v>44894</v>
      </c>
      <c r="R128" s="179">
        <v>44915</v>
      </c>
      <c r="S128" s="177"/>
      <c r="T128" s="178">
        <v>33</v>
      </c>
      <c r="U128" s="178">
        <v>0</v>
      </c>
      <c r="V128" s="178">
        <v>22</v>
      </c>
      <c r="W128" s="178">
        <v>0</v>
      </c>
      <c r="X128" s="179"/>
      <c r="Y128" s="179"/>
      <c r="Z128" s="180">
        <v>0</v>
      </c>
      <c r="AA128" s="181">
        <v>0</v>
      </c>
      <c r="AB128" s="178"/>
      <c r="AC128" s="192"/>
      <c r="AD128" s="182"/>
      <c r="AE128" s="183">
        <v>0</v>
      </c>
      <c r="AF128" s="207">
        <v>0</v>
      </c>
      <c r="AG128" s="185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 t="str">
        <f>"  " &amp; TEXT(AF128,"#0.00%") &amp; " "</f>
        <v xml:space="preserve">  0.00% </v>
      </c>
      <c r="BK128" s="186"/>
      <c r="BL128" s="186"/>
      <c r="BM128" s="186" t="str">
        <f>"   " &amp; "상온+고온Aging+PPC+충방전" &amp; " " &amp; IF(Q128="","",TEXT(Q128,"M/D-")) &amp; IF(R128="","",TEXT(R128,"M/D")) &amp; " "</f>
        <v xml:space="preserve">   상온+고온Aging+PPC+충방전 11/29-12/20 </v>
      </c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</row>
    <row r="129" spans="1:93" ht="15" customHeight="1" outlineLevel="4" x14ac:dyDescent="0.4">
      <c r="A129" s="172"/>
      <c r="B129" s="172"/>
      <c r="C129" s="172">
        <v>5</v>
      </c>
      <c r="D129" s="173" t="s">
        <v>2063</v>
      </c>
      <c r="E129" s="174"/>
      <c r="F129" s="174"/>
      <c r="G129" s="174"/>
      <c r="H129" s="174"/>
      <c r="I129" s="174" t="s">
        <v>2064</v>
      </c>
      <c r="J129" s="174"/>
      <c r="K129" s="174"/>
      <c r="L129" s="174"/>
      <c r="M129" s="174"/>
      <c r="N129" s="174"/>
      <c r="O129" s="191" t="s">
        <v>1900</v>
      </c>
      <c r="P129" s="191" t="s">
        <v>1893</v>
      </c>
      <c r="Q129" s="179">
        <v>44894</v>
      </c>
      <c r="R129" s="179">
        <v>44915</v>
      </c>
      <c r="S129" s="177">
        <f>R129-Q129</f>
        <v>21</v>
      </c>
      <c r="T129" s="178">
        <v>22</v>
      </c>
      <c r="U129" s="178">
        <v>0</v>
      </c>
      <c r="V129" s="178">
        <v>22</v>
      </c>
      <c r="W129" s="178">
        <v>0</v>
      </c>
      <c r="X129" s="179"/>
      <c r="Y129" s="179"/>
      <c r="Z129" s="180"/>
      <c r="AA129" s="181">
        <v>0</v>
      </c>
      <c r="AB129" s="178">
        <v>1</v>
      </c>
      <c r="AC129" s="192"/>
      <c r="AD129" s="182"/>
      <c r="AE129" s="183">
        <v>0</v>
      </c>
      <c r="AF129" s="195">
        <v>0</v>
      </c>
      <c r="AG129" s="185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 t="str">
        <f>"  " &amp; TEXT(AF129,"#0.00%") &amp; " "</f>
        <v xml:space="preserve">  0.00% </v>
      </c>
      <c r="BK129" s="186"/>
      <c r="BL129" s="186"/>
      <c r="BM129" s="186" t="str">
        <f>"   " &amp; "단동TEST" &amp; " " &amp; IF(Q129="","",TEXT(Q129,"M/D-")) &amp; IF(R129="","",TEXT(R129,"M/D")) &amp; " "</f>
        <v xml:space="preserve">   단동TEST 11/29-12/20 </v>
      </c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  <c r="CG129" s="186"/>
      <c r="CH129" s="186"/>
      <c r="CI129" s="186"/>
      <c r="CJ129" s="186"/>
      <c r="CK129" s="186"/>
      <c r="CL129" s="186"/>
      <c r="CM129" s="186"/>
      <c r="CN129" s="186"/>
      <c r="CO129" s="186"/>
    </row>
    <row r="130" spans="1:93" ht="15" customHeight="1" outlineLevel="4" x14ac:dyDescent="0.4">
      <c r="A130" s="172"/>
      <c r="B130" s="172"/>
      <c r="C130" s="172">
        <v>5</v>
      </c>
      <c r="D130" s="173" t="s">
        <v>2065</v>
      </c>
      <c r="E130" s="174"/>
      <c r="F130" s="174"/>
      <c r="G130" s="174"/>
      <c r="H130" s="174"/>
      <c r="I130" s="174" t="s">
        <v>2054</v>
      </c>
      <c r="J130" s="174"/>
      <c r="K130" s="174"/>
      <c r="L130" s="174"/>
      <c r="M130" s="174"/>
      <c r="N130" s="174"/>
      <c r="O130" s="191" t="s">
        <v>1900</v>
      </c>
      <c r="P130" s="191" t="s">
        <v>1893</v>
      </c>
      <c r="Q130" s="179">
        <v>44905</v>
      </c>
      <c r="R130" s="179">
        <v>44915</v>
      </c>
      <c r="S130" s="177">
        <f>R130-Q130</f>
        <v>10</v>
      </c>
      <c r="T130" s="178">
        <v>11</v>
      </c>
      <c r="U130" s="178">
        <v>0</v>
      </c>
      <c r="V130" s="178">
        <v>11</v>
      </c>
      <c r="W130" s="178">
        <v>0</v>
      </c>
      <c r="X130" s="179"/>
      <c r="Y130" s="179"/>
      <c r="Z130" s="180"/>
      <c r="AA130" s="181">
        <v>0</v>
      </c>
      <c r="AB130" s="178">
        <v>1</v>
      </c>
      <c r="AC130" s="192"/>
      <c r="AD130" s="182"/>
      <c r="AE130" s="183">
        <v>0</v>
      </c>
      <c r="AF130" s="195">
        <v>0</v>
      </c>
      <c r="AG130" s="185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 t="str">
        <f>"      " &amp; TEXT(AF130,"#0.00%") &amp; " " &amp; "FAT" &amp; " " &amp; IF(Q130="","",TEXT(Q130,"M/D-")) &amp; IF(R130="","",TEXT(R130,"M/D")) &amp; " "</f>
        <v xml:space="preserve">      0.00% FAT 12/10-12/20 </v>
      </c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86"/>
      <c r="CM130" s="186"/>
      <c r="CN130" s="186"/>
      <c r="CO130" s="186"/>
    </row>
    <row r="131" spans="1:93" ht="15" customHeight="1" outlineLevel="2" x14ac:dyDescent="0.4">
      <c r="A131" s="172"/>
      <c r="B131" s="172" t="s">
        <v>1879</v>
      </c>
      <c r="C131" s="172">
        <v>3</v>
      </c>
      <c r="D131" s="173" t="s">
        <v>2066</v>
      </c>
      <c r="E131" s="174"/>
      <c r="F131" s="174"/>
      <c r="G131" s="193" t="s">
        <v>1922</v>
      </c>
      <c r="H131" s="174"/>
      <c r="I131" s="174"/>
      <c r="J131" s="174"/>
      <c r="K131" s="174"/>
      <c r="L131" s="174"/>
      <c r="M131" s="174"/>
      <c r="N131" s="174"/>
      <c r="O131" s="175" t="s">
        <v>1923</v>
      </c>
      <c r="P131" s="175"/>
      <c r="Q131" s="179">
        <v>44844</v>
      </c>
      <c r="R131" s="179">
        <v>44870</v>
      </c>
      <c r="S131" s="177"/>
      <c r="T131" s="178">
        <v>28</v>
      </c>
      <c r="U131" s="178">
        <v>0</v>
      </c>
      <c r="V131" s="178">
        <v>27</v>
      </c>
      <c r="W131" s="178">
        <v>0</v>
      </c>
      <c r="X131" s="179"/>
      <c r="Y131" s="179"/>
      <c r="Z131" s="180">
        <v>0</v>
      </c>
      <c r="AA131" s="181">
        <v>0</v>
      </c>
      <c r="AB131" s="178"/>
      <c r="AC131" s="177"/>
      <c r="AD131" s="182"/>
      <c r="AE131" s="183">
        <v>0</v>
      </c>
      <c r="AF131" s="207">
        <v>0</v>
      </c>
      <c r="AG131" s="185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 t="str">
        <f>" " &amp; TEXT(AF131,"#0.00%") &amp; " "</f>
        <v xml:space="preserve"> 0.00% </v>
      </c>
      <c r="BD131" s="186"/>
      <c r="BE131" s="186"/>
      <c r="BF131" s="186"/>
      <c r="BG131" s="186" t="str">
        <f>"" &amp; "환적 이재기" &amp; " " &amp; IF(Q131="","",TEXT(Q131,"M/D-")) &amp; IF(R131="","",TEXT(R131,"M/D")) &amp; " "</f>
        <v xml:space="preserve">환적 이재기 10/10-11/5 </v>
      </c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</row>
    <row r="132" spans="1:93" ht="15" customHeight="1" outlineLevel="3" x14ac:dyDescent="0.4">
      <c r="A132" s="172"/>
      <c r="B132" s="172" t="s">
        <v>1879</v>
      </c>
      <c r="C132" s="172">
        <v>4</v>
      </c>
      <c r="D132" s="173" t="s">
        <v>2067</v>
      </c>
      <c r="E132" s="174"/>
      <c r="F132" s="174"/>
      <c r="G132" s="174"/>
      <c r="H132" s="174" t="s">
        <v>1926</v>
      </c>
      <c r="I132" s="174"/>
      <c r="J132" s="174"/>
      <c r="K132" s="174"/>
      <c r="L132" s="174"/>
      <c r="M132" s="174"/>
      <c r="N132" s="174"/>
      <c r="O132" s="175" t="s">
        <v>1923</v>
      </c>
      <c r="P132" s="175" t="s">
        <v>1916</v>
      </c>
      <c r="Q132" s="179">
        <v>44844</v>
      </c>
      <c r="R132" s="179">
        <v>44870</v>
      </c>
      <c r="S132" s="177"/>
      <c r="T132" s="178">
        <v>28</v>
      </c>
      <c r="U132" s="178">
        <v>0</v>
      </c>
      <c r="V132" s="178">
        <v>27</v>
      </c>
      <c r="W132" s="178">
        <v>0</v>
      </c>
      <c r="X132" s="179"/>
      <c r="Y132" s="179"/>
      <c r="Z132" s="180">
        <v>0</v>
      </c>
      <c r="AA132" s="181">
        <v>0</v>
      </c>
      <c r="AB132" s="178"/>
      <c r="AC132" s="177"/>
      <c r="AD132" s="182"/>
      <c r="AE132" s="183">
        <v>0</v>
      </c>
      <c r="AF132" s="207">
        <v>0</v>
      </c>
      <c r="AG132" s="185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 t="str">
        <f>" " &amp; TEXT(AF132,"#0.00%") &amp; " "</f>
        <v xml:space="preserve"> 0.00% </v>
      </c>
      <c r="BD132" s="186"/>
      <c r="BE132" s="186"/>
      <c r="BF132" s="186"/>
      <c r="BG132" s="186" t="str">
        <f>"" &amp; "Cell 환적 이재기" &amp; " " &amp; IF(Q132="","",TEXT(Q132,"M/D-")) &amp; IF(R132="","",TEXT(R132,"M/D")) &amp; " "</f>
        <v xml:space="preserve">Cell 환적 이재기 10/10-11/5 </v>
      </c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</row>
    <row r="133" spans="1:93" ht="15" customHeight="1" outlineLevel="4" x14ac:dyDescent="0.4">
      <c r="A133" s="172"/>
      <c r="B133" s="172"/>
      <c r="C133" s="172">
        <v>5</v>
      </c>
      <c r="D133" s="173" t="s">
        <v>2068</v>
      </c>
      <c r="E133" s="174"/>
      <c r="F133" s="174"/>
      <c r="G133" s="174"/>
      <c r="H133" s="174"/>
      <c r="I133" s="174" t="s">
        <v>2064</v>
      </c>
      <c r="J133" s="174"/>
      <c r="K133" s="174"/>
      <c r="L133" s="174"/>
      <c r="M133" s="174"/>
      <c r="N133" s="174"/>
      <c r="O133" s="175" t="s">
        <v>1923</v>
      </c>
      <c r="P133" s="175" t="s">
        <v>1916</v>
      </c>
      <c r="Q133" s="179">
        <v>44844</v>
      </c>
      <c r="R133" s="179">
        <v>44860</v>
      </c>
      <c r="S133" s="177">
        <f>R133-Q133</f>
        <v>16</v>
      </c>
      <c r="T133" s="178">
        <v>17</v>
      </c>
      <c r="U133" s="178">
        <v>0</v>
      </c>
      <c r="V133" s="178">
        <v>17</v>
      </c>
      <c r="W133" s="178">
        <v>0</v>
      </c>
      <c r="X133" s="179"/>
      <c r="Y133" s="179"/>
      <c r="Z133" s="180"/>
      <c r="AA133" s="181">
        <v>0</v>
      </c>
      <c r="AB133" s="178">
        <v>1</v>
      </c>
      <c r="AC133" s="177"/>
      <c r="AD133" s="182"/>
      <c r="AE133" s="183">
        <v>0</v>
      </c>
      <c r="AF133" s="195">
        <v>0</v>
      </c>
      <c r="AG133" s="185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 t="str">
        <f>" " &amp; TEXT(AF133,"#0.00%") &amp; " " &amp; "단동TEST" &amp; " " &amp; IF(Q133="","",TEXT(Q133,"M/D-")) &amp; IF(R133="","",TEXT(R133,"M/D")) &amp; " "</f>
        <v xml:space="preserve"> 0.00% 단동TEST 10/10-10/26 </v>
      </c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</row>
    <row r="134" spans="1:93" ht="15" customHeight="1" outlineLevel="4" x14ac:dyDescent="0.4">
      <c r="A134" s="172"/>
      <c r="B134" s="172"/>
      <c r="C134" s="172">
        <v>5</v>
      </c>
      <c r="D134" s="173" t="s">
        <v>2069</v>
      </c>
      <c r="E134" s="174"/>
      <c r="F134" s="174"/>
      <c r="G134" s="174"/>
      <c r="H134" s="174"/>
      <c r="I134" s="174" t="s">
        <v>2054</v>
      </c>
      <c r="J134" s="174"/>
      <c r="K134" s="174"/>
      <c r="L134" s="174"/>
      <c r="M134" s="174"/>
      <c r="N134" s="174"/>
      <c r="O134" s="175" t="s">
        <v>1923</v>
      </c>
      <c r="P134" s="175" t="s">
        <v>1916</v>
      </c>
      <c r="Q134" s="179">
        <v>44860</v>
      </c>
      <c r="R134" s="179">
        <v>44870</v>
      </c>
      <c r="S134" s="177">
        <f>R134-Q134</f>
        <v>10</v>
      </c>
      <c r="T134" s="178">
        <v>11</v>
      </c>
      <c r="U134" s="178">
        <v>0</v>
      </c>
      <c r="V134" s="178">
        <v>11</v>
      </c>
      <c r="W134" s="178">
        <v>0</v>
      </c>
      <c r="X134" s="179"/>
      <c r="Y134" s="179"/>
      <c r="Z134" s="180"/>
      <c r="AA134" s="181">
        <v>0</v>
      </c>
      <c r="AB134" s="178">
        <v>1</v>
      </c>
      <c r="AC134" s="177"/>
      <c r="AD134" s="182"/>
      <c r="AE134" s="183">
        <v>0</v>
      </c>
      <c r="AF134" s="195">
        <v>0</v>
      </c>
      <c r="AG134" s="185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 t="str">
        <f>"   " &amp; TEXT(AF134,"#0.00%") &amp; " " &amp; "FAT" &amp; " " &amp; IF(Q134="","",TEXT(Q134,"M/D-")) &amp; IF(R134="","",TEXT(R134,"M/D")) &amp; " "</f>
        <v xml:space="preserve">   0.00% FAT 10/26-11/5 </v>
      </c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</row>
    <row r="135" spans="1:93" ht="15" customHeight="1" outlineLevel="2" x14ac:dyDescent="0.4">
      <c r="A135" s="172"/>
      <c r="B135" s="172" t="s">
        <v>1879</v>
      </c>
      <c r="C135" s="172">
        <v>3</v>
      </c>
      <c r="D135" s="173" t="s">
        <v>2070</v>
      </c>
      <c r="E135" s="174"/>
      <c r="F135" s="174"/>
      <c r="G135" s="174" t="s">
        <v>1933</v>
      </c>
      <c r="H135" s="174"/>
      <c r="I135" s="174"/>
      <c r="J135" s="174"/>
      <c r="K135" s="174"/>
      <c r="L135" s="174"/>
      <c r="M135" s="174"/>
      <c r="N135" s="174"/>
      <c r="O135" s="175" t="s">
        <v>1934</v>
      </c>
      <c r="P135" s="175"/>
      <c r="Q135" s="179">
        <v>44840</v>
      </c>
      <c r="R135" s="179">
        <v>44870</v>
      </c>
      <c r="S135" s="177"/>
      <c r="T135" s="178">
        <v>32</v>
      </c>
      <c r="U135" s="178">
        <v>0</v>
      </c>
      <c r="V135" s="178">
        <v>31</v>
      </c>
      <c r="W135" s="178">
        <v>0</v>
      </c>
      <c r="X135" s="179"/>
      <c r="Y135" s="179"/>
      <c r="Z135" s="180">
        <v>0</v>
      </c>
      <c r="AA135" s="181">
        <v>0</v>
      </c>
      <c r="AB135" s="178"/>
      <c r="AC135" s="177"/>
      <c r="AD135" s="182"/>
      <c r="AE135" s="183">
        <v>0</v>
      </c>
      <c r="AF135" s="207">
        <v>0</v>
      </c>
      <c r="AG135" s="185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 t="str">
        <f>"    " &amp; TEXT(AF135,"#0.00%") &amp; " "</f>
        <v xml:space="preserve">    0.00% </v>
      </c>
      <c r="BC135" s="186"/>
      <c r="BD135" s="186"/>
      <c r="BE135" s="186"/>
      <c r="BF135" s="186"/>
      <c r="BG135" s="186" t="str">
        <f>"" &amp; "Conveyor" &amp; " " &amp; IF(Q135="","",TEXT(Q135,"M/D-")) &amp; IF(R135="","",TEXT(R135,"M/D")) &amp; " "</f>
        <v xml:space="preserve">Conveyor 10/6-11/5 </v>
      </c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  <c r="CG135" s="186"/>
      <c r="CH135" s="186"/>
      <c r="CI135" s="186"/>
      <c r="CJ135" s="186"/>
      <c r="CK135" s="186"/>
      <c r="CL135" s="186"/>
      <c r="CM135" s="186"/>
      <c r="CN135" s="186"/>
      <c r="CO135" s="186"/>
    </row>
    <row r="136" spans="1:93" ht="15" customHeight="1" outlineLevel="3" x14ac:dyDescent="0.4">
      <c r="A136" s="172"/>
      <c r="B136" s="172" t="s">
        <v>1879</v>
      </c>
      <c r="C136" s="172">
        <v>4</v>
      </c>
      <c r="D136" s="173" t="s">
        <v>2071</v>
      </c>
      <c r="E136" s="174"/>
      <c r="F136" s="174"/>
      <c r="G136" s="174"/>
      <c r="H136" s="174" t="s">
        <v>2072</v>
      </c>
      <c r="I136" s="174"/>
      <c r="J136" s="174"/>
      <c r="K136" s="174"/>
      <c r="L136" s="174"/>
      <c r="M136" s="174"/>
      <c r="N136" s="174"/>
      <c r="O136" s="175" t="s">
        <v>1934</v>
      </c>
      <c r="P136" s="175" t="s">
        <v>1893</v>
      </c>
      <c r="Q136" s="179">
        <v>44840</v>
      </c>
      <c r="R136" s="179">
        <v>44870</v>
      </c>
      <c r="S136" s="177"/>
      <c r="T136" s="178">
        <v>32</v>
      </c>
      <c r="U136" s="178">
        <v>0</v>
      </c>
      <c r="V136" s="178">
        <v>31</v>
      </c>
      <c r="W136" s="178">
        <v>0</v>
      </c>
      <c r="X136" s="179"/>
      <c r="Y136" s="179"/>
      <c r="Z136" s="180">
        <v>0</v>
      </c>
      <c r="AA136" s="181">
        <v>0</v>
      </c>
      <c r="AB136" s="178"/>
      <c r="AC136" s="177"/>
      <c r="AD136" s="182"/>
      <c r="AE136" s="183">
        <v>0</v>
      </c>
      <c r="AF136" s="207">
        <v>0</v>
      </c>
      <c r="AG136" s="185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 t="str">
        <f>"    " &amp; TEXT(AF136,"#0.00%") &amp; " "</f>
        <v xml:space="preserve">    0.00% </v>
      </c>
      <c r="BC136" s="186"/>
      <c r="BD136" s="186"/>
      <c r="BE136" s="186"/>
      <c r="BF136" s="186"/>
      <c r="BG136" s="186" t="str">
        <f>"" &amp; "Conveyor TEST &amp; FAT" &amp; " " &amp; IF(Q136="","",TEXT(Q136,"M/D-")) &amp; IF(R136="","",TEXT(R136,"M/D")) &amp; " "</f>
        <v xml:space="preserve">Conveyor TEST &amp; FAT 10/6-11/5 </v>
      </c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</row>
    <row r="137" spans="1:93" ht="15" customHeight="1" outlineLevel="4" x14ac:dyDescent="0.4">
      <c r="A137" s="172"/>
      <c r="B137" s="172"/>
      <c r="C137" s="172">
        <v>5</v>
      </c>
      <c r="D137" s="173" t="s">
        <v>2073</v>
      </c>
      <c r="E137" s="174"/>
      <c r="F137" s="174"/>
      <c r="G137" s="174"/>
      <c r="H137" s="174"/>
      <c r="I137" s="174" t="s">
        <v>2064</v>
      </c>
      <c r="J137" s="174"/>
      <c r="K137" s="174"/>
      <c r="L137" s="174"/>
      <c r="M137" s="174"/>
      <c r="N137" s="174"/>
      <c r="O137" s="175" t="s">
        <v>1934</v>
      </c>
      <c r="P137" s="175" t="s">
        <v>1893</v>
      </c>
      <c r="Q137" s="179">
        <v>44840</v>
      </c>
      <c r="R137" s="179">
        <v>44860</v>
      </c>
      <c r="S137" s="177">
        <f>R137-Q137</f>
        <v>20</v>
      </c>
      <c r="T137" s="178">
        <v>21</v>
      </c>
      <c r="U137" s="178">
        <v>0</v>
      </c>
      <c r="V137" s="178">
        <v>21</v>
      </c>
      <c r="W137" s="178">
        <v>0</v>
      </c>
      <c r="X137" s="179"/>
      <c r="Y137" s="179"/>
      <c r="Z137" s="180"/>
      <c r="AA137" s="181">
        <v>0</v>
      </c>
      <c r="AB137" s="178">
        <v>1</v>
      </c>
      <c r="AC137" s="177"/>
      <c r="AD137" s="182"/>
      <c r="AE137" s="183">
        <v>0</v>
      </c>
      <c r="AF137" s="195">
        <v>0</v>
      </c>
      <c r="AG137" s="185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 t="str">
        <f>"    " &amp; TEXT(AF137,"#0.00%") &amp; " " &amp; "단동TEST" &amp; " " &amp; IF(Q137="","",TEXT(Q137,"M/D-")) &amp; IF(R137="","",TEXT(R137,"M/D")) &amp; " "</f>
        <v xml:space="preserve">    0.00% 단동TEST 10/6-10/26 </v>
      </c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</row>
    <row r="138" spans="1:93" ht="15" customHeight="1" outlineLevel="4" x14ac:dyDescent="0.4">
      <c r="A138" s="172"/>
      <c r="B138" s="172"/>
      <c r="C138" s="172">
        <v>5</v>
      </c>
      <c r="D138" s="173" t="s">
        <v>2074</v>
      </c>
      <c r="E138" s="174"/>
      <c r="F138" s="174"/>
      <c r="G138" s="174"/>
      <c r="H138" s="174"/>
      <c r="I138" s="174" t="s">
        <v>2054</v>
      </c>
      <c r="J138" s="174"/>
      <c r="K138" s="174"/>
      <c r="L138" s="174"/>
      <c r="M138" s="174"/>
      <c r="N138" s="174"/>
      <c r="O138" s="175" t="s">
        <v>1934</v>
      </c>
      <c r="P138" s="175" t="s">
        <v>1893</v>
      </c>
      <c r="Q138" s="179">
        <v>44860</v>
      </c>
      <c r="R138" s="179">
        <v>44870</v>
      </c>
      <c r="S138" s="177">
        <f>R138-Q138</f>
        <v>10</v>
      </c>
      <c r="T138" s="178">
        <v>11</v>
      </c>
      <c r="U138" s="178">
        <v>0</v>
      </c>
      <c r="V138" s="178">
        <v>11</v>
      </c>
      <c r="W138" s="178">
        <v>0</v>
      </c>
      <c r="X138" s="179"/>
      <c r="Y138" s="179"/>
      <c r="Z138" s="180"/>
      <c r="AA138" s="181">
        <v>0</v>
      </c>
      <c r="AB138" s="178">
        <v>1</v>
      </c>
      <c r="AC138" s="177"/>
      <c r="AD138" s="182"/>
      <c r="AE138" s="183">
        <v>0</v>
      </c>
      <c r="AF138" s="195">
        <v>0</v>
      </c>
      <c r="AG138" s="185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 t="str">
        <f>"   " &amp; TEXT(AF138,"#0.00%") &amp; " " &amp; "FAT" &amp; " " &amp; IF(Q138="","",TEXT(Q138,"M/D-")) &amp; IF(R138="","",TEXT(R138,"M/D")) &amp; " "</f>
        <v xml:space="preserve">   0.00% FAT 10/26-11/5 </v>
      </c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</row>
    <row r="139" spans="1:93" ht="15" customHeight="1" outlineLevel="2" x14ac:dyDescent="0.4">
      <c r="A139" s="172"/>
      <c r="B139" s="172" t="s">
        <v>1879</v>
      </c>
      <c r="C139" s="172">
        <v>3</v>
      </c>
      <c r="D139" s="173" t="s">
        <v>2075</v>
      </c>
      <c r="E139" s="174"/>
      <c r="F139" s="174"/>
      <c r="G139" s="174" t="s">
        <v>1940</v>
      </c>
      <c r="H139" s="174"/>
      <c r="I139" s="174"/>
      <c r="J139" s="174"/>
      <c r="K139" s="174"/>
      <c r="L139" s="174"/>
      <c r="M139" s="174"/>
      <c r="N139" s="174"/>
      <c r="O139" s="175" t="s">
        <v>1941</v>
      </c>
      <c r="P139" s="175"/>
      <c r="Q139" s="179">
        <v>44866</v>
      </c>
      <c r="R139" s="179">
        <v>44900</v>
      </c>
      <c r="S139" s="177"/>
      <c r="T139" s="178">
        <v>36</v>
      </c>
      <c r="U139" s="178">
        <v>0</v>
      </c>
      <c r="V139" s="178">
        <v>35</v>
      </c>
      <c r="W139" s="178">
        <v>0</v>
      </c>
      <c r="X139" s="179"/>
      <c r="Y139" s="179"/>
      <c r="Z139" s="180">
        <v>0</v>
      </c>
      <c r="AA139" s="181">
        <v>0</v>
      </c>
      <c r="AB139" s="178"/>
      <c r="AC139" s="177"/>
      <c r="AD139" s="182"/>
      <c r="AE139" s="183">
        <v>0</v>
      </c>
      <c r="AF139" s="207">
        <v>0</v>
      </c>
      <c r="AG139" s="185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 t="str">
        <f>"  " &amp; TEXT(AF139,"#0.00%") &amp; " "</f>
        <v xml:space="preserve">  0.00% </v>
      </c>
      <c r="BG139" s="186"/>
      <c r="BH139" s="186"/>
      <c r="BI139" s="186"/>
      <c r="BJ139" s="186"/>
      <c r="BK139" s="186" t="str">
        <f>"  " &amp; "Lifter" &amp; " " &amp; IF(Q139="","",TEXT(Q139,"M/D-")) &amp; IF(R139="","",TEXT(R139,"M/D")) &amp; " "</f>
        <v xml:space="preserve">  Lifter 11/1-12/5 </v>
      </c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</row>
    <row r="140" spans="1:93" ht="15" customHeight="1" outlineLevel="3" x14ac:dyDescent="0.4">
      <c r="A140" s="172"/>
      <c r="B140" s="172" t="s">
        <v>1879</v>
      </c>
      <c r="C140" s="172">
        <v>4</v>
      </c>
      <c r="D140" s="173" t="s">
        <v>2076</v>
      </c>
      <c r="E140" s="174"/>
      <c r="F140" s="174"/>
      <c r="G140" s="174"/>
      <c r="H140" s="174" t="s">
        <v>2077</v>
      </c>
      <c r="I140" s="174"/>
      <c r="J140" s="174"/>
      <c r="K140" s="174"/>
      <c r="L140" s="174"/>
      <c r="M140" s="174"/>
      <c r="N140" s="174"/>
      <c r="O140" s="175" t="s">
        <v>1941</v>
      </c>
      <c r="P140" s="175" t="s">
        <v>1888</v>
      </c>
      <c r="Q140" s="179">
        <v>44866</v>
      </c>
      <c r="R140" s="179">
        <v>44900</v>
      </c>
      <c r="S140" s="177"/>
      <c r="T140" s="178">
        <v>36</v>
      </c>
      <c r="U140" s="178">
        <v>0</v>
      </c>
      <c r="V140" s="178">
        <v>35</v>
      </c>
      <c r="W140" s="178">
        <v>0</v>
      </c>
      <c r="X140" s="179"/>
      <c r="Y140" s="179"/>
      <c r="Z140" s="180">
        <v>0</v>
      </c>
      <c r="AA140" s="181">
        <v>0</v>
      </c>
      <c r="AB140" s="178"/>
      <c r="AC140" s="177"/>
      <c r="AD140" s="182"/>
      <c r="AE140" s="183">
        <v>0</v>
      </c>
      <c r="AF140" s="207">
        <v>0</v>
      </c>
      <c r="AG140" s="185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 t="str">
        <f>"  " &amp; TEXT(AF140,"#0.00%") &amp; " "</f>
        <v xml:space="preserve">  0.00% </v>
      </c>
      <c r="BG140" s="186"/>
      <c r="BH140" s="186"/>
      <c r="BI140" s="186"/>
      <c r="BJ140" s="186"/>
      <c r="BK140" s="186" t="str">
        <f>"  " &amp; "Lifter TEST &amp; FAT" &amp; " " &amp; IF(Q140="","",TEXT(Q140,"M/D-")) &amp; IF(R140="","",TEXT(R140,"M/D")) &amp; " "</f>
        <v xml:space="preserve">  Lifter TEST &amp; FAT 11/1-12/5 </v>
      </c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</row>
    <row r="141" spans="1:93" ht="15" customHeight="1" outlineLevel="4" x14ac:dyDescent="0.4">
      <c r="A141" s="172"/>
      <c r="B141" s="172"/>
      <c r="C141" s="172">
        <v>5</v>
      </c>
      <c r="D141" s="173" t="s">
        <v>2078</v>
      </c>
      <c r="E141" s="174"/>
      <c r="F141" s="174"/>
      <c r="G141" s="174"/>
      <c r="H141" s="174"/>
      <c r="I141" s="174" t="s">
        <v>2064</v>
      </c>
      <c r="J141" s="174"/>
      <c r="K141" s="174"/>
      <c r="L141" s="174"/>
      <c r="M141" s="174"/>
      <c r="N141" s="174"/>
      <c r="O141" s="175" t="s">
        <v>1941</v>
      </c>
      <c r="P141" s="175" t="s">
        <v>1888</v>
      </c>
      <c r="Q141" s="179">
        <v>44866</v>
      </c>
      <c r="R141" s="179">
        <v>44890</v>
      </c>
      <c r="S141" s="177">
        <f>R141-Q141</f>
        <v>24</v>
      </c>
      <c r="T141" s="178">
        <v>25</v>
      </c>
      <c r="U141" s="178">
        <v>0</v>
      </c>
      <c r="V141" s="178">
        <v>25</v>
      </c>
      <c r="W141" s="178">
        <v>0</v>
      </c>
      <c r="X141" s="179"/>
      <c r="Y141" s="179"/>
      <c r="Z141" s="180"/>
      <c r="AA141" s="181">
        <v>0</v>
      </c>
      <c r="AB141" s="178">
        <v>1</v>
      </c>
      <c r="AC141" s="177"/>
      <c r="AD141" s="182"/>
      <c r="AE141" s="183">
        <v>0</v>
      </c>
      <c r="AF141" s="195">
        <v>0</v>
      </c>
      <c r="AG141" s="185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 t="str">
        <f>"  " &amp; TEXT(AF141,"#0.00%") &amp; " "</f>
        <v xml:space="preserve">  0.00% </v>
      </c>
      <c r="BG141" s="186"/>
      <c r="BH141" s="186"/>
      <c r="BI141" s="186" t="str">
        <f>"      " &amp; "단동TEST" &amp; " " &amp; IF(Q141="","",TEXT(Q141,"M/D-")) &amp; IF(R141="","",TEXT(R141,"M/D")) &amp; " "</f>
        <v xml:space="preserve">      단동TEST 11/1-11/25 </v>
      </c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</row>
    <row r="142" spans="1:93" ht="15" customHeight="1" outlineLevel="4" x14ac:dyDescent="0.4">
      <c r="A142" s="172"/>
      <c r="B142" s="172"/>
      <c r="C142" s="172">
        <v>5</v>
      </c>
      <c r="D142" s="173" t="s">
        <v>2079</v>
      </c>
      <c r="E142" s="174"/>
      <c r="F142" s="174"/>
      <c r="G142" s="174"/>
      <c r="H142" s="174"/>
      <c r="I142" s="174" t="s">
        <v>2054</v>
      </c>
      <c r="J142" s="174"/>
      <c r="K142" s="174"/>
      <c r="L142" s="174"/>
      <c r="M142" s="174"/>
      <c r="N142" s="174"/>
      <c r="O142" s="175" t="s">
        <v>1941</v>
      </c>
      <c r="P142" s="175" t="s">
        <v>1888</v>
      </c>
      <c r="Q142" s="179">
        <v>44890</v>
      </c>
      <c r="R142" s="179">
        <v>44900</v>
      </c>
      <c r="S142" s="177">
        <f>R142-Q142</f>
        <v>10</v>
      </c>
      <c r="T142" s="178">
        <v>11</v>
      </c>
      <c r="U142" s="178">
        <v>0</v>
      </c>
      <c r="V142" s="178">
        <v>11</v>
      </c>
      <c r="W142" s="178">
        <v>0</v>
      </c>
      <c r="X142" s="179"/>
      <c r="Y142" s="179"/>
      <c r="Z142" s="180"/>
      <c r="AA142" s="181">
        <v>0</v>
      </c>
      <c r="AB142" s="178">
        <v>1</v>
      </c>
      <c r="AC142" s="177"/>
      <c r="AD142" s="182"/>
      <c r="AE142" s="183">
        <v>0</v>
      </c>
      <c r="AF142" s="195">
        <v>0</v>
      </c>
      <c r="AG142" s="185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 t="str">
        <f>"     " &amp; TEXT(AF142,"#0.00%") &amp; " " &amp; "FAT" &amp; " " &amp; IF(Q142="","",TEXT(Q142,"M/D-")) &amp; IF(R142="","",TEXT(R142,"M/D")) &amp; " "</f>
        <v xml:space="preserve">     0.00% FAT 11/25-12/5 </v>
      </c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</row>
    <row r="143" spans="1:93" ht="15" customHeight="1" x14ac:dyDescent="0.4">
      <c r="A143" s="172"/>
      <c r="B143" s="172" t="s">
        <v>1879</v>
      </c>
      <c r="C143" s="172">
        <v>1</v>
      </c>
      <c r="D143" s="173" t="s">
        <v>2080</v>
      </c>
      <c r="E143" s="174" t="s">
        <v>2081</v>
      </c>
      <c r="F143" s="174"/>
      <c r="G143" s="174"/>
      <c r="H143" s="174"/>
      <c r="I143" s="174"/>
      <c r="J143" s="174"/>
      <c r="K143" s="174"/>
      <c r="L143" s="174"/>
      <c r="M143" s="174"/>
      <c r="N143" s="174"/>
      <c r="O143" s="175"/>
      <c r="P143" s="175"/>
      <c r="Q143" s="179">
        <v>44854</v>
      </c>
      <c r="R143" s="179">
        <v>44988</v>
      </c>
      <c r="S143" s="177"/>
      <c r="T143" s="178">
        <v>163</v>
      </c>
      <c r="U143" s="178">
        <v>0</v>
      </c>
      <c r="V143" s="178">
        <v>135</v>
      </c>
      <c r="W143" s="178">
        <v>0</v>
      </c>
      <c r="X143" s="179"/>
      <c r="Y143" s="179"/>
      <c r="Z143" s="180">
        <v>0</v>
      </c>
      <c r="AA143" s="181">
        <v>0</v>
      </c>
      <c r="AB143" s="178"/>
      <c r="AC143" s="177"/>
      <c r="AD143" s="182"/>
      <c r="AE143" s="183">
        <v>0</v>
      </c>
      <c r="AF143" s="207">
        <v>0</v>
      </c>
      <c r="AG143" s="185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 t="str">
        <f>"    " &amp; TEXT(AF143,"#0.00%") &amp; " "</f>
        <v xml:space="preserve">    0.00% </v>
      </c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 t="str">
        <f>"      " &amp; "FOB" &amp; " " &amp; IF(Q143="","",TEXT(Q143,"M/D-")) &amp; IF(R143="","",TEXT(R143,"M/D")) &amp; " "</f>
        <v xml:space="preserve">      FOB 10/20-3/3 </v>
      </c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</row>
    <row r="144" spans="1:93" ht="15" customHeight="1" outlineLevel="1" x14ac:dyDescent="0.4">
      <c r="A144" s="172"/>
      <c r="B144" s="172" t="s">
        <v>1879</v>
      </c>
      <c r="C144" s="172">
        <v>2</v>
      </c>
      <c r="D144" s="173" t="s">
        <v>2082</v>
      </c>
      <c r="E144" s="174"/>
      <c r="F144" s="174" t="s">
        <v>1883</v>
      </c>
      <c r="G144" s="174"/>
      <c r="H144" s="174"/>
      <c r="I144" s="174"/>
      <c r="J144" s="174"/>
      <c r="K144" s="174"/>
      <c r="L144" s="174"/>
      <c r="M144" s="174"/>
      <c r="N144" s="174"/>
      <c r="O144" s="191"/>
      <c r="P144" s="191"/>
      <c r="Q144" s="179">
        <v>44854</v>
      </c>
      <c r="R144" s="179">
        <v>44988</v>
      </c>
      <c r="S144" s="177"/>
      <c r="T144" s="178">
        <v>163</v>
      </c>
      <c r="U144" s="178">
        <v>0</v>
      </c>
      <c r="V144" s="178">
        <v>135</v>
      </c>
      <c r="W144" s="178">
        <v>0</v>
      </c>
      <c r="X144" s="179"/>
      <c r="Y144" s="179"/>
      <c r="Z144" s="180">
        <v>0</v>
      </c>
      <c r="AA144" s="181">
        <v>0</v>
      </c>
      <c r="AB144" s="178"/>
      <c r="AC144" s="192"/>
      <c r="AD144" s="182"/>
      <c r="AE144" s="183">
        <v>0</v>
      </c>
      <c r="AF144" s="207">
        <v>0</v>
      </c>
      <c r="AG144" s="185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 t="str">
        <f>"    " &amp; TEXT(AF144,"#0.00%") &amp; " "</f>
        <v xml:space="preserve">    0.00% </v>
      </c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 t="str">
        <f>"      " &amp; "SKOH2" &amp; " " &amp; IF(Q144="","",TEXT(Q144,"M/D-")) &amp; IF(R144="","",TEXT(R144,"M/D")) &amp; " "</f>
        <v xml:space="preserve">      SKOH2 10/20-3/3 </v>
      </c>
      <c r="BX144" s="186"/>
      <c r="BY144" s="186"/>
      <c r="BZ144" s="186"/>
      <c r="CA144" s="186"/>
      <c r="CB144" s="186"/>
      <c r="CC144" s="186"/>
      <c r="CD144" s="186"/>
      <c r="CE144" s="186"/>
      <c r="CF144" s="186"/>
      <c r="CG144" s="186"/>
      <c r="CH144" s="186"/>
      <c r="CI144" s="186"/>
      <c r="CJ144" s="186"/>
      <c r="CK144" s="186"/>
      <c r="CL144" s="186"/>
      <c r="CM144" s="186"/>
      <c r="CN144" s="186"/>
      <c r="CO144" s="186"/>
    </row>
    <row r="145" spans="1:93" ht="15" customHeight="1" outlineLevel="2" x14ac:dyDescent="0.4">
      <c r="A145" s="172"/>
      <c r="B145" s="172" t="s">
        <v>1879</v>
      </c>
      <c r="C145" s="172">
        <v>3</v>
      </c>
      <c r="D145" s="173" t="s">
        <v>2083</v>
      </c>
      <c r="E145" s="174"/>
      <c r="F145" s="174"/>
      <c r="G145" s="208" t="s">
        <v>1887</v>
      </c>
      <c r="H145" s="174"/>
      <c r="I145" s="174"/>
      <c r="J145" s="174"/>
      <c r="K145" s="174"/>
      <c r="L145" s="174"/>
      <c r="M145" s="174"/>
      <c r="N145" s="174"/>
      <c r="O145" s="191" t="s">
        <v>1888</v>
      </c>
      <c r="P145" s="191"/>
      <c r="Q145" s="179">
        <v>44854</v>
      </c>
      <c r="R145" s="179">
        <v>44924</v>
      </c>
      <c r="S145" s="177"/>
      <c r="T145" s="178">
        <v>51</v>
      </c>
      <c r="U145" s="178">
        <v>0</v>
      </c>
      <c r="V145" s="178">
        <v>71</v>
      </c>
      <c r="W145" s="178">
        <v>0</v>
      </c>
      <c r="X145" s="179"/>
      <c r="Y145" s="179"/>
      <c r="Z145" s="180">
        <v>0</v>
      </c>
      <c r="AA145" s="181">
        <v>0</v>
      </c>
      <c r="AB145" s="178"/>
      <c r="AC145" s="192"/>
      <c r="AD145" s="182"/>
      <c r="AE145" s="183">
        <v>0</v>
      </c>
      <c r="AF145" s="207">
        <v>0</v>
      </c>
      <c r="AG145" s="185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 t="str">
        <f>"    " &amp; TEXT(AF145,"#0.00%") &amp; " "</f>
        <v xml:space="preserve">    0.00% </v>
      </c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 t="str">
        <f>"     " &amp; "Rack" &amp; " " &amp; IF(Q145="","",TEXT(Q145,"M/D-")) &amp; IF(R145="","",TEXT(R145,"M/D")) &amp; " "</f>
        <v xml:space="preserve">     Rack 10/20-12/29 </v>
      </c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</row>
    <row r="146" spans="1:93" ht="15" customHeight="1" outlineLevel="3" x14ac:dyDescent="0.4">
      <c r="A146" s="172"/>
      <c r="B146" s="172" t="s">
        <v>1879</v>
      </c>
      <c r="C146" s="172">
        <v>4</v>
      </c>
      <c r="D146" s="173" t="s">
        <v>2084</v>
      </c>
      <c r="E146" s="174"/>
      <c r="F146" s="174"/>
      <c r="G146" s="174"/>
      <c r="H146" s="174" t="s">
        <v>1951</v>
      </c>
      <c r="I146" s="174"/>
      <c r="J146" s="174"/>
      <c r="K146" s="174"/>
      <c r="L146" s="174"/>
      <c r="M146" s="174"/>
      <c r="N146" s="174"/>
      <c r="O146" s="191" t="s">
        <v>1888</v>
      </c>
      <c r="P146" s="191" t="s">
        <v>1893</v>
      </c>
      <c r="Q146" s="179">
        <v>44854</v>
      </c>
      <c r="R146" s="179">
        <v>44864</v>
      </c>
      <c r="S146" s="177"/>
      <c r="T146" s="178">
        <v>11</v>
      </c>
      <c r="U146" s="178">
        <v>0</v>
      </c>
      <c r="V146" s="178">
        <v>11</v>
      </c>
      <c r="W146" s="178">
        <v>0</v>
      </c>
      <c r="X146" s="179"/>
      <c r="Y146" s="179"/>
      <c r="Z146" s="180">
        <v>0</v>
      </c>
      <c r="AA146" s="181">
        <v>0</v>
      </c>
      <c r="AB146" s="178"/>
      <c r="AC146" s="192"/>
      <c r="AD146" s="182"/>
      <c r="AE146" s="183">
        <v>0</v>
      </c>
      <c r="AF146" s="207">
        <v>0</v>
      </c>
      <c r="AG146" s="185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 t="str">
        <f>"    " &amp; TEXT(AF146,"#0.00%") &amp; " " &amp; "상온1,고온1 Aging 창고(전면Deck포함)" &amp; " " &amp; IF(Q146="","",TEXT(Q146,"M/D-")) &amp; IF(R146="","",TEXT(R146,"M/D")) &amp; " "</f>
        <v xml:space="preserve">    0.00% 상온1,고온1 Aging 창고(전면Deck포함) 10/20-10/30 </v>
      </c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</row>
    <row r="147" spans="1:93" ht="15" customHeight="1" outlineLevel="4" x14ac:dyDescent="0.4">
      <c r="A147" s="172"/>
      <c r="B147" s="172"/>
      <c r="C147" s="172">
        <v>5</v>
      </c>
      <c r="D147" s="173" t="s">
        <v>2085</v>
      </c>
      <c r="E147" s="174"/>
      <c r="F147" s="174"/>
      <c r="G147" s="174"/>
      <c r="H147" s="174"/>
      <c r="I147" s="174" t="s">
        <v>2081</v>
      </c>
      <c r="J147" s="174"/>
      <c r="K147" s="174"/>
      <c r="L147" s="174"/>
      <c r="M147" s="174"/>
      <c r="N147" s="174"/>
      <c r="O147" s="191" t="s">
        <v>1888</v>
      </c>
      <c r="P147" s="191" t="s">
        <v>1893</v>
      </c>
      <c r="Q147" s="179">
        <v>44854</v>
      </c>
      <c r="R147" s="179">
        <v>44864</v>
      </c>
      <c r="S147" s="177">
        <f>R147-Q147</f>
        <v>10</v>
      </c>
      <c r="T147" s="178">
        <v>11</v>
      </c>
      <c r="U147" s="178">
        <v>0</v>
      </c>
      <c r="V147" s="178">
        <v>11</v>
      </c>
      <c r="W147" s="178">
        <v>0</v>
      </c>
      <c r="X147" s="179"/>
      <c r="Y147" s="179"/>
      <c r="Z147" s="180"/>
      <c r="AA147" s="181">
        <v>0</v>
      </c>
      <c r="AB147" s="178">
        <v>1</v>
      </c>
      <c r="AC147" s="192"/>
      <c r="AD147" s="182"/>
      <c r="AE147" s="183">
        <v>0</v>
      </c>
      <c r="AF147" s="195">
        <v>0</v>
      </c>
      <c r="AG147" s="185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 t="str">
        <f>"    " &amp; TEXT(AF147,"#0.00%") &amp; " " &amp; "FOB" &amp; " " &amp; IF(Q147="","",TEXT(Q147,"M/D-")) &amp; IF(R147="","",TEXT(R147,"M/D")) &amp; " "</f>
        <v xml:space="preserve">    0.00% FOB 10/20-10/30 </v>
      </c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</row>
    <row r="148" spans="1:93" ht="15" customHeight="1" outlineLevel="3" x14ac:dyDescent="0.4">
      <c r="A148" s="172"/>
      <c r="B148" s="172" t="s">
        <v>1879</v>
      </c>
      <c r="C148" s="172">
        <v>4</v>
      </c>
      <c r="D148" s="173" t="s">
        <v>2086</v>
      </c>
      <c r="E148" s="174"/>
      <c r="F148" s="174"/>
      <c r="G148" s="174"/>
      <c r="H148" s="174" t="s">
        <v>1959</v>
      </c>
      <c r="I148" s="174"/>
      <c r="J148" s="174"/>
      <c r="K148" s="174"/>
      <c r="L148" s="174"/>
      <c r="M148" s="174"/>
      <c r="N148" s="174"/>
      <c r="O148" s="191" t="s">
        <v>1888</v>
      </c>
      <c r="P148" s="191" t="s">
        <v>1916</v>
      </c>
      <c r="Q148" s="179">
        <v>44870</v>
      </c>
      <c r="R148" s="179">
        <v>44879</v>
      </c>
      <c r="S148" s="177"/>
      <c r="T148" s="178">
        <v>10</v>
      </c>
      <c r="U148" s="178">
        <v>0</v>
      </c>
      <c r="V148" s="178">
        <v>10</v>
      </c>
      <c r="W148" s="178">
        <v>0</v>
      </c>
      <c r="X148" s="179"/>
      <c r="Y148" s="179"/>
      <c r="Z148" s="180">
        <v>0</v>
      </c>
      <c r="AA148" s="181">
        <v>0</v>
      </c>
      <c r="AB148" s="178"/>
      <c r="AC148" s="192"/>
      <c r="AD148" s="182"/>
      <c r="AE148" s="183">
        <v>0</v>
      </c>
      <c r="AF148" s="207">
        <v>0</v>
      </c>
      <c r="AG148" s="185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 t="str">
        <f>"      " &amp; TEXT(AF148,"#0.00%") &amp; " " &amp; "고온2 Aging 창고" &amp; " " &amp; IF(Q148="","",TEXT(Q148,"M/D-")) &amp; IF(R148="","",TEXT(R148,"M/D")) &amp; " "</f>
        <v xml:space="preserve">      0.00% 고온2 Aging 창고 11/5-11/14 </v>
      </c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</row>
    <row r="149" spans="1:93" ht="15" customHeight="1" outlineLevel="4" x14ac:dyDescent="0.4">
      <c r="A149" s="172"/>
      <c r="B149" s="172"/>
      <c r="C149" s="172">
        <v>5</v>
      </c>
      <c r="D149" s="173" t="s">
        <v>2087</v>
      </c>
      <c r="E149" s="174"/>
      <c r="F149" s="174"/>
      <c r="G149" s="174"/>
      <c r="H149" s="174"/>
      <c r="I149" s="174" t="s">
        <v>2081</v>
      </c>
      <c r="J149" s="174"/>
      <c r="K149" s="174"/>
      <c r="L149" s="174"/>
      <c r="M149" s="174"/>
      <c r="N149" s="174"/>
      <c r="O149" s="191" t="s">
        <v>1888</v>
      </c>
      <c r="P149" s="191" t="s">
        <v>1916</v>
      </c>
      <c r="Q149" s="179">
        <v>44870</v>
      </c>
      <c r="R149" s="179">
        <v>44879</v>
      </c>
      <c r="S149" s="177">
        <f>R149-Q149</f>
        <v>9</v>
      </c>
      <c r="T149" s="178">
        <v>10</v>
      </c>
      <c r="U149" s="178">
        <v>0</v>
      </c>
      <c r="V149" s="178">
        <v>10</v>
      </c>
      <c r="W149" s="178">
        <v>0</v>
      </c>
      <c r="X149" s="179"/>
      <c r="Y149" s="179"/>
      <c r="Z149" s="180"/>
      <c r="AA149" s="181">
        <v>0</v>
      </c>
      <c r="AB149" s="178">
        <v>1</v>
      </c>
      <c r="AC149" s="192"/>
      <c r="AD149" s="182"/>
      <c r="AE149" s="183">
        <v>0</v>
      </c>
      <c r="AF149" s="195">
        <v>0</v>
      </c>
      <c r="AG149" s="185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 t="str">
        <f>"      " &amp; TEXT(AF149,"#0.00%") &amp; " " &amp; "FOB" &amp; " " &amp; IF(Q149="","",TEXT(Q149,"M/D-")) &amp; IF(R149="","",TEXT(R149,"M/D")) &amp; " "</f>
        <v xml:space="preserve">      0.00% FOB 11/5-11/14 </v>
      </c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6"/>
      <c r="CG149" s="186"/>
      <c r="CH149" s="186"/>
      <c r="CI149" s="186"/>
      <c r="CJ149" s="186"/>
      <c r="CK149" s="186"/>
      <c r="CL149" s="186"/>
      <c r="CM149" s="186"/>
      <c r="CN149" s="186"/>
      <c r="CO149" s="186"/>
    </row>
    <row r="150" spans="1:93" ht="15" customHeight="1" outlineLevel="3" x14ac:dyDescent="0.4">
      <c r="A150" s="172"/>
      <c r="B150" s="172" t="s">
        <v>1879</v>
      </c>
      <c r="C150" s="172">
        <v>4</v>
      </c>
      <c r="D150" s="173" t="s">
        <v>2088</v>
      </c>
      <c r="E150" s="174"/>
      <c r="F150" s="174"/>
      <c r="G150" s="174"/>
      <c r="H150" s="174" t="s">
        <v>1964</v>
      </c>
      <c r="I150" s="174"/>
      <c r="J150" s="174"/>
      <c r="K150" s="174"/>
      <c r="L150" s="174"/>
      <c r="M150" s="174"/>
      <c r="N150" s="174"/>
      <c r="O150" s="191" t="s">
        <v>1888</v>
      </c>
      <c r="P150" s="191" t="s">
        <v>1965</v>
      </c>
      <c r="Q150" s="179">
        <v>44885</v>
      </c>
      <c r="R150" s="179">
        <v>44894</v>
      </c>
      <c r="S150" s="177"/>
      <c r="T150" s="178">
        <v>10</v>
      </c>
      <c r="U150" s="178">
        <v>0</v>
      </c>
      <c r="V150" s="178">
        <v>10</v>
      </c>
      <c r="W150" s="178">
        <v>0</v>
      </c>
      <c r="X150" s="179"/>
      <c r="Y150" s="179"/>
      <c r="Z150" s="180">
        <v>0</v>
      </c>
      <c r="AA150" s="181">
        <v>0</v>
      </c>
      <c r="AB150" s="178"/>
      <c r="AC150" s="192"/>
      <c r="AD150" s="182"/>
      <c r="AE150" s="183">
        <v>0</v>
      </c>
      <c r="AF150" s="207">
        <v>0</v>
      </c>
      <c r="AG150" s="185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 t="str">
        <f>"" &amp; TEXT(AF150,"#0.00%") &amp; " " &amp; "상온2-1 Aging 창고" &amp; " " &amp; IF(Q150="","",TEXT(Q150,"M/D-")) &amp; IF(R150="","",TEXT(R150,"M/D")) &amp; " "</f>
        <v xml:space="preserve">0.00% 상온2-1 Aging 창고 11/20-11/29 </v>
      </c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</row>
    <row r="151" spans="1:93" ht="15" customHeight="1" outlineLevel="4" x14ac:dyDescent="0.4">
      <c r="A151" s="172"/>
      <c r="B151" s="172"/>
      <c r="C151" s="172">
        <v>5</v>
      </c>
      <c r="D151" s="173" t="s">
        <v>2089</v>
      </c>
      <c r="E151" s="174"/>
      <c r="F151" s="174"/>
      <c r="G151" s="174"/>
      <c r="H151" s="174"/>
      <c r="I151" s="174" t="s">
        <v>2081</v>
      </c>
      <c r="J151" s="174"/>
      <c r="K151" s="174"/>
      <c r="L151" s="174"/>
      <c r="M151" s="174"/>
      <c r="N151" s="174"/>
      <c r="O151" s="191" t="s">
        <v>1888</v>
      </c>
      <c r="P151" s="191" t="s">
        <v>1965</v>
      </c>
      <c r="Q151" s="179">
        <v>44885</v>
      </c>
      <c r="R151" s="179">
        <v>44894</v>
      </c>
      <c r="S151" s="177">
        <f>R151-Q151</f>
        <v>9</v>
      </c>
      <c r="T151" s="178">
        <v>10</v>
      </c>
      <c r="U151" s="178">
        <v>0</v>
      </c>
      <c r="V151" s="178">
        <v>10</v>
      </c>
      <c r="W151" s="178">
        <v>0</v>
      </c>
      <c r="X151" s="179"/>
      <c r="Y151" s="179"/>
      <c r="Z151" s="180"/>
      <c r="AA151" s="181">
        <v>0</v>
      </c>
      <c r="AB151" s="178">
        <v>1</v>
      </c>
      <c r="AC151" s="192"/>
      <c r="AD151" s="182"/>
      <c r="AE151" s="183">
        <v>0</v>
      </c>
      <c r="AF151" s="195">
        <v>0</v>
      </c>
      <c r="AG151" s="185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 t="str">
        <f>"" &amp; TEXT(AF151,"#0.00%") &amp; " " &amp; "FOB" &amp; " " &amp; IF(Q151="","",TEXT(Q151,"M/D-")) &amp; IF(R151="","",TEXT(R151,"M/D")) &amp; " "</f>
        <v xml:space="preserve">0.00% FOB 11/20-11/29 </v>
      </c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  <c r="CG151" s="186"/>
      <c r="CH151" s="186"/>
      <c r="CI151" s="186"/>
      <c r="CJ151" s="186"/>
      <c r="CK151" s="186"/>
      <c r="CL151" s="186"/>
      <c r="CM151" s="186"/>
      <c r="CN151" s="186"/>
      <c r="CO151" s="186"/>
    </row>
    <row r="152" spans="1:93" ht="15" customHeight="1" outlineLevel="3" x14ac:dyDescent="0.4">
      <c r="A152" s="172"/>
      <c r="B152" s="172" t="s">
        <v>1879</v>
      </c>
      <c r="C152" s="172">
        <v>4</v>
      </c>
      <c r="D152" s="173" t="s">
        <v>2090</v>
      </c>
      <c r="E152" s="174"/>
      <c r="F152" s="174"/>
      <c r="G152" s="174"/>
      <c r="H152" s="174" t="s">
        <v>1970</v>
      </c>
      <c r="I152" s="174"/>
      <c r="J152" s="174"/>
      <c r="K152" s="174"/>
      <c r="L152" s="174"/>
      <c r="M152" s="174"/>
      <c r="N152" s="174"/>
      <c r="O152" s="191" t="s">
        <v>1888</v>
      </c>
      <c r="P152" s="191" t="s">
        <v>1888</v>
      </c>
      <c r="Q152" s="179">
        <v>44900</v>
      </c>
      <c r="R152" s="179">
        <v>44909</v>
      </c>
      <c r="S152" s="177"/>
      <c r="T152" s="178">
        <v>10</v>
      </c>
      <c r="U152" s="178">
        <v>0</v>
      </c>
      <c r="V152" s="178">
        <v>10</v>
      </c>
      <c r="W152" s="178">
        <v>0</v>
      </c>
      <c r="X152" s="179"/>
      <c r="Y152" s="179"/>
      <c r="Z152" s="180">
        <v>0</v>
      </c>
      <c r="AA152" s="181">
        <v>0</v>
      </c>
      <c r="AB152" s="178"/>
      <c r="AC152" s="192"/>
      <c r="AD152" s="182"/>
      <c r="AE152" s="183">
        <v>0</v>
      </c>
      <c r="AF152" s="207">
        <v>0</v>
      </c>
      <c r="AG152" s="185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 t="str">
        <f>" " &amp; TEXT(AF152,"#0.00%") &amp; " " &amp; "상온2-2 Aging 창고" &amp; " " &amp; IF(Q152="","",TEXT(Q152,"M/D-")) &amp; IF(R152="","",TEXT(R152,"M/D")) &amp; " "</f>
        <v xml:space="preserve"> 0.00% 상온2-2 Aging 창고 12/5-12/14 </v>
      </c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</row>
    <row r="153" spans="1:93" ht="15" customHeight="1" outlineLevel="4" x14ac:dyDescent="0.4">
      <c r="A153" s="172"/>
      <c r="B153" s="172"/>
      <c r="C153" s="172">
        <v>5</v>
      </c>
      <c r="D153" s="173" t="s">
        <v>2091</v>
      </c>
      <c r="E153" s="174"/>
      <c r="F153" s="174"/>
      <c r="G153" s="174"/>
      <c r="H153" s="174"/>
      <c r="I153" s="174" t="s">
        <v>2081</v>
      </c>
      <c r="J153" s="174"/>
      <c r="K153" s="174"/>
      <c r="L153" s="174"/>
      <c r="M153" s="174"/>
      <c r="N153" s="174"/>
      <c r="O153" s="191" t="s">
        <v>1888</v>
      </c>
      <c r="P153" s="191" t="s">
        <v>1888</v>
      </c>
      <c r="Q153" s="179">
        <v>44900</v>
      </c>
      <c r="R153" s="179">
        <v>44909</v>
      </c>
      <c r="S153" s="177">
        <f>R153-Q153</f>
        <v>9</v>
      </c>
      <c r="T153" s="178">
        <v>10</v>
      </c>
      <c r="U153" s="178">
        <v>0</v>
      </c>
      <c r="V153" s="178">
        <v>10</v>
      </c>
      <c r="W153" s="178">
        <v>0</v>
      </c>
      <c r="X153" s="179"/>
      <c r="Y153" s="179"/>
      <c r="Z153" s="180"/>
      <c r="AA153" s="181">
        <v>0</v>
      </c>
      <c r="AB153" s="178">
        <v>1</v>
      </c>
      <c r="AC153" s="192"/>
      <c r="AD153" s="182"/>
      <c r="AE153" s="183">
        <v>0</v>
      </c>
      <c r="AF153" s="195">
        <v>0</v>
      </c>
      <c r="AG153" s="185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 t="str">
        <f>" " &amp; TEXT(AF153,"#0.00%") &amp; " " &amp; "FOB" &amp; " " &amp; IF(Q153="","",TEXT(Q153,"M/D-")) &amp; IF(R153="","",TEXT(R153,"M/D")) &amp; " "</f>
        <v xml:space="preserve"> 0.00% FOB 12/5-12/14 </v>
      </c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</row>
    <row r="154" spans="1:93" ht="15" customHeight="1" outlineLevel="3" x14ac:dyDescent="0.4">
      <c r="A154" s="172"/>
      <c r="B154" s="172" t="s">
        <v>1879</v>
      </c>
      <c r="C154" s="172">
        <v>4</v>
      </c>
      <c r="D154" s="209" t="s">
        <v>2092</v>
      </c>
      <c r="E154" s="210"/>
      <c r="F154" s="210"/>
      <c r="G154" s="210"/>
      <c r="H154" s="197" t="s">
        <v>1975</v>
      </c>
      <c r="I154" s="210"/>
      <c r="J154" s="210"/>
      <c r="K154" s="210"/>
      <c r="L154" s="210"/>
      <c r="M154" s="210"/>
      <c r="N154" s="210"/>
      <c r="O154" s="211" t="s">
        <v>1888</v>
      </c>
      <c r="P154" s="211" t="s">
        <v>1888</v>
      </c>
      <c r="Q154" s="212">
        <v>44915</v>
      </c>
      <c r="R154" s="212">
        <v>44924</v>
      </c>
      <c r="S154" s="213"/>
      <c r="T154" s="214">
        <v>10</v>
      </c>
      <c r="U154" s="214">
        <v>0</v>
      </c>
      <c r="V154" s="214">
        <v>10</v>
      </c>
      <c r="W154" s="214">
        <v>0</v>
      </c>
      <c r="X154" s="212"/>
      <c r="Y154" s="212"/>
      <c r="Z154" s="215">
        <v>0</v>
      </c>
      <c r="AA154" s="216">
        <v>0</v>
      </c>
      <c r="AB154" s="214"/>
      <c r="AC154" s="217"/>
      <c r="AD154" s="218"/>
      <c r="AE154" s="219">
        <v>0</v>
      </c>
      <c r="AF154" s="207">
        <v>0</v>
      </c>
      <c r="AG154" s="185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 t="str">
        <f>"  " &amp; TEXT(AF154,"#0.00%") &amp; " " &amp; "RACK 마감자재(후면Deck포함)" &amp; " " &amp; IF(Q154="","",TEXT(Q154,"M/D-")) &amp; IF(R154="","",TEXT(R154,"M/D")) &amp; " "</f>
        <v xml:space="preserve">  0.00% RACK 마감자재(후면Deck포함) 12/20-12/29 </v>
      </c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</row>
    <row r="155" spans="1:93" ht="15" customHeight="1" outlineLevel="4" x14ac:dyDescent="0.4">
      <c r="A155" s="172"/>
      <c r="B155" s="172"/>
      <c r="C155" s="172">
        <v>5</v>
      </c>
      <c r="D155" s="173" t="s">
        <v>2093</v>
      </c>
      <c r="E155" s="174"/>
      <c r="F155" s="174"/>
      <c r="G155" s="174"/>
      <c r="H155" s="174"/>
      <c r="I155" s="174" t="s">
        <v>2081</v>
      </c>
      <c r="J155" s="174"/>
      <c r="K155" s="174"/>
      <c r="L155" s="174"/>
      <c r="M155" s="174"/>
      <c r="N155" s="174"/>
      <c r="O155" s="191" t="s">
        <v>1888</v>
      </c>
      <c r="P155" s="191" t="s">
        <v>1888</v>
      </c>
      <c r="Q155" s="179">
        <v>44915</v>
      </c>
      <c r="R155" s="179">
        <v>44924</v>
      </c>
      <c r="S155" s="177">
        <f>R155-Q155</f>
        <v>9</v>
      </c>
      <c r="T155" s="178">
        <v>10</v>
      </c>
      <c r="U155" s="178">
        <v>0</v>
      </c>
      <c r="V155" s="178">
        <v>10</v>
      </c>
      <c r="W155" s="178">
        <v>0</v>
      </c>
      <c r="X155" s="179"/>
      <c r="Y155" s="179"/>
      <c r="Z155" s="180"/>
      <c r="AA155" s="181">
        <v>0</v>
      </c>
      <c r="AB155" s="178">
        <v>1</v>
      </c>
      <c r="AC155" s="192"/>
      <c r="AD155" s="182"/>
      <c r="AE155" s="183">
        <v>0</v>
      </c>
      <c r="AF155" s="195">
        <v>0</v>
      </c>
      <c r="AG155" s="185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 t="str">
        <f>"  " &amp; TEXT(AF155,"#0.00%") &amp; " " &amp; "FOB" &amp; " " &amp; IF(Q155="","",TEXT(Q155,"M/D-")) &amp; IF(R155="","",TEXT(R155,"M/D")) &amp; " "</f>
        <v xml:space="preserve">  0.00% FOB 12/20-12/29 </v>
      </c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186"/>
      <c r="CO155" s="186"/>
    </row>
    <row r="156" spans="1:93" ht="15" customHeight="1" outlineLevel="2" x14ac:dyDescent="0.4">
      <c r="A156" s="172"/>
      <c r="B156" s="172" t="s">
        <v>1879</v>
      </c>
      <c r="C156" s="172">
        <v>3</v>
      </c>
      <c r="D156" s="173" t="s">
        <v>2094</v>
      </c>
      <c r="E156" s="174"/>
      <c r="F156" s="174"/>
      <c r="G156" s="174" t="s">
        <v>1899</v>
      </c>
      <c r="H156" s="174"/>
      <c r="I156" s="174"/>
      <c r="J156" s="174"/>
      <c r="K156" s="174"/>
      <c r="L156" s="174"/>
      <c r="M156" s="174"/>
      <c r="N156" s="174"/>
      <c r="O156" s="191" t="s">
        <v>1900</v>
      </c>
      <c r="P156" s="191"/>
      <c r="Q156" s="179">
        <v>44915</v>
      </c>
      <c r="R156" s="179">
        <v>44955</v>
      </c>
      <c r="S156" s="177"/>
      <c r="T156" s="178">
        <v>21</v>
      </c>
      <c r="U156" s="178">
        <v>0</v>
      </c>
      <c r="V156" s="178">
        <v>41</v>
      </c>
      <c r="W156" s="178">
        <v>0</v>
      </c>
      <c r="X156" s="179"/>
      <c r="Y156" s="179"/>
      <c r="Z156" s="180">
        <v>0</v>
      </c>
      <c r="AA156" s="181">
        <v>0</v>
      </c>
      <c r="AB156" s="178"/>
      <c r="AC156" s="192"/>
      <c r="AD156" s="182"/>
      <c r="AE156" s="183">
        <v>0</v>
      </c>
      <c r="AF156" s="207">
        <v>0</v>
      </c>
      <c r="AG156" s="185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 t="str">
        <f>"  " &amp; TEXT(AF156,"#0.00%") &amp; " "</f>
        <v xml:space="preserve">  0.00% </v>
      </c>
      <c r="BN156" s="186"/>
      <c r="BO156" s="186"/>
      <c r="BP156" s="186"/>
      <c r="BQ156" s="186"/>
      <c r="BR156" s="186"/>
      <c r="BS156" s="186" t="str">
        <f>" " &amp; "MSC Crane" &amp; " " &amp; IF(Q156="","",TEXT(Q156,"M/D-")) &amp; IF(R156="","",TEXT(R156,"M/D")) &amp; " "</f>
        <v xml:space="preserve"> MSC Crane 12/20-1/29 </v>
      </c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186"/>
      <c r="CO156" s="186"/>
    </row>
    <row r="157" spans="1:93" ht="15" customHeight="1" outlineLevel="3" x14ac:dyDescent="0.4">
      <c r="A157" s="172"/>
      <c r="B157" s="172" t="s">
        <v>1879</v>
      </c>
      <c r="C157" s="172">
        <v>4</v>
      </c>
      <c r="D157" s="173" t="s">
        <v>2095</v>
      </c>
      <c r="E157" s="174"/>
      <c r="F157" s="174"/>
      <c r="G157" s="174"/>
      <c r="H157" s="174" t="s">
        <v>1981</v>
      </c>
      <c r="I157" s="174"/>
      <c r="J157" s="174"/>
      <c r="K157" s="174"/>
      <c r="L157" s="174"/>
      <c r="M157" s="174"/>
      <c r="N157" s="174"/>
      <c r="O157" s="191" t="s">
        <v>1900</v>
      </c>
      <c r="P157" s="191" t="s">
        <v>1893</v>
      </c>
      <c r="Q157" s="179">
        <v>44915</v>
      </c>
      <c r="R157" s="179">
        <v>44925</v>
      </c>
      <c r="S157" s="177"/>
      <c r="T157" s="178">
        <v>11</v>
      </c>
      <c r="U157" s="178">
        <v>0</v>
      </c>
      <c r="V157" s="178">
        <v>11</v>
      </c>
      <c r="W157" s="178">
        <v>0</v>
      </c>
      <c r="X157" s="179"/>
      <c r="Y157" s="179"/>
      <c r="Z157" s="180">
        <v>0</v>
      </c>
      <c r="AA157" s="181">
        <v>0</v>
      </c>
      <c r="AB157" s="178"/>
      <c r="AC157" s="192"/>
      <c r="AD157" s="182"/>
      <c r="AE157" s="183">
        <v>0</v>
      </c>
      <c r="AF157" s="207">
        <v>0</v>
      </c>
      <c r="AG157" s="185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 t="str">
        <f>"  " &amp; TEXT(AF157,"#0.00%") &amp; " " &amp; "상온1,고온1,PPC,충방전" &amp; " " &amp; IF(Q157="","",TEXT(Q157,"M/D-")) &amp; IF(R157="","",TEXT(R157,"M/D")) &amp; " "</f>
        <v xml:space="preserve">  0.00% 상온1,고온1,PPC,충방전 12/20-12/30 </v>
      </c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186"/>
      <c r="CO157" s="186"/>
    </row>
    <row r="158" spans="1:93" ht="15" customHeight="1" outlineLevel="4" x14ac:dyDescent="0.4">
      <c r="A158" s="172"/>
      <c r="B158" s="172"/>
      <c r="C158" s="172">
        <v>5</v>
      </c>
      <c r="D158" s="173" t="s">
        <v>2096</v>
      </c>
      <c r="E158" s="174"/>
      <c r="F158" s="174"/>
      <c r="G158" s="174"/>
      <c r="H158" s="174"/>
      <c r="I158" s="174" t="s">
        <v>2081</v>
      </c>
      <c r="J158" s="174"/>
      <c r="K158" s="174"/>
      <c r="L158" s="174"/>
      <c r="M158" s="174"/>
      <c r="N158" s="174"/>
      <c r="O158" s="191" t="s">
        <v>1900</v>
      </c>
      <c r="P158" s="191" t="s">
        <v>1893</v>
      </c>
      <c r="Q158" s="179">
        <v>44915</v>
      </c>
      <c r="R158" s="179">
        <v>44925</v>
      </c>
      <c r="S158" s="177">
        <f>R158-Q158</f>
        <v>10</v>
      </c>
      <c r="T158" s="178">
        <v>11</v>
      </c>
      <c r="U158" s="178">
        <v>0</v>
      </c>
      <c r="V158" s="178">
        <v>11</v>
      </c>
      <c r="W158" s="178">
        <v>0</v>
      </c>
      <c r="X158" s="179"/>
      <c r="Y158" s="179"/>
      <c r="Z158" s="180"/>
      <c r="AA158" s="181">
        <v>0</v>
      </c>
      <c r="AB158" s="178">
        <v>1</v>
      </c>
      <c r="AC158" s="192"/>
      <c r="AD158" s="182"/>
      <c r="AE158" s="183">
        <v>0</v>
      </c>
      <c r="AF158" s="195">
        <v>0</v>
      </c>
      <c r="AG158" s="185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 t="str">
        <f>"  " &amp; TEXT(AF158,"#0.00%") &amp; " " &amp; "FOB" &amp; " " &amp; IF(Q158="","",TEXT(Q158,"M/D-")) &amp; IF(R158="","",TEXT(R158,"M/D")) &amp; " "</f>
        <v xml:space="preserve">  0.00% FOB 12/20-12/30 </v>
      </c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186"/>
      <c r="CO158" s="186"/>
    </row>
    <row r="159" spans="1:93" ht="15" customHeight="1" outlineLevel="3" x14ac:dyDescent="0.4">
      <c r="A159" s="172"/>
      <c r="B159" s="172" t="s">
        <v>1879</v>
      </c>
      <c r="C159" s="172">
        <v>4</v>
      </c>
      <c r="D159" s="173" t="s">
        <v>2097</v>
      </c>
      <c r="E159" s="174"/>
      <c r="F159" s="174"/>
      <c r="G159" s="174"/>
      <c r="H159" s="174" t="s">
        <v>1991</v>
      </c>
      <c r="I159" s="174"/>
      <c r="J159" s="174"/>
      <c r="K159" s="174"/>
      <c r="L159" s="174"/>
      <c r="M159" s="174"/>
      <c r="N159" s="174"/>
      <c r="O159" s="191" t="s">
        <v>1900</v>
      </c>
      <c r="P159" s="191" t="s">
        <v>1916</v>
      </c>
      <c r="Q159" s="179">
        <v>44946</v>
      </c>
      <c r="R159" s="179">
        <v>44955</v>
      </c>
      <c r="S159" s="177"/>
      <c r="T159" s="178">
        <v>10</v>
      </c>
      <c r="U159" s="178">
        <v>0</v>
      </c>
      <c r="V159" s="178">
        <v>10</v>
      </c>
      <c r="W159" s="178">
        <v>0</v>
      </c>
      <c r="X159" s="179"/>
      <c r="Y159" s="179"/>
      <c r="Z159" s="180">
        <v>0</v>
      </c>
      <c r="AA159" s="181">
        <v>0</v>
      </c>
      <c r="AB159" s="178"/>
      <c r="AC159" s="192"/>
      <c r="AD159" s="182"/>
      <c r="AE159" s="183">
        <v>0</v>
      </c>
      <c r="AF159" s="207">
        <v>0</v>
      </c>
      <c r="AG159" s="185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 t="str">
        <f>"     " &amp; TEXT(AF159,"#0.00%") &amp; " " &amp; "상온2,고온2" &amp; " " &amp; IF(Q159="","",TEXT(Q159,"M/D-")) &amp; IF(R159="","",TEXT(R159,"M/D")) &amp; " "</f>
        <v xml:space="preserve">     0.00% 상온2,고온2 1/20-1/29 </v>
      </c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</row>
    <row r="160" spans="1:93" ht="15" customHeight="1" outlineLevel="4" x14ac:dyDescent="0.4">
      <c r="A160" s="172"/>
      <c r="B160" s="172"/>
      <c r="C160" s="172">
        <v>5</v>
      </c>
      <c r="D160" s="173" t="s">
        <v>2098</v>
      </c>
      <c r="E160" s="174"/>
      <c r="F160" s="174"/>
      <c r="G160" s="174"/>
      <c r="H160" s="174"/>
      <c r="I160" s="174" t="s">
        <v>2081</v>
      </c>
      <c r="J160" s="174"/>
      <c r="K160" s="174"/>
      <c r="L160" s="174"/>
      <c r="M160" s="174"/>
      <c r="N160" s="174"/>
      <c r="O160" s="191" t="s">
        <v>1900</v>
      </c>
      <c r="P160" s="191" t="s">
        <v>1916</v>
      </c>
      <c r="Q160" s="179">
        <v>44946</v>
      </c>
      <c r="R160" s="179">
        <v>44955</v>
      </c>
      <c r="S160" s="177">
        <f>R160-Q160</f>
        <v>9</v>
      </c>
      <c r="T160" s="178">
        <v>10</v>
      </c>
      <c r="U160" s="178">
        <v>0</v>
      </c>
      <c r="V160" s="178">
        <v>10</v>
      </c>
      <c r="W160" s="178">
        <v>0</v>
      </c>
      <c r="X160" s="179"/>
      <c r="Y160" s="179"/>
      <c r="Z160" s="180"/>
      <c r="AA160" s="181">
        <v>0</v>
      </c>
      <c r="AB160" s="178">
        <v>1</v>
      </c>
      <c r="AC160" s="192"/>
      <c r="AD160" s="182"/>
      <c r="AE160" s="183">
        <v>0</v>
      </c>
      <c r="AF160" s="195">
        <v>0</v>
      </c>
      <c r="AG160" s="185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 t="str">
        <f>"     " &amp; TEXT(AF160,"#0.00%") &amp; " " &amp; "FOB" &amp; " " &amp; IF(Q160="","",TEXT(Q160,"M/D-")) &amp; IF(R160="","",TEXT(R160,"M/D")) &amp; " "</f>
        <v xml:space="preserve">     0.00% FOB 1/20-1/29 </v>
      </c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</row>
    <row r="161" spans="1:93" ht="15" customHeight="1" outlineLevel="2" x14ac:dyDescent="0.4">
      <c r="A161" s="172"/>
      <c r="B161" s="172" t="s">
        <v>1879</v>
      </c>
      <c r="C161" s="172">
        <v>3</v>
      </c>
      <c r="D161" s="173" t="s">
        <v>2099</v>
      </c>
      <c r="E161" s="174"/>
      <c r="F161" s="174"/>
      <c r="G161" s="193" t="s">
        <v>1922</v>
      </c>
      <c r="H161" s="174"/>
      <c r="I161" s="174"/>
      <c r="J161" s="174"/>
      <c r="K161" s="174"/>
      <c r="L161" s="174"/>
      <c r="M161" s="174"/>
      <c r="N161" s="174"/>
      <c r="O161" s="175" t="s">
        <v>1923</v>
      </c>
      <c r="P161" s="175"/>
      <c r="Q161" s="179">
        <v>44870</v>
      </c>
      <c r="R161" s="179">
        <v>44880</v>
      </c>
      <c r="S161" s="177"/>
      <c r="T161" s="178">
        <v>11</v>
      </c>
      <c r="U161" s="178">
        <v>0</v>
      </c>
      <c r="V161" s="178">
        <v>11</v>
      </c>
      <c r="W161" s="178">
        <v>0</v>
      </c>
      <c r="X161" s="179"/>
      <c r="Y161" s="179"/>
      <c r="Z161" s="180">
        <v>0</v>
      </c>
      <c r="AA161" s="181">
        <v>0</v>
      </c>
      <c r="AB161" s="178"/>
      <c r="AC161" s="177"/>
      <c r="AD161" s="182"/>
      <c r="AE161" s="183">
        <v>0</v>
      </c>
      <c r="AF161" s="207">
        <v>0</v>
      </c>
      <c r="AG161" s="185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 t="str">
        <f>"      " &amp; TEXT(AF161,"#0.00%") &amp; " " &amp; "환적 이재기" &amp; " " &amp; IF(Q161="","",TEXT(Q161,"M/D-")) &amp; IF(R161="","",TEXT(R161,"M/D")) &amp; " "</f>
        <v xml:space="preserve">      0.00% 환적 이재기 11/5-11/15 </v>
      </c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</row>
    <row r="162" spans="1:93" ht="15" customHeight="1" outlineLevel="3" x14ac:dyDescent="0.4">
      <c r="A162" s="172"/>
      <c r="B162" s="172" t="s">
        <v>1879</v>
      </c>
      <c r="C162" s="172">
        <v>4</v>
      </c>
      <c r="D162" s="173" t="s">
        <v>2100</v>
      </c>
      <c r="E162" s="174"/>
      <c r="F162" s="174"/>
      <c r="G162" s="174"/>
      <c r="H162" s="174" t="s">
        <v>2101</v>
      </c>
      <c r="I162" s="174"/>
      <c r="J162" s="174"/>
      <c r="K162" s="174"/>
      <c r="L162" s="174"/>
      <c r="M162" s="174"/>
      <c r="N162" s="174"/>
      <c r="O162" s="175" t="s">
        <v>1923</v>
      </c>
      <c r="P162" s="175" t="s">
        <v>1916</v>
      </c>
      <c r="Q162" s="179">
        <v>44870</v>
      </c>
      <c r="R162" s="179">
        <v>44880</v>
      </c>
      <c r="S162" s="177"/>
      <c r="T162" s="178">
        <v>11</v>
      </c>
      <c r="U162" s="178">
        <v>0</v>
      </c>
      <c r="V162" s="178">
        <v>11</v>
      </c>
      <c r="W162" s="178">
        <v>0</v>
      </c>
      <c r="X162" s="179"/>
      <c r="Y162" s="179"/>
      <c r="Z162" s="180">
        <v>0</v>
      </c>
      <c r="AA162" s="181">
        <v>0</v>
      </c>
      <c r="AB162" s="178"/>
      <c r="AC162" s="177"/>
      <c r="AD162" s="182"/>
      <c r="AE162" s="183">
        <v>0</v>
      </c>
      <c r="AF162" s="207">
        <v>0</v>
      </c>
      <c r="AG162" s="185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 t="str">
        <f>"      " &amp; TEXT(AF162,"#0.00%") &amp; " " &amp; "Cell 환적 이재기 (24set)" &amp; " " &amp; IF(Q162="","",TEXT(Q162,"M/D-")) &amp; IF(R162="","",TEXT(R162,"M/D")) &amp; " "</f>
        <v xml:space="preserve">      0.00% Cell 환적 이재기 (24set) 11/5-11/15 </v>
      </c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86"/>
    </row>
    <row r="163" spans="1:93" ht="15" customHeight="1" outlineLevel="4" x14ac:dyDescent="0.4">
      <c r="A163" s="172"/>
      <c r="B163" s="172"/>
      <c r="C163" s="172">
        <v>5</v>
      </c>
      <c r="D163" s="173" t="s">
        <v>2102</v>
      </c>
      <c r="E163" s="174"/>
      <c r="F163" s="174"/>
      <c r="G163" s="174"/>
      <c r="H163" s="174"/>
      <c r="I163" s="174" t="s">
        <v>2081</v>
      </c>
      <c r="J163" s="174"/>
      <c r="K163" s="174"/>
      <c r="L163" s="174"/>
      <c r="M163" s="174"/>
      <c r="N163" s="174"/>
      <c r="O163" s="175" t="s">
        <v>1923</v>
      </c>
      <c r="P163" s="175" t="s">
        <v>1916</v>
      </c>
      <c r="Q163" s="179">
        <v>44870</v>
      </c>
      <c r="R163" s="179">
        <v>44880</v>
      </c>
      <c r="S163" s="177">
        <f>R163-Q163</f>
        <v>10</v>
      </c>
      <c r="T163" s="178">
        <v>11</v>
      </c>
      <c r="U163" s="178">
        <v>0</v>
      </c>
      <c r="V163" s="178">
        <v>11</v>
      </c>
      <c r="W163" s="178">
        <v>0</v>
      </c>
      <c r="X163" s="179"/>
      <c r="Y163" s="179"/>
      <c r="Z163" s="180"/>
      <c r="AA163" s="181">
        <v>0</v>
      </c>
      <c r="AB163" s="178">
        <v>1</v>
      </c>
      <c r="AC163" s="177"/>
      <c r="AD163" s="182"/>
      <c r="AE163" s="183">
        <v>0</v>
      </c>
      <c r="AF163" s="195">
        <v>0</v>
      </c>
      <c r="AG163" s="185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 t="str">
        <f>"      " &amp; TEXT(AF163,"#0.00%") &amp; " " &amp; "FOB" &amp; " " &amp; IF(Q163="","",TEXT(Q163,"M/D-")) &amp; IF(R163="","",TEXT(R163,"M/D")) &amp; " "</f>
        <v xml:space="preserve">      0.00% FOB 11/5-11/15 </v>
      </c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</row>
    <row r="164" spans="1:93" ht="15" customHeight="1" outlineLevel="2" x14ac:dyDescent="0.4">
      <c r="A164" s="172"/>
      <c r="B164" s="172" t="s">
        <v>1879</v>
      </c>
      <c r="C164" s="172">
        <v>3</v>
      </c>
      <c r="D164" s="173" t="s">
        <v>2103</v>
      </c>
      <c r="E164" s="174"/>
      <c r="F164" s="174"/>
      <c r="G164" s="174" t="s">
        <v>1933</v>
      </c>
      <c r="H164" s="174"/>
      <c r="I164" s="174"/>
      <c r="J164" s="174"/>
      <c r="K164" s="174"/>
      <c r="L164" s="174"/>
      <c r="M164" s="174"/>
      <c r="N164" s="174"/>
      <c r="O164" s="175" t="s">
        <v>1934</v>
      </c>
      <c r="P164" s="175"/>
      <c r="Q164" s="179">
        <v>44870</v>
      </c>
      <c r="R164" s="179">
        <v>44988</v>
      </c>
      <c r="S164" s="177"/>
      <c r="T164" s="178">
        <v>60</v>
      </c>
      <c r="U164" s="178">
        <v>0</v>
      </c>
      <c r="V164" s="178">
        <v>119</v>
      </c>
      <c r="W164" s="178">
        <v>0</v>
      </c>
      <c r="X164" s="179"/>
      <c r="Y164" s="179"/>
      <c r="Z164" s="180">
        <v>0</v>
      </c>
      <c r="AA164" s="181">
        <v>0</v>
      </c>
      <c r="AB164" s="178"/>
      <c r="AC164" s="177"/>
      <c r="AD164" s="182"/>
      <c r="AE164" s="183">
        <v>0</v>
      </c>
      <c r="AF164" s="207">
        <v>0</v>
      </c>
      <c r="AG164" s="185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 t="str">
        <f>"      " &amp; TEXT(AF164,"#0.00%") &amp; " "</f>
        <v xml:space="preserve">      0.00% </v>
      </c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 t="str">
        <f>"      " &amp; "Conveyor" &amp; " " &amp; IF(Q164="","",TEXT(Q164,"M/D-")) &amp; IF(R164="","",TEXT(R164,"M/D")) &amp; " "</f>
        <v xml:space="preserve">      Conveyor 11/5-3/3 </v>
      </c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</row>
    <row r="165" spans="1:93" ht="15" customHeight="1" outlineLevel="3" x14ac:dyDescent="0.4">
      <c r="A165" s="172"/>
      <c r="B165" s="172" t="s">
        <v>1879</v>
      </c>
      <c r="C165" s="172">
        <v>4</v>
      </c>
      <c r="D165" s="173" t="s">
        <v>2104</v>
      </c>
      <c r="E165" s="174"/>
      <c r="F165" s="174"/>
      <c r="G165" s="174"/>
      <c r="H165" s="174" t="s">
        <v>2005</v>
      </c>
      <c r="I165" s="174"/>
      <c r="J165" s="174"/>
      <c r="K165" s="174"/>
      <c r="L165" s="174"/>
      <c r="M165" s="174"/>
      <c r="N165" s="174"/>
      <c r="O165" s="175" t="s">
        <v>1934</v>
      </c>
      <c r="P165" s="175"/>
      <c r="Q165" s="179">
        <v>44870</v>
      </c>
      <c r="R165" s="179">
        <v>44879</v>
      </c>
      <c r="S165" s="177"/>
      <c r="T165" s="178">
        <v>10</v>
      </c>
      <c r="U165" s="178">
        <v>0</v>
      </c>
      <c r="V165" s="178">
        <v>10</v>
      </c>
      <c r="W165" s="178">
        <v>0</v>
      </c>
      <c r="X165" s="179"/>
      <c r="Y165" s="179"/>
      <c r="Z165" s="180">
        <v>0</v>
      </c>
      <c r="AA165" s="181">
        <v>0</v>
      </c>
      <c r="AB165" s="178"/>
      <c r="AC165" s="177"/>
      <c r="AD165" s="182"/>
      <c r="AE165" s="183">
        <v>0</v>
      </c>
      <c r="AF165" s="207">
        <v>0</v>
      </c>
      <c r="AG165" s="185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 t="str">
        <f>"      " &amp; TEXT(AF165,"#0.00%") &amp; " " &amp; "PPC&amp;충방-C/V" &amp; " " &amp; IF(Q165="","",TEXT(Q165,"M/D-")) &amp; IF(R165="","",TEXT(R165,"M/D")) &amp; " "</f>
        <v xml:space="preserve">      0.00% PPC&amp;충방-C/V 11/5-11/14 </v>
      </c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</row>
    <row r="166" spans="1:93" ht="15" customHeight="1" outlineLevel="4" x14ac:dyDescent="0.4">
      <c r="A166" s="172"/>
      <c r="B166" s="172"/>
      <c r="C166" s="172">
        <v>5</v>
      </c>
      <c r="D166" s="173" t="s">
        <v>2105</v>
      </c>
      <c r="E166" s="174"/>
      <c r="F166" s="174"/>
      <c r="G166" s="174"/>
      <c r="H166" s="174"/>
      <c r="I166" s="174" t="s">
        <v>2081</v>
      </c>
      <c r="J166" s="174"/>
      <c r="K166" s="174"/>
      <c r="L166" s="174"/>
      <c r="M166" s="174"/>
      <c r="N166" s="174"/>
      <c r="O166" s="175" t="s">
        <v>1934</v>
      </c>
      <c r="P166" s="175" t="s">
        <v>1893</v>
      </c>
      <c r="Q166" s="179">
        <v>44870</v>
      </c>
      <c r="R166" s="179">
        <v>44879</v>
      </c>
      <c r="S166" s="177">
        <f>R166-Q166</f>
        <v>9</v>
      </c>
      <c r="T166" s="178">
        <v>10</v>
      </c>
      <c r="U166" s="178">
        <v>0</v>
      </c>
      <c r="V166" s="178">
        <v>10</v>
      </c>
      <c r="W166" s="178">
        <v>0</v>
      </c>
      <c r="X166" s="179"/>
      <c r="Y166" s="179"/>
      <c r="Z166" s="180"/>
      <c r="AA166" s="181">
        <v>0</v>
      </c>
      <c r="AB166" s="178">
        <v>1</v>
      </c>
      <c r="AC166" s="177"/>
      <c r="AD166" s="182"/>
      <c r="AE166" s="183">
        <v>0</v>
      </c>
      <c r="AF166" s="195">
        <v>0</v>
      </c>
      <c r="AG166" s="185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 t="str">
        <f>"      " &amp; TEXT(AF166,"#0.00%") &amp; " " &amp; "FOB" &amp; " " &amp; IF(Q166="","",TEXT(Q166,"M/D-")) &amp; IF(R166="","",TEXT(R166,"M/D")) &amp; " "</f>
        <v xml:space="preserve">      0.00% FOB 11/5-11/14 </v>
      </c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</row>
    <row r="167" spans="1:93" ht="15" customHeight="1" outlineLevel="3" x14ac:dyDescent="0.4">
      <c r="A167" s="172"/>
      <c r="B167" s="172" t="s">
        <v>1879</v>
      </c>
      <c r="C167" s="172">
        <v>4</v>
      </c>
      <c r="D167" s="173" t="s">
        <v>2106</v>
      </c>
      <c r="E167" s="174"/>
      <c r="F167" s="174"/>
      <c r="G167" s="174"/>
      <c r="H167" s="174" t="s">
        <v>2011</v>
      </c>
      <c r="I167" s="174"/>
      <c r="J167" s="174"/>
      <c r="K167" s="174"/>
      <c r="L167" s="174"/>
      <c r="M167" s="174"/>
      <c r="N167" s="174"/>
      <c r="O167" s="175" t="s">
        <v>1934</v>
      </c>
      <c r="P167" s="175"/>
      <c r="Q167" s="179">
        <v>44900</v>
      </c>
      <c r="R167" s="179">
        <v>44909</v>
      </c>
      <c r="S167" s="177"/>
      <c r="T167" s="178">
        <v>10</v>
      </c>
      <c r="U167" s="178">
        <v>0</v>
      </c>
      <c r="V167" s="178">
        <v>10</v>
      </c>
      <c r="W167" s="178">
        <v>0</v>
      </c>
      <c r="X167" s="179"/>
      <c r="Y167" s="179"/>
      <c r="Z167" s="180">
        <v>0</v>
      </c>
      <c r="AA167" s="181">
        <v>0</v>
      </c>
      <c r="AB167" s="178"/>
      <c r="AC167" s="177"/>
      <c r="AD167" s="182"/>
      <c r="AE167" s="183">
        <v>0</v>
      </c>
      <c r="AF167" s="207">
        <v>0</v>
      </c>
      <c r="AG167" s="185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 t="str">
        <f>" " &amp; TEXT(AF167,"#0.00%") &amp; " " &amp; "조립&amp;후단물류-Deck, Lifter" &amp; " " &amp; IF(Q167="","",TEXT(Q167,"M/D-")) &amp; IF(R167="","",TEXT(R167,"M/D")) &amp; " "</f>
        <v xml:space="preserve"> 0.00% 조립&amp;후단물류-Deck, Lifter 12/5-12/14 </v>
      </c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</row>
    <row r="168" spans="1:93" ht="15" customHeight="1" outlineLevel="4" x14ac:dyDescent="0.4">
      <c r="A168" s="172"/>
      <c r="B168" s="172"/>
      <c r="C168" s="172">
        <v>5</v>
      </c>
      <c r="D168" s="173" t="s">
        <v>2107</v>
      </c>
      <c r="E168" s="174"/>
      <c r="F168" s="174"/>
      <c r="G168" s="174"/>
      <c r="H168" s="174"/>
      <c r="I168" s="174" t="s">
        <v>2081</v>
      </c>
      <c r="J168" s="174"/>
      <c r="K168" s="174"/>
      <c r="L168" s="174"/>
      <c r="M168" s="174"/>
      <c r="N168" s="174"/>
      <c r="O168" s="175" t="s">
        <v>1934</v>
      </c>
      <c r="P168" s="175" t="s">
        <v>1893</v>
      </c>
      <c r="Q168" s="179">
        <v>44900</v>
      </c>
      <c r="R168" s="179">
        <v>44909</v>
      </c>
      <c r="S168" s="177">
        <f>R168-Q168</f>
        <v>9</v>
      </c>
      <c r="T168" s="178">
        <v>10</v>
      </c>
      <c r="U168" s="178">
        <v>0</v>
      </c>
      <c r="V168" s="178">
        <v>10</v>
      </c>
      <c r="W168" s="178">
        <v>0</v>
      </c>
      <c r="X168" s="179"/>
      <c r="Y168" s="179"/>
      <c r="Z168" s="180"/>
      <c r="AA168" s="181">
        <v>0</v>
      </c>
      <c r="AB168" s="178">
        <v>1</v>
      </c>
      <c r="AC168" s="177"/>
      <c r="AD168" s="182"/>
      <c r="AE168" s="183">
        <v>0</v>
      </c>
      <c r="AF168" s="195">
        <v>0</v>
      </c>
      <c r="AG168" s="185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 t="str">
        <f>" " &amp; TEXT(AF168,"#0.00%") &amp; " " &amp; "FOB" &amp; " " &amp; IF(Q168="","",TEXT(Q168,"M/D-")) &amp; IF(R168="","",TEXT(R168,"M/D")) &amp; " "</f>
        <v xml:space="preserve"> 0.00% FOB 12/5-12/14 </v>
      </c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</row>
    <row r="169" spans="1:93" ht="15" customHeight="1" outlineLevel="3" x14ac:dyDescent="0.4">
      <c r="A169" s="172"/>
      <c r="B169" s="172" t="s">
        <v>1879</v>
      </c>
      <c r="C169" s="172">
        <v>4</v>
      </c>
      <c r="D169" s="173" t="s">
        <v>2108</v>
      </c>
      <c r="E169" s="174"/>
      <c r="F169" s="174"/>
      <c r="G169" s="174"/>
      <c r="H169" s="174" t="s">
        <v>2017</v>
      </c>
      <c r="I169" s="174"/>
      <c r="J169" s="174"/>
      <c r="K169" s="174"/>
      <c r="L169" s="174"/>
      <c r="M169" s="174"/>
      <c r="N169" s="174"/>
      <c r="O169" s="175" t="s">
        <v>1934</v>
      </c>
      <c r="P169" s="175" t="s">
        <v>1916</v>
      </c>
      <c r="Q169" s="179">
        <v>44931</v>
      </c>
      <c r="R169" s="179">
        <v>44940</v>
      </c>
      <c r="S169" s="177"/>
      <c r="T169" s="178">
        <v>10</v>
      </c>
      <c r="U169" s="178">
        <v>0</v>
      </c>
      <c r="V169" s="178">
        <v>10</v>
      </c>
      <c r="W169" s="178">
        <v>0</v>
      </c>
      <c r="X169" s="179"/>
      <c r="Y169" s="179"/>
      <c r="Z169" s="180">
        <v>0</v>
      </c>
      <c r="AA169" s="181">
        <v>0</v>
      </c>
      <c r="AB169" s="178"/>
      <c r="AC169" s="177"/>
      <c r="AD169" s="182"/>
      <c r="AE169" s="183">
        <v>0</v>
      </c>
      <c r="AF169" s="207">
        <v>0</v>
      </c>
      <c r="AG169" s="185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 t="str">
        <f>"    " &amp; TEXT(AF169,"#0.00%") &amp; " " &amp; "동간물류(1) &amp; 조립후단/Aging - C/V" &amp; " " &amp; IF(Q169="","",TEXT(Q169,"M/D-")) &amp; IF(R169="","",TEXT(R169,"M/D")) &amp; " "</f>
        <v xml:space="preserve">    0.00% 동간물류(1) &amp; 조립후단/Aging - C/V 1/5-1/14 </v>
      </c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</row>
    <row r="170" spans="1:93" ht="15" customHeight="1" outlineLevel="4" x14ac:dyDescent="0.4">
      <c r="A170" s="172"/>
      <c r="B170" s="172"/>
      <c r="C170" s="172">
        <v>5</v>
      </c>
      <c r="D170" s="173" t="s">
        <v>2109</v>
      </c>
      <c r="E170" s="174"/>
      <c r="F170" s="174"/>
      <c r="G170" s="174"/>
      <c r="H170" s="174"/>
      <c r="I170" s="174" t="s">
        <v>2081</v>
      </c>
      <c r="J170" s="174"/>
      <c r="K170" s="174"/>
      <c r="L170" s="174"/>
      <c r="M170" s="174"/>
      <c r="N170" s="174"/>
      <c r="O170" s="175" t="s">
        <v>1934</v>
      </c>
      <c r="P170" s="175" t="s">
        <v>1916</v>
      </c>
      <c r="Q170" s="179">
        <v>44931</v>
      </c>
      <c r="R170" s="179">
        <v>44940</v>
      </c>
      <c r="S170" s="177">
        <f>R170-Q170</f>
        <v>9</v>
      </c>
      <c r="T170" s="178">
        <v>10</v>
      </c>
      <c r="U170" s="178">
        <v>0</v>
      </c>
      <c r="V170" s="178">
        <v>10</v>
      </c>
      <c r="W170" s="178">
        <v>0</v>
      </c>
      <c r="X170" s="179"/>
      <c r="Y170" s="179"/>
      <c r="Z170" s="180"/>
      <c r="AA170" s="181">
        <v>0</v>
      </c>
      <c r="AB170" s="178">
        <v>1</v>
      </c>
      <c r="AC170" s="177"/>
      <c r="AD170" s="182"/>
      <c r="AE170" s="183">
        <v>0</v>
      </c>
      <c r="AF170" s="195">
        <v>0</v>
      </c>
      <c r="AG170" s="185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 t="str">
        <f>"    " &amp; TEXT(AF170,"#0.00%") &amp; " " &amp; "FOB" &amp; " " &amp; IF(Q170="","",TEXT(Q170,"M/D-")) &amp; IF(R170="","",TEXT(R170,"M/D")) &amp; " "</f>
        <v xml:space="preserve">    0.00% FOB 1/5-1/14 </v>
      </c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</row>
    <row r="171" spans="1:93" ht="15" customHeight="1" outlineLevel="3" x14ac:dyDescent="0.4">
      <c r="A171" s="172"/>
      <c r="B171" s="172" t="s">
        <v>1879</v>
      </c>
      <c r="C171" s="172">
        <v>4</v>
      </c>
      <c r="D171" s="173" t="s">
        <v>2110</v>
      </c>
      <c r="E171" s="174"/>
      <c r="F171" s="174"/>
      <c r="G171" s="174"/>
      <c r="H171" s="174" t="s">
        <v>2023</v>
      </c>
      <c r="I171" s="174"/>
      <c r="J171" s="174"/>
      <c r="K171" s="174"/>
      <c r="L171" s="174"/>
      <c r="M171" s="174"/>
      <c r="N171" s="174"/>
      <c r="O171" s="175" t="s">
        <v>1934</v>
      </c>
      <c r="P171" s="175" t="s">
        <v>1888</v>
      </c>
      <c r="Q171" s="179">
        <v>44946</v>
      </c>
      <c r="R171" s="179">
        <v>44955</v>
      </c>
      <c r="S171" s="177"/>
      <c r="T171" s="178">
        <v>10</v>
      </c>
      <c r="U171" s="178">
        <v>0</v>
      </c>
      <c r="V171" s="178">
        <v>10</v>
      </c>
      <c r="W171" s="178">
        <v>0</v>
      </c>
      <c r="X171" s="179"/>
      <c r="Y171" s="179"/>
      <c r="Z171" s="180">
        <v>0</v>
      </c>
      <c r="AA171" s="181">
        <v>0</v>
      </c>
      <c r="AB171" s="178"/>
      <c r="AC171" s="177"/>
      <c r="AD171" s="182"/>
      <c r="AE171" s="183">
        <v>0</v>
      </c>
      <c r="AF171" s="207">
        <v>0</v>
      </c>
      <c r="AG171" s="185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 t="str">
        <f>"     " &amp; TEXT(AF171,"#0.00%") &amp; " " &amp; "동간물류(2) &amp; 화성동(1)/NG Line - C/V" &amp; " " &amp; IF(Q171="","",TEXT(Q171,"M/D-")) &amp; IF(R171="","",TEXT(R171,"M/D")) &amp; " "</f>
        <v xml:space="preserve">     0.00% 동간물류(2) &amp; 화성동(1)/NG Line - C/V 1/20-1/29 </v>
      </c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86"/>
      <c r="CO171" s="186"/>
    </row>
    <row r="172" spans="1:93" ht="15" customHeight="1" outlineLevel="4" x14ac:dyDescent="0.4">
      <c r="A172" s="172"/>
      <c r="B172" s="172"/>
      <c r="C172" s="172">
        <v>5</v>
      </c>
      <c r="D172" s="173" t="s">
        <v>2111</v>
      </c>
      <c r="E172" s="174"/>
      <c r="F172" s="174"/>
      <c r="G172" s="174"/>
      <c r="H172" s="174"/>
      <c r="I172" s="174" t="s">
        <v>2081</v>
      </c>
      <c r="J172" s="174"/>
      <c r="K172" s="174"/>
      <c r="L172" s="174"/>
      <c r="M172" s="174"/>
      <c r="N172" s="174"/>
      <c r="O172" s="175" t="s">
        <v>1934</v>
      </c>
      <c r="P172" s="175" t="s">
        <v>1888</v>
      </c>
      <c r="Q172" s="179">
        <v>44946</v>
      </c>
      <c r="R172" s="179">
        <v>44955</v>
      </c>
      <c r="S172" s="177">
        <f>R172-Q172</f>
        <v>9</v>
      </c>
      <c r="T172" s="178">
        <v>10</v>
      </c>
      <c r="U172" s="178">
        <v>0</v>
      </c>
      <c r="V172" s="178">
        <v>10</v>
      </c>
      <c r="W172" s="178">
        <v>0</v>
      </c>
      <c r="X172" s="179"/>
      <c r="Y172" s="179"/>
      <c r="Z172" s="180"/>
      <c r="AA172" s="181">
        <v>0</v>
      </c>
      <c r="AB172" s="178">
        <v>1</v>
      </c>
      <c r="AC172" s="177"/>
      <c r="AD172" s="182"/>
      <c r="AE172" s="183">
        <v>0</v>
      </c>
      <c r="AF172" s="195">
        <v>0</v>
      </c>
      <c r="AG172" s="185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 t="str">
        <f>"     " &amp; TEXT(AF172,"#0.00%") &amp; " " &amp; "FOB" &amp; " " &amp; IF(Q172="","",TEXT(Q172,"M/D-")) &amp; IF(R172="","",TEXT(R172,"M/D")) &amp; " "</f>
        <v xml:space="preserve">     0.00% FOB 1/20-1/29 </v>
      </c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</row>
    <row r="173" spans="1:93" ht="15" customHeight="1" outlineLevel="3" x14ac:dyDescent="0.4">
      <c r="A173" s="172"/>
      <c r="B173" s="172" t="s">
        <v>1879</v>
      </c>
      <c r="C173" s="172">
        <v>4</v>
      </c>
      <c r="D173" s="173" t="s">
        <v>2112</v>
      </c>
      <c r="E173" s="174"/>
      <c r="F173" s="174"/>
      <c r="G173" s="174"/>
      <c r="H173" s="174" t="s">
        <v>2029</v>
      </c>
      <c r="I173" s="174"/>
      <c r="J173" s="174"/>
      <c r="K173" s="174"/>
      <c r="L173" s="174"/>
      <c r="M173" s="174"/>
      <c r="N173" s="174"/>
      <c r="O173" s="175" t="s">
        <v>1934</v>
      </c>
      <c r="P173" s="175" t="s">
        <v>1888</v>
      </c>
      <c r="Q173" s="179">
        <v>44962</v>
      </c>
      <c r="R173" s="179">
        <v>44971</v>
      </c>
      <c r="S173" s="177"/>
      <c r="T173" s="178">
        <v>10</v>
      </c>
      <c r="U173" s="178">
        <v>0</v>
      </c>
      <c r="V173" s="178">
        <v>10</v>
      </c>
      <c r="W173" s="178">
        <v>0</v>
      </c>
      <c r="X173" s="179"/>
      <c r="Y173" s="179"/>
      <c r="Z173" s="180">
        <v>0</v>
      </c>
      <c r="AA173" s="181">
        <v>0</v>
      </c>
      <c r="AB173" s="178"/>
      <c r="AC173" s="177"/>
      <c r="AD173" s="182"/>
      <c r="AE173" s="183">
        <v>0</v>
      </c>
      <c r="AF173" s="207">
        <v>0</v>
      </c>
      <c r="AG173" s="185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 t="str">
        <f>"" &amp; TEXT(AF173,"#0.00%") &amp; " " &amp; "조립동(1) &amp; 화성동(2)/후단물류 - C/V" &amp; " " &amp; IF(Q173="","",TEXT(Q173,"M/D-")) &amp; IF(R173="","",TEXT(R173,"M/D")) &amp; " "</f>
        <v xml:space="preserve">0.00% 조립동(1) &amp; 화성동(2)/후단물류 - C/V 2/5-2/14 </v>
      </c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186"/>
      <c r="CO173" s="186"/>
    </row>
    <row r="174" spans="1:93" ht="15" customHeight="1" outlineLevel="4" x14ac:dyDescent="0.4">
      <c r="A174" s="172"/>
      <c r="B174" s="172"/>
      <c r="C174" s="172">
        <v>5</v>
      </c>
      <c r="D174" s="173" t="s">
        <v>2113</v>
      </c>
      <c r="E174" s="174"/>
      <c r="F174" s="174"/>
      <c r="G174" s="174"/>
      <c r="H174" s="174"/>
      <c r="I174" s="174" t="s">
        <v>2081</v>
      </c>
      <c r="J174" s="174"/>
      <c r="K174" s="174"/>
      <c r="L174" s="174"/>
      <c r="M174" s="174"/>
      <c r="N174" s="174"/>
      <c r="O174" s="175" t="s">
        <v>1934</v>
      </c>
      <c r="P174" s="175" t="s">
        <v>1888</v>
      </c>
      <c r="Q174" s="179">
        <v>44962</v>
      </c>
      <c r="R174" s="179">
        <v>44971</v>
      </c>
      <c r="S174" s="177">
        <f>R174-Q174</f>
        <v>9</v>
      </c>
      <c r="T174" s="178">
        <v>10</v>
      </c>
      <c r="U174" s="178">
        <v>0</v>
      </c>
      <c r="V174" s="178">
        <v>10</v>
      </c>
      <c r="W174" s="178">
        <v>0</v>
      </c>
      <c r="X174" s="179"/>
      <c r="Y174" s="179"/>
      <c r="Z174" s="180"/>
      <c r="AA174" s="181">
        <v>0</v>
      </c>
      <c r="AB174" s="178">
        <v>1</v>
      </c>
      <c r="AC174" s="177"/>
      <c r="AD174" s="182"/>
      <c r="AE174" s="183">
        <v>0</v>
      </c>
      <c r="AF174" s="195">
        <v>0</v>
      </c>
      <c r="AG174" s="185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 t="str">
        <f>"" &amp; TEXT(AF174,"#0.00%") &amp; " " &amp; "FOB" &amp; " " &amp; IF(Q174="","",TEXT(Q174,"M/D-")) &amp; IF(R174="","",TEXT(R174,"M/D")) &amp; " "</f>
        <v xml:space="preserve">0.00% FOB 2/5-2/14 </v>
      </c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186"/>
      <c r="CO174" s="186"/>
    </row>
    <row r="175" spans="1:93" ht="15" customHeight="1" outlineLevel="3" x14ac:dyDescent="0.4">
      <c r="A175" s="172"/>
      <c r="B175" s="172" t="s">
        <v>1879</v>
      </c>
      <c r="C175" s="172">
        <v>4</v>
      </c>
      <c r="D175" s="173" t="s">
        <v>2114</v>
      </c>
      <c r="E175" s="174"/>
      <c r="F175" s="174"/>
      <c r="G175" s="174"/>
      <c r="H175" s="197" t="s">
        <v>2035</v>
      </c>
      <c r="I175" s="174"/>
      <c r="J175" s="174"/>
      <c r="K175" s="174"/>
      <c r="L175" s="174"/>
      <c r="M175" s="174"/>
      <c r="N175" s="174"/>
      <c r="O175" s="175" t="s">
        <v>1934</v>
      </c>
      <c r="P175" s="175" t="s">
        <v>1888</v>
      </c>
      <c r="Q175" s="179">
        <v>44979</v>
      </c>
      <c r="R175" s="179">
        <v>44988</v>
      </c>
      <c r="S175" s="177"/>
      <c r="T175" s="178">
        <v>10</v>
      </c>
      <c r="U175" s="178">
        <v>0</v>
      </c>
      <c r="V175" s="178">
        <v>10</v>
      </c>
      <c r="W175" s="178">
        <v>0</v>
      </c>
      <c r="X175" s="179"/>
      <c r="Y175" s="179"/>
      <c r="Z175" s="180">
        <v>0</v>
      </c>
      <c r="AA175" s="181">
        <v>0</v>
      </c>
      <c r="AB175" s="178"/>
      <c r="AC175" s="177"/>
      <c r="AD175" s="182"/>
      <c r="AE175" s="183">
        <v>0</v>
      </c>
      <c r="AF175" s="207">
        <v>0</v>
      </c>
      <c r="AG175" s="185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 t="str">
        <f>"   " &amp; TEXT(AF175,"#0.00%") &amp; " " &amp; "조립동(2) &amp; 화성동(3) - C/V,Fence" &amp; " " &amp; IF(Q175="","",TEXT(Q175,"M/D-")) &amp; IF(R175="","",TEXT(R175,"M/D")) &amp; " "</f>
        <v xml:space="preserve">   0.00% 조립동(2) &amp; 화성동(3) - C/V,Fence 2/22-3/3 </v>
      </c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</row>
    <row r="176" spans="1:93" ht="15" customHeight="1" outlineLevel="4" x14ac:dyDescent="0.4">
      <c r="A176" s="172"/>
      <c r="B176" s="172"/>
      <c r="C176" s="172">
        <v>5</v>
      </c>
      <c r="D176" s="173" t="s">
        <v>2115</v>
      </c>
      <c r="E176" s="174"/>
      <c r="F176" s="174"/>
      <c r="G176" s="174"/>
      <c r="H176" s="174"/>
      <c r="I176" s="174" t="s">
        <v>2081</v>
      </c>
      <c r="J176" s="174"/>
      <c r="K176" s="174"/>
      <c r="L176" s="174"/>
      <c r="M176" s="174"/>
      <c r="N176" s="174"/>
      <c r="O176" s="175" t="s">
        <v>1934</v>
      </c>
      <c r="P176" s="175" t="s">
        <v>1888</v>
      </c>
      <c r="Q176" s="179">
        <v>44979</v>
      </c>
      <c r="R176" s="179">
        <v>44988</v>
      </c>
      <c r="S176" s="177">
        <f>R176-Q176</f>
        <v>9</v>
      </c>
      <c r="T176" s="178">
        <v>10</v>
      </c>
      <c r="U176" s="178">
        <v>0</v>
      </c>
      <c r="V176" s="178">
        <v>10</v>
      </c>
      <c r="W176" s="178">
        <v>0</v>
      </c>
      <c r="X176" s="179"/>
      <c r="Y176" s="179"/>
      <c r="Z176" s="180"/>
      <c r="AA176" s="181">
        <v>0</v>
      </c>
      <c r="AB176" s="178">
        <v>1</v>
      </c>
      <c r="AC176" s="177"/>
      <c r="AD176" s="182"/>
      <c r="AE176" s="183">
        <v>0</v>
      </c>
      <c r="AF176" s="195">
        <v>0</v>
      </c>
      <c r="AG176" s="185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 t="str">
        <f>"   " &amp; TEXT(AF176,"#0.00%") &amp; " " &amp; "FOB" &amp; " " &amp; IF(Q176="","",TEXT(Q176,"M/D-")) &amp; IF(R176="","",TEXT(R176,"M/D")) &amp; " "</f>
        <v xml:space="preserve">   0.00% FOB 2/22-3/3 </v>
      </c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86"/>
    </row>
    <row r="177" spans="1:93" ht="15" customHeight="1" outlineLevel="2" x14ac:dyDescent="0.4">
      <c r="A177" s="172"/>
      <c r="B177" s="172" t="s">
        <v>1879</v>
      </c>
      <c r="C177" s="172">
        <v>3</v>
      </c>
      <c r="D177" s="173" t="s">
        <v>2116</v>
      </c>
      <c r="E177" s="174"/>
      <c r="F177" s="174"/>
      <c r="G177" s="174" t="s">
        <v>1940</v>
      </c>
      <c r="H177" s="174"/>
      <c r="I177" s="174"/>
      <c r="J177" s="174"/>
      <c r="K177" s="174"/>
      <c r="L177" s="174"/>
      <c r="M177" s="174"/>
      <c r="N177" s="174"/>
      <c r="O177" s="175" t="s">
        <v>1941</v>
      </c>
      <c r="P177" s="175"/>
      <c r="Q177" s="179">
        <v>44900</v>
      </c>
      <c r="R177" s="179">
        <v>44924</v>
      </c>
      <c r="S177" s="177"/>
      <c r="T177" s="178">
        <v>20</v>
      </c>
      <c r="U177" s="178">
        <v>0</v>
      </c>
      <c r="V177" s="178">
        <v>25</v>
      </c>
      <c r="W177" s="178">
        <v>0</v>
      </c>
      <c r="X177" s="179"/>
      <c r="Y177" s="179"/>
      <c r="Z177" s="180">
        <v>0</v>
      </c>
      <c r="AA177" s="181">
        <v>0</v>
      </c>
      <c r="AB177" s="178"/>
      <c r="AC177" s="177"/>
      <c r="AD177" s="182"/>
      <c r="AE177" s="183">
        <v>0</v>
      </c>
      <c r="AF177" s="207">
        <v>0</v>
      </c>
      <c r="AG177" s="185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 t="str">
        <f>" " &amp; TEXT(AF177,"#0.00%") &amp; " "</f>
        <v xml:space="preserve"> 0.00% </v>
      </c>
      <c r="BL177" s="186"/>
      <c r="BM177" s="186"/>
      <c r="BN177" s="186" t="str">
        <f>"     " &amp; "Lifter" &amp; " " &amp; IF(Q177="","",TEXT(Q177,"M/D-")) &amp; IF(R177="","",TEXT(R177,"M/D")) &amp; " "</f>
        <v xml:space="preserve">     Lifter 12/5-12/29 </v>
      </c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86"/>
    </row>
    <row r="178" spans="1:93" ht="15" customHeight="1" outlineLevel="3" x14ac:dyDescent="0.4">
      <c r="A178" s="172"/>
      <c r="B178" s="172" t="s">
        <v>1879</v>
      </c>
      <c r="C178" s="172">
        <v>4</v>
      </c>
      <c r="D178" s="173" t="s">
        <v>2117</v>
      </c>
      <c r="E178" s="174"/>
      <c r="F178" s="174"/>
      <c r="G178" s="174"/>
      <c r="H178" s="174" t="s">
        <v>2042</v>
      </c>
      <c r="I178" s="174"/>
      <c r="J178" s="174"/>
      <c r="K178" s="174"/>
      <c r="L178" s="174"/>
      <c r="M178" s="174"/>
      <c r="N178" s="174"/>
      <c r="O178" s="175" t="s">
        <v>1941</v>
      </c>
      <c r="P178" s="175" t="s">
        <v>1888</v>
      </c>
      <c r="Q178" s="179">
        <v>44900</v>
      </c>
      <c r="R178" s="179">
        <v>44909</v>
      </c>
      <c r="S178" s="177"/>
      <c r="T178" s="178">
        <v>10</v>
      </c>
      <c r="U178" s="178">
        <v>0</v>
      </c>
      <c r="V178" s="178">
        <v>10</v>
      </c>
      <c r="W178" s="178">
        <v>0</v>
      </c>
      <c r="X178" s="179"/>
      <c r="Y178" s="179"/>
      <c r="Z178" s="180">
        <v>0</v>
      </c>
      <c r="AA178" s="181">
        <v>0</v>
      </c>
      <c r="AB178" s="178"/>
      <c r="AC178" s="177"/>
      <c r="AD178" s="182"/>
      <c r="AE178" s="183">
        <v>0</v>
      </c>
      <c r="AF178" s="207">
        <v>0</v>
      </c>
      <c r="AG178" s="185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 t="str">
        <f>" " &amp; TEXT(AF178,"#0.00%") &amp; " " &amp; "상온,고온 Aging + PPC,충방전" &amp; " " &amp; IF(Q178="","",TEXT(Q178,"M/D-")) &amp; IF(R178="","",TEXT(R178,"M/D")) &amp; " "</f>
        <v xml:space="preserve"> 0.00% 상온,고온 Aging + PPC,충방전 12/5-12/14 </v>
      </c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</row>
    <row r="179" spans="1:93" ht="15" customHeight="1" outlineLevel="4" x14ac:dyDescent="0.4">
      <c r="A179" s="172"/>
      <c r="B179" s="172"/>
      <c r="C179" s="172">
        <v>5</v>
      </c>
      <c r="D179" s="173" t="s">
        <v>2118</v>
      </c>
      <c r="E179" s="174"/>
      <c r="F179" s="174"/>
      <c r="G179" s="174"/>
      <c r="H179" s="174"/>
      <c r="I179" s="174" t="s">
        <v>2081</v>
      </c>
      <c r="J179" s="174"/>
      <c r="K179" s="174"/>
      <c r="L179" s="174"/>
      <c r="M179" s="174"/>
      <c r="N179" s="174"/>
      <c r="O179" s="175" t="s">
        <v>1941</v>
      </c>
      <c r="P179" s="175" t="s">
        <v>1888</v>
      </c>
      <c r="Q179" s="179">
        <v>44900</v>
      </c>
      <c r="R179" s="179">
        <v>44909</v>
      </c>
      <c r="S179" s="177">
        <f>R179-Q179</f>
        <v>9</v>
      </c>
      <c r="T179" s="178">
        <v>10</v>
      </c>
      <c r="U179" s="178">
        <v>0</v>
      </c>
      <c r="V179" s="178">
        <v>10</v>
      </c>
      <c r="W179" s="178">
        <v>0</v>
      </c>
      <c r="X179" s="179"/>
      <c r="Y179" s="179"/>
      <c r="Z179" s="180"/>
      <c r="AA179" s="181">
        <v>0</v>
      </c>
      <c r="AB179" s="178">
        <v>1</v>
      </c>
      <c r="AC179" s="177"/>
      <c r="AD179" s="182"/>
      <c r="AE179" s="183">
        <v>0</v>
      </c>
      <c r="AF179" s="195">
        <v>0</v>
      </c>
      <c r="AG179" s="185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 t="str">
        <f>" " &amp; TEXT(AF179,"#0.00%") &amp; " " &amp; "FOB" &amp; " " &amp; IF(Q179="","",TEXT(Q179,"M/D-")) &amp; IF(R179="","",TEXT(R179,"M/D")) &amp; " "</f>
        <v xml:space="preserve"> 0.00% FOB 12/5-12/14 </v>
      </c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</row>
    <row r="180" spans="1:93" ht="15" customHeight="1" outlineLevel="3" x14ac:dyDescent="0.4">
      <c r="A180" s="172"/>
      <c r="B180" s="172" t="s">
        <v>1879</v>
      </c>
      <c r="C180" s="172">
        <v>4</v>
      </c>
      <c r="D180" s="173" t="s">
        <v>2119</v>
      </c>
      <c r="E180" s="174"/>
      <c r="F180" s="174"/>
      <c r="G180" s="174"/>
      <c r="H180" s="174" t="s">
        <v>2048</v>
      </c>
      <c r="I180" s="174"/>
      <c r="J180" s="174"/>
      <c r="K180" s="174"/>
      <c r="L180" s="174"/>
      <c r="M180" s="174"/>
      <c r="N180" s="174"/>
      <c r="O180" s="175" t="s">
        <v>1941</v>
      </c>
      <c r="P180" s="175" t="s">
        <v>1888</v>
      </c>
      <c r="Q180" s="179">
        <v>44915</v>
      </c>
      <c r="R180" s="179">
        <v>44924</v>
      </c>
      <c r="S180" s="177"/>
      <c r="T180" s="178">
        <v>10</v>
      </c>
      <c r="U180" s="178">
        <v>0</v>
      </c>
      <c r="V180" s="178">
        <v>10</v>
      </c>
      <c r="W180" s="178">
        <v>0</v>
      </c>
      <c r="X180" s="179"/>
      <c r="Y180" s="179"/>
      <c r="Z180" s="180">
        <v>0</v>
      </c>
      <c r="AA180" s="181">
        <v>0</v>
      </c>
      <c r="AB180" s="178"/>
      <c r="AC180" s="177"/>
      <c r="AD180" s="182"/>
      <c r="AE180" s="183">
        <v>0</v>
      </c>
      <c r="AF180" s="207">
        <v>0</v>
      </c>
      <c r="AG180" s="185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 t="str">
        <f>"  " &amp; TEXT(AF180,"#0.00%") &amp; " " &amp; "상온,고온 Aging" &amp; " " &amp; IF(Q180="","",TEXT(Q180,"M/D-")) &amp; IF(R180="","",TEXT(R180,"M/D")) &amp; " "</f>
        <v xml:space="preserve">  0.00% 상온,고온 Aging 12/20-12/29 </v>
      </c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</row>
    <row r="181" spans="1:93" ht="15" customHeight="1" outlineLevel="4" x14ac:dyDescent="0.4">
      <c r="A181" s="172"/>
      <c r="B181" s="172"/>
      <c r="C181" s="172">
        <v>5</v>
      </c>
      <c r="D181" s="173" t="s">
        <v>2120</v>
      </c>
      <c r="E181" s="174"/>
      <c r="F181" s="174"/>
      <c r="G181" s="174"/>
      <c r="H181" s="174"/>
      <c r="I181" s="174" t="s">
        <v>2081</v>
      </c>
      <c r="J181" s="174"/>
      <c r="K181" s="174"/>
      <c r="L181" s="174"/>
      <c r="M181" s="174"/>
      <c r="N181" s="174"/>
      <c r="O181" s="175" t="s">
        <v>1941</v>
      </c>
      <c r="P181" s="175" t="s">
        <v>1888</v>
      </c>
      <c r="Q181" s="179">
        <v>44915</v>
      </c>
      <c r="R181" s="179">
        <v>44924</v>
      </c>
      <c r="S181" s="177">
        <f>R181-Q181</f>
        <v>9</v>
      </c>
      <c r="T181" s="178">
        <v>10</v>
      </c>
      <c r="U181" s="178">
        <v>0</v>
      </c>
      <c r="V181" s="178">
        <v>10</v>
      </c>
      <c r="W181" s="178">
        <v>0</v>
      </c>
      <c r="X181" s="179"/>
      <c r="Y181" s="179"/>
      <c r="Z181" s="180"/>
      <c r="AA181" s="181">
        <v>0</v>
      </c>
      <c r="AB181" s="178">
        <v>1</v>
      </c>
      <c r="AC181" s="177"/>
      <c r="AD181" s="182"/>
      <c r="AE181" s="183">
        <v>0</v>
      </c>
      <c r="AF181" s="195">
        <v>0</v>
      </c>
      <c r="AG181" s="185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 t="str">
        <f>"  " &amp; TEXT(AF181,"#0.00%") &amp; " " &amp; "FOB" &amp; " " &amp; IF(Q181="","",TEXT(Q181,"M/D-")) &amp; IF(R181="","",TEXT(R181,"M/D")) &amp; " "</f>
        <v xml:space="preserve">  0.00% FOB 12/20-12/29 </v>
      </c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</row>
    <row r="182" spans="1:93" ht="15" customHeight="1" x14ac:dyDescent="0.4">
      <c r="A182" s="172"/>
      <c r="B182" s="172" t="s">
        <v>1879</v>
      </c>
      <c r="C182" s="172">
        <v>1</v>
      </c>
      <c r="D182" s="173" t="s">
        <v>2121</v>
      </c>
      <c r="E182" s="174" t="s">
        <v>2122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5"/>
      <c r="P182" s="175"/>
      <c r="Q182" s="179">
        <v>44866</v>
      </c>
      <c r="R182" s="179">
        <v>45049</v>
      </c>
      <c r="S182" s="177"/>
      <c r="T182" s="178">
        <v>1010</v>
      </c>
      <c r="U182" s="178">
        <v>0</v>
      </c>
      <c r="V182" s="178">
        <v>184</v>
      </c>
      <c r="W182" s="178">
        <v>0</v>
      </c>
      <c r="X182" s="179"/>
      <c r="Y182" s="179"/>
      <c r="Z182" s="180">
        <v>0</v>
      </c>
      <c r="AA182" s="181">
        <v>0</v>
      </c>
      <c r="AB182" s="178"/>
      <c r="AC182" s="177"/>
      <c r="AD182" s="182"/>
      <c r="AE182" s="183">
        <v>0</v>
      </c>
      <c r="AF182" s="207">
        <v>0</v>
      </c>
      <c r="AG182" s="185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 t="str">
        <f>"  " &amp; TEXT(AF182,"#0.00%") &amp; " "</f>
        <v xml:space="preserve">  0.00% </v>
      </c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6" t="str">
        <f>"    " &amp; "SHIPPING" &amp; " " &amp; IF(Q182="","",TEXT(Q182,"M/D-")) &amp; IF(R182="","",TEXT(R182,"M/D")) &amp; " "</f>
        <v xml:space="preserve">    SHIPPING 11/1-5/3 </v>
      </c>
      <c r="CG182" s="186"/>
      <c r="CH182" s="186"/>
      <c r="CI182" s="186"/>
      <c r="CJ182" s="186"/>
      <c r="CK182" s="186"/>
      <c r="CL182" s="186"/>
      <c r="CM182" s="186"/>
      <c r="CN182" s="186"/>
      <c r="CO182" s="186"/>
    </row>
    <row r="183" spans="1:93" ht="15" customHeight="1" outlineLevel="1" x14ac:dyDescent="0.4">
      <c r="A183" s="172"/>
      <c r="B183" s="172" t="s">
        <v>1879</v>
      </c>
      <c r="C183" s="172">
        <v>2</v>
      </c>
      <c r="D183" s="173" t="s">
        <v>2123</v>
      </c>
      <c r="E183" s="174"/>
      <c r="F183" s="174" t="s">
        <v>1883</v>
      </c>
      <c r="G183" s="174"/>
      <c r="H183" s="174"/>
      <c r="I183" s="174"/>
      <c r="J183" s="174"/>
      <c r="K183" s="174"/>
      <c r="L183" s="174"/>
      <c r="M183" s="174"/>
      <c r="N183" s="174"/>
      <c r="O183" s="175"/>
      <c r="P183" s="175"/>
      <c r="Q183" s="179">
        <v>44866</v>
      </c>
      <c r="R183" s="179">
        <v>45049</v>
      </c>
      <c r="S183" s="177"/>
      <c r="T183" s="178">
        <v>1010</v>
      </c>
      <c r="U183" s="178">
        <v>0</v>
      </c>
      <c r="V183" s="178">
        <v>184</v>
      </c>
      <c r="W183" s="178">
        <v>0</v>
      </c>
      <c r="X183" s="179"/>
      <c r="Y183" s="179"/>
      <c r="Z183" s="180">
        <v>0</v>
      </c>
      <c r="AA183" s="181">
        <v>0</v>
      </c>
      <c r="AB183" s="178"/>
      <c r="AC183" s="177"/>
      <c r="AD183" s="182"/>
      <c r="AE183" s="183">
        <v>0</v>
      </c>
      <c r="AF183" s="207">
        <v>0</v>
      </c>
      <c r="AG183" s="185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 t="str">
        <f>"  " &amp; TEXT(AF183,"#0.00%") &amp; " "</f>
        <v xml:space="preserve">  0.00% </v>
      </c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6" t="str">
        <f>"    " &amp; "SKOH2" &amp; " " &amp; IF(Q183="","",TEXT(Q183,"M/D-")) &amp; IF(R183="","",TEXT(R183,"M/D")) &amp; " "</f>
        <v xml:space="preserve">    SKOH2 11/1-5/3 </v>
      </c>
      <c r="CG183" s="186"/>
      <c r="CH183" s="186"/>
      <c r="CI183" s="186"/>
      <c r="CJ183" s="186"/>
      <c r="CK183" s="186"/>
      <c r="CL183" s="186"/>
      <c r="CM183" s="186"/>
      <c r="CN183" s="186"/>
      <c r="CO183" s="186"/>
    </row>
    <row r="184" spans="1:93" ht="15" customHeight="1" outlineLevel="2" x14ac:dyDescent="0.4">
      <c r="A184" s="172"/>
      <c r="B184" s="172" t="s">
        <v>1879</v>
      </c>
      <c r="C184" s="172">
        <v>3</v>
      </c>
      <c r="D184" s="173" t="s">
        <v>2124</v>
      </c>
      <c r="E184" s="174"/>
      <c r="F184" s="174"/>
      <c r="G184" s="174" t="s">
        <v>1887</v>
      </c>
      <c r="H184" s="174"/>
      <c r="I184" s="174"/>
      <c r="J184" s="174"/>
      <c r="K184" s="174"/>
      <c r="L184" s="174"/>
      <c r="M184" s="174"/>
      <c r="N184" s="174"/>
      <c r="O184" s="191" t="s">
        <v>1888</v>
      </c>
      <c r="P184" s="191"/>
      <c r="Q184" s="179">
        <v>44866</v>
      </c>
      <c r="R184" s="179">
        <v>44986</v>
      </c>
      <c r="S184" s="177"/>
      <c r="T184" s="178">
        <v>317</v>
      </c>
      <c r="U184" s="178">
        <v>0</v>
      </c>
      <c r="V184" s="178">
        <v>121</v>
      </c>
      <c r="W184" s="178">
        <v>0</v>
      </c>
      <c r="X184" s="179"/>
      <c r="Y184" s="179"/>
      <c r="Z184" s="180">
        <v>0</v>
      </c>
      <c r="AA184" s="181">
        <v>0</v>
      </c>
      <c r="AB184" s="178"/>
      <c r="AC184" s="177"/>
      <c r="AD184" s="182"/>
      <c r="AE184" s="183">
        <v>0</v>
      </c>
      <c r="AF184" s="207">
        <v>0</v>
      </c>
      <c r="AG184" s="185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 t="str">
        <f>"  " &amp; TEXT(AF184,"#0.00%") &amp; " "</f>
        <v xml:space="preserve">  0.00% </v>
      </c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 t="str">
        <f>"    " &amp; "Rack" &amp; " " &amp; IF(Q184="","",TEXT(Q184,"M/D-")) &amp; IF(R184="","",TEXT(R184,"M/D")) &amp; " "</f>
        <v xml:space="preserve">    Rack 11/1-3/1 </v>
      </c>
      <c r="BX184" s="186"/>
      <c r="BY184" s="186"/>
      <c r="BZ184" s="186"/>
      <c r="CA184" s="186"/>
      <c r="CB184" s="186"/>
      <c r="CC184" s="186"/>
      <c r="CD184" s="186"/>
      <c r="CE184" s="186"/>
      <c r="CF184" s="186"/>
      <c r="CG184" s="186"/>
      <c r="CH184" s="186"/>
      <c r="CI184" s="186"/>
      <c r="CJ184" s="186"/>
      <c r="CK184" s="186"/>
      <c r="CL184" s="186"/>
      <c r="CM184" s="186"/>
      <c r="CN184" s="186"/>
      <c r="CO184" s="186"/>
    </row>
    <row r="185" spans="1:93" ht="15" customHeight="1" outlineLevel="3" x14ac:dyDescent="0.4">
      <c r="A185" s="172"/>
      <c r="B185" s="172" t="s">
        <v>1879</v>
      </c>
      <c r="C185" s="172">
        <v>4</v>
      </c>
      <c r="D185" s="173" t="s">
        <v>2125</v>
      </c>
      <c r="E185" s="174"/>
      <c r="F185" s="174"/>
      <c r="G185" s="174"/>
      <c r="H185" s="174" t="s">
        <v>1951</v>
      </c>
      <c r="I185" s="174"/>
      <c r="J185" s="174"/>
      <c r="K185" s="174"/>
      <c r="L185" s="174"/>
      <c r="M185" s="174"/>
      <c r="N185" s="174"/>
      <c r="O185" s="191" t="s">
        <v>1888</v>
      </c>
      <c r="P185" s="191" t="s">
        <v>1893</v>
      </c>
      <c r="Q185" s="179">
        <v>44866</v>
      </c>
      <c r="R185" s="179">
        <v>44929</v>
      </c>
      <c r="S185" s="177"/>
      <c r="T185" s="178">
        <v>65</v>
      </c>
      <c r="U185" s="178">
        <v>0</v>
      </c>
      <c r="V185" s="178">
        <v>64</v>
      </c>
      <c r="W185" s="178">
        <v>0</v>
      </c>
      <c r="X185" s="179"/>
      <c r="Y185" s="179"/>
      <c r="Z185" s="180">
        <v>0</v>
      </c>
      <c r="AA185" s="181">
        <v>0</v>
      </c>
      <c r="AB185" s="178"/>
      <c r="AC185" s="177"/>
      <c r="AD185" s="182"/>
      <c r="AE185" s="183">
        <v>0</v>
      </c>
      <c r="AF185" s="207">
        <v>0</v>
      </c>
      <c r="AG185" s="185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 t="str">
        <f>"  " &amp; TEXT(AF185,"#0.00%") &amp; " "</f>
        <v xml:space="preserve">  0.00% </v>
      </c>
      <c r="BG185" s="186"/>
      <c r="BH185" s="186"/>
      <c r="BI185" s="186"/>
      <c r="BJ185" s="186"/>
      <c r="BK185" s="186"/>
      <c r="BL185" s="186"/>
      <c r="BM185" s="186"/>
      <c r="BN185" s="186"/>
      <c r="BO185" s="186" t="str">
        <f>"   " &amp; "상온1,고온1 Aging 창고(전면Deck포함)" &amp; " " &amp; IF(Q185="","",TEXT(Q185,"M/D-")) &amp; IF(R185="","",TEXT(R185,"M/D")) &amp; " "</f>
        <v xml:space="preserve">   상온1,고온1 Aging 창고(전면Deck포함) 11/1-1/3 </v>
      </c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</row>
    <row r="186" spans="1:93" ht="15" customHeight="1" outlineLevel="4" x14ac:dyDescent="0.4">
      <c r="A186" s="172"/>
      <c r="B186" s="172"/>
      <c r="C186" s="172">
        <v>5</v>
      </c>
      <c r="D186" s="173" t="s">
        <v>2126</v>
      </c>
      <c r="E186" s="174"/>
      <c r="F186" s="174"/>
      <c r="G186" s="174"/>
      <c r="H186" s="174"/>
      <c r="I186" s="174" t="s">
        <v>2127</v>
      </c>
      <c r="J186" s="174"/>
      <c r="K186" s="174"/>
      <c r="L186" s="174"/>
      <c r="M186" s="174"/>
      <c r="N186" s="174"/>
      <c r="O186" s="191" t="s">
        <v>1888</v>
      </c>
      <c r="P186" s="191" t="s">
        <v>1893</v>
      </c>
      <c r="Q186" s="179">
        <v>44866</v>
      </c>
      <c r="R186" s="179">
        <v>44871</v>
      </c>
      <c r="S186" s="177">
        <f>R186-Q186</f>
        <v>5</v>
      </c>
      <c r="T186" s="178">
        <v>6</v>
      </c>
      <c r="U186" s="178">
        <v>0</v>
      </c>
      <c r="V186" s="178">
        <v>6</v>
      </c>
      <c r="W186" s="178">
        <v>0</v>
      </c>
      <c r="X186" s="179"/>
      <c r="Y186" s="179"/>
      <c r="Z186" s="180"/>
      <c r="AA186" s="181">
        <v>0</v>
      </c>
      <c r="AB186" s="178">
        <v>1</v>
      </c>
      <c r="AC186" s="177"/>
      <c r="AD186" s="182"/>
      <c r="AE186" s="183">
        <v>0</v>
      </c>
      <c r="AF186" s="195">
        <v>0</v>
      </c>
      <c r="AG186" s="185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 t="str">
        <f>"  " &amp; TEXT(AF186,"#0.00%") &amp; " " &amp; "출하 선적" &amp; " " &amp; IF(Q186="","",TEXT(Q186,"M/D-")) &amp; IF(R186="","",TEXT(R186,"M/D")) &amp; " "</f>
        <v xml:space="preserve">  0.00% 출하 선적 11/1-11/6 </v>
      </c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</row>
    <row r="187" spans="1:93" ht="15" customHeight="1" outlineLevel="4" x14ac:dyDescent="0.4">
      <c r="A187" s="172"/>
      <c r="B187" s="172"/>
      <c r="C187" s="172">
        <v>5</v>
      </c>
      <c r="D187" s="173" t="s">
        <v>2128</v>
      </c>
      <c r="E187" s="174"/>
      <c r="F187" s="174"/>
      <c r="G187" s="174"/>
      <c r="H187" s="174"/>
      <c r="I187" s="174" t="s">
        <v>2129</v>
      </c>
      <c r="J187" s="174"/>
      <c r="K187" s="174"/>
      <c r="L187" s="174"/>
      <c r="M187" s="174"/>
      <c r="N187" s="174"/>
      <c r="O187" s="191" t="s">
        <v>1888</v>
      </c>
      <c r="P187" s="191" t="s">
        <v>1893</v>
      </c>
      <c r="Q187" s="179">
        <v>44871</v>
      </c>
      <c r="R187" s="179">
        <v>44921</v>
      </c>
      <c r="S187" s="177">
        <f>R187-Q187</f>
        <v>50</v>
      </c>
      <c r="T187" s="178">
        <v>51</v>
      </c>
      <c r="U187" s="178">
        <v>0</v>
      </c>
      <c r="V187" s="178">
        <v>51</v>
      </c>
      <c r="W187" s="178">
        <v>0</v>
      </c>
      <c r="X187" s="179"/>
      <c r="Y187" s="179"/>
      <c r="Z187" s="180"/>
      <c r="AA187" s="181">
        <v>0</v>
      </c>
      <c r="AB187" s="178">
        <v>1</v>
      </c>
      <c r="AC187" s="177"/>
      <c r="AD187" s="182"/>
      <c r="AE187" s="183">
        <v>0</v>
      </c>
      <c r="AF187" s="195">
        <v>0</v>
      </c>
      <c r="AG187" s="185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 t="str">
        <f>"" &amp; TEXT(AF187,"#0.00%") &amp; " "</f>
        <v xml:space="preserve">0.00% </v>
      </c>
      <c r="BH187" s="186"/>
      <c r="BI187" s="186"/>
      <c r="BJ187" s="186"/>
      <c r="BK187" s="186"/>
      <c r="BL187" s="186"/>
      <c r="BM187" s="186"/>
      <c r="BN187" s="186" t="str">
        <f>"  " &amp; "화물이동" &amp; " " &amp; IF(Q187="","",TEXT(Q187,"M/D-")) &amp; IF(R187="","",TEXT(R187,"M/D")) &amp; " "</f>
        <v xml:space="preserve">  화물이동 11/6-12/26 </v>
      </c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</row>
    <row r="188" spans="1:93" ht="15" customHeight="1" outlineLevel="4" x14ac:dyDescent="0.4">
      <c r="A188" s="172"/>
      <c r="B188" s="172"/>
      <c r="C188" s="172">
        <v>5</v>
      </c>
      <c r="D188" s="173" t="s">
        <v>2130</v>
      </c>
      <c r="E188" s="174"/>
      <c r="F188" s="174"/>
      <c r="G188" s="174"/>
      <c r="H188" s="174"/>
      <c r="I188" s="174" t="s">
        <v>2131</v>
      </c>
      <c r="J188" s="174"/>
      <c r="K188" s="174"/>
      <c r="L188" s="174"/>
      <c r="M188" s="174"/>
      <c r="N188" s="174"/>
      <c r="O188" s="191" t="s">
        <v>1888</v>
      </c>
      <c r="P188" s="191" t="s">
        <v>1893</v>
      </c>
      <c r="Q188" s="179">
        <v>44922</v>
      </c>
      <c r="R188" s="179">
        <v>44929</v>
      </c>
      <c r="S188" s="177">
        <f>R188-Q188</f>
        <v>7</v>
      </c>
      <c r="T188" s="178">
        <v>8</v>
      </c>
      <c r="U188" s="178">
        <v>0</v>
      </c>
      <c r="V188" s="178">
        <v>8</v>
      </c>
      <c r="W188" s="178">
        <v>0</v>
      </c>
      <c r="X188" s="179"/>
      <c r="Y188" s="179"/>
      <c r="Z188" s="180"/>
      <c r="AA188" s="181">
        <v>0</v>
      </c>
      <c r="AB188" s="178">
        <v>1</v>
      </c>
      <c r="AC188" s="177"/>
      <c r="AD188" s="182"/>
      <c r="AE188" s="183">
        <v>0</v>
      </c>
      <c r="AF188" s="195">
        <v>0</v>
      </c>
      <c r="AG188" s="185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 t="str">
        <f>"  " &amp; TEXT(AF188,"#0.00%") &amp; " " &amp; "하역 및 반입" &amp; " " &amp; IF(Q188="","",TEXT(Q188,"M/D-")) &amp; IF(R188="","",TEXT(R188,"M/D")) &amp; " "</f>
        <v xml:space="preserve">  0.00% 하역 및 반입 12/27-1/3 </v>
      </c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</row>
    <row r="189" spans="1:93" ht="15" customHeight="1" outlineLevel="3" x14ac:dyDescent="0.4">
      <c r="A189" s="172"/>
      <c r="B189" s="172" t="s">
        <v>1879</v>
      </c>
      <c r="C189" s="172">
        <v>4</v>
      </c>
      <c r="D189" s="173" t="s">
        <v>2132</v>
      </c>
      <c r="E189" s="174"/>
      <c r="F189" s="174"/>
      <c r="G189" s="174"/>
      <c r="H189" s="174" t="s">
        <v>1959</v>
      </c>
      <c r="I189" s="174"/>
      <c r="J189" s="174"/>
      <c r="K189" s="174"/>
      <c r="L189" s="174"/>
      <c r="M189" s="174"/>
      <c r="N189" s="174"/>
      <c r="O189" s="191" t="s">
        <v>1888</v>
      </c>
      <c r="P189" s="191" t="s">
        <v>1916</v>
      </c>
      <c r="Q189" s="179">
        <v>44880</v>
      </c>
      <c r="R189" s="179">
        <v>44941</v>
      </c>
      <c r="S189" s="177"/>
      <c r="T189" s="178">
        <v>63</v>
      </c>
      <c r="U189" s="178">
        <v>0</v>
      </c>
      <c r="V189" s="178">
        <v>62</v>
      </c>
      <c r="W189" s="178">
        <v>0</v>
      </c>
      <c r="X189" s="179"/>
      <c r="Y189" s="179"/>
      <c r="Z189" s="180">
        <v>0</v>
      </c>
      <c r="AA189" s="181">
        <v>0</v>
      </c>
      <c r="AB189" s="178"/>
      <c r="AC189" s="177"/>
      <c r="AD189" s="182"/>
      <c r="AE189" s="183">
        <v>0</v>
      </c>
      <c r="AF189" s="207">
        <v>0</v>
      </c>
      <c r="AG189" s="185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 t="str">
        <f>"  " &amp; TEXT(AF189,"#0.00%") &amp; " "</f>
        <v xml:space="preserve">  0.00% </v>
      </c>
      <c r="BI189" s="186"/>
      <c r="BJ189" s="186"/>
      <c r="BK189" s="186"/>
      <c r="BL189" s="186"/>
      <c r="BM189" s="186"/>
      <c r="BN189" s="186"/>
      <c r="BO189" s="186"/>
      <c r="BP189" s="186"/>
      <c r="BQ189" s="186" t="str">
        <f>" " &amp; "고온2 Aging 창고" &amp; " " &amp; IF(Q189="","",TEXT(Q189,"M/D-")) &amp; IF(R189="","",TEXT(R189,"M/D")) &amp; " "</f>
        <v xml:space="preserve"> 고온2 Aging 창고 11/15-1/15 </v>
      </c>
      <c r="BR189" s="186"/>
      <c r="BS189" s="186"/>
      <c r="BT189" s="186"/>
      <c r="BU189" s="186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186"/>
      <c r="CG189" s="186"/>
      <c r="CH189" s="186"/>
      <c r="CI189" s="186"/>
      <c r="CJ189" s="186"/>
      <c r="CK189" s="186"/>
      <c r="CL189" s="186"/>
      <c r="CM189" s="186"/>
      <c r="CN189" s="186"/>
      <c r="CO189" s="186"/>
    </row>
    <row r="190" spans="1:93" ht="15" customHeight="1" outlineLevel="4" x14ac:dyDescent="0.4">
      <c r="A190" s="172"/>
      <c r="B190" s="172"/>
      <c r="C190" s="172">
        <v>5</v>
      </c>
      <c r="D190" s="173" t="s">
        <v>2133</v>
      </c>
      <c r="E190" s="174"/>
      <c r="F190" s="174"/>
      <c r="G190" s="174"/>
      <c r="H190" s="174"/>
      <c r="I190" s="174" t="s">
        <v>2127</v>
      </c>
      <c r="J190" s="174"/>
      <c r="K190" s="174"/>
      <c r="L190" s="174"/>
      <c r="M190" s="174"/>
      <c r="N190" s="174"/>
      <c r="O190" s="191" t="s">
        <v>1888</v>
      </c>
      <c r="P190" s="191" t="s">
        <v>1916</v>
      </c>
      <c r="Q190" s="179">
        <v>44880</v>
      </c>
      <c r="R190" s="179">
        <v>44885</v>
      </c>
      <c r="S190" s="177">
        <f>R190-Q190</f>
        <v>5</v>
      </c>
      <c r="T190" s="178">
        <v>6</v>
      </c>
      <c r="U190" s="178">
        <v>0</v>
      </c>
      <c r="V190" s="178">
        <v>6</v>
      </c>
      <c r="W190" s="178">
        <v>0</v>
      </c>
      <c r="X190" s="179"/>
      <c r="Y190" s="179"/>
      <c r="Z190" s="180"/>
      <c r="AA190" s="181">
        <v>0</v>
      </c>
      <c r="AB190" s="178">
        <v>1</v>
      </c>
      <c r="AC190" s="177"/>
      <c r="AD190" s="182"/>
      <c r="AE190" s="183">
        <v>0</v>
      </c>
      <c r="AF190" s="195">
        <v>0</v>
      </c>
      <c r="AG190" s="185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 t="str">
        <f>"  " &amp; TEXT(AF190,"#0.00%") &amp; " " &amp; "출하 선적" &amp; " " &amp; IF(Q190="","",TEXT(Q190,"M/D-")) &amp; IF(R190="","",TEXT(R190,"M/D")) &amp; " "</f>
        <v xml:space="preserve">  0.00% 출하 선적 11/15-11/20 </v>
      </c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</row>
    <row r="191" spans="1:93" ht="15" customHeight="1" outlineLevel="4" x14ac:dyDescent="0.4">
      <c r="A191" s="172"/>
      <c r="B191" s="172"/>
      <c r="C191" s="172">
        <v>5</v>
      </c>
      <c r="D191" s="173" t="s">
        <v>2134</v>
      </c>
      <c r="E191" s="174"/>
      <c r="F191" s="174"/>
      <c r="G191" s="174"/>
      <c r="H191" s="174"/>
      <c r="I191" s="174" t="s">
        <v>2129</v>
      </c>
      <c r="J191" s="174"/>
      <c r="K191" s="174"/>
      <c r="L191" s="174"/>
      <c r="M191" s="174"/>
      <c r="N191" s="174"/>
      <c r="O191" s="191" t="s">
        <v>1888</v>
      </c>
      <c r="P191" s="191" t="s">
        <v>1916</v>
      </c>
      <c r="Q191" s="179">
        <v>44885</v>
      </c>
      <c r="R191" s="179">
        <v>44935</v>
      </c>
      <c r="S191" s="177">
        <f>R191-Q191</f>
        <v>50</v>
      </c>
      <c r="T191" s="178">
        <v>51</v>
      </c>
      <c r="U191" s="178">
        <v>0</v>
      </c>
      <c r="V191" s="178">
        <v>51</v>
      </c>
      <c r="W191" s="178">
        <v>0</v>
      </c>
      <c r="X191" s="179"/>
      <c r="Y191" s="179"/>
      <c r="Z191" s="180"/>
      <c r="AA191" s="181">
        <v>0</v>
      </c>
      <c r="AB191" s="178">
        <v>1</v>
      </c>
      <c r="AC191" s="177"/>
      <c r="AD191" s="182"/>
      <c r="AE191" s="183">
        <v>0</v>
      </c>
      <c r="AF191" s="195">
        <v>0</v>
      </c>
      <c r="AG191" s="185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 t="str">
        <f>"" &amp; TEXT(AF191,"#0.00%") &amp; " "</f>
        <v xml:space="preserve">0.00% </v>
      </c>
      <c r="BJ191" s="186"/>
      <c r="BK191" s="186"/>
      <c r="BL191" s="186"/>
      <c r="BM191" s="186"/>
      <c r="BN191" s="186"/>
      <c r="BO191" s="186"/>
      <c r="BP191" s="186" t="str">
        <f>"  " &amp; "화물이동" &amp; " " &amp; IF(Q191="","",TEXT(Q191,"M/D-")) &amp; IF(R191="","",TEXT(R191,"M/D")) &amp; " "</f>
        <v xml:space="preserve">  화물이동 11/20-1/9 </v>
      </c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</row>
    <row r="192" spans="1:93" ht="15" customHeight="1" outlineLevel="4" x14ac:dyDescent="0.4">
      <c r="A192" s="172"/>
      <c r="B192" s="172"/>
      <c r="C192" s="172">
        <v>5</v>
      </c>
      <c r="D192" s="173" t="s">
        <v>2135</v>
      </c>
      <c r="E192" s="174"/>
      <c r="F192" s="174"/>
      <c r="G192" s="174"/>
      <c r="H192" s="174"/>
      <c r="I192" s="174" t="s">
        <v>2131</v>
      </c>
      <c r="J192" s="174"/>
      <c r="K192" s="174"/>
      <c r="L192" s="174"/>
      <c r="M192" s="174"/>
      <c r="N192" s="174"/>
      <c r="O192" s="191" t="s">
        <v>1888</v>
      </c>
      <c r="P192" s="191" t="s">
        <v>1916</v>
      </c>
      <c r="Q192" s="179">
        <v>44936</v>
      </c>
      <c r="R192" s="179">
        <v>44941</v>
      </c>
      <c r="S192" s="177">
        <f>R192-Q192</f>
        <v>5</v>
      </c>
      <c r="T192" s="178">
        <v>6</v>
      </c>
      <c r="U192" s="178">
        <v>0</v>
      </c>
      <c r="V192" s="178">
        <v>6</v>
      </c>
      <c r="W192" s="178">
        <v>0</v>
      </c>
      <c r="X192" s="179"/>
      <c r="Y192" s="179"/>
      <c r="Z192" s="180"/>
      <c r="AA192" s="181">
        <v>0</v>
      </c>
      <c r="AB192" s="178">
        <v>1</v>
      </c>
      <c r="AC192" s="177"/>
      <c r="AD192" s="182"/>
      <c r="AE192" s="183">
        <v>0</v>
      </c>
      <c r="AF192" s="195">
        <v>0</v>
      </c>
      <c r="AG192" s="185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 t="str">
        <f>"  " &amp; TEXT(AF192,"#0.00%") &amp; " " &amp; "하역 및 반입" &amp; " " &amp; IF(Q192="","",TEXT(Q192,"M/D-")) &amp; IF(R192="","",TEXT(R192,"M/D")) &amp; " "</f>
        <v xml:space="preserve">  0.00% 하역 및 반입 1/10-1/15 </v>
      </c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</row>
    <row r="193" spans="1:93" ht="15" customHeight="1" outlineLevel="3" x14ac:dyDescent="0.4">
      <c r="A193" s="172"/>
      <c r="B193" s="172" t="s">
        <v>1879</v>
      </c>
      <c r="C193" s="172">
        <v>4</v>
      </c>
      <c r="D193" s="173" t="s">
        <v>2136</v>
      </c>
      <c r="E193" s="174"/>
      <c r="F193" s="174"/>
      <c r="G193" s="174"/>
      <c r="H193" s="174" t="s">
        <v>1964</v>
      </c>
      <c r="I193" s="174"/>
      <c r="J193" s="174"/>
      <c r="K193" s="174"/>
      <c r="L193" s="174"/>
      <c r="M193" s="174"/>
      <c r="N193" s="174"/>
      <c r="O193" s="191" t="s">
        <v>1888</v>
      </c>
      <c r="P193" s="191" t="s">
        <v>1965</v>
      </c>
      <c r="Q193" s="179">
        <v>44895</v>
      </c>
      <c r="R193" s="179">
        <v>44956</v>
      </c>
      <c r="S193" s="177"/>
      <c r="T193" s="178">
        <v>63</v>
      </c>
      <c r="U193" s="178">
        <v>0</v>
      </c>
      <c r="V193" s="178">
        <v>62</v>
      </c>
      <c r="W193" s="178">
        <v>0</v>
      </c>
      <c r="X193" s="179"/>
      <c r="Y193" s="179"/>
      <c r="Z193" s="180">
        <v>0</v>
      </c>
      <c r="AA193" s="181">
        <v>0</v>
      </c>
      <c r="AB193" s="178"/>
      <c r="AC193" s="177"/>
      <c r="AD193" s="182"/>
      <c r="AE193" s="183">
        <v>0</v>
      </c>
      <c r="AF193" s="207">
        <v>0</v>
      </c>
      <c r="AG193" s="185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 t="str">
        <f>"   " &amp; TEXT(AF193,"#0.00%") &amp; " "</f>
        <v xml:space="preserve">   0.00% </v>
      </c>
      <c r="BK193" s="186"/>
      <c r="BL193" s="186"/>
      <c r="BM193" s="186"/>
      <c r="BN193" s="186"/>
      <c r="BO193" s="186"/>
      <c r="BP193" s="186"/>
      <c r="BQ193" s="186"/>
      <c r="BR193" s="186"/>
      <c r="BS193" s="186" t="str">
        <f>"  " &amp; "상온2-1 Aging 창고" &amp; " " &amp; IF(Q193="","",TEXT(Q193,"M/D-")) &amp; IF(R193="","",TEXT(R193,"M/D")) &amp; " "</f>
        <v xml:space="preserve">  상온2-1 Aging 창고 11/30-1/30 </v>
      </c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</row>
    <row r="194" spans="1:93" ht="15" customHeight="1" outlineLevel="4" x14ac:dyDescent="0.4">
      <c r="A194" s="172"/>
      <c r="B194" s="172"/>
      <c r="C194" s="172">
        <v>5</v>
      </c>
      <c r="D194" s="173" t="s">
        <v>2137</v>
      </c>
      <c r="E194" s="174"/>
      <c r="F194" s="174"/>
      <c r="G194" s="174"/>
      <c r="H194" s="174"/>
      <c r="I194" s="174" t="s">
        <v>2127</v>
      </c>
      <c r="J194" s="174"/>
      <c r="K194" s="174"/>
      <c r="L194" s="174"/>
      <c r="M194" s="174"/>
      <c r="N194" s="174"/>
      <c r="O194" s="191" t="s">
        <v>1888</v>
      </c>
      <c r="P194" s="191" t="s">
        <v>1965</v>
      </c>
      <c r="Q194" s="179">
        <v>44895</v>
      </c>
      <c r="R194" s="179">
        <v>44900</v>
      </c>
      <c r="S194" s="177">
        <f>R194-Q194</f>
        <v>5</v>
      </c>
      <c r="T194" s="178">
        <v>6</v>
      </c>
      <c r="U194" s="178">
        <v>0</v>
      </c>
      <c r="V194" s="178">
        <v>6</v>
      </c>
      <c r="W194" s="178">
        <v>0</v>
      </c>
      <c r="X194" s="179"/>
      <c r="Y194" s="179"/>
      <c r="Z194" s="180"/>
      <c r="AA194" s="181">
        <v>0</v>
      </c>
      <c r="AB194" s="178">
        <v>1</v>
      </c>
      <c r="AC194" s="177"/>
      <c r="AD194" s="182"/>
      <c r="AE194" s="183">
        <v>0</v>
      </c>
      <c r="AF194" s="195">
        <v>0</v>
      </c>
      <c r="AG194" s="185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 t="str">
        <f>"   " &amp; TEXT(AF194,"#0.00%") &amp; " " &amp; "출하 선적" &amp; " " &amp; IF(Q194="","",TEXT(Q194,"M/D-")) &amp; IF(R194="","",TEXT(R194,"M/D")) &amp; " "</f>
        <v xml:space="preserve">   0.00% 출하 선적 11/30-12/5 </v>
      </c>
      <c r="BK194" s="186"/>
      <c r="BL194" s="186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6"/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186"/>
      <c r="CG194" s="186"/>
      <c r="CH194" s="186"/>
      <c r="CI194" s="186"/>
      <c r="CJ194" s="186"/>
      <c r="CK194" s="186"/>
      <c r="CL194" s="186"/>
      <c r="CM194" s="186"/>
      <c r="CN194" s="186"/>
      <c r="CO194" s="186"/>
    </row>
    <row r="195" spans="1:93" ht="15" customHeight="1" outlineLevel="4" x14ac:dyDescent="0.4">
      <c r="A195" s="172"/>
      <c r="B195" s="172"/>
      <c r="C195" s="172">
        <v>5</v>
      </c>
      <c r="D195" s="173" t="s">
        <v>2138</v>
      </c>
      <c r="E195" s="174"/>
      <c r="F195" s="174"/>
      <c r="G195" s="174"/>
      <c r="H195" s="174"/>
      <c r="I195" s="174" t="s">
        <v>2129</v>
      </c>
      <c r="J195" s="174"/>
      <c r="K195" s="174"/>
      <c r="L195" s="174"/>
      <c r="M195" s="174"/>
      <c r="N195" s="174"/>
      <c r="O195" s="191" t="s">
        <v>1888</v>
      </c>
      <c r="P195" s="191" t="s">
        <v>1965</v>
      </c>
      <c r="Q195" s="179">
        <v>44900</v>
      </c>
      <c r="R195" s="179">
        <v>44950</v>
      </c>
      <c r="S195" s="177">
        <f>R195-Q195</f>
        <v>50</v>
      </c>
      <c r="T195" s="178">
        <v>51</v>
      </c>
      <c r="U195" s="178">
        <v>0</v>
      </c>
      <c r="V195" s="178">
        <v>51</v>
      </c>
      <c r="W195" s="178">
        <v>0</v>
      </c>
      <c r="X195" s="179"/>
      <c r="Y195" s="179"/>
      <c r="Z195" s="180"/>
      <c r="AA195" s="181">
        <v>0</v>
      </c>
      <c r="AB195" s="178">
        <v>1</v>
      </c>
      <c r="AC195" s="177"/>
      <c r="AD195" s="182"/>
      <c r="AE195" s="183">
        <v>0</v>
      </c>
      <c r="AF195" s="195">
        <v>0</v>
      </c>
      <c r="AG195" s="185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 t="str">
        <f>" " &amp; TEXT(AF195,"#0.00%") &amp; " "</f>
        <v xml:space="preserve"> 0.00% </v>
      </c>
      <c r="BL195" s="186"/>
      <c r="BM195" s="186"/>
      <c r="BN195" s="186"/>
      <c r="BO195" s="186"/>
      <c r="BP195" s="186"/>
      <c r="BQ195" s="186"/>
      <c r="BR195" s="186" t="str">
        <f>"   " &amp; "화물이동" &amp; " " &amp; IF(Q195="","",TEXT(Q195,"M/D-")) &amp; IF(R195="","",TEXT(R195,"M/D")) &amp; " "</f>
        <v xml:space="preserve">   화물이동 12/5-1/24 </v>
      </c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</row>
    <row r="196" spans="1:93" ht="15" customHeight="1" outlineLevel="4" x14ac:dyDescent="0.4">
      <c r="A196" s="172"/>
      <c r="B196" s="172"/>
      <c r="C196" s="172">
        <v>5</v>
      </c>
      <c r="D196" s="173" t="s">
        <v>2139</v>
      </c>
      <c r="E196" s="174"/>
      <c r="F196" s="174"/>
      <c r="G196" s="174"/>
      <c r="H196" s="174"/>
      <c r="I196" s="174" t="s">
        <v>2131</v>
      </c>
      <c r="J196" s="174"/>
      <c r="K196" s="174"/>
      <c r="L196" s="174"/>
      <c r="M196" s="174"/>
      <c r="N196" s="174"/>
      <c r="O196" s="191" t="s">
        <v>1888</v>
      </c>
      <c r="P196" s="191" t="s">
        <v>1965</v>
      </c>
      <c r="Q196" s="179">
        <v>44951</v>
      </c>
      <c r="R196" s="179">
        <v>44956</v>
      </c>
      <c r="S196" s="177">
        <f>R196-Q196</f>
        <v>5</v>
      </c>
      <c r="T196" s="178">
        <v>6</v>
      </c>
      <c r="U196" s="178">
        <v>0</v>
      </c>
      <c r="V196" s="178">
        <v>6</v>
      </c>
      <c r="W196" s="178">
        <v>0</v>
      </c>
      <c r="X196" s="179"/>
      <c r="Y196" s="179"/>
      <c r="Z196" s="180"/>
      <c r="AA196" s="181">
        <v>0</v>
      </c>
      <c r="AB196" s="178">
        <v>1</v>
      </c>
      <c r="AC196" s="177"/>
      <c r="AD196" s="182"/>
      <c r="AE196" s="183">
        <v>0</v>
      </c>
      <c r="AF196" s="195">
        <v>0</v>
      </c>
      <c r="AG196" s="185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 t="str">
        <f>"   " &amp; TEXT(AF196,"#0.00%") &amp; " " &amp; "하역 및 반입" &amp; " " &amp; IF(Q196="","",TEXT(Q196,"M/D-")) &amp; IF(R196="","",TEXT(R196,"M/D")) &amp; " "</f>
        <v xml:space="preserve">   0.00% 하역 및 반입 1/25-1/30 </v>
      </c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</row>
    <row r="197" spans="1:93" ht="15" customHeight="1" outlineLevel="3" x14ac:dyDescent="0.4">
      <c r="A197" s="172"/>
      <c r="B197" s="172" t="s">
        <v>1879</v>
      </c>
      <c r="C197" s="172">
        <v>4</v>
      </c>
      <c r="D197" s="173" t="s">
        <v>2140</v>
      </c>
      <c r="E197" s="174"/>
      <c r="F197" s="174"/>
      <c r="G197" s="174"/>
      <c r="H197" s="174" t="s">
        <v>1970</v>
      </c>
      <c r="I197" s="174"/>
      <c r="J197" s="174"/>
      <c r="K197" s="174"/>
      <c r="L197" s="174"/>
      <c r="M197" s="174"/>
      <c r="N197" s="174"/>
      <c r="O197" s="191" t="s">
        <v>1888</v>
      </c>
      <c r="P197" s="191" t="s">
        <v>1888</v>
      </c>
      <c r="Q197" s="179">
        <v>44910</v>
      </c>
      <c r="R197" s="179">
        <v>44971</v>
      </c>
      <c r="S197" s="177"/>
      <c r="T197" s="178">
        <v>63</v>
      </c>
      <c r="U197" s="178">
        <v>0</v>
      </c>
      <c r="V197" s="178">
        <v>62</v>
      </c>
      <c r="W197" s="178">
        <v>0</v>
      </c>
      <c r="X197" s="179"/>
      <c r="Y197" s="179"/>
      <c r="Z197" s="180">
        <v>0</v>
      </c>
      <c r="AA197" s="181">
        <v>0</v>
      </c>
      <c r="AB197" s="178"/>
      <c r="AC197" s="177"/>
      <c r="AD197" s="182"/>
      <c r="AE197" s="183">
        <v>0</v>
      </c>
      <c r="AF197" s="207">
        <v>0</v>
      </c>
      <c r="AG197" s="185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 t="str">
        <f>"    " &amp; TEXT(AF197,"#0.00%") &amp; " "</f>
        <v xml:space="preserve">    0.00% </v>
      </c>
      <c r="BM197" s="186"/>
      <c r="BN197" s="186"/>
      <c r="BO197" s="186"/>
      <c r="BP197" s="186"/>
      <c r="BQ197" s="186"/>
      <c r="BR197" s="186"/>
      <c r="BS197" s="186"/>
      <c r="BT197" s="186"/>
      <c r="BU197" s="186" t="str">
        <f>"   " &amp; "상온2-2 Aging 창고" &amp; " " &amp; IF(Q197="","",TEXT(Q197,"M/D-")) &amp; IF(R197="","",TEXT(R197,"M/D")) &amp; " "</f>
        <v xml:space="preserve">   상온2-2 Aging 창고 12/15-2/14 </v>
      </c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</row>
    <row r="198" spans="1:93" ht="15" customHeight="1" outlineLevel="4" x14ac:dyDescent="0.4">
      <c r="A198" s="172"/>
      <c r="B198" s="172"/>
      <c r="C198" s="172">
        <v>5</v>
      </c>
      <c r="D198" s="173" t="s">
        <v>2141</v>
      </c>
      <c r="E198" s="174"/>
      <c r="F198" s="174"/>
      <c r="G198" s="174"/>
      <c r="H198" s="174"/>
      <c r="I198" s="174" t="s">
        <v>2127</v>
      </c>
      <c r="J198" s="174"/>
      <c r="K198" s="174"/>
      <c r="L198" s="174"/>
      <c r="M198" s="174"/>
      <c r="N198" s="174"/>
      <c r="O198" s="191" t="s">
        <v>1888</v>
      </c>
      <c r="P198" s="191" t="s">
        <v>1888</v>
      </c>
      <c r="Q198" s="179">
        <v>44910</v>
      </c>
      <c r="R198" s="179">
        <v>44915</v>
      </c>
      <c r="S198" s="177">
        <f>R198-Q198</f>
        <v>5</v>
      </c>
      <c r="T198" s="178">
        <v>6</v>
      </c>
      <c r="U198" s="178">
        <v>0</v>
      </c>
      <c r="V198" s="178">
        <v>6</v>
      </c>
      <c r="W198" s="178">
        <v>0</v>
      </c>
      <c r="X198" s="179"/>
      <c r="Y198" s="179"/>
      <c r="Z198" s="180"/>
      <c r="AA198" s="181">
        <v>0</v>
      </c>
      <c r="AB198" s="178">
        <v>1</v>
      </c>
      <c r="AC198" s="177"/>
      <c r="AD198" s="182"/>
      <c r="AE198" s="183">
        <v>0</v>
      </c>
      <c r="AF198" s="195">
        <v>0</v>
      </c>
      <c r="AG198" s="185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 t="str">
        <f>"    " &amp; TEXT(AF198,"#0.00%") &amp; " " &amp; "출하 선적" &amp; " " &amp; IF(Q198="","",TEXT(Q198,"M/D-")) &amp; IF(R198="","",TEXT(R198,"M/D")) &amp; " "</f>
        <v xml:space="preserve">    0.00% 출하 선적 12/15-12/20 </v>
      </c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</row>
    <row r="199" spans="1:93" ht="15" customHeight="1" outlineLevel="4" x14ac:dyDescent="0.4">
      <c r="A199" s="172"/>
      <c r="B199" s="172"/>
      <c r="C199" s="172">
        <v>5</v>
      </c>
      <c r="D199" s="173" t="s">
        <v>2142</v>
      </c>
      <c r="E199" s="174"/>
      <c r="F199" s="174"/>
      <c r="G199" s="174"/>
      <c r="H199" s="174"/>
      <c r="I199" s="174" t="s">
        <v>2129</v>
      </c>
      <c r="J199" s="174"/>
      <c r="K199" s="174"/>
      <c r="L199" s="174"/>
      <c r="M199" s="174"/>
      <c r="N199" s="174"/>
      <c r="O199" s="191" t="s">
        <v>1888</v>
      </c>
      <c r="P199" s="191" t="s">
        <v>1888</v>
      </c>
      <c r="Q199" s="179">
        <v>44915</v>
      </c>
      <c r="R199" s="179">
        <v>44965</v>
      </c>
      <c r="S199" s="177">
        <f>R199-Q199</f>
        <v>50</v>
      </c>
      <c r="T199" s="178">
        <v>51</v>
      </c>
      <c r="U199" s="178">
        <v>0</v>
      </c>
      <c r="V199" s="178">
        <v>51</v>
      </c>
      <c r="W199" s="178">
        <v>0</v>
      </c>
      <c r="X199" s="179"/>
      <c r="Y199" s="179"/>
      <c r="Z199" s="180"/>
      <c r="AA199" s="181">
        <v>0</v>
      </c>
      <c r="AB199" s="178">
        <v>1</v>
      </c>
      <c r="AC199" s="177"/>
      <c r="AD199" s="182"/>
      <c r="AE199" s="183">
        <v>0</v>
      </c>
      <c r="AF199" s="195">
        <v>0</v>
      </c>
      <c r="AG199" s="185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 t="str">
        <f>"  " &amp; TEXT(AF199,"#0.00%") &amp; " "</f>
        <v xml:space="preserve">  0.00% </v>
      </c>
      <c r="BN199" s="186"/>
      <c r="BO199" s="186"/>
      <c r="BP199" s="186"/>
      <c r="BQ199" s="186"/>
      <c r="BR199" s="186"/>
      <c r="BS199" s="186"/>
      <c r="BT199" s="186" t="str">
        <f>"    " &amp; "화물이동" &amp; " " &amp; IF(Q199="","",TEXT(Q199,"M/D-")) &amp; IF(R199="","",TEXT(R199,"M/D")) &amp; " "</f>
        <v xml:space="preserve">    화물이동 12/20-2/8 </v>
      </c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</row>
    <row r="200" spans="1:93" ht="15" customHeight="1" outlineLevel="4" x14ac:dyDescent="0.4">
      <c r="A200" s="172"/>
      <c r="B200" s="172"/>
      <c r="C200" s="172">
        <v>5</v>
      </c>
      <c r="D200" s="173" t="s">
        <v>2143</v>
      </c>
      <c r="E200" s="174"/>
      <c r="F200" s="174"/>
      <c r="G200" s="174"/>
      <c r="H200" s="174"/>
      <c r="I200" s="174" t="s">
        <v>2131</v>
      </c>
      <c r="J200" s="174"/>
      <c r="K200" s="174"/>
      <c r="L200" s="174"/>
      <c r="M200" s="174"/>
      <c r="N200" s="174"/>
      <c r="O200" s="191" t="s">
        <v>1888</v>
      </c>
      <c r="P200" s="191" t="s">
        <v>1888</v>
      </c>
      <c r="Q200" s="179">
        <v>44966</v>
      </c>
      <c r="R200" s="179">
        <v>44971</v>
      </c>
      <c r="S200" s="177">
        <f>R200-Q200</f>
        <v>5</v>
      </c>
      <c r="T200" s="178">
        <v>6</v>
      </c>
      <c r="U200" s="178">
        <v>0</v>
      </c>
      <c r="V200" s="178">
        <v>6</v>
      </c>
      <c r="W200" s="178">
        <v>0</v>
      </c>
      <c r="X200" s="179"/>
      <c r="Y200" s="179"/>
      <c r="Z200" s="180"/>
      <c r="AA200" s="181">
        <v>0</v>
      </c>
      <c r="AB200" s="178">
        <v>1</v>
      </c>
      <c r="AC200" s="177"/>
      <c r="AD200" s="182"/>
      <c r="AE200" s="183">
        <v>0</v>
      </c>
      <c r="AF200" s="195">
        <v>0</v>
      </c>
      <c r="AG200" s="185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 t="str">
        <f>"    " &amp; TEXT(AF200,"#0.00%") &amp; " " &amp; "하역 및 반입" &amp; " " &amp; IF(Q200="","",TEXT(Q200,"M/D-")) &amp; IF(R200="","",TEXT(R200,"M/D")) &amp; " "</f>
        <v xml:space="preserve">    0.00% 하역 및 반입 2/9-2/14 </v>
      </c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</row>
    <row r="201" spans="1:93" ht="15" customHeight="1" outlineLevel="3" x14ac:dyDescent="0.4">
      <c r="A201" s="172"/>
      <c r="B201" s="172" t="s">
        <v>1879</v>
      </c>
      <c r="C201" s="172">
        <v>4</v>
      </c>
      <c r="D201" s="173" t="s">
        <v>2144</v>
      </c>
      <c r="E201" s="174"/>
      <c r="F201" s="174"/>
      <c r="G201" s="174"/>
      <c r="H201" s="197" t="s">
        <v>1975</v>
      </c>
      <c r="I201" s="174"/>
      <c r="J201" s="174"/>
      <c r="K201" s="174"/>
      <c r="L201" s="174"/>
      <c r="M201" s="174"/>
      <c r="N201" s="174"/>
      <c r="O201" s="191" t="s">
        <v>1888</v>
      </c>
      <c r="P201" s="191" t="s">
        <v>1888</v>
      </c>
      <c r="Q201" s="179">
        <v>44925</v>
      </c>
      <c r="R201" s="179">
        <v>44986</v>
      </c>
      <c r="S201" s="177"/>
      <c r="T201" s="178">
        <v>63</v>
      </c>
      <c r="U201" s="178">
        <v>0</v>
      </c>
      <c r="V201" s="178">
        <v>62</v>
      </c>
      <c r="W201" s="178">
        <v>0</v>
      </c>
      <c r="X201" s="179"/>
      <c r="Y201" s="179"/>
      <c r="Z201" s="180">
        <v>0</v>
      </c>
      <c r="AA201" s="181">
        <v>0</v>
      </c>
      <c r="AB201" s="178"/>
      <c r="AC201" s="177"/>
      <c r="AD201" s="182"/>
      <c r="AE201" s="183">
        <v>0</v>
      </c>
      <c r="AF201" s="207">
        <v>0</v>
      </c>
      <c r="AG201" s="185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 t="str">
        <f>"     " &amp; TEXT(AF201,"#0.00%") &amp; " "</f>
        <v xml:space="preserve">     0.00% </v>
      </c>
      <c r="BO201" s="186"/>
      <c r="BP201" s="186"/>
      <c r="BQ201" s="186"/>
      <c r="BR201" s="186"/>
      <c r="BS201" s="186"/>
      <c r="BT201" s="186"/>
      <c r="BU201" s="186"/>
      <c r="BV201" s="186"/>
      <c r="BW201" s="186" t="str">
        <f>"    " &amp; "RACK 마감자재(후면Deck포함)" &amp; " " &amp; IF(Q201="","",TEXT(Q201,"M/D-")) &amp; IF(R201="","",TEXT(R201,"M/D")) &amp; " "</f>
        <v xml:space="preserve">    RACK 마감자재(후면Deck포함) 12/30-3/1 </v>
      </c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</row>
    <row r="202" spans="1:93" ht="15" customHeight="1" outlineLevel="4" x14ac:dyDescent="0.4">
      <c r="A202" s="172"/>
      <c r="B202" s="172"/>
      <c r="C202" s="172">
        <v>5</v>
      </c>
      <c r="D202" s="173" t="s">
        <v>2145</v>
      </c>
      <c r="E202" s="174"/>
      <c r="F202" s="174"/>
      <c r="G202" s="174"/>
      <c r="H202" s="174"/>
      <c r="I202" s="174" t="s">
        <v>2127</v>
      </c>
      <c r="J202" s="174"/>
      <c r="K202" s="174"/>
      <c r="L202" s="174"/>
      <c r="M202" s="174"/>
      <c r="N202" s="174"/>
      <c r="O202" s="191" t="s">
        <v>1888</v>
      </c>
      <c r="P202" s="191" t="s">
        <v>1888</v>
      </c>
      <c r="Q202" s="179">
        <v>44925</v>
      </c>
      <c r="R202" s="179">
        <v>44930</v>
      </c>
      <c r="S202" s="177">
        <f>R202-Q202</f>
        <v>5</v>
      </c>
      <c r="T202" s="178">
        <v>6</v>
      </c>
      <c r="U202" s="178">
        <v>0</v>
      </c>
      <c r="V202" s="178">
        <v>6</v>
      </c>
      <c r="W202" s="178">
        <v>0</v>
      </c>
      <c r="X202" s="179"/>
      <c r="Y202" s="179"/>
      <c r="Z202" s="180"/>
      <c r="AA202" s="181">
        <v>0</v>
      </c>
      <c r="AB202" s="178">
        <v>1</v>
      </c>
      <c r="AC202" s="177"/>
      <c r="AD202" s="182"/>
      <c r="AE202" s="183">
        <v>0</v>
      </c>
      <c r="AF202" s="195">
        <v>0</v>
      </c>
      <c r="AG202" s="185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 t="str">
        <f>"     " &amp; TEXT(AF202,"#0.00%") &amp; " " &amp; "출하 선적" &amp; " " &amp; IF(Q202="","",TEXT(Q202,"M/D-")) &amp; IF(R202="","",TEXT(R202,"M/D")) &amp; " "</f>
        <v xml:space="preserve">     0.00% 출하 선적 12/30-1/4 </v>
      </c>
      <c r="BO202" s="186"/>
      <c r="BP202" s="186"/>
      <c r="BQ202" s="186"/>
      <c r="BR202" s="186"/>
      <c r="BS202" s="186"/>
      <c r="BT202" s="186"/>
      <c r="BU202" s="186"/>
      <c r="BV202" s="186"/>
      <c r="BW202" s="186"/>
      <c r="BX202" s="186"/>
      <c r="BY202" s="186"/>
      <c r="BZ202" s="186"/>
      <c r="CA202" s="186"/>
      <c r="CB202" s="186"/>
      <c r="CC202" s="186"/>
      <c r="CD202" s="186"/>
      <c r="CE202" s="186"/>
      <c r="CF202" s="186"/>
      <c r="CG202" s="186"/>
      <c r="CH202" s="186"/>
      <c r="CI202" s="186"/>
      <c r="CJ202" s="186"/>
      <c r="CK202" s="186"/>
      <c r="CL202" s="186"/>
      <c r="CM202" s="186"/>
      <c r="CN202" s="186"/>
      <c r="CO202" s="186"/>
    </row>
    <row r="203" spans="1:93" ht="15" customHeight="1" outlineLevel="4" x14ac:dyDescent="0.4">
      <c r="A203" s="172"/>
      <c r="B203" s="172"/>
      <c r="C203" s="172">
        <v>5</v>
      </c>
      <c r="D203" s="173" t="s">
        <v>2146</v>
      </c>
      <c r="E203" s="174"/>
      <c r="F203" s="174"/>
      <c r="G203" s="174"/>
      <c r="H203" s="174"/>
      <c r="I203" s="174" t="s">
        <v>2129</v>
      </c>
      <c r="J203" s="174"/>
      <c r="K203" s="174"/>
      <c r="L203" s="174"/>
      <c r="M203" s="174"/>
      <c r="N203" s="174"/>
      <c r="O203" s="191" t="s">
        <v>1888</v>
      </c>
      <c r="P203" s="191" t="s">
        <v>1888</v>
      </c>
      <c r="Q203" s="179">
        <v>44930</v>
      </c>
      <c r="R203" s="179">
        <v>44980</v>
      </c>
      <c r="S203" s="177">
        <f>R203-Q203</f>
        <v>50</v>
      </c>
      <c r="T203" s="178">
        <v>51</v>
      </c>
      <c r="U203" s="178">
        <v>0</v>
      </c>
      <c r="V203" s="178">
        <v>51</v>
      </c>
      <c r="W203" s="178">
        <v>0</v>
      </c>
      <c r="X203" s="179"/>
      <c r="Y203" s="179"/>
      <c r="Z203" s="180"/>
      <c r="AA203" s="181">
        <v>0</v>
      </c>
      <c r="AB203" s="178">
        <v>1</v>
      </c>
      <c r="AC203" s="177"/>
      <c r="AD203" s="182"/>
      <c r="AE203" s="183">
        <v>0</v>
      </c>
      <c r="AF203" s="195">
        <v>0</v>
      </c>
      <c r="AG203" s="185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 t="str">
        <f>"   " &amp; TEXT(AF203,"#0.00%") &amp; " "</f>
        <v xml:space="preserve">   0.00% </v>
      </c>
      <c r="BP203" s="186"/>
      <c r="BQ203" s="186"/>
      <c r="BR203" s="186"/>
      <c r="BS203" s="186"/>
      <c r="BT203" s="186"/>
      <c r="BU203" s="186"/>
      <c r="BV203" s="186" t="str">
        <f>"     " &amp; "화물이동" &amp; " " &amp; IF(Q203="","",TEXT(Q203,"M/D-")) &amp; IF(R203="","",TEXT(R203,"M/D")) &amp; " "</f>
        <v xml:space="preserve">     화물이동 1/4-2/23 </v>
      </c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</row>
    <row r="204" spans="1:93" ht="15" customHeight="1" outlineLevel="4" x14ac:dyDescent="0.4">
      <c r="A204" s="172"/>
      <c r="B204" s="172"/>
      <c r="C204" s="172">
        <v>5</v>
      </c>
      <c r="D204" s="173" t="s">
        <v>2147</v>
      </c>
      <c r="E204" s="174"/>
      <c r="F204" s="174"/>
      <c r="G204" s="174"/>
      <c r="H204" s="174"/>
      <c r="I204" s="174" t="s">
        <v>2131</v>
      </c>
      <c r="J204" s="174"/>
      <c r="K204" s="174"/>
      <c r="L204" s="174"/>
      <c r="M204" s="174"/>
      <c r="N204" s="174"/>
      <c r="O204" s="191" t="s">
        <v>1888</v>
      </c>
      <c r="P204" s="191" t="s">
        <v>1888</v>
      </c>
      <c r="Q204" s="179">
        <v>44981</v>
      </c>
      <c r="R204" s="179">
        <v>44986</v>
      </c>
      <c r="S204" s="177">
        <f>R204-Q204</f>
        <v>5</v>
      </c>
      <c r="T204" s="178">
        <v>6</v>
      </c>
      <c r="U204" s="178">
        <v>0</v>
      </c>
      <c r="V204" s="178">
        <v>6</v>
      </c>
      <c r="W204" s="178">
        <v>0</v>
      </c>
      <c r="X204" s="179"/>
      <c r="Y204" s="179"/>
      <c r="Z204" s="180"/>
      <c r="AA204" s="181">
        <v>0</v>
      </c>
      <c r="AB204" s="178">
        <v>1</v>
      </c>
      <c r="AC204" s="177"/>
      <c r="AD204" s="182"/>
      <c r="AE204" s="183">
        <v>0</v>
      </c>
      <c r="AF204" s="195">
        <v>0</v>
      </c>
      <c r="AG204" s="185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 t="str">
        <f>"     " &amp; TEXT(AF204,"#0.00%") &amp; " " &amp; "하역 및 반입" &amp; " " &amp; IF(Q204="","",TEXT(Q204,"M/D-")) &amp; IF(R204="","",TEXT(R204,"M/D")) &amp; " "</f>
        <v xml:space="preserve">     0.00% 하역 및 반입 2/24-3/1 </v>
      </c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</row>
    <row r="205" spans="1:93" ht="15" customHeight="1" outlineLevel="2" x14ac:dyDescent="0.4">
      <c r="A205" s="172"/>
      <c r="B205" s="172" t="s">
        <v>1879</v>
      </c>
      <c r="C205" s="172">
        <v>3</v>
      </c>
      <c r="D205" s="173" t="s">
        <v>2148</v>
      </c>
      <c r="E205" s="174"/>
      <c r="F205" s="174"/>
      <c r="G205" s="174" t="s">
        <v>1899</v>
      </c>
      <c r="H205" s="174"/>
      <c r="I205" s="174"/>
      <c r="J205" s="174"/>
      <c r="K205" s="174"/>
      <c r="L205" s="174"/>
      <c r="M205" s="174"/>
      <c r="N205" s="174"/>
      <c r="O205" s="191" t="s">
        <v>1900</v>
      </c>
      <c r="P205" s="191"/>
      <c r="Q205" s="179">
        <v>44925</v>
      </c>
      <c r="R205" s="179">
        <v>45017</v>
      </c>
      <c r="S205" s="177"/>
      <c r="T205" s="178">
        <v>126</v>
      </c>
      <c r="U205" s="178">
        <v>0</v>
      </c>
      <c r="V205" s="178">
        <v>93</v>
      </c>
      <c r="W205" s="178">
        <v>0</v>
      </c>
      <c r="X205" s="179"/>
      <c r="Y205" s="179"/>
      <c r="Z205" s="180">
        <v>0</v>
      </c>
      <c r="AA205" s="181">
        <v>0</v>
      </c>
      <c r="AB205" s="178"/>
      <c r="AC205" s="177"/>
      <c r="AD205" s="182"/>
      <c r="AE205" s="183">
        <v>0</v>
      </c>
      <c r="AF205" s="207">
        <v>0</v>
      </c>
      <c r="AG205" s="185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 t="str">
        <f>"     " &amp; TEXT(AF205,"#0.00%") &amp; " "</f>
        <v xml:space="preserve">     0.00% </v>
      </c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 t="str">
        <f>"" &amp; "MSC Crane" &amp; " " &amp; IF(Q205="","",TEXT(Q205,"M/D-")) &amp; IF(R205="","",TEXT(R205,"M/D")) &amp; " "</f>
        <v xml:space="preserve">MSC Crane 12/30-4/1 </v>
      </c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</row>
    <row r="206" spans="1:93" ht="15" customHeight="1" outlineLevel="3" x14ac:dyDescent="0.4">
      <c r="A206" s="172"/>
      <c r="B206" s="172" t="s">
        <v>1879</v>
      </c>
      <c r="C206" s="172">
        <v>4</v>
      </c>
      <c r="D206" s="173" t="s">
        <v>2149</v>
      </c>
      <c r="E206" s="174"/>
      <c r="F206" s="174"/>
      <c r="G206" s="174"/>
      <c r="H206" s="174" t="s">
        <v>1981</v>
      </c>
      <c r="I206" s="174"/>
      <c r="J206" s="174"/>
      <c r="K206" s="174"/>
      <c r="L206" s="174"/>
      <c r="M206" s="174"/>
      <c r="N206" s="174"/>
      <c r="O206" s="191" t="s">
        <v>1900</v>
      </c>
      <c r="P206" s="191" t="s">
        <v>1893</v>
      </c>
      <c r="Q206" s="179">
        <v>44925</v>
      </c>
      <c r="R206" s="179">
        <v>44986</v>
      </c>
      <c r="S206" s="177"/>
      <c r="T206" s="178">
        <v>63</v>
      </c>
      <c r="U206" s="178">
        <v>0</v>
      </c>
      <c r="V206" s="178">
        <v>62</v>
      </c>
      <c r="W206" s="178">
        <v>0</v>
      </c>
      <c r="X206" s="179"/>
      <c r="Y206" s="179"/>
      <c r="Z206" s="180">
        <v>0</v>
      </c>
      <c r="AA206" s="181">
        <v>0</v>
      </c>
      <c r="AB206" s="178"/>
      <c r="AC206" s="177"/>
      <c r="AD206" s="182"/>
      <c r="AE206" s="183">
        <v>0</v>
      </c>
      <c r="AF206" s="207">
        <v>0</v>
      </c>
      <c r="AG206" s="185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 t="str">
        <f>"     " &amp; TEXT(AF206,"#0.00%") &amp; " "</f>
        <v xml:space="preserve">     0.00% </v>
      </c>
      <c r="BO206" s="186"/>
      <c r="BP206" s="186"/>
      <c r="BQ206" s="186"/>
      <c r="BR206" s="186"/>
      <c r="BS206" s="186"/>
      <c r="BT206" s="186"/>
      <c r="BU206" s="186"/>
      <c r="BV206" s="186"/>
      <c r="BW206" s="186" t="str">
        <f>"    " &amp; "상온1,고온1,PPC,충방전" &amp; " " &amp; IF(Q206="","",TEXT(Q206,"M/D-")) &amp; IF(R206="","",TEXT(R206,"M/D")) &amp; " "</f>
        <v xml:space="preserve">    상온1,고온1,PPC,충방전 12/30-3/1 </v>
      </c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</row>
    <row r="207" spans="1:93" ht="15" customHeight="1" outlineLevel="4" x14ac:dyDescent="0.4">
      <c r="A207" s="172"/>
      <c r="B207" s="172"/>
      <c r="C207" s="172">
        <v>5</v>
      </c>
      <c r="D207" s="173" t="s">
        <v>2150</v>
      </c>
      <c r="E207" s="174"/>
      <c r="F207" s="174"/>
      <c r="G207" s="174"/>
      <c r="H207" s="174"/>
      <c r="I207" s="174" t="s">
        <v>2127</v>
      </c>
      <c r="J207" s="174"/>
      <c r="K207" s="174"/>
      <c r="L207" s="174"/>
      <c r="M207" s="174"/>
      <c r="N207" s="174"/>
      <c r="O207" s="191" t="s">
        <v>1900</v>
      </c>
      <c r="P207" s="191" t="s">
        <v>1893</v>
      </c>
      <c r="Q207" s="179">
        <v>44925</v>
      </c>
      <c r="R207" s="179">
        <v>44930</v>
      </c>
      <c r="S207" s="177">
        <f>R207-Q207</f>
        <v>5</v>
      </c>
      <c r="T207" s="178">
        <v>6</v>
      </c>
      <c r="U207" s="178">
        <v>0</v>
      </c>
      <c r="V207" s="178">
        <v>6</v>
      </c>
      <c r="W207" s="178">
        <v>0</v>
      </c>
      <c r="X207" s="179"/>
      <c r="Y207" s="179"/>
      <c r="Z207" s="180"/>
      <c r="AA207" s="181">
        <v>0</v>
      </c>
      <c r="AB207" s="178">
        <v>1</v>
      </c>
      <c r="AC207" s="177"/>
      <c r="AD207" s="182"/>
      <c r="AE207" s="183">
        <v>0</v>
      </c>
      <c r="AF207" s="195">
        <v>0</v>
      </c>
      <c r="AG207" s="185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 t="str">
        <f>"     " &amp; TEXT(AF207,"#0.00%") &amp; " " &amp; "출하 선적" &amp; " " &amp; IF(Q207="","",TEXT(Q207,"M/D-")) &amp; IF(R207="","",TEXT(R207,"M/D")) &amp; " "</f>
        <v xml:space="preserve">     0.00% 출하 선적 12/30-1/4 </v>
      </c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</row>
    <row r="208" spans="1:93" ht="15" customHeight="1" outlineLevel="4" x14ac:dyDescent="0.4">
      <c r="A208" s="172"/>
      <c r="B208" s="172"/>
      <c r="C208" s="172">
        <v>5</v>
      </c>
      <c r="D208" s="173" t="s">
        <v>2151</v>
      </c>
      <c r="E208" s="174"/>
      <c r="F208" s="174"/>
      <c r="G208" s="174"/>
      <c r="H208" s="174"/>
      <c r="I208" s="174" t="s">
        <v>2129</v>
      </c>
      <c r="J208" s="174"/>
      <c r="K208" s="174"/>
      <c r="L208" s="174"/>
      <c r="M208" s="174"/>
      <c r="N208" s="174"/>
      <c r="O208" s="191" t="s">
        <v>1900</v>
      </c>
      <c r="P208" s="191" t="s">
        <v>1893</v>
      </c>
      <c r="Q208" s="179">
        <v>44930</v>
      </c>
      <c r="R208" s="179">
        <v>44980</v>
      </c>
      <c r="S208" s="177">
        <f>R208-Q208</f>
        <v>50</v>
      </c>
      <c r="T208" s="178">
        <v>51</v>
      </c>
      <c r="U208" s="178">
        <v>0</v>
      </c>
      <c r="V208" s="178">
        <v>51</v>
      </c>
      <c r="W208" s="178">
        <v>0</v>
      </c>
      <c r="X208" s="179"/>
      <c r="Y208" s="179"/>
      <c r="Z208" s="180"/>
      <c r="AA208" s="181">
        <v>0</v>
      </c>
      <c r="AB208" s="178">
        <v>1</v>
      </c>
      <c r="AC208" s="177"/>
      <c r="AD208" s="182"/>
      <c r="AE208" s="183">
        <v>0</v>
      </c>
      <c r="AF208" s="195">
        <v>0</v>
      </c>
      <c r="AG208" s="185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6"/>
      <c r="BN208" s="186"/>
      <c r="BO208" s="186" t="str">
        <f>"   " &amp; TEXT(AF208,"#0.00%") &amp; " "</f>
        <v xml:space="preserve">   0.00% </v>
      </c>
      <c r="BP208" s="186"/>
      <c r="BQ208" s="186"/>
      <c r="BR208" s="186"/>
      <c r="BS208" s="186"/>
      <c r="BT208" s="186"/>
      <c r="BU208" s="186"/>
      <c r="BV208" s="186" t="str">
        <f>"     " &amp; "화물이동" &amp; " " &amp; IF(Q208="","",TEXT(Q208,"M/D-")) &amp; IF(R208="","",TEXT(R208,"M/D")) &amp; " "</f>
        <v xml:space="preserve">     화물이동 1/4-2/23 </v>
      </c>
      <c r="BW208" s="186"/>
      <c r="BX208" s="186"/>
      <c r="BY208" s="186"/>
      <c r="BZ208" s="186"/>
      <c r="CA208" s="186"/>
      <c r="CB208" s="186"/>
      <c r="CC208" s="186"/>
      <c r="CD208" s="186"/>
      <c r="CE208" s="186"/>
      <c r="CF208" s="186"/>
      <c r="CG208" s="186"/>
      <c r="CH208" s="186"/>
      <c r="CI208" s="186"/>
      <c r="CJ208" s="186"/>
      <c r="CK208" s="186"/>
      <c r="CL208" s="186"/>
      <c r="CM208" s="186"/>
      <c r="CN208" s="186"/>
      <c r="CO208" s="186"/>
    </row>
    <row r="209" spans="1:93" ht="15" customHeight="1" outlineLevel="4" x14ac:dyDescent="0.4">
      <c r="A209" s="172"/>
      <c r="B209" s="172"/>
      <c r="C209" s="172">
        <v>5</v>
      </c>
      <c r="D209" s="173" t="s">
        <v>2152</v>
      </c>
      <c r="E209" s="174"/>
      <c r="F209" s="174"/>
      <c r="G209" s="174"/>
      <c r="H209" s="174"/>
      <c r="I209" s="174" t="s">
        <v>2131</v>
      </c>
      <c r="J209" s="174"/>
      <c r="K209" s="174"/>
      <c r="L209" s="174"/>
      <c r="M209" s="174"/>
      <c r="N209" s="174"/>
      <c r="O209" s="191" t="s">
        <v>1900</v>
      </c>
      <c r="P209" s="191" t="s">
        <v>1893</v>
      </c>
      <c r="Q209" s="179">
        <v>44981</v>
      </c>
      <c r="R209" s="179">
        <v>44986</v>
      </c>
      <c r="S209" s="177">
        <f>R209-Q209</f>
        <v>5</v>
      </c>
      <c r="T209" s="178">
        <v>6</v>
      </c>
      <c r="U209" s="178">
        <v>0</v>
      </c>
      <c r="V209" s="178">
        <v>6</v>
      </c>
      <c r="W209" s="178">
        <v>0</v>
      </c>
      <c r="X209" s="179"/>
      <c r="Y209" s="179"/>
      <c r="Z209" s="180"/>
      <c r="AA209" s="181">
        <v>0</v>
      </c>
      <c r="AB209" s="178">
        <v>1</v>
      </c>
      <c r="AC209" s="177"/>
      <c r="AD209" s="182"/>
      <c r="AE209" s="183">
        <v>0</v>
      </c>
      <c r="AF209" s="195">
        <v>0</v>
      </c>
      <c r="AG209" s="185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 t="str">
        <f>"     " &amp; TEXT(AF209,"#0.00%") &amp; " " &amp; "하역 및 반입" &amp; " " &amp; IF(Q209="","",TEXT(Q209,"M/D-")) &amp; IF(R209="","",TEXT(R209,"M/D")) &amp; " "</f>
        <v xml:space="preserve">     0.00% 하역 및 반입 2/24-3/1 </v>
      </c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</row>
    <row r="210" spans="1:93" ht="15" customHeight="1" outlineLevel="3" x14ac:dyDescent="0.4">
      <c r="A210" s="172"/>
      <c r="B210" s="172" t="s">
        <v>1879</v>
      </c>
      <c r="C210" s="172">
        <v>4</v>
      </c>
      <c r="D210" s="173" t="s">
        <v>2153</v>
      </c>
      <c r="E210" s="174"/>
      <c r="F210" s="174"/>
      <c r="G210" s="174"/>
      <c r="H210" s="174" t="s">
        <v>1991</v>
      </c>
      <c r="I210" s="174"/>
      <c r="J210" s="174"/>
      <c r="K210" s="174"/>
      <c r="L210" s="174"/>
      <c r="M210" s="174"/>
      <c r="N210" s="174"/>
      <c r="O210" s="191" t="s">
        <v>1900</v>
      </c>
      <c r="P210" s="191" t="s">
        <v>1916</v>
      </c>
      <c r="Q210" s="179">
        <v>44956</v>
      </c>
      <c r="R210" s="179">
        <v>45017</v>
      </c>
      <c r="S210" s="177"/>
      <c r="T210" s="178">
        <v>63</v>
      </c>
      <c r="U210" s="178">
        <v>0</v>
      </c>
      <c r="V210" s="178">
        <v>62</v>
      </c>
      <c r="W210" s="178">
        <v>0</v>
      </c>
      <c r="X210" s="179"/>
      <c r="Y210" s="179"/>
      <c r="Z210" s="180">
        <v>0</v>
      </c>
      <c r="AA210" s="181">
        <v>0</v>
      </c>
      <c r="AB210" s="178"/>
      <c r="AC210" s="177"/>
      <c r="AD210" s="182"/>
      <c r="AE210" s="183">
        <v>0</v>
      </c>
      <c r="AF210" s="207">
        <v>0</v>
      </c>
      <c r="AG210" s="185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 t="str">
        <f>" " &amp; TEXT(AF210,"#0.00%") &amp; " "</f>
        <v xml:space="preserve"> 0.00% </v>
      </c>
      <c r="BT210" s="186"/>
      <c r="BU210" s="186"/>
      <c r="BV210" s="186"/>
      <c r="BW210" s="186"/>
      <c r="BX210" s="186"/>
      <c r="BY210" s="186"/>
      <c r="BZ210" s="186"/>
      <c r="CA210" s="186"/>
      <c r="CB210" s="186" t="str">
        <f>"" &amp; "상온2,고온2" &amp; " " &amp; IF(Q210="","",TEXT(Q210,"M/D-")) &amp; IF(R210="","",TEXT(R210,"M/D")) &amp; " "</f>
        <v xml:space="preserve">상온2,고온2 1/30-4/1 </v>
      </c>
      <c r="CC210" s="186"/>
      <c r="CD210" s="186"/>
      <c r="CE210" s="186"/>
      <c r="CF210" s="186"/>
      <c r="CG210" s="186"/>
      <c r="CH210" s="186"/>
      <c r="CI210" s="186"/>
      <c r="CJ210" s="186"/>
      <c r="CK210" s="186"/>
      <c r="CL210" s="186"/>
      <c r="CM210" s="186"/>
      <c r="CN210" s="186"/>
      <c r="CO210" s="186"/>
    </row>
    <row r="211" spans="1:93" ht="15" customHeight="1" outlineLevel="4" x14ac:dyDescent="0.4">
      <c r="A211" s="172"/>
      <c r="B211" s="172"/>
      <c r="C211" s="172">
        <v>5</v>
      </c>
      <c r="D211" s="173" t="s">
        <v>2154</v>
      </c>
      <c r="E211" s="174"/>
      <c r="F211" s="174"/>
      <c r="G211" s="174"/>
      <c r="H211" s="174"/>
      <c r="I211" s="174" t="s">
        <v>2127</v>
      </c>
      <c r="J211" s="174"/>
      <c r="K211" s="174"/>
      <c r="L211" s="174"/>
      <c r="M211" s="174"/>
      <c r="N211" s="174"/>
      <c r="O211" s="191" t="s">
        <v>1900</v>
      </c>
      <c r="P211" s="191" t="s">
        <v>1916</v>
      </c>
      <c r="Q211" s="179">
        <v>44956</v>
      </c>
      <c r="R211" s="179">
        <v>44961</v>
      </c>
      <c r="S211" s="177">
        <f>R211-Q211</f>
        <v>5</v>
      </c>
      <c r="T211" s="178">
        <v>6</v>
      </c>
      <c r="U211" s="178">
        <v>0</v>
      </c>
      <c r="V211" s="178">
        <v>6</v>
      </c>
      <c r="W211" s="178">
        <v>0</v>
      </c>
      <c r="X211" s="179"/>
      <c r="Y211" s="179"/>
      <c r="Z211" s="180"/>
      <c r="AA211" s="181">
        <v>0</v>
      </c>
      <c r="AB211" s="178">
        <v>1</v>
      </c>
      <c r="AC211" s="177"/>
      <c r="AD211" s="182"/>
      <c r="AE211" s="183">
        <v>0</v>
      </c>
      <c r="AF211" s="195">
        <v>0</v>
      </c>
      <c r="AG211" s="185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 t="str">
        <f>" " &amp; TEXT(AF211,"#0.00%") &amp; " " &amp; "출하 선적" &amp; " " &amp; IF(Q211="","",TEXT(Q211,"M/D-")) &amp; IF(R211="","",TEXT(R211,"M/D")) &amp; " "</f>
        <v xml:space="preserve"> 0.00% 출하 선적 1/30-2/4 </v>
      </c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6"/>
      <c r="CJ211" s="186"/>
      <c r="CK211" s="186"/>
      <c r="CL211" s="186"/>
      <c r="CM211" s="186"/>
      <c r="CN211" s="186"/>
      <c r="CO211" s="186"/>
    </row>
    <row r="212" spans="1:93" ht="15" customHeight="1" outlineLevel="4" x14ac:dyDescent="0.4">
      <c r="A212" s="172"/>
      <c r="B212" s="172"/>
      <c r="C212" s="172">
        <v>5</v>
      </c>
      <c r="D212" s="173" t="s">
        <v>2155</v>
      </c>
      <c r="E212" s="174"/>
      <c r="F212" s="174"/>
      <c r="G212" s="174"/>
      <c r="H212" s="174"/>
      <c r="I212" s="174" t="s">
        <v>2129</v>
      </c>
      <c r="J212" s="174"/>
      <c r="K212" s="174"/>
      <c r="L212" s="174"/>
      <c r="M212" s="174"/>
      <c r="N212" s="174"/>
      <c r="O212" s="191" t="s">
        <v>1900</v>
      </c>
      <c r="P212" s="191" t="s">
        <v>1916</v>
      </c>
      <c r="Q212" s="179">
        <v>44961</v>
      </c>
      <c r="R212" s="179">
        <v>45011</v>
      </c>
      <c r="S212" s="177">
        <f>R212-Q212</f>
        <v>50</v>
      </c>
      <c r="T212" s="178">
        <v>51</v>
      </c>
      <c r="U212" s="178">
        <v>0</v>
      </c>
      <c r="V212" s="178">
        <v>51</v>
      </c>
      <c r="W212" s="178">
        <v>0</v>
      </c>
      <c r="X212" s="179"/>
      <c r="Y212" s="179"/>
      <c r="Z212" s="180"/>
      <c r="AA212" s="181">
        <v>0</v>
      </c>
      <c r="AB212" s="178">
        <v>1</v>
      </c>
      <c r="AC212" s="177"/>
      <c r="AD212" s="182"/>
      <c r="AE212" s="183">
        <v>0</v>
      </c>
      <c r="AF212" s="195">
        <v>0</v>
      </c>
      <c r="AG212" s="185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 t="str">
        <f>"      " &amp; TEXT(AF212,"#0.00%") &amp; " "</f>
        <v xml:space="preserve">      0.00% </v>
      </c>
      <c r="BT212" s="186"/>
      <c r="BU212" s="186"/>
      <c r="BV212" s="186"/>
      <c r="BW212" s="186"/>
      <c r="BX212" s="186"/>
      <c r="BY212" s="186"/>
      <c r="BZ212" s="186"/>
      <c r="CA212" s="186" t="str">
        <f>" " &amp; "화물이동" &amp; " " &amp; IF(Q212="","",TEXT(Q212,"M/D-")) &amp; IF(R212="","",TEXT(R212,"M/D")) &amp; " "</f>
        <v xml:space="preserve"> 화물이동 2/4-3/26 </v>
      </c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</row>
    <row r="213" spans="1:93" ht="15" customHeight="1" outlineLevel="4" x14ac:dyDescent="0.4">
      <c r="A213" s="172"/>
      <c r="B213" s="172"/>
      <c r="C213" s="172">
        <v>5</v>
      </c>
      <c r="D213" s="173" t="s">
        <v>2156</v>
      </c>
      <c r="E213" s="174"/>
      <c r="F213" s="174"/>
      <c r="G213" s="174"/>
      <c r="H213" s="174"/>
      <c r="I213" s="174" t="s">
        <v>2131</v>
      </c>
      <c r="J213" s="174"/>
      <c r="K213" s="174"/>
      <c r="L213" s="174"/>
      <c r="M213" s="174"/>
      <c r="N213" s="174"/>
      <c r="O213" s="191" t="s">
        <v>1900</v>
      </c>
      <c r="P213" s="191" t="s">
        <v>1916</v>
      </c>
      <c r="Q213" s="179">
        <v>45012</v>
      </c>
      <c r="R213" s="179">
        <v>45017</v>
      </c>
      <c r="S213" s="177">
        <f>R213-Q213</f>
        <v>5</v>
      </c>
      <c r="T213" s="178">
        <v>6</v>
      </c>
      <c r="U213" s="178">
        <v>0</v>
      </c>
      <c r="V213" s="178">
        <v>6</v>
      </c>
      <c r="W213" s="178">
        <v>0</v>
      </c>
      <c r="X213" s="179"/>
      <c r="Y213" s="179"/>
      <c r="Z213" s="180"/>
      <c r="AA213" s="181">
        <v>0</v>
      </c>
      <c r="AB213" s="178">
        <v>1</v>
      </c>
      <c r="AC213" s="177"/>
      <c r="AD213" s="182"/>
      <c r="AE213" s="183">
        <v>0</v>
      </c>
      <c r="AF213" s="195">
        <v>0</v>
      </c>
      <c r="AG213" s="185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 t="str">
        <f>" " &amp; TEXT(AF213,"#0.00%") &amp; " " &amp; "하역 및 반입" &amp; " " &amp; IF(Q213="","",TEXT(Q213,"M/D-")) &amp; IF(R213="","",TEXT(R213,"M/D")) &amp; " "</f>
        <v xml:space="preserve"> 0.00% 하역 및 반입 3/27-4/1 </v>
      </c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</row>
    <row r="214" spans="1:93" ht="15" customHeight="1" outlineLevel="2" x14ac:dyDescent="0.4">
      <c r="A214" s="172"/>
      <c r="B214" s="172" t="s">
        <v>1879</v>
      </c>
      <c r="C214" s="172">
        <v>3</v>
      </c>
      <c r="D214" s="173" t="s">
        <v>2157</v>
      </c>
      <c r="E214" s="174"/>
      <c r="F214" s="174"/>
      <c r="G214" s="193" t="s">
        <v>1922</v>
      </c>
      <c r="H214" s="174"/>
      <c r="I214" s="174"/>
      <c r="J214" s="174"/>
      <c r="K214" s="174"/>
      <c r="L214" s="174"/>
      <c r="M214" s="174"/>
      <c r="N214" s="174"/>
      <c r="O214" s="175" t="s">
        <v>1923</v>
      </c>
      <c r="P214" s="175"/>
      <c r="Q214" s="179">
        <v>44880</v>
      </c>
      <c r="R214" s="179">
        <v>44941</v>
      </c>
      <c r="S214" s="177"/>
      <c r="T214" s="178">
        <v>63</v>
      </c>
      <c r="U214" s="178">
        <v>0</v>
      </c>
      <c r="V214" s="178">
        <v>62</v>
      </c>
      <c r="W214" s="178">
        <v>0</v>
      </c>
      <c r="X214" s="179"/>
      <c r="Y214" s="179"/>
      <c r="Z214" s="180">
        <v>0</v>
      </c>
      <c r="AA214" s="181">
        <v>0</v>
      </c>
      <c r="AB214" s="178"/>
      <c r="AC214" s="177"/>
      <c r="AD214" s="182"/>
      <c r="AE214" s="183">
        <v>0</v>
      </c>
      <c r="AF214" s="207">
        <v>0</v>
      </c>
      <c r="AG214" s="185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 t="str">
        <f>"  " &amp; TEXT(AF214,"#0.00%") &amp; " "</f>
        <v xml:space="preserve">  0.00% </v>
      </c>
      <c r="BI214" s="186"/>
      <c r="BJ214" s="186"/>
      <c r="BK214" s="186"/>
      <c r="BL214" s="186"/>
      <c r="BM214" s="186"/>
      <c r="BN214" s="186"/>
      <c r="BO214" s="186"/>
      <c r="BP214" s="186"/>
      <c r="BQ214" s="186" t="str">
        <f>" " &amp; "환적 이재기" &amp; " " &amp; IF(Q214="","",TEXT(Q214,"M/D-")) &amp; IF(R214="","",TEXT(R214,"M/D")) &amp; " "</f>
        <v xml:space="preserve"> 환적 이재기 11/15-1/15 </v>
      </c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</row>
    <row r="215" spans="1:93" ht="15" customHeight="1" outlineLevel="3" x14ac:dyDescent="0.4">
      <c r="A215" s="172"/>
      <c r="B215" s="172" t="s">
        <v>1879</v>
      </c>
      <c r="C215" s="172">
        <v>4</v>
      </c>
      <c r="D215" s="173" t="s">
        <v>2158</v>
      </c>
      <c r="E215" s="174"/>
      <c r="F215" s="174"/>
      <c r="G215" s="174"/>
      <c r="H215" s="174" t="s">
        <v>2101</v>
      </c>
      <c r="I215" s="174"/>
      <c r="J215" s="174"/>
      <c r="K215" s="174"/>
      <c r="L215" s="174"/>
      <c r="M215" s="174"/>
      <c r="N215" s="174"/>
      <c r="O215" s="175" t="s">
        <v>1923</v>
      </c>
      <c r="P215" s="175" t="s">
        <v>1916</v>
      </c>
      <c r="Q215" s="179">
        <v>44880</v>
      </c>
      <c r="R215" s="179">
        <v>44941</v>
      </c>
      <c r="S215" s="177"/>
      <c r="T215" s="178">
        <v>63</v>
      </c>
      <c r="U215" s="178">
        <v>0</v>
      </c>
      <c r="V215" s="178">
        <v>62</v>
      </c>
      <c r="W215" s="178">
        <v>0</v>
      </c>
      <c r="X215" s="179"/>
      <c r="Y215" s="179"/>
      <c r="Z215" s="180">
        <v>0</v>
      </c>
      <c r="AA215" s="181">
        <v>0</v>
      </c>
      <c r="AB215" s="178"/>
      <c r="AC215" s="177"/>
      <c r="AD215" s="182"/>
      <c r="AE215" s="183">
        <v>0</v>
      </c>
      <c r="AF215" s="207">
        <v>0</v>
      </c>
      <c r="AG215" s="185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 t="str">
        <f>"  " &amp; TEXT(AF215,"#0.00%") &amp; " "</f>
        <v xml:space="preserve">  0.00% </v>
      </c>
      <c r="BI215" s="186"/>
      <c r="BJ215" s="186"/>
      <c r="BK215" s="186"/>
      <c r="BL215" s="186"/>
      <c r="BM215" s="186"/>
      <c r="BN215" s="186"/>
      <c r="BO215" s="186"/>
      <c r="BP215" s="186"/>
      <c r="BQ215" s="186" t="str">
        <f>" " &amp; "Cell 환적 이재기 (24set)" &amp; " " &amp; IF(Q215="","",TEXT(Q215,"M/D-")) &amp; IF(R215="","",TEXT(R215,"M/D")) &amp; " "</f>
        <v xml:space="preserve"> Cell 환적 이재기 (24set) 11/15-1/15 </v>
      </c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</row>
    <row r="216" spans="1:93" ht="15" customHeight="1" outlineLevel="4" x14ac:dyDescent="0.4">
      <c r="A216" s="172"/>
      <c r="B216" s="172"/>
      <c r="C216" s="172">
        <v>5</v>
      </c>
      <c r="D216" s="173" t="s">
        <v>2159</v>
      </c>
      <c r="E216" s="174"/>
      <c r="F216" s="174"/>
      <c r="G216" s="174"/>
      <c r="H216" s="174"/>
      <c r="I216" s="174" t="s">
        <v>2127</v>
      </c>
      <c r="J216" s="174"/>
      <c r="K216" s="174"/>
      <c r="L216" s="174"/>
      <c r="M216" s="174"/>
      <c r="N216" s="174"/>
      <c r="O216" s="175" t="s">
        <v>1923</v>
      </c>
      <c r="P216" s="175" t="s">
        <v>1916</v>
      </c>
      <c r="Q216" s="179">
        <v>44880</v>
      </c>
      <c r="R216" s="179">
        <v>44885</v>
      </c>
      <c r="S216" s="177">
        <f>R216-Q216</f>
        <v>5</v>
      </c>
      <c r="T216" s="178">
        <v>6</v>
      </c>
      <c r="U216" s="178">
        <v>0</v>
      </c>
      <c r="V216" s="178">
        <v>6</v>
      </c>
      <c r="W216" s="178">
        <v>0</v>
      </c>
      <c r="X216" s="179"/>
      <c r="Y216" s="179"/>
      <c r="Z216" s="180"/>
      <c r="AA216" s="181">
        <v>0</v>
      </c>
      <c r="AB216" s="178">
        <v>1</v>
      </c>
      <c r="AC216" s="177"/>
      <c r="AD216" s="182"/>
      <c r="AE216" s="183">
        <v>0</v>
      </c>
      <c r="AF216" s="195">
        <v>0</v>
      </c>
      <c r="AG216" s="185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 t="str">
        <f>"  " &amp; TEXT(AF216,"#0.00%") &amp; " " &amp; "출하 선적" &amp; " " &amp; IF(Q216="","",TEXT(Q216,"M/D-")) &amp; IF(R216="","",TEXT(R216,"M/D")) &amp; " "</f>
        <v xml:space="preserve">  0.00% 출하 선적 11/15-11/20 </v>
      </c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186"/>
      <c r="CG216" s="186"/>
      <c r="CH216" s="186"/>
      <c r="CI216" s="186"/>
      <c r="CJ216" s="186"/>
      <c r="CK216" s="186"/>
      <c r="CL216" s="186"/>
      <c r="CM216" s="186"/>
      <c r="CN216" s="186"/>
      <c r="CO216" s="186"/>
    </row>
    <row r="217" spans="1:93" ht="15" customHeight="1" outlineLevel="4" x14ac:dyDescent="0.4">
      <c r="A217" s="172"/>
      <c r="B217" s="172"/>
      <c r="C217" s="172">
        <v>5</v>
      </c>
      <c r="D217" s="173" t="s">
        <v>2160</v>
      </c>
      <c r="E217" s="174"/>
      <c r="F217" s="174"/>
      <c r="G217" s="174"/>
      <c r="H217" s="174"/>
      <c r="I217" s="174" t="s">
        <v>2161</v>
      </c>
      <c r="J217" s="174"/>
      <c r="K217" s="174"/>
      <c r="L217" s="174"/>
      <c r="M217" s="174"/>
      <c r="N217" s="174"/>
      <c r="O217" s="175" t="s">
        <v>1923</v>
      </c>
      <c r="P217" s="175" t="s">
        <v>1916</v>
      </c>
      <c r="Q217" s="179">
        <v>44885</v>
      </c>
      <c r="R217" s="179">
        <v>44935</v>
      </c>
      <c r="S217" s="177">
        <f>R217-Q217</f>
        <v>50</v>
      </c>
      <c r="T217" s="178">
        <v>51</v>
      </c>
      <c r="U217" s="178">
        <v>0</v>
      </c>
      <c r="V217" s="178">
        <v>51</v>
      </c>
      <c r="W217" s="178">
        <v>0</v>
      </c>
      <c r="X217" s="179"/>
      <c r="Y217" s="179"/>
      <c r="Z217" s="180"/>
      <c r="AA217" s="181">
        <v>0</v>
      </c>
      <c r="AB217" s="178">
        <v>1</v>
      </c>
      <c r="AC217" s="177"/>
      <c r="AD217" s="182"/>
      <c r="AE217" s="183">
        <v>0</v>
      </c>
      <c r="AF217" s="195">
        <v>0</v>
      </c>
      <c r="AG217" s="185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 t="str">
        <f>"" &amp; TEXT(AF217,"#0.00%") &amp; " "</f>
        <v xml:space="preserve">0.00% </v>
      </c>
      <c r="BJ217" s="186"/>
      <c r="BK217" s="186"/>
      <c r="BL217" s="186"/>
      <c r="BM217" s="186"/>
      <c r="BN217" s="186"/>
      <c r="BO217" s="186"/>
      <c r="BP217" s="186" t="str">
        <f>"  " &amp; "화물이동(부산-&gt;CHS)" &amp; " " &amp; IF(Q217="","",TEXT(Q217,"M/D-")) &amp; IF(R217="","",TEXT(R217,"M/D")) &amp; " "</f>
        <v xml:space="preserve">  화물이동(부산-&gt;CHS) 11/20-1/9 </v>
      </c>
      <c r="BQ217" s="186"/>
      <c r="BR217" s="186"/>
      <c r="BS217" s="186"/>
      <c r="BT217" s="186"/>
      <c r="BU217" s="186"/>
      <c r="BV217" s="186"/>
      <c r="BW217" s="186"/>
      <c r="BX217" s="186"/>
      <c r="BY217" s="186"/>
      <c r="BZ217" s="186"/>
      <c r="CA217" s="186"/>
      <c r="CB217" s="186"/>
      <c r="CC217" s="186"/>
      <c r="CD217" s="186"/>
      <c r="CE217" s="186"/>
      <c r="CF217" s="186"/>
      <c r="CG217" s="186"/>
      <c r="CH217" s="186"/>
      <c r="CI217" s="186"/>
      <c r="CJ217" s="186"/>
      <c r="CK217" s="186"/>
      <c r="CL217" s="186"/>
      <c r="CM217" s="186"/>
      <c r="CN217" s="186"/>
      <c r="CO217" s="186"/>
    </row>
    <row r="218" spans="1:93" ht="15" customHeight="1" outlineLevel="4" x14ac:dyDescent="0.4">
      <c r="A218" s="172"/>
      <c r="B218" s="172"/>
      <c r="C218" s="172">
        <v>5</v>
      </c>
      <c r="D218" s="173" t="s">
        <v>2162</v>
      </c>
      <c r="E218" s="174"/>
      <c r="F218" s="174"/>
      <c r="G218" s="174"/>
      <c r="H218" s="174"/>
      <c r="I218" s="174" t="s">
        <v>2131</v>
      </c>
      <c r="J218" s="174"/>
      <c r="K218" s="174"/>
      <c r="L218" s="174"/>
      <c r="M218" s="174"/>
      <c r="N218" s="174"/>
      <c r="O218" s="175" t="s">
        <v>1923</v>
      </c>
      <c r="P218" s="175" t="s">
        <v>1916</v>
      </c>
      <c r="Q218" s="179">
        <v>44936</v>
      </c>
      <c r="R218" s="179">
        <v>44941</v>
      </c>
      <c r="S218" s="177">
        <f>R218-Q218</f>
        <v>5</v>
      </c>
      <c r="T218" s="178">
        <v>6</v>
      </c>
      <c r="U218" s="178">
        <v>0</v>
      </c>
      <c r="V218" s="178">
        <v>6</v>
      </c>
      <c r="W218" s="178">
        <v>0</v>
      </c>
      <c r="X218" s="179"/>
      <c r="Y218" s="179"/>
      <c r="Z218" s="180"/>
      <c r="AA218" s="181">
        <v>0</v>
      </c>
      <c r="AB218" s="178">
        <v>1</v>
      </c>
      <c r="AC218" s="177"/>
      <c r="AD218" s="182"/>
      <c r="AE218" s="183">
        <v>0</v>
      </c>
      <c r="AF218" s="195">
        <v>0</v>
      </c>
      <c r="AG218" s="185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86"/>
      <c r="BP218" s="186" t="str">
        <f>"  " &amp; TEXT(AF218,"#0.00%") &amp; " " &amp; "하역 및 반입" &amp; " " &amp; IF(Q218="","",TEXT(Q218,"M/D-")) &amp; IF(R218="","",TEXT(R218,"M/D")) &amp; " "</f>
        <v xml:space="preserve">  0.00% 하역 및 반입 1/10-1/15 </v>
      </c>
      <c r="BQ218" s="186"/>
      <c r="BR218" s="186"/>
      <c r="BS218" s="186"/>
      <c r="BT218" s="186"/>
      <c r="BU218" s="186"/>
      <c r="BV218" s="186"/>
      <c r="BW218" s="186"/>
      <c r="BX218" s="186"/>
      <c r="BY218" s="186"/>
      <c r="BZ218" s="186"/>
      <c r="CA218" s="186"/>
      <c r="CB218" s="186"/>
      <c r="CC218" s="186"/>
      <c r="CD218" s="186"/>
      <c r="CE218" s="186"/>
      <c r="CF218" s="186"/>
      <c r="CG218" s="186"/>
      <c r="CH218" s="186"/>
      <c r="CI218" s="186"/>
      <c r="CJ218" s="186"/>
      <c r="CK218" s="186"/>
      <c r="CL218" s="186"/>
      <c r="CM218" s="186"/>
      <c r="CN218" s="186"/>
      <c r="CO218" s="186"/>
    </row>
    <row r="219" spans="1:93" ht="15" customHeight="1" outlineLevel="2" x14ac:dyDescent="0.4">
      <c r="A219" s="172"/>
      <c r="B219" s="172" t="s">
        <v>1879</v>
      </c>
      <c r="C219" s="172">
        <v>3</v>
      </c>
      <c r="D219" s="173" t="s">
        <v>2163</v>
      </c>
      <c r="E219" s="174"/>
      <c r="F219" s="174"/>
      <c r="G219" s="174" t="s">
        <v>1933</v>
      </c>
      <c r="H219" s="174"/>
      <c r="I219" s="174"/>
      <c r="J219" s="174"/>
      <c r="K219" s="174"/>
      <c r="L219" s="174"/>
      <c r="M219" s="174"/>
      <c r="N219" s="174"/>
      <c r="O219" s="175" t="s">
        <v>1934</v>
      </c>
      <c r="P219" s="175"/>
      <c r="Q219" s="179">
        <v>44880</v>
      </c>
      <c r="R219" s="179">
        <v>45049</v>
      </c>
      <c r="S219" s="177"/>
      <c r="T219" s="178">
        <v>378</v>
      </c>
      <c r="U219" s="178">
        <v>0</v>
      </c>
      <c r="V219" s="178">
        <v>170</v>
      </c>
      <c r="W219" s="178">
        <v>0</v>
      </c>
      <c r="X219" s="179"/>
      <c r="Y219" s="179"/>
      <c r="Z219" s="180">
        <v>0</v>
      </c>
      <c r="AA219" s="181">
        <v>0</v>
      </c>
      <c r="AB219" s="178"/>
      <c r="AC219" s="177"/>
      <c r="AD219" s="182"/>
      <c r="AE219" s="183">
        <v>0</v>
      </c>
      <c r="AF219" s="207">
        <v>0</v>
      </c>
      <c r="AG219" s="185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 t="str">
        <f>"  " &amp; TEXT(AF219,"#0.00%") &amp; " "</f>
        <v xml:space="preserve">  0.00% </v>
      </c>
      <c r="BI219" s="186"/>
      <c r="BJ219" s="186"/>
      <c r="BK219" s="186"/>
      <c r="BL219" s="186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/>
      <c r="BW219" s="186"/>
      <c r="BX219" s="186"/>
      <c r="BY219" s="186"/>
      <c r="BZ219" s="186"/>
      <c r="CA219" s="186"/>
      <c r="CB219" s="186"/>
      <c r="CC219" s="186"/>
      <c r="CD219" s="186"/>
      <c r="CE219" s="186"/>
      <c r="CF219" s="186" t="str">
        <f>"    " &amp; "Conveyor" &amp; " " &amp; IF(Q219="","",TEXT(Q219,"M/D-")) &amp; IF(R219="","",TEXT(R219,"M/D")) &amp; " "</f>
        <v xml:space="preserve">    Conveyor 11/15-5/3 </v>
      </c>
      <c r="CG219" s="186"/>
      <c r="CH219" s="186"/>
      <c r="CI219" s="186"/>
      <c r="CJ219" s="186"/>
      <c r="CK219" s="186"/>
      <c r="CL219" s="186"/>
      <c r="CM219" s="186"/>
      <c r="CN219" s="186"/>
      <c r="CO219" s="186"/>
    </row>
    <row r="220" spans="1:93" ht="15" customHeight="1" outlineLevel="3" x14ac:dyDescent="0.4">
      <c r="A220" s="172"/>
      <c r="B220" s="172" t="s">
        <v>1879</v>
      </c>
      <c r="C220" s="172">
        <v>4</v>
      </c>
      <c r="D220" s="173" t="s">
        <v>2164</v>
      </c>
      <c r="E220" s="174"/>
      <c r="F220" s="174"/>
      <c r="G220" s="174"/>
      <c r="H220" s="174" t="s">
        <v>2005</v>
      </c>
      <c r="I220" s="174"/>
      <c r="J220" s="174"/>
      <c r="K220" s="174"/>
      <c r="L220" s="174"/>
      <c r="M220" s="174"/>
      <c r="N220" s="174"/>
      <c r="O220" s="175" t="s">
        <v>1934</v>
      </c>
      <c r="P220" s="175" t="s">
        <v>1893</v>
      </c>
      <c r="Q220" s="179">
        <v>44880</v>
      </c>
      <c r="R220" s="179">
        <v>44941</v>
      </c>
      <c r="S220" s="177"/>
      <c r="T220" s="178">
        <v>63</v>
      </c>
      <c r="U220" s="178">
        <v>0</v>
      </c>
      <c r="V220" s="178">
        <v>62</v>
      </c>
      <c r="W220" s="178">
        <v>0</v>
      </c>
      <c r="X220" s="179"/>
      <c r="Y220" s="179"/>
      <c r="Z220" s="180">
        <v>0</v>
      </c>
      <c r="AA220" s="181">
        <v>0</v>
      </c>
      <c r="AB220" s="178"/>
      <c r="AC220" s="177"/>
      <c r="AD220" s="182"/>
      <c r="AE220" s="183">
        <v>0</v>
      </c>
      <c r="AF220" s="207">
        <v>0</v>
      </c>
      <c r="AG220" s="185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 t="str">
        <f>"  " &amp; TEXT(AF220,"#0.00%") &amp; " "</f>
        <v xml:space="preserve">  0.00% </v>
      </c>
      <c r="BI220" s="186"/>
      <c r="BJ220" s="186"/>
      <c r="BK220" s="186"/>
      <c r="BL220" s="186"/>
      <c r="BM220" s="186"/>
      <c r="BN220" s="186"/>
      <c r="BO220" s="186"/>
      <c r="BP220" s="186"/>
      <c r="BQ220" s="186" t="str">
        <f>" " &amp; "PPC&amp;충방-C/V" &amp; " " &amp; IF(Q220="","",TEXT(Q220,"M/D-")) &amp; IF(R220="","",TEXT(R220,"M/D")) &amp; " "</f>
        <v xml:space="preserve"> PPC&amp;충방-C/V 11/15-1/15 </v>
      </c>
      <c r="BR220" s="186"/>
      <c r="BS220" s="186"/>
      <c r="BT220" s="186"/>
      <c r="BU220" s="186"/>
      <c r="BV220" s="186"/>
      <c r="BW220" s="186"/>
      <c r="BX220" s="186"/>
      <c r="BY220" s="186"/>
      <c r="BZ220" s="186"/>
      <c r="CA220" s="186"/>
      <c r="CB220" s="186"/>
      <c r="CC220" s="186"/>
      <c r="CD220" s="186"/>
      <c r="CE220" s="186"/>
      <c r="CF220" s="186"/>
      <c r="CG220" s="186"/>
      <c r="CH220" s="186"/>
      <c r="CI220" s="186"/>
      <c r="CJ220" s="186"/>
      <c r="CK220" s="186"/>
      <c r="CL220" s="186"/>
      <c r="CM220" s="186"/>
      <c r="CN220" s="186"/>
      <c r="CO220" s="186"/>
    </row>
    <row r="221" spans="1:93" ht="15" customHeight="1" outlineLevel="4" x14ac:dyDescent="0.4">
      <c r="A221" s="172"/>
      <c r="B221" s="172"/>
      <c r="C221" s="172">
        <v>5</v>
      </c>
      <c r="D221" s="173" t="s">
        <v>2165</v>
      </c>
      <c r="E221" s="174"/>
      <c r="F221" s="174"/>
      <c r="G221" s="174"/>
      <c r="H221" s="174"/>
      <c r="I221" s="174" t="s">
        <v>2127</v>
      </c>
      <c r="J221" s="174"/>
      <c r="K221" s="174"/>
      <c r="L221" s="174"/>
      <c r="M221" s="174"/>
      <c r="N221" s="174"/>
      <c r="O221" s="175" t="s">
        <v>1934</v>
      </c>
      <c r="P221" s="175" t="s">
        <v>1893</v>
      </c>
      <c r="Q221" s="179">
        <v>44880</v>
      </c>
      <c r="R221" s="179">
        <v>44885</v>
      </c>
      <c r="S221" s="177">
        <f>R221-Q221</f>
        <v>5</v>
      </c>
      <c r="T221" s="178">
        <v>6</v>
      </c>
      <c r="U221" s="178">
        <v>0</v>
      </c>
      <c r="V221" s="178">
        <v>6</v>
      </c>
      <c r="W221" s="178">
        <v>0</v>
      </c>
      <c r="X221" s="179"/>
      <c r="Y221" s="179"/>
      <c r="Z221" s="180"/>
      <c r="AA221" s="181">
        <v>0</v>
      </c>
      <c r="AB221" s="178">
        <v>1</v>
      </c>
      <c r="AC221" s="177"/>
      <c r="AD221" s="182"/>
      <c r="AE221" s="183">
        <v>0</v>
      </c>
      <c r="AF221" s="195">
        <v>0</v>
      </c>
      <c r="AG221" s="185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 t="str">
        <f>"  " &amp; TEXT(AF221,"#0.00%") &amp; " " &amp; "출하 선적" &amp; " " &amp; IF(Q221="","",TEXT(Q221,"M/D-")) &amp; IF(R221="","",TEXT(R221,"M/D")) &amp; " "</f>
        <v xml:space="preserve">  0.00% 출하 선적 11/15-11/20 </v>
      </c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6"/>
      <c r="BW221" s="186"/>
      <c r="BX221" s="186"/>
      <c r="BY221" s="186"/>
      <c r="BZ221" s="186"/>
      <c r="CA221" s="186"/>
      <c r="CB221" s="186"/>
      <c r="CC221" s="186"/>
      <c r="CD221" s="186"/>
      <c r="CE221" s="186"/>
      <c r="CF221" s="186"/>
      <c r="CG221" s="186"/>
      <c r="CH221" s="186"/>
      <c r="CI221" s="186"/>
      <c r="CJ221" s="186"/>
      <c r="CK221" s="186"/>
      <c r="CL221" s="186"/>
      <c r="CM221" s="186"/>
      <c r="CN221" s="186"/>
      <c r="CO221" s="186"/>
    </row>
    <row r="222" spans="1:93" ht="15" customHeight="1" outlineLevel="4" x14ac:dyDescent="0.4">
      <c r="A222" s="172"/>
      <c r="B222" s="172"/>
      <c r="C222" s="172">
        <v>5</v>
      </c>
      <c r="D222" s="173" t="s">
        <v>2166</v>
      </c>
      <c r="E222" s="174"/>
      <c r="F222" s="174"/>
      <c r="G222" s="174"/>
      <c r="H222" s="174"/>
      <c r="I222" s="174" t="s">
        <v>2129</v>
      </c>
      <c r="J222" s="174"/>
      <c r="K222" s="174"/>
      <c r="L222" s="174"/>
      <c r="M222" s="174"/>
      <c r="N222" s="174"/>
      <c r="O222" s="175" t="s">
        <v>1934</v>
      </c>
      <c r="P222" s="175" t="s">
        <v>1893</v>
      </c>
      <c r="Q222" s="179">
        <v>44885</v>
      </c>
      <c r="R222" s="179">
        <v>44935</v>
      </c>
      <c r="S222" s="177">
        <f>R222-Q222</f>
        <v>50</v>
      </c>
      <c r="T222" s="178">
        <v>51</v>
      </c>
      <c r="U222" s="178">
        <v>0</v>
      </c>
      <c r="V222" s="178">
        <v>51</v>
      </c>
      <c r="W222" s="178">
        <v>0</v>
      </c>
      <c r="X222" s="179"/>
      <c r="Y222" s="179"/>
      <c r="Z222" s="180"/>
      <c r="AA222" s="181">
        <v>0</v>
      </c>
      <c r="AB222" s="178">
        <v>1</v>
      </c>
      <c r="AC222" s="177"/>
      <c r="AD222" s="182"/>
      <c r="AE222" s="183">
        <v>0</v>
      </c>
      <c r="AF222" s="195">
        <v>0</v>
      </c>
      <c r="AG222" s="185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 t="str">
        <f>"" &amp; TEXT(AF222,"#0.00%") &amp; " "</f>
        <v xml:space="preserve">0.00% </v>
      </c>
      <c r="BJ222" s="186"/>
      <c r="BK222" s="186"/>
      <c r="BL222" s="186"/>
      <c r="BM222" s="186"/>
      <c r="BN222" s="186"/>
      <c r="BO222" s="186"/>
      <c r="BP222" s="186" t="str">
        <f>"  " &amp; "화물이동" &amp; " " &amp; IF(Q222="","",TEXT(Q222,"M/D-")) &amp; IF(R222="","",TEXT(R222,"M/D")) &amp; " "</f>
        <v xml:space="preserve">  화물이동 11/20-1/9 </v>
      </c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6"/>
      <c r="CN222" s="186"/>
      <c r="CO222" s="186"/>
    </row>
    <row r="223" spans="1:93" ht="15" customHeight="1" outlineLevel="4" x14ac:dyDescent="0.4">
      <c r="A223" s="172"/>
      <c r="B223" s="172"/>
      <c r="C223" s="172">
        <v>5</v>
      </c>
      <c r="D223" s="173" t="s">
        <v>2167</v>
      </c>
      <c r="E223" s="174"/>
      <c r="F223" s="174"/>
      <c r="G223" s="174"/>
      <c r="H223" s="174"/>
      <c r="I223" s="174" t="s">
        <v>2131</v>
      </c>
      <c r="J223" s="174"/>
      <c r="K223" s="174"/>
      <c r="L223" s="174"/>
      <c r="M223" s="174"/>
      <c r="N223" s="174"/>
      <c r="O223" s="175" t="s">
        <v>1934</v>
      </c>
      <c r="P223" s="175" t="s">
        <v>1893</v>
      </c>
      <c r="Q223" s="179">
        <v>44936</v>
      </c>
      <c r="R223" s="179">
        <v>44941</v>
      </c>
      <c r="S223" s="177">
        <f>R223-Q223</f>
        <v>5</v>
      </c>
      <c r="T223" s="178">
        <v>6</v>
      </c>
      <c r="U223" s="178">
        <v>0</v>
      </c>
      <c r="V223" s="178">
        <v>6</v>
      </c>
      <c r="W223" s="178">
        <v>0</v>
      </c>
      <c r="X223" s="179"/>
      <c r="Y223" s="179"/>
      <c r="Z223" s="180"/>
      <c r="AA223" s="181">
        <v>0</v>
      </c>
      <c r="AB223" s="178">
        <v>1</v>
      </c>
      <c r="AC223" s="177"/>
      <c r="AD223" s="182"/>
      <c r="AE223" s="183">
        <v>0</v>
      </c>
      <c r="AF223" s="195">
        <v>0</v>
      </c>
      <c r="AG223" s="185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86"/>
      <c r="BP223" s="186" t="str">
        <f>"  " &amp; TEXT(AF223,"#0.00%") &amp; " " &amp; "하역 및 반입" &amp; " " &amp; IF(Q223="","",TEXT(Q223,"M/D-")) &amp; IF(R223="","",TEXT(R223,"M/D")) &amp; " "</f>
        <v xml:space="preserve">  0.00% 하역 및 반입 1/10-1/15 </v>
      </c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6"/>
      <c r="CG223" s="186"/>
      <c r="CH223" s="186"/>
      <c r="CI223" s="186"/>
      <c r="CJ223" s="186"/>
      <c r="CK223" s="186"/>
      <c r="CL223" s="186"/>
      <c r="CM223" s="186"/>
      <c r="CN223" s="186"/>
      <c r="CO223" s="186"/>
    </row>
    <row r="224" spans="1:93" ht="15" customHeight="1" outlineLevel="3" x14ac:dyDescent="0.4">
      <c r="A224" s="172"/>
      <c r="B224" s="172" t="s">
        <v>1879</v>
      </c>
      <c r="C224" s="172">
        <v>4</v>
      </c>
      <c r="D224" s="173" t="s">
        <v>2168</v>
      </c>
      <c r="E224" s="174"/>
      <c r="F224" s="174"/>
      <c r="G224" s="174"/>
      <c r="H224" s="174" t="s">
        <v>2011</v>
      </c>
      <c r="I224" s="174"/>
      <c r="J224" s="174"/>
      <c r="K224" s="174"/>
      <c r="L224" s="174"/>
      <c r="M224" s="174"/>
      <c r="N224" s="174"/>
      <c r="O224" s="175" t="s">
        <v>1934</v>
      </c>
      <c r="P224" s="175" t="s">
        <v>1916</v>
      </c>
      <c r="Q224" s="179">
        <v>44910</v>
      </c>
      <c r="R224" s="179">
        <v>44971</v>
      </c>
      <c r="S224" s="177"/>
      <c r="T224" s="178">
        <v>63</v>
      </c>
      <c r="U224" s="178">
        <v>0</v>
      </c>
      <c r="V224" s="178">
        <v>62</v>
      </c>
      <c r="W224" s="178">
        <v>0</v>
      </c>
      <c r="X224" s="179"/>
      <c r="Y224" s="179"/>
      <c r="Z224" s="180">
        <v>0</v>
      </c>
      <c r="AA224" s="181">
        <v>0</v>
      </c>
      <c r="AB224" s="178"/>
      <c r="AC224" s="177"/>
      <c r="AD224" s="182"/>
      <c r="AE224" s="183">
        <v>0</v>
      </c>
      <c r="AF224" s="207">
        <v>0</v>
      </c>
      <c r="AG224" s="185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 t="str">
        <f>"    " &amp; TEXT(AF224,"#0.00%") &amp; " "</f>
        <v xml:space="preserve">    0.00% </v>
      </c>
      <c r="BM224" s="186"/>
      <c r="BN224" s="186"/>
      <c r="BO224" s="186"/>
      <c r="BP224" s="186"/>
      <c r="BQ224" s="186"/>
      <c r="BR224" s="186"/>
      <c r="BS224" s="186"/>
      <c r="BT224" s="186"/>
      <c r="BU224" s="186" t="str">
        <f>"   " &amp; "조립&amp;후단물류-Deck, Lifter" &amp; " " &amp; IF(Q224="","",TEXT(Q224,"M/D-")) &amp; IF(R224="","",TEXT(R224,"M/D")) &amp; " "</f>
        <v xml:space="preserve">   조립&amp;후단물류-Deck, Lifter 12/15-2/14 </v>
      </c>
      <c r="BV224" s="186"/>
      <c r="BW224" s="186"/>
      <c r="BX224" s="186"/>
      <c r="BY224" s="186"/>
      <c r="BZ224" s="186"/>
      <c r="CA224" s="186"/>
      <c r="CB224" s="186"/>
      <c r="CC224" s="186"/>
      <c r="CD224" s="186"/>
      <c r="CE224" s="186"/>
      <c r="CF224" s="186"/>
      <c r="CG224" s="186"/>
      <c r="CH224" s="186"/>
      <c r="CI224" s="186"/>
      <c r="CJ224" s="186"/>
      <c r="CK224" s="186"/>
      <c r="CL224" s="186"/>
      <c r="CM224" s="186"/>
      <c r="CN224" s="186"/>
      <c r="CO224" s="186"/>
    </row>
    <row r="225" spans="1:93" ht="15" customHeight="1" outlineLevel="4" x14ac:dyDescent="0.4">
      <c r="A225" s="172"/>
      <c r="B225" s="172"/>
      <c r="C225" s="172">
        <v>5</v>
      </c>
      <c r="D225" s="173" t="s">
        <v>2169</v>
      </c>
      <c r="E225" s="174"/>
      <c r="F225" s="174"/>
      <c r="G225" s="174"/>
      <c r="H225" s="174"/>
      <c r="I225" s="174" t="s">
        <v>2127</v>
      </c>
      <c r="J225" s="174"/>
      <c r="K225" s="174"/>
      <c r="L225" s="174"/>
      <c r="M225" s="174"/>
      <c r="N225" s="174"/>
      <c r="O225" s="175" t="s">
        <v>1934</v>
      </c>
      <c r="P225" s="175" t="s">
        <v>1916</v>
      </c>
      <c r="Q225" s="179">
        <v>44910</v>
      </c>
      <c r="R225" s="179">
        <v>44915</v>
      </c>
      <c r="S225" s="177">
        <f>R225-Q225</f>
        <v>5</v>
      </c>
      <c r="T225" s="178">
        <v>6</v>
      </c>
      <c r="U225" s="178">
        <v>0</v>
      </c>
      <c r="V225" s="178">
        <v>6</v>
      </c>
      <c r="W225" s="178">
        <v>0</v>
      </c>
      <c r="X225" s="179"/>
      <c r="Y225" s="179"/>
      <c r="Z225" s="180"/>
      <c r="AA225" s="181">
        <v>0</v>
      </c>
      <c r="AB225" s="178">
        <v>1</v>
      </c>
      <c r="AC225" s="177"/>
      <c r="AD225" s="182"/>
      <c r="AE225" s="183">
        <v>0</v>
      </c>
      <c r="AF225" s="195">
        <v>0</v>
      </c>
      <c r="AG225" s="185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  <c r="BH225" s="186"/>
      <c r="BI225" s="186"/>
      <c r="BJ225" s="186"/>
      <c r="BK225" s="186"/>
      <c r="BL225" s="186" t="str">
        <f>"    " &amp; TEXT(AF225,"#0.00%") &amp; " " &amp; "출하 선적" &amp; " " &amp; IF(Q225="","",TEXT(Q225,"M/D-")) &amp; IF(R225="","",TEXT(R225,"M/D")) &amp; " "</f>
        <v xml:space="preserve">    0.00% 출하 선적 12/15-12/20 </v>
      </c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/>
      <c r="BW225" s="186"/>
      <c r="BX225" s="186"/>
      <c r="BY225" s="186"/>
      <c r="BZ225" s="186"/>
      <c r="CA225" s="186"/>
      <c r="CB225" s="186"/>
      <c r="CC225" s="186"/>
      <c r="CD225" s="186"/>
      <c r="CE225" s="186"/>
      <c r="CF225" s="186"/>
      <c r="CG225" s="186"/>
      <c r="CH225" s="186"/>
      <c r="CI225" s="186"/>
      <c r="CJ225" s="186"/>
      <c r="CK225" s="186"/>
      <c r="CL225" s="186"/>
      <c r="CM225" s="186"/>
      <c r="CN225" s="186"/>
      <c r="CO225" s="186"/>
    </row>
    <row r="226" spans="1:93" ht="15" customHeight="1" outlineLevel="4" x14ac:dyDescent="0.4">
      <c r="A226" s="172"/>
      <c r="B226" s="172"/>
      <c r="C226" s="172">
        <v>5</v>
      </c>
      <c r="D226" s="173" t="s">
        <v>2170</v>
      </c>
      <c r="E226" s="174"/>
      <c r="F226" s="174"/>
      <c r="G226" s="174"/>
      <c r="H226" s="174"/>
      <c r="I226" s="174" t="s">
        <v>2129</v>
      </c>
      <c r="J226" s="174"/>
      <c r="K226" s="174"/>
      <c r="L226" s="174"/>
      <c r="M226" s="174"/>
      <c r="N226" s="174"/>
      <c r="O226" s="175" t="s">
        <v>1934</v>
      </c>
      <c r="P226" s="175" t="s">
        <v>1916</v>
      </c>
      <c r="Q226" s="179">
        <v>44915</v>
      </c>
      <c r="R226" s="179">
        <v>44965</v>
      </c>
      <c r="S226" s="177">
        <f>R226-Q226</f>
        <v>50</v>
      </c>
      <c r="T226" s="178">
        <v>51</v>
      </c>
      <c r="U226" s="178">
        <v>0</v>
      </c>
      <c r="V226" s="178">
        <v>51</v>
      </c>
      <c r="W226" s="178">
        <v>0</v>
      </c>
      <c r="X226" s="179"/>
      <c r="Y226" s="179"/>
      <c r="Z226" s="180"/>
      <c r="AA226" s="181">
        <v>0</v>
      </c>
      <c r="AB226" s="178">
        <v>1</v>
      </c>
      <c r="AC226" s="177"/>
      <c r="AD226" s="182"/>
      <c r="AE226" s="183">
        <v>0</v>
      </c>
      <c r="AF226" s="195">
        <v>0</v>
      </c>
      <c r="AG226" s="185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6"/>
      <c r="BL226" s="186"/>
      <c r="BM226" s="186" t="str">
        <f>"  " &amp; TEXT(AF226,"#0.00%") &amp; " "</f>
        <v xml:space="preserve">  0.00% </v>
      </c>
      <c r="BN226" s="186"/>
      <c r="BO226" s="186"/>
      <c r="BP226" s="186"/>
      <c r="BQ226" s="186"/>
      <c r="BR226" s="186"/>
      <c r="BS226" s="186"/>
      <c r="BT226" s="186" t="str">
        <f>"    " &amp; "화물이동" &amp; " " &amp; IF(Q226="","",TEXT(Q226,"M/D-")) &amp; IF(R226="","",TEXT(R226,"M/D")) &amp; " "</f>
        <v xml:space="preserve">    화물이동 12/20-2/8 </v>
      </c>
      <c r="BU226" s="186"/>
      <c r="BV226" s="186"/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6"/>
      <c r="CN226" s="186"/>
      <c r="CO226" s="186"/>
    </row>
    <row r="227" spans="1:93" ht="15" customHeight="1" outlineLevel="4" x14ac:dyDescent="0.4">
      <c r="A227" s="172"/>
      <c r="B227" s="172"/>
      <c r="C227" s="172">
        <v>5</v>
      </c>
      <c r="D227" s="173" t="s">
        <v>2171</v>
      </c>
      <c r="E227" s="174"/>
      <c r="F227" s="174"/>
      <c r="G227" s="174"/>
      <c r="H227" s="174"/>
      <c r="I227" s="174" t="s">
        <v>2131</v>
      </c>
      <c r="J227" s="174"/>
      <c r="K227" s="174"/>
      <c r="L227" s="174"/>
      <c r="M227" s="174"/>
      <c r="N227" s="174"/>
      <c r="O227" s="175" t="s">
        <v>1934</v>
      </c>
      <c r="P227" s="175" t="s">
        <v>1916</v>
      </c>
      <c r="Q227" s="179">
        <v>44966</v>
      </c>
      <c r="R227" s="179">
        <v>44971</v>
      </c>
      <c r="S227" s="177">
        <f>R227-Q227</f>
        <v>5</v>
      </c>
      <c r="T227" s="178">
        <v>6</v>
      </c>
      <c r="U227" s="178">
        <v>0</v>
      </c>
      <c r="V227" s="178">
        <v>6</v>
      </c>
      <c r="W227" s="178">
        <v>0</v>
      </c>
      <c r="X227" s="179"/>
      <c r="Y227" s="179"/>
      <c r="Z227" s="180"/>
      <c r="AA227" s="181">
        <v>0</v>
      </c>
      <c r="AB227" s="178">
        <v>1</v>
      </c>
      <c r="AC227" s="177"/>
      <c r="AD227" s="182"/>
      <c r="AE227" s="183">
        <v>0</v>
      </c>
      <c r="AF227" s="195">
        <v>0</v>
      </c>
      <c r="AG227" s="185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 t="str">
        <f>"    " &amp; TEXT(AF227,"#0.00%") &amp; " " &amp; "하역 및 반입" &amp; " " &amp; IF(Q227="","",TEXT(Q227,"M/D-")) &amp; IF(R227="","",TEXT(R227,"M/D")) &amp; " "</f>
        <v xml:space="preserve">    0.00% 하역 및 반입 2/9-2/14 </v>
      </c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</row>
    <row r="228" spans="1:93" ht="15" customHeight="1" outlineLevel="3" x14ac:dyDescent="0.4">
      <c r="A228" s="172"/>
      <c r="B228" s="172" t="s">
        <v>1879</v>
      </c>
      <c r="C228" s="172">
        <v>4</v>
      </c>
      <c r="D228" s="173" t="s">
        <v>2172</v>
      </c>
      <c r="E228" s="174"/>
      <c r="F228" s="174"/>
      <c r="G228" s="174"/>
      <c r="H228" s="174" t="s">
        <v>2017</v>
      </c>
      <c r="I228" s="174"/>
      <c r="J228" s="174"/>
      <c r="K228" s="174"/>
      <c r="L228" s="174"/>
      <c r="M228" s="174"/>
      <c r="N228" s="174"/>
      <c r="O228" s="175" t="s">
        <v>1934</v>
      </c>
      <c r="P228" s="175" t="s">
        <v>1916</v>
      </c>
      <c r="Q228" s="179">
        <v>44941</v>
      </c>
      <c r="R228" s="179">
        <v>45002</v>
      </c>
      <c r="S228" s="177"/>
      <c r="T228" s="178">
        <v>63</v>
      </c>
      <c r="U228" s="178">
        <v>0</v>
      </c>
      <c r="V228" s="178">
        <v>62</v>
      </c>
      <c r="W228" s="178">
        <v>0</v>
      </c>
      <c r="X228" s="179"/>
      <c r="Y228" s="179"/>
      <c r="Z228" s="180">
        <v>0</v>
      </c>
      <c r="AA228" s="181">
        <v>0</v>
      </c>
      <c r="AB228" s="178"/>
      <c r="AC228" s="177"/>
      <c r="AD228" s="182"/>
      <c r="AE228" s="183">
        <v>0</v>
      </c>
      <c r="AF228" s="207">
        <v>0</v>
      </c>
      <c r="AG228" s="185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 t="str">
        <f>"" &amp; TEXT(AF228,"#0.00%") &amp; " "</f>
        <v xml:space="preserve">0.00% </v>
      </c>
      <c r="BR228" s="186"/>
      <c r="BS228" s="186"/>
      <c r="BT228" s="186"/>
      <c r="BU228" s="186"/>
      <c r="BV228" s="186"/>
      <c r="BW228" s="186"/>
      <c r="BX228" s="186"/>
      <c r="BY228" s="186" t="str">
        <f>"      " &amp; "동간물류(1) &amp; 조립후단/Aging - C/V" &amp; " " &amp; IF(Q228="","",TEXT(Q228,"M/D-")) &amp; IF(R228="","",TEXT(R228,"M/D")) &amp; " "</f>
        <v xml:space="preserve">      동간물류(1) &amp; 조립후단/Aging - C/V 1/15-3/17 </v>
      </c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</row>
    <row r="229" spans="1:93" ht="15" customHeight="1" outlineLevel="4" x14ac:dyDescent="0.4">
      <c r="A229" s="172"/>
      <c r="B229" s="172"/>
      <c r="C229" s="172">
        <v>5</v>
      </c>
      <c r="D229" s="173" t="s">
        <v>2173</v>
      </c>
      <c r="E229" s="174"/>
      <c r="F229" s="174"/>
      <c r="G229" s="174"/>
      <c r="H229" s="174"/>
      <c r="I229" s="174" t="s">
        <v>2127</v>
      </c>
      <c r="J229" s="174"/>
      <c r="K229" s="174"/>
      <c r="L229" s="174"/>
      <c r="M229" s="174"/>
      <c r="N229" s="174"/>
      <c r="O229" s="175" t="s">
        <v>1934</v>
      </c>
      <c r="P229" s="175" t="s">
        <v>1916</v>
      </c>
      <c r="Q229" s="179">
        <v>44941</v>
      </c>
      <c r="R229" s="179">
        <v>44946</v>
      </c>
      <c r="S229" s="177">
        <f>R229-Q229</f>
        <v>5</v>
      </c>
      <c r="T229" s="178">
        <v>6</v>
      </c>
      <c r="U229" s="178">
        <v>0</v>
      </c>
      <c r="V229" s="178">
        <v>6</v>
      </c>
      <c r="W229" s="178">
        <v>0</v>
      </c>
      <c r="X229" s="179"/>
      <c r="Y229" s="179"/>
      <c r="Z229" s="180"/>
      <c r="AA229" s="181">
        <v>0</v>
      </c>
      <c r="AB229" s="178">
        <v>1</v>
      </c>
      <c r="AC229" s="177"/>
      <c r="AD229" s="182"/>
      <c r="AE229" s="183">
        <v>0</v>
      </c>
      <c r="AF229" s="195">
        <v>0</v>
      </c>
      <c r="AG229" s="185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 t="str">
        <f>"" &amp; TEXT(AF229,"#0.00%") &amp; " " &amp; "출하 선적" &amp; " " &amp; IF(Q229="","",TEXT(Q229,"M/D-")) &amp; IF(R229="","",TEXT(R229,"M/D")) &amp; " "</f>
        <v xml:space="preserve">0.00% 출하 선적 1/15-1/20 </v>
      </c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6"/>
      <c r="CG229" s="186"/>
      <c r="CH229" s="186"/>
      <c r="CI229" s="186"/>
      <c r="CJ229" s="186"/>
      <c r="CK229" s="186"/>
      <c r="CL229" s="186"/>
      <c r="CM229" s="186"/>
      <c r="CN229" s="186"/>
      <c r="CO229" s="186"/>
    </row>
    <row r="230" spans="1:93" ht="15" customHeight="1" outlineLevel="4" x14ac:dyDescent="0.4">
      <c r="A230" s="172"/>
      <c r="B230" s="172"/>
      <c r="C230" s="172">
        <v>5</v>
      </c>
      <c r="D230" s="173" t="s">
        <v>2174</v>
      </c>
      <c r="E230" s="174"/>
      <c r="F230" s="174"/>
      <c r="G230" s="174"/>
      <c r="H230" s="174"/>
      <c r="I230" s="174" t="s">
        <v>2129</v>
      </c>
      <c r="J230" s="174"/>
      <c r="K230" s="174"/>
      <c r="L230" s="174"/>
      <c r="M230" s="174"/>
      <c r="N230" s="174"/>
      <c r="O230" s="175" t="s">
        <v>1934</v>
      </c>
      <c r="P230" s="175" t="s">
        <v>1916</v>
      </c>
      <c r="Q230" s="179">
        <v>44946</v>
      </c>
      <c r="R230" s="179">
        <v>44996</v>
      </c>
      <c r="S230" s="177">
        <f>R230-Q230</f>
        <v>50</v>
      </c>
      <c r="T230" s="178">
        <v>51</v>
      </c>
      <c r="U230" s="178">
        <v>0</v>
      </c>
      <c r="V230" s="178">
        <v>51</v>
      </c>
      <c r="W230" s="178">
        <v>0</v>
      </c>
      <c r="X230" s="179"/>
      <c r="Y230" s="179"/>
      <c r="Z230" s="180"/>
      <c r="AA230" s="181">
        <v>0</v>
      </c>
      <c r="AB230" s="178">
        <v>1</v>
      </c>
      <c r="AC230" s="177"/>
      <c r="AD230" s="182"/>
      <c r="AE230" s="183">
        <v>0</v>
      </c>
      <c r="AF230" s="195">
        <v>0</v>
      </c>
      <c r="AG230" s="185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 t="str">
        <f>"     " &amp; TEXT(AF230,"#0.00%") &amp; " "</f>
        <v xml:space="preserve">     0.00% </v>
      </c>
      <c r="BR230" s="186"/>
      <c r="BS230" s="186"/>
      <c r="BT230" s="186"/>
      <c r="BU230" s="186"/>
      <c r="BV230" s="186"/>
      <c r="BW230" s="186"/>
      <c r="BX230" s="186"/>
      <c r="BY230" s="186" t="str">
        <f>"" &amp; "화물이동" &amp; " " &amp; IF(Q230="","",TEXT(Q230,"M/D-")) &amp; IF(R230="","",TEXT(R230,"M/D")) &amp; " "</f>
        <v xml:space="preserve">화물이동 1/20-3/11 </v>
      </c>
      <c r="BZ230" s="186"/>
      <c r="CA230" s="186"/>
      <c r="CB230" s="186"/>
      <c r="CC230" s="186"/>
      <c r="CD230" s="186"/>
      <c r="CE230" s="186"/>
      <c r="CF230" s="186"/>
      <c r="CG230" s="186"/>
      <c r="CH230" s="186"/>
      <c r="CI230" s="186"/>
      <c r="CJ230" s="186"/>
      <c r="CK230" s="186"/>
      <c r="CL230" s="186"/>
      <c r="CM230" s="186"/>
      <c r="CN230" s="186"/>
      <c r="CO230" s="186"/>
    </row>
    <row r="231" spans="1:93" ht="15" customHeight="1" outlineLevel="4" x14ac:dyDescent="0.4">
      <c r="A231" s="172"/>
      <c r="B231" s="172"/>
      <c r="C231" s="172">
        <v>5</v>
      </c>
      <c r="D231" s="173" t="s">
        <v>2175</v>
      </c>
      <c r="E231" s="174"/>
      <c r="F231" s="174"/>
      <c r="G231" s="174"/>
      <c r="H231" s="174"/>
      <c r="I231" s="174" t="s">
        <v>2131</v>
      </c>
      <c r="J231" s="174"/>
      <c r="K231" s="174"/>
      <c r="L231" s="174"/>
      <c r="M231" s="174"/>
      <c r="N231" s="174"/>
      <c r="O231" s="175" t="s">
        <v>1934</v>
      </c>
      <c r="P231" s="175" t="s">
        <v>1916</v>
      </c>
      <c r="Q231" s="179">
        <v>44997</v>
      </c>
      <c r="R231" s="179">
        <v>45002</v>
      </c>
      <c r="S231" s="177">
        <f>R231-Q231</f>
        <v>5</v>
      </c>
      <c r="T231" s="178">
        <v>6</v>
      </c>
      <c r="U231" s="178">
        <v>0</v>
      </c>
      <c r="V231" s="178">
        <v>6</v>
      </c>
      <c r="W231" s="178">
        <v>0</v>
      </c>
      <c r="X231" s="179"/>
      <c r="Y231" s="179"/>
      <c r="Z231" s="180"/>
      <c r="AA231" s="181">
        <v>0</v>
      </c>
      <c r="AB231" s="178">
        <v>1</v>
      </c>
      <c r="AC231" s="177"/>
      <c r="AD231" s="182"/>
      <c r="AE231" s="183">
        <v>0</v>
      </c>
      <c r="AF231" s="195">
        <v>0</v>
      </c>
      <c r="AG231" s="185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  <c r="BH231" s="186"/>
      <c r="BI231" s="186"/>
      <c r="BJ231" s="186"/>
      <c r="BK231" s="186"/>
      <c r="BL231" s="186"/>
      <c r="BM231" s="186"/>
      <c r="BN231" s="186"/>
      <c r="BO231" s="186"/>
      <c r="BP231" s="186"/>
      <c r="BQ231" s="186"/>
      <c r="BR231" s="186"/>
      <c r="BS231" s="186"/>
      <c r="BT231" s="186"/>
      <c r="BU231" s="186"/>
      <c r="BV231" s="186"/>
      <c r="BW231" s="186"/>
      <c r="BX231" s="186"/>
      <c r="BY231" s="186" t="str">
        <f>"" &amp; TEXT(AF231,"#0.00%") &amp; " " &amp; "하역 및 반입" &amp; " " &amp; IF(Q231="","",TEXT(Q231,"M/D-")) &amp; IF(R231="","",TEXT(R231,"M/D")) &amp; " "</f>
        <v xml:space="preserve">0.00% 하역 및 반입 3/12-3/17 </v>
      </c>
      <c r="BZ231" s="186"/>
      <c r="CA231" s="186"/>
      <c r="CB231" s="186"/>
      <c r="CC231" s="186"/>
      <c r="CD231" s="186"/>
      <c r="CE231" s="186"/>
      <c r="CF231" s="186"/>
      <c r="CG231" s="186"/>
      <c r="CH231" s="186"/>
      <c r="CI231" s="186"/>
      <c r="CJ231" s="186"/>
      <c r="CK231" s="186"/>
      <c r="CL231" s="186"/>
      <c r="CM231" s="186"/>
      <c r="CN231" s="186"/>
      <c r="CO231" s="186"/>
    </row>
    <row r="232" spans="1:93" ht="15" customHeight="1" outlineLevel="3" x14ac:dyDescent="0.4">
      <c r="A232" s="172"/>
      <c r="B232" s="172" t="s">
        <v>1879</v>
      </c>
      <c r="C232" s="172">
        <v>4</v>
      </c>
      <c r="D232" s="173" t="s">
        <v>2176</v>
      </c>
      <c r="E232" s="174"/>
      <c r="F232" s="174"/>
      <c r="G232" s="174"/>
      <c r="H232" s="174" t="s">
        <v>2023</v>
      </c>
      <c r="I232" s="174"/>
      <c r="J232" s="174"/>
      <c r="K232" s="174"/>
      <c r="L232" s="174"/>
      <c r="M232" s="174"/>
      <c r="N232" s="174"/>
      <c r="O232" s="175" t="s">
        <v>1934</v>
      </c>
      <c r="P232" s="175" t="s">
        <v>1888</v>
      </c>
      <c r="Q232" s="179">
        <v>44956</v>
      </c>
      <c r="R232" s="179">
        <v>45017</v>
      </c>
      <c r="S232" s="177"/>
      <c r="T232" s="178">
        <v>63</v>
      </c>
      <c r="U232" s="178">
        <v>0</v>
      </c>
      <c r="V232" s="178">
        <v>62</v>
      </c>
      <c r="W232" s="178">
        <v>0</v>
      </c>
      <c r="X232" s="179"/>
      <c r="Y232" s="179"/>
      <c r="Z232" s="180">
        <v>0</v>
      </c>
      <c r="AA232" s="181">
        <v>0</v>
      </c>
      <c r="AB232" s="178"/>
      <c r="AC232" s="177"/>
      <c r="AD232" s="182"/>
      <c r="AE232" s="183">
        <v>0</v>
      </c>
      <c r="AF232" s="207">
        <v>0</v>
      </c>
      <c r="AG232" s="185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 t="str">
        <f>" " &amp; TEXT(AF232,"#0.00%") &amp; " "</f>
        <v xml:space="preserve"> 0.00% </v>
      </c>
      <c r="BT232" s="186"/>
      <c r="BU232" s="186"/>
      <c r="BV232" s="186"/>
      <c r="BW232" s="186"/>
      <c r="BX232" s="186"/>
      <c r="BY232" s="186"/>
      <c r="BZ232" s="186"/>
      <c r="CA232" s="186"/>
      <c r="CB232" s="186" t="str">
        <f>"" &amp; "동간물류(2) &amp; 화성동(1)/NG Line - C/V" &amp; " " &amp; IF(Q232="","",TEXT(Q232,"M/D-")) &amp; IF(R232="","",TEXT(R232,"M/D")) &amp; " "</f>
        <v xml:space="preserve">동간물류(2) &amp; 화성동(1)/NG Line - C/V 1/30-4/1 </v>
      </c>
      <c r="CC232" s="186"/>
      <c r="CD232" s="186"/>
      <c r="CE232" s="186"/>
      <c r="CF232" s="186"/>
      <c r="CG232" s="186"/>
      <c r="CH232" s="186"/>
      <c r="CI232" s="186"/>
      <c r="CJ232" s="186"/>
      <c r="CK232" s="186"/>
      <c r="CL232" s="186"/>
      <c r="CM232" s="186"/>
      <c r="CN232" s="186"/>
      <c r="CO232" s="186"/>
    </row>
    <row r="233" spans="1:93" ht="15" customHeight="1" outlineLevel="4" x14ac:dyDescent="0.4">
      <c r="A233" s="172"/>
      <c r="B233" s="172"/>
      <c r="C233" s="172">
        <v>5</v>
      </c>
      <c r="D233" s="173" t="s">
        <v>2177</v>
      </c>
      <c r="E233" s="174"/>
      <c r="F233" s="174"/>
      <c r="G233" s="174"/>
      <c r="H233" s="174"/>
      <c r="I233" s="174" t="s">
        <v>2127</v>
      </c>
      <c r="J233" s="174"/>
      <c r="K233" s="174"/>
      <c r="L233" s="174"/>
      <c r="M233" s="174"/>
      <c r="N233" s="174"/>
      <c r="O233" s="175" t="s">
        <v>1934</v>
      </c>
      <c r="P233" s="175" t="s">
        <v>1888</v>
      </c>
      <c r="Q233" s="179">
        <v>44956</v>
      </c>
      <c r="R233" s="179">
        <v>44961</v>
      </c>
      <c r="S233" s="177">
        <f>R233-Q233</f>
        <v>5</v>
      </c>
      <c r="T233" s="178">
        <v>6</v>
      </c>
      <c r="U233" s="178">
        <v>0</v>
      </c>
      <c r="V233" s="178">
        <v>6</v>
      </c>
      <c r="W233" s="178">
        <v>0</v>
      </c>
      <c r="X233" s="179"/>
      <c r="Y233" s="179"/>
      <c r="Z233" s="180"/>
      <c r="AA233" s="181">
        <v>0</v>
      </c>
      <c r="AB233" s="178">
        <v>1</v>
      </c>
      <c r="AC233" s="177"/>
      <c r="AD233" s="182"/>
      <c r="AE233" s="183">
        <v>0</v>
      </c>
      <c r="AF233" s="195">
        <v>0</v>
      </c>
      <c r="AG233" s="185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 t="str">
        <f>" " &amp; TEXT(AF233,"#0.00%") &amp; " " &amp; "출하 선적" &amp; " " &amp; IF(Q233="","",TEXT(Q233,"M/D-")) &amp; IF(R233="","",TEXT(R233,"M/D")) &amp; " "</f>
        <v xml:space="preserve"> 0.00% 출하 선적 1/30-2/4 </v>
      </c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186"/>
      <c r="CG233" s="186"/>
      <c r="CH233" s="186"/>
      <c r="CI233" s="186"/>
      <c r="CJ233" s="186"/>
      <c r="CK233" s="186"/>
      <c r="CL233" s="186"/>
      <c r="CM233" s="186"/>
      <c r="CN233" s="186"/>
      <c r="CO233" s="186"/>
    </row>
    <row r="234" spans="1:93" ht="15" customHeight="1" outlineLevel="4" x14ac:dyDescent="0.4">
      <c r="A234" s="172"/>
      <c r="B234" s="172"/>
      <c r="C234" s="172">
        <v>5</v>
      </c>
      <c r="D234" s="173" t="s">
        <v>2178</v>
      </c>
      <c r="E234" s="174"/>
      <c r="F234" s="174"/>
      <c r="G234" s="174"/>
      <c r="H234" s="174"/>
      <c r="I234" s="174" t="s">
        <v>2129</v>
      </c>
      <c r="J234" s="174"/>
      <c r="K234" s="174"/>
      <c r="L234" s="174"/>
      <c r="M234" s="174"/>
      <c r="N234" s="174"/>
      <c r="O234" s="175" t="s">
        <v>1934</v>
      </c>
      <c r="P234" s="175" t="s">
        <v>1888</v>
      </c>
      <c r="Q234" s="179">
        <v>44961</v>
      </c>
      <c r="R234" s="179">
        <v>45011</v>
      </c>
      <c r="S234" s="177">
        <f>R234-Q234</f>
        <v>50</v>
      </c>
      <c r="T234" s="178">
        <v>51</v>
      </c>
      <c r="U234" s="178">
        <v>0</v>
      </c>
      <c r="V234" s="178">
        <v>51</v>
      </c>
      <c r="W234" s="178">
        <v>0</v>
      </c>
      <c r="X234" s="179"/>
      <c r="Y234" s="179"/>
      <c r="Z234" s="180"/>
      <c r="AA234" s="181">
        <v>0</v>
      </c>
      <c r="AB234" s="178">
        <v>1</v>
      </c>
      <c r="AC234" s="177"/>
      <c r="AD234" s="182"/>
      <c r="AE234" s="183">
        <v>0</v>
      </c>
      <c r="AF234" s="195">
        <v>0</v>
      </c>
      <c r="AG234" s="185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 t="str">
        <f>"      " &amp; TEXT(AF234,"#0.00%") &amp; " "</f>
        <v xml:space="preserve">      0.00% </v>
      </c>
      <c r="BT234" s="186"/>
      <c r="BU234" s="186"/>
      <c r="BV234" s="186"/>
      <c r="BW234" s="186"/>
      <c r="BX234" s="186"/>
      <c r="BY234" s="186"/>
      <c r="BZ234" s="186"/>
      <c r="CA234" s="186" t="str">
        <f>" " &amp; "화물이동" &amp; " " &amp; IF(Q234="","",TEXT(Q234,"M/D-")) &amp; IF(R234="","",TEXT(R234,"M/D")) &amp; " "</f>
        <v xml:space="preserve"> 화물이동 2/4-3/26 </v>
      </c>
      <c r="CB234" s="186"/>
      <c r="CC234" s="186"/>
      <c r="CD234" s="186"/>
      <c r="CE234" s="186"/>
      <c r="CF234" s="186"/>
      <c r="CG234" s="186"/>
      <c r="CH234" s="186"/>
      <c r="CI234" s="186"/>
      <c r="CJ234" s="186"/>
      <c r="CK234" s="186"/>
      <c r="CL234" s="186"/>
      <c r="CM234" s="186"/>
      <c r="CN234" s="186"/>
      <c r="CO234" s="186"/>
    </row>
    <row r="235" spans="1:93" ht="15" customHeight="1" outlineLevel="4" x14ac:dyDescent="0.4">
      <c r="A235" s="172"/>
      <c r="B235" s="172"/>
      <c r="C235" s="172">
        <v>5</v>
      </c>
      <c r="D235" s="173" t="s">
        <v>2179</v>
      </c>
      <c r="E235" s="174"/>
      <c r="F235" s="174"/>
      <c r="G235" s="174"/>
      <c r="H235" s="174"/>
      <c r="I235" s="174" t="s">
        <v>2131</v>
      </c>
      <c r="J235" s="174"/>
      <c r="K235" s="174"/>
      <c r="L235" s="174"/>
      <c r="M235" s="174"/>
      <c r="N235" s="174"/>
      <c r="O235" s="175" t="s">
        <v>1934</v>
      </c>
      <c r="P235" s="175" t="s">
        <v>1888</v>
      </c>
      <c r="Q235" s="179">
        <v>45012</v>
      </c>
      <c r="R235" s="179">
        <v>45017</v>
      </c>
      <c r="S235" s="177">
        <f>R235-Q235</f>
        <v>5</v>
      </c>
      <c r="T235" s="178">
        <v>6</v>
      </c>
      <c r="U235" s="178">
        <v>0</v>
      </c>
      <c r="V235" s="178">
        <v>6</v>
      </c>
      <c r="W235" s="178">
        <v>0</v>
      </c>
      <c r="X235" s="179"/>
      <c r="Y235" s="179"/>
      <c r="Z235" s="180"/>
      <c r="AA235" s="181">
        <v>0</v>
      </c>
      <c r="AB235" s="178">
        <v>1</v>
      </c>
      <c r="AC235" s="177"/>
      <c r="AD235" s="182"/>
      <c r="AE235" s="183">
        <v>0</v>
      </c>
      <c r="AF235" s="195">
        <v>0</v>
      </c>
      <c r="AG235" s="185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 t="str">
        <f>" " &amp; TEXT(AF235,"#0.00%") &amp; " " &amp; "하역 및 반입" &amp; " " &amp; IF(Q235="","",TEXT(Q235,"M/D-")) &amp; IF(R235="","",TEXT(R235,"M/D")) &amp; " "</f>
        <v xml:space="preserve"> 0.00% 하역 및 반입 3/27-4/1 </v>
      </c>
      <c r="CB235" s="186"/>
      <c r="CC235" s="186"/>
      <c r="CD235" s="186"/>
      <c r="CE235" s="186"/>
      <c r="CF235" s="186"/>
      <c r="CG235" s="186"/>
      <c r="CH235" s="186"/>
      <c r="CI235" s="186"/>
      <c r="CJ235" s="186"/>
      <c r="CK235" s="186"/>
      <c r="CL235" s="186"/>
      <c r="CM235" s="186"/>
      <c r="CN235" s="186"/>
      <c r="CO235" s="186"/>
    </row>
    <row r="236" spans="1:93" ht="15" customHeight="1" outlineLevel="3" x14ac:dyDescent="0.4">
      <c r="A236" s="172"/>
      <c r="B236" s="172" t="s">
        <v>1879</v>
      </c>
      <c r="C236" s="172">
        <v>4</v>
      </c>
      <c r="D236" s="173" t="s">
        <v>2180</v>
      </c>
      <c r="E236" s="174"/>
      <c r="F236" s="174"/>
      <c r="G236" s="174"/>
      <c r="H236" s="174" t="s">
        <v>2029</v>
      </c>
      <c r="I236" s="174"/>
      <c r="J236" s="174"/>
      <c r="K236" s="174"/>
      <c r="L236" s="174"/>
      <c r="M236" s="174"/>
      <c r="N236" s="174"/>
      <c r="O236" s="175" t="s">
        <v>1934</v>
      </c>
      <c r="P236" s="175" t="s">
        <v>1888</v>
      </c>
      <c r="Q236" s="179">
        <v>44972</v>
      </c>
      <c r="R236" s="179">
        <v>45033</v>
      </c>
      <c r="S236" s="177"/>
      <c r="T236" s="178">
        <v>63</v>
      </c>
      <c r="U236" s="178">
        <v>0</v>
      </c>
      <c r="V236" s="178">
        <v>62</v>
      </c>
      <c r="W236" s="178">
        <v>0</v>
      </c>
      <c r="X236" s="179"/>
      <c r="Y236" s="179"/>
      <c r="Z236" s="180">
        <v>0</v>
      </c>
      <c r="AA236" s="181">
        <v>0</v>
      </c>
      <c r="AB236" s="178"/>
      <c r="AC236" s="177"/>
      <c r="AD236" s="182"/>
      <c r="AE236" s="183">
        <v>0</v>
      </c>
      <c r="AF236" s="207">
        <v>0</v>
      </c>
      <c r="AG236" s="185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6"/>
      <c r="BO236" s="186"/>
      <c r="BP236" s="186"/>
      <c r="BQ236" s="186"/>
      <c r="BR236" s="186"/>
      <c r="BS236" s="186"/>
      <c r="BT236" s="186"/>
      <c r="BU236" s="186" t="str">
        <f>"   " &amp; TEXT(AF236,"#0.00%") &amp; " "</f>
        <v xml:space="preserve">   0.00% </v>
      </c>
      <c r="BV236" s="186"/>
      <c r="BW236" s="186"/>
      <c r="BX236" s="186"/>
      <c r="BY236" s="186"/>
      <c r="BZ236" s="186"/>
      <c r="CA236" s="186"/>
      <c r="CB236" s="186"/>
      <c r="CC236" s="186"/>
      <c r="CD236" s="186" t="str">
        <f>"  " &amp; "조립동(1) &amp; 화성동(2)/후단물류 - C/V" &amp; " " &amp; IF(Q236="","",TEXT(Q236,"M/D-")) &amp; IF(R236="","",TEXT(R236,"M/D")) &amp; " "</f>
        <v xml:space="preserve">  조립동(1) &amp; 화성동(2)/후단물류 - C/V 2/15-4/17 </v>
      </c>
      <c r="CE236" s="186"/>
      <c r="CF236" s="186"/>
      <c r="CG236" s="186"/>
      <c r="CH236" s="186"/>
      <c r="CI236" s="186"/>
      <c r="CJ236" s="186"/>
      <c r="CK236" s="186"/>
      <c r="CL236" s="186"/>
      <c r="CM236" s="186"/>
      <c r="CN236" s="186"/>
      <c r="CO236" s="186"/>
    </row>
    <row r="237" spans="1:93" ht="15" customHeight="1" outlineLevel="4" x14ac:dyDescent="0.4">
      <c r="A237" s="172"/>
      <c r="B237" s="172"/>
      <c r="C237" s="172">
        <v>5</v>
      </c>
      <c r="D237" s="173" t="s">
        <v>2181</v>
      </c>
      <c r="E237" s="174"/>
      <c r="F237" s="174"/>
      <c r="G237" s="174"/>
      <c r="H237" s="174"/>
      <c r="I237" s="174" t="s">
        <v>2127</v>
      </c>
      <c r="J237" s="174"/>
      <c r="K237" s="174"/>
      <c r="L237" s="174"/>
      <c r="M237" s="174"/>
      <c r="N237" s="174"/>
      <c r="O237" s="175" t="s">
        <v>1934</v>
      </c>
      <c r="P237" s="175" t="s">
        <v>1888</v>
      </c>
      <c r="Q237" s="179">
        <v>44972</v>
      </c>
      <c r="R237" s="179">
        <v>44977</v>
      </c>
      <c r="S237" s="177">
        <f>R237-Q237</f>
        <v>5</v>
      </c>
      <c r="T237" s="178">
        <v>6</v>
      </c>
      <c r="U237" s="178">
        <v>0</v>
      </c>
      <c r="V237" s="178">
        <v>6</v>
      </c>
      <c r="W237" s="178">
        <v>0</v>
      </c>
      <c r="X237" s="179"/>
      <c r="Y237" s="179"/>
      <c r="Z237" s="180"/>
      <c r="AA237" s="181">
        <v>0</v>
      </c>
      <c r="AB237" s="178">
        <v>1</v>
      </c>
      <c r="AC237" s="177"/>
      <c r="AD237" s="182"/>
      <c r="AE237" s="183">
        <v>0</v>
      </c>
      <c r="AF237" s="195">
        <v>0</v>
      </c>
      <c r="AG237" s="185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 t="str">
        <f>"   " &amp; TEXT(AF237,"#0.00%") &amp; " " &amp; "출하 선적" &amp; " " &amp; IF(Q237="","",TEXT(Q237,"M/D-")) &amp; IF(R237="","",TEXT(R237,"M/D")) &amp; " "</f>
        <v xml:space="preserve">   0.00% 출하 선적 2/15-2/20 </v>
      </c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</row>
    <row r="238" spans="1:93" ht="15" customHeight="1" outlineLevel="4" x14ac:dyDescent="0.4">
      <c r="A238" s="172"/>
      <c r="B238" s="172"/>
      <c r="C238" s="172">
        <v>5</v>
      </c>
      <c r="D238" s="173" t="s">
        <v>2182</v>
      </c>
      <c r="E238" s="174"/>
      <c r="F238" s="174"/>
      <c r="G238" s="174"/>
      <c r="H238" s="174"/>
      <c r="I238" s="174" t="s">
        <v>2129</v>
      </c>
      <c r="J238" s="174"/>
      <c r="K238" s="174"/>
      <c r="L238" s="174"/>
      <c r="M238" s="174"/>
      <c r="N238" s="174"/>
      <c r="O238" s="175" t="s">
        <v>1934</v>
      </c>
      <c r="P238" s="175" t="s">
        <v>1888</v>
      </c>
      <c r="Q238" s="179">
        <v>44977</v>
      </c>
      <c r="R238" s="179">
        <v>45027</v>
      </c>
      <c r="S238" s="177">
        <f>R238-Q238</f>
        <v>50</v>
      </c>
      <c r="T238" s="178">
        <v>51</v>
      </c>
      <c r="U238" s="178">
        <v>0</v>
      </c>
      <c r="V238" s="178">
        <v>51</v>
      </c>
      <c r="W238" s="178">
        <v>0</v>
      </c>
      <c r="X238" s="179"/>
      <c r="Y238" s="179"/>
      <c r="Z238" s="180"/>
      <c r="AA238" s="181">
        <v>0</v>
      </c>
      <c r="AB238" s="178">
        <v>1</v>
      </c>
      <c r="AC238" s="177"/>
      <c r="AD238" s="182"/>
      <c r="AE238" s="183">
        <v>0</v>
      </c>
      <c r="AF238" s="195">
        <v>0</v>
      </c>
      <c r="AG238" s="185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 t="str">
        <f>" " &amp; TEXT(AF238,"#0.00%") &amp; " "</f>
        <v xml:space="preserve"> 0.00% </v>
      </c>
      <c r="BW238" s="186"/>
      <c r="BX238" s="186"/>
      <c r="BY238" s="186"/>
      <c r="BZ238" s="186"/>
      <c r="CA238" s="186"/>
      <c r="CB238" s="186"/>
      <c r="CC238" s="186" t="str">
        <f>"   " &amp; "화물이동" &amp; " " &amp; IF(Q238="","",TEXT(Q238,"M/D-")) &amp; IF(R238="","",TEXT(R238,"M/D")) &amp; " "</f>
        <v xml:space="preserve">   화물이동 2/20-4/11 </v>
      </c>
      <c r="CD238" s="186"/>
      <c r="CE238" s="186"/>
      <c r="CF238" s="186"/>
      <c r="CG238" s="186"/>
      <c r="CH238" s="186"/>
      <c r="CI238" s="186"/>
      <c r="CJ238" s="186"/>
      <c r="CK238" s="186"/>
      <c r="CL238" s="186"/>
      <c r="CM238" s="186"/>
      <c r="CN238" s="186"/>
      <c r="CO238" s="186"/>
    </row>
    <row r="239" spans="1:93" ht="15" customHeight="1" outlineLevel="4" x14ac:dyDescent="0.4">
      <c r="A239" s="172"/>
      <c r="B239" s="172"/>
      <c r="C239" s="172">
        <v>5</v>
      </c>
      <c r="D239" s="173" t="s">
        <v>2183</v>
      </c>
      <c r="E239" s="174"/>
      <c r="F239" s="174"/>
      <c r="G239" s="174"/>
      <c r="H239" s="174"/>
      <c r="I239" s="174" t="s">
        <v>2131</v>
      </c>
      <c r="J239" s="174"/>
      <c r="K239" s="174"/>
      <c r="L239" s="174"/>
      <c r="M239" s="174"/>
      <c r="N239" s="174"/>
      <c r="O239" s="175" t="s">
        <v>1934</v>
      </c>
      <c r="P239" s="175" t="s">
        <v>1888</v>
      </c>
      <c r="Q239" s="179">
        <v>45028</v>
      </c>
      <c r="R239" s="179">
        <v>45033</v>
      </c>
      <c r="S239" s="177">
        <f>R239-Q239</f>
        <v>5</v>
      </c>
      <c r="T239" s="178">
        <v>6</v>
      </c>
      <c r="U239" s="178">
        <v>0</v>
      </c>
      <c r="V239" s="178">
        <v>6</v>
      </c>
      <c r="W239" s="178">
        <v>0</v>
      </c>
      <c r="X239" s="179"/>
      <c r="Y239" s="179"/>
      <c r="Z239" s="180"/>
      <c r="AA239" s="181">
        <v>0</v>
      </c>
      <c r="AB239" s="178">
        <v>1</v>
      </c>
      <c r="AC239" s="177"/>
      <c r="AD239" s="182"/>
      <c r="AE239" s="183">
        <v>0</v>
      </c>
      <c r="AF239" s="195">
        <v>0</v>
      </c>
      <c r="AG239" s="185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 t="str">
        <f>"   " &amp; TEXT(AF239,"#0.00%") &amp; " " &amp; "하역 및 반입" &amp; " " &amp; IF(Q239="","",TEXT(Q239,"M/D-")) &amp; IF(R239="","",TEXT(R239,"M/D")) &amp; " "</f>
        <v xml:space="preserve">   0.00% 하역 및 반입 4/12-4/17 </v>
      </c>
      <c r="CD239" s="186"/>
      <c r="CE239" s="186"/>
      <c r="CF239" s="186"/>
      <c r="CG239" s="186"/>
      <c r="CH239" s="186"/>
      <c r="CI239" s="186"/>
      <c r="CJ239" s="186"/>
      <c r="CK239" s="186"/>
      <c r="CL239" s="186"/>
      <c r="CM239" s="186"/>
      <c r="CN239" s="186"/>
      <c r="CO239" s="186"/>
    </row>
    <row r="240" spans="1:93" ht="15" customHeight="1" outlineLevel="3" x14ac:dyDescent="0.4">
      <c r="A240" s="172"/>
      <c r="B240" s="172" t="s">
        <v>1879</v>
      </c>
      <c r="C240" s="172">
        <v>4</v>
      </c>
      <c r="D240" s="173" t="s">
        <v>2184</v>
      </c>
      <c r="E240" s="174"/>
      <c r="F240" s="174"/>
      <c r="G240" s="174"/>
      <c r="H240" s="197" t="s">
        <v>2035</v>
      </c>
      <c r="I240" s="174"/>
      <c r="J240" s="174"/>
      <c r="K240" s="174"/>
      <c r="L240" s="174"/>
      <c r="M240" s="174"/>
      <c r="N240" s="174"/>
      <c r="O240" s="175" t="s">
        <v>1934</v>
      </c>
      <c r="P240" s="175" t="s">
        <v>1888</v>
      </c>
      <c r="Q240" s="179">
        <v>44988</v>
      </c>
      <c r="R240" s="179">
        <v>45049</v>
      </c>
      <c r="S240" s="177"/>
      <c r="T240" s="178">
        <v>63</v>
      </c>
      <c r="U240" s="178">
        <v>0</v>
      </c>
      <c r="V240" s="178">
        <v>62</v>
      </c>
      <c r="W240" s="178">
        <v>0</v>
      </c>
      <c r="X240" s="179"/>
      <c r="Y240" s="179"/>
      <c r="Z240" s="180">
        <v>0</v>
      </c>
      <c r="AA240" s="181">
        <v>0</v>
      </c>
      <c r="AB240" s="178"/>
      <c r="AC240" s="177"/>
      <c r="AD240" s="182"/>
      <c r="AE240" s="183">
        <v>0</v>
      </c>
      <c r="AF240" s="207">
        <v>0</v>
      </c>
      <c r="AG240" s="185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 t="str">
        <f>"     " &amp; TEXT(AF240,"#0.00%") &amp; " "</f>
        <v xml:space="preserve">     0.00% </v>
      </c>
      <c r="BX240" s="186"/>
      <c r="BY240" s="186"/>
      <c r="BZ240" s="186"/>
      <c r="CA240" s="186"/>
      <c r="CB240" s="186"/>
      <c r="CC240" s="186"/>
      <c r="CD240" s="186"/>
      <c r="CE240" s="186"/>
      <c r="CF240" s="186" t="str">
        <f>"    " &amp; "조립동(2) &amp; 화성동(3) - C/V,Fence" &amp; " " &amp; IF(Q240="","",TEXT(Q240,"M/D-")) &amp; IF(R240="","",TEXT(R240,"M/D")) &amp; " "</f>
        <v xml:space="preserve">    조립동(2) &amp; 화성동(3) - C/V,Fence 3/3-5/3 </v>
      </c>
      <c r="CG240" s="186"/>
      <c r="CH240" s="186"/>
      <c r="CI240" s="186"/>
      <c r="CJ240" s="186"/>
      <c r="CK240" s="186"/>
      <c r="CL240" s="186"/>
      <c r="CM240" s="186"/>
      <c r="CN240" s="186"/>
      <c r="CO240" s="186"/>
    </row>
    <row r="241" spans="1:93" ht="15" customHeight="1" outlineLevel="4" x14ac:dyDescent="0.4">
      <c r="A241" s="172"/>
      <c r="B241" s="172"/>
      <c r="C241" s="172">
        <v>5</v>
      </c>
      <c r="D241" s="173" t="s">
        <v>2185</v>
      </c>
      <c r="E241" s="174"/>
      <c r="F241" s="174"/>
      <c r="G241" s="174"/>
      <c r="H241" s="174"/>
      <c r="I241" s="174" t="s">
        <v>2127</v>
      </c>
      <c r="J241" s="174"/>
      <c r="K241" s="174"/>
      <c r="L241" s="174"/>
      <c r="M241" s="174"/>
      <c r="N241" s="174"/>
      <c r="O241" s="175" t="s">
        <v>1934</v>
      </c>
      <c r="P241" s="175" t="s">
        <v>1888</v>
      </c>
      <c r="Q241" s="179">
        <v>44988</v>
      </c>
      <c r="R241" s="179">
        <v>44993</v>
      </c>
      <c r="S241" s="177">
        <f>R241-Q241</f>
        <v>5</v>
      </c>
      <c r="T241" s="178">
        <v>6</v>
      </c>
      <c r="U241" s="178">
        <v>0</v>
      </c>
      <c r="V241" s="178">
        <v>6</v>
      </c>
      <c r="W241" s="178">
        <v>0</v>
      </c>
      <c r="X241" s="179"/>
      <c r="Y241" s="179"/>
      <c r="Z241" s="180"/>
      <c r="AA241" s="181">
        <v>0</v>
      </c>
      <c r="AB241" s="178">
        <v>1</v>
      </c>
      <c r="AC241" s="177"/>
      <c r="AD241" s="182"/>
      <c r="AE241" s="183">
        <v>0</v>
      </c>
      <c r="AF241" s="195">
        <v>0</v>
      </c>
      <c r="AG241" s="185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 t="str">
        <f>"     " &amp; TEXT(AF241,"#0.00%") &amp; " " &amp; "출하 선적" &amp; " " &amp; IF(Q241="","",TEXT(Q241,"M/D-")) &amp; IF(R241="","",TEXT(R241,"M/D")) &amp; " "</f>
        <v xml:space="preserve">     0.00% 출하 선적 3/3-3/8 </v>
      </c>
      <c r="BX241" s="186"/>
      <c r="BY241" s="186"/>
      <c r="BZ241" s="186"/>
      <c r="CA241" s="186"/>
      <c r="CB241" s="186"/>
      <c r="CC241" s="186"/>
      <c r="CD241" s="186"/>
      <c r="CE241" s="186"/>
      <c r="CF241" s="186"/>
      <c r="CG241" s="186"/>
      <c r="CH241" s="186"/>
      <c r="CI241" s="186"/>
      <c r="CJ241" s="186"/>
      <c r="CK241" s="186"/>
      <c r="CL241" s="186"/>
      <c r="CM241" s="186"/>
      <c r="CN241" s="186"/>
      <c r="CO241" s="186"/>
    </row>
    <row r="242" spans="1:93" ht="15" customHeight="1" outlineLevel="4" x14ac:dyDescent="0.4">
      <c r="A242" s="172"/>
      <c r="B242" s="172"/>
      <c r="C242" s="172">
        <v>5</v>
      </c>
      <c r="D242" s="173" t="s">
        <v>2186</v>
      </c>
      <c r="E242" s="174"/>
      <c r="F242" s="174"/>
      <c r="G242" s="174"/>
      <c r="H242" s="174"/>
      <c r="I242" s="174" t="s">
        <v>2129</v>
      </c>
      <c r="J242" s="174"/>
      <c r="K242" s="174"/>
      <c r="L242" s="174"/>
      <c r="M242" s="174"/>
      <c r="N242" s="174"/>
      <c r="O242" s="175" t="s">
        <v>1934</v>
      </c>
      <c r="P242" s="175" t="s">
        <v>1888</v>
      </c>
      <c r="Q242" s="179">
        <v>44993</v>
      </c>
      <c r="R242" s="179">
        <v>45043</v>
      </c>
      <c r="S242" s="177">
        <f>R242-Q242</f>
        <v>50</v>
      </c>
      <c r="T242" s="178">
        <v>51</v>
      </c>
      <c r="U242" s="178">
        <v>0</v>
      </c>
      <c r="V242" s="178">
        <v>51</v>
      </c>
      <c r="W242" s="178">
        <v>0</v>
      </c>
      <c r="X242" s="179"/>
      <c r="Y242" s="179"/>
      <c r="Z242" s="180"/>
      <c r="AA242" s="181">
        <v>0</v>
      </c>
      <c r="AB242" s="178">
        <v>1</v>
      </c>
      <c r="AC242" s="177"/>
      <c r="AD242" s="182"/>
      <c r="AE242" s="183">
        <v>0</v>
      </c>
      <c r="AF242" s="195">
        <v>0</v>
      </c>
      <c r="AG242" s="185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 t="str">
        <f>"   " &amp; TEXT(AF242,"#0.00%") &amp; " "</f>
        <v xml:space="preserve">   0.00% </v>
      </c>
      <c r="BY242" s="186"/>
      <c r="BZ242" s="186"/>
      <c r="CA242" s="186"/>
      <c r="CB242" s="186"/>
      <c r="CC242" s="186"/>
      <c r="CD242" s="186"/>
      <c r="CE242" s="186" t="str">
        <f>"     " &amp; "화물이동" &amp; " " &amp; IF(Q242="","",TEXT(Q242,"M/D-")) &amp; IF(R242="","",TEXT(R242,"M/D")) &amp; " "</f>
        <v xml:space="preserve">     화물이동 3/8-4/27 </v>
      </c>
      <c r="CF242" s="186"/>
      <c r="CG242" s="186"/>
      <c r="CH242" s="186"/>
      <c r="CI242" s="186"/>
      <c r="CJ242" s="186"/>
      <c r="CK242" s="186"/>
      <c r="CL242" s="186"/>
      <c r="CM242" s="186"/>
      <c r="CN242" s="186"/>
      <c r="CO242" s="186"/>
    </row>
    <row r="243" spans="1:93" ht="15" customHeight="1" outlineLevel="4" x14ac:dyDescent="0.4">
      <c r="A243" s="172"/>
      <c r="B243" s="172"/>
      <c r="C243" s="172">
        <v>5</v>
      </c>
      <c r="D243" s="173" t="s">
        <v>2187</v>
      </c>
      <c r="E243" s="174"/>
      <c r="F243" s="174"/>
      <c r="G243" s="174"/>
      <c r="H243" s="174"/>
      <c r="I243" s="174" t="s">
        <v>2131</v>
      </c>
      <c r="J243" s="174"/>
      <c r="K243" s="174"/>
      <c r="L243" s="174"/>
      <c r="M243" s="174"/>
      <c r="N243" s="174"/>
      <c r="O243" s="175" t="s">
        <v>1934</v>
      </c>
      <c r="P243" s="175" t="s">
        <v>1888</v>
      </c>
      <c r="Q243" s="179">
        <v>45044</v>
      </c>
      <c r="R243" s="179">
        <v>45049</v>
      </c>
      <c r="S243" s="177">
        <f>R243-Q243</f>
        <v>5</v>
      </c>
      <c r="T243" s="178">
        <v>6</v>
      </c>
      <c r="U243" s="178">
        <v>0</v>
      </c>
      <c r="V243" s="178">
        <v>6</v>
      </c>
      <c r="W243" s="178">
        <v>0</v>
      </c>
      <c r="X243" s="179"/>
      <c r="Y243" s="179"/>
      <c r="Z243" s="180"/>
      <c r="AA243" s="181">
        <v>0</v>
      </c>
      <c r="AB243" s="178">
        <v>1</v>
      </c>
      <c r="AC243" s="177"/>
      <c r="AD243" s="182"/>
      <c r="AE243" s="183">
        <v>0</v>
      </c>
      <c r="AF243" s="195">
        <v>0</v>
      </c>
      <c r="AG243" s="185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 t="str">
        <f>"     " &amp; TEXT(AF243,"#0.00%") &amp; " " &amp; "하역 및 반입" &amp; " " &amp; IF(Q243="","",TEXT(Q243,"M/D-")) &amp; IF(R243="","",TEXT(R243,"M/D")) &amp; " "</f>
        <v xml:space="preserve">     0.00% 하역 및 반입 4/28-5/3 </v>
      </c>
      <c r="CF243" s="186"/>
      <c r="CG243" s="186"/>
      <c r="CH243" s="186"/>
      <c r="CI243" s="186"/>
      <c r="CJ243" s="186"/>
      <c r="CK243" s="186"/>
      <c r="CL243" s="186"/>
      <c r="CM243" s="186"/>
      <c r="CN243" s="186"/>
      <c r="CO243" s="186"/>
    </row>
    <row r="244" spans="1:93" ht="15" customHeight="1" outlineLevel="2" x14ac:dyDescent="0.4">
      <c r="A244" s="172"/>
      <c r="B244" s="172" t="s">
        <v>1879</v>
      </c>
      <c r="C244" s="172">
        <v>3</v>
      </c>
      <c r="D244" s="173" t="s">
        <v>2188</v>
      </c>
      <c r="E244" s="174"/>
      <c r="F244" s="174"/>
      <c r="G244" s="174" t="s">
        <v>1940</v>
      </c>
      <c r="H244" s="174"/>
      <c r="I244" s="174"/>
      <c r="J244" s="174"/>
      <c r="K244" s="174"/>
      <c r="L244" s="174"/>
      <c r="M244" s="174"/>
      <c r="N244" s="174"/>
      <c r="O244" s="175" t="s">
        <v>1941</v>
      </c>
      <c r="P244" s="175"/>
      <c r="Q244" s="179">
        <v>44910</v>
      </c>
      <c r="R244" s="179">
        <v>44986</v>
      </c>
      <c r="S244" s="177"/>
      <c r="T244" s="178">
        <v>126</v>
      </c>
      <c r="U244" s="178">
        <v>0</v>
      </c>
      <c r="V244" s="178">
        <v>77</v>
      </c>
      <c r="W244" s="178">
        <v>0</v>
      </c>
      <c r="X244" s="179"/>
      <c r="Y244" s="179"/>
      <c r="Z244" s="180">
        <v>0</v>
      </c>
      <c r="AA244" s="181">
        <v>0</v>
      </c>
      <c r="AB244" s="178"/>
      <c r="AC244" s="177"/>
      <c r="AD244" s="182"/>
      <c r="AE244" s="183">
        <v>0</v>
      </c>
      <c r="AF244" s="207">
        <v>0</v>
      </c>
      <c r="AG244" s="185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 t="str">
        <f>"    " &amp; TEXT(AF244,"#0.00%") &amp; " "</f>
        <v xml:space="preserve">    0.00% </v>
      </c>
      <c r="BM244" s="186"/>
      <c r="BN244" s="186"/>
      <c r="BO244" s="186"/>
      <c r="BP244" s="186"/>
      <c r="BQ244" s="186"/>
      <c r="BR244" s="186"/>
      <c r="BS244" s="186"/>
      <c r="BT244" s="186"/>
      <c r="BU244" s="186"/>
      <c r="BV244" s="186"/>
      <c r="BW244" s="186" t="str">
        <f>"    " &amp; "Lifter" &amp; " " &amp; IF(Q244="","",TEXT(Q244,"M/D-")) &amp; IF(R244="","",TEXT(R244,"M/D")) &amp; " "</f>
        <v xml:space="preserve">    Lifter 12/15-3/1 </v>
      </c>
      <c r="BX244" s="186"/>
      <c r="BY244" s="186"/>
      <c r="BZ244" s="186"/>
      <c r="CA244" s="186"/>
      <c r="CB244" s="186"/>
      <c r="CC244" s="186"/>
      <c r="CD244" s="186"/>
      <c r="CE244" s="186"/>
      <c r="CF244" s="186"/>
      <c r="CG244" s="186"/>
      <c r="CH244" s="186"/>
      <c r="CI244" s="186"/>
      <c r="CJ244" s="186"/>
      <c r="CK244" s="186"/>
      <c r="CL244" s="186"/>
      <c r="CM244" s="186"/>
      <c r="CN244" s="186"/>
      <c r="CO244" s="186"/>
    </row>
    <row r="245" spans="1:93" ht="15" customHeight="1" outlineLevel="3" x14ac:dyDescent="0.4">
      <c r="A245" s="172"/>
      <c r="B245" s="172" t="s">
        <v>1879</v>
      </c>
      <c r="C245" s="172">
        <v>4</v>
      </c>
      <c r="D245" s="173" t="s">
        <v>2189</v>
      </c>
      <c r="E245" s="174"/>
      <c r="F245" s="174"/>
      <c r="G245" s="174"/>
      <c r="H245" s="174" t="s">
        <v>2042</v>
      </c>
      <c r="I245" s="174"/>
      <c r="J245" s="174"/>
      <c r="K245" s="174"/>
      <c r="L245" s="174"/>
      <c r="M245" s="174"/>
      <c r="N245" s="174"/>
      <c r="O245" s="175" t="s">
        <v>1941</v>
      </c>
      <c r="P245" s="175" t="s">
        <v>1888</v>
      </c>
      <c r="Q245" s="179">
        <v>44910</v>
      </c>
      <c r="R245" s="179">
        <v>44971</v>
      </c>
      <c r="S245" s="177"/>
      <c r="T245" s="178">
        <v>63</v>
      </c>
      <c r="U245" s="178">
        <v>0</v>
      </c>
      <c r="V245" s="178">
        <v>62</v>
      </c>
      <c r="W245" s="178">
        <v>0</v>
      </c>
      <c r="X245" s="179"/>
      <c r="Y245" s="179"/>
      <c r="Z245" s="180">
        <v>0</v>
      </c>
      <c r="AA245" s="181">
        <v>0</v>
      </c>
      <c r="AB245" s="178"/>
      <c r="AC245" s="177"/>
      <c r="AD245" s="182"/>
      <c r="AE245" s="183">
        <v>0</v>
      </c>
      <c r="AF245" s="207">
        <v>0</v>
      </c>
      <c r="AG245" s="185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 t="str">
        <f>"    " &amp; TEXT(AF245,"#0.00%") &amp; " "</f>
        <v xml:space="preserve">    0.00% </v>
      </c>
      <c r="BM245" s="186"/>
      <c r="BN245" s="186"/>
      <c r="BO245" s="186"/>
      <c r="BP245" s="186"/>
      <c r="BQ245" s="186"/>
      <c r="BR245" s="186"/>
      <c r="BS245" s="186"/>
      <c r="BT245" s="186"/>
      <c r="BU245" s="186" t="str">
        <f>"   " &amp; "상온,고온 Aging + PPC,충방전" &amp; " " &amp; IF(Q245="","",TEXT(Q245,"M/D-")) &amp; IF(R245="","",TEXT(R245,"M/D")) &amp; " "</f>
        <v xml:space="preserve">   상온,고온 Aging + PPC,충방전 12/15-2/14 </v>
      </c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</row>
    <row r="246" spans="1:93" ht="15" customHeight="1" outlineLevel="4" x14ac:dyDescent="0.4">
      <c r="A246" s="172"/>
      <c r="B246" s="172"/>
      <c r="C246" s="172">
        <v>5</v>
      </c>
      <c r="D246" s="173" t="s">
        <v>2190</v>
      </c>
      <c r="E246" s="174"/>
      <c r="F246" s="174"/>
      <c r="G246" s="174"/>
      <c r="H246" s="174"/>
      <c r="I246" s="174" t="s">
        <v>2127</v>
      </c>
      <c r="J246" s="174"/>
      <c r="K246" s="174"/>
      <c r="L246" s="174"/>
      <c r="M246" s="174"/>
      <c r="N246" s="174"/>
      <c r="O246" s="175" t="s">
        <v>1941</v>
      </c>
      <c r="P246" s="175" t="s">
        <v>1888</v>
      </c>
      <c r="Q246" s="179">
        <v>44910</v>
      </c>
      <c r="R246" s="179">
        <v>44915</v>
      </c>
      <c r="S246" s="177">
        <f>R246-Q246</f>
        <v>5</v>
      </c>
      <c r="T246" s="178">
        <v>6</v>
      </c>
      <c r="U246" s="178">
        <v>0</v>
      </c>
      <c r="V246" s="178">
        <v>6</v>
      </c>
      <c r="W246" s="178">
        <v>0</v>
      </c>
      <c r="X246" s="179"/>
      <c r="Y246" s="179"/>
      <c r="Z246" s="180"/>
      <c r="AA246" s="181">
        <v>0</v>
      </c>
      <c r="AB246" s="178">
        <v>1</v>
      </c>
      <c r="AC246" s="177"/>
      <c r="AD246" s="182"/>
      <c r="AE246" s="183">
        <v>0</v>
      </c>
      <c r="AF246" s="195">
        <v>0</v>
      </c>
      <c r="AG246" s="185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 t="str">
        <f>"    " &amp; TEXT(AF246,"#0.00%") &amp; " " &amp; "출하 선적" &amp; " " &amp; IF(Q246="","",TEXT(Q246,"M/D-")) &amp; IF(R246="","",TEXT(R246,"M/D")) &amp; " "</f>
        <v xml:space="preserve">    0.00% 출하 선적 12/15-12/20 </v>
      </c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186"/>
      <c r="CG246" s="186"/>
      <c r="CH246" s="186"/>
      <c r="CI246" s="186"/>
      <c r="CJ246" s="186"/>
      <c r="CK246" s="186"/>
      <c r="CL246" s="186"/>
      <c r="CM246" s="186"/>
      <c r="CN246" s="186"/>
      <c r="CO246" s="186"/>
    </row>
    <row r="247" spans="1:93" ht="15" customHeight="1" outlineLevel="4" x14ac:dyDescent="0.4">
      <c r="A247" s="172"/>
      <c r="B247" s="172"/>
      <c r="C247" s="172">
        <v>5</v>
      </c>
      <c r="D247" s="173" t="s">
        <v>2191</v>
      </c>
      <c r="E247" s="174"/>
      <c r="F247" s="174"/>
      <c r="G247" s="174"/>
      <c r="H247" s="174"/>
      <c r="I247" s="174" t="s">
        <v>2161</v>
      </c>
      <c r="J247" s="174"/>
      <c r="K247" s="174"/>
      <c r="L247" s="174"/>
      <c r="M247" s="174"/>
      <c r="N247" s="174"/>
      <c r="O247" s="175" t="s">
        <v>1941</v>
      </c>
      <c r="P247" s="175" t="s">
        <v>1888</v>
      </c>
      <c r="Q247" s="179">
        <v>44915</v>
      </c>
      <c r="R247" s="179">
        <v>44965</v>
      </c>
      <c r="S247" s="177">
        <f>R247-Q247</f>
        <v>50</v>
      </c>
      <c r="T247" s="178">
        <v>51</v>
      </c>
      <c r="U247" s="178">
        <v>0</v>
      </c>
      <c r="V247" s="178">
        <v>51</v>
      </c>
      <c r="W247" s="178">
        <v>0</v>
      </c>
      <c r="X247" s="179"/>
      <c r="Y247" s="179"/>
      <c r="Z247" s="180"/>
      <c r="AA247" s="181">
        <v>0</v>
      </c>
      <c r="AB247" s="178">
        <v>1</v>
      </c>
      <c r="AC247" s="177"/>
      <c r="AD247" s="182"/>
      <c r="AE247" s="183">
        <v>0</v>
      </c>
      <c r="AF247" s="195">
        <v>0</v>
      </c>
      <c r="AG247" s="185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 t="str">
        <f>"  " &amp; TEXT(AF247,"#0.00%") &amp; " "</f>
        <v xml:space="preserve">  0.00% </v>
      </c>
      <c r="BN247" s="186"/>
      <c r="BO247" s="186"/>
      <c r="BP247" s="186"/>
      <c r="BQ247" s="186"/>
      <c r="BR247" s="186"/>
      <c r="BS247" s="186"/>
      <c r="BT247" s="186" t="str">
        <f>"    " &amp; "화물이동(부산-&gt;CHS)" &amp; " " &amp; IF(Q247="","",TEXT(Q247,"M/D-")) &amp; IF(R247="","",TEXT(R247,"M/D")) &amp; " "</f>
        <v xml:space="preserve">    화물이동(부산-&gt;CHS) 12/20-2/8 </v>
      </c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186"/>
      <c r="CG247" s="186"/>
      <c r="CH247" s="186"/>
      <c r="CI247" s="186"/>
      <c r="CJ247" s="186"/>
      <c r="CK247" s="186"/>
      <c r="CL247" s="186"/>
      <c r="CM247" s="186"/>
      <c r="CN247" s="186"/>
      <c r="CO247" s="186"/>
    </row>
    <row r="248" spans="1:93" ht="15" customHeight="1" outlineLevel="4" x14ac:dyDescent="0.4">
      <c r="A248" s="172"/>
      <c r="B248" s="172"/>
      <c r="C248" s="172">
        <v>5</v>
      </c>
      <c r="D248" s="173" t="s">
        <v>2192</v>
      </c>
      <c r="E248" s="174"/>
      <c r="F248" s="174"/>
      <c r="G248" s="174"/>
      <c r="H248" s="174"/>
      <c r="I248" s="174" t="s">
        <v>2131</v>
      </c>
      <c r="J248" s="174"/>
      <c r="K248" s="174"/>
      <c r="L248" s="174"/>
      <c r="M248" s="174"/>
      <c r="N248" s="174"/>
      <c r="O248" s="175" t="s">
        <v>1941</v>
      </c>
      <c r="P248" s="175" t="s">
        <v>1888</v>
      </c>
      <c r="Q248" s="179">
        <v>44966</v>
      </c>
      <c r="R248" s="179">
        <v>44971</v>
      </c>
      <c r="S248" s="177">
        <f>R248-Q248</f>
        <v>5</v>
      </c>
      <c r="T248" s="178">
        <v>6</v>
      </c>
      <c r="U248" s="178">
        <v>0</v>
      </c>
      <c r="V248" s="178">
        <v>6</v>
      </c>
      <c r="W248" s="178">
        <v>0</v>
      </c>
      <c r="X248" s="179"/>
      <c r="Y248" s="179"/>
      <c r="Z248" s="180"/>
      <c r="AA248" s="181">
        <v>0</v>
      </c>
      <c r="AB248" s="178">
        <v>1</v>
      </c>
      <c r="AC248" s="177"/>
      <c r="AD248" s="182"/>
      <c r="AE248" s="183">
        <v>0</v>
      </c>
      <c r="AF248" s="195">
        <v>0</v>
      </c>
      <c r="AG248" s="185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 t="str">
        <f>"    " &amp; TEXT(AF248,"#0.00%") &amp; " " &amp; "하역 및 반입" &amp; " " &amp; IF(Q248="","",TEXT(Q248,"M/D-")) &amp; IF(R248="","",TEXT(R248,"M/D")) &amp; " "</f>
        <v xml:space="preserve">    0.00% 하역 및 반입 2/9-2/14 </v>
      </c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186"/>
      <c r="CG248" s="186"/>
      <c r="CH248" s="186"/>
      <c r="CI248" s="186"/>
      <c r="CJ248" s="186"/>
      <c r="CK248" s="186"/>
      <c r="CL248" s="186"/>
      <c r="CM248" s="186"/>
      <c r="CN248" s="186"/>
      <c r="CO248" s="186"/>
    </row>
    <row r="249" spans="1:93" ht="15" customHeight="1" outlineLevel="3" x14ac:dyDescent="0.4">
      <c r="A249" s="172"/>
      <c r="B249" s="172" t="s">
        <v>1879</v>
      </c>
      <c r="C249" s="172">
        <v>4</v>
      </c>
      <c r="D249" s="173" t="s">
        <v>2193</v>
      </c>
      <c r="E249" s="174"/>
      <c r="F249" s="174"/>
      <c r="G249" s="174"/>
      <c r="H249" s="174" t="s">
        <v>2048</v>
      </c>
      <c r="I249" s="174"/>
      <c r="J249" s="174"/>
      <c r="K249" s="174"/>
      <c r="L249" s="174"/>
      <c r="M249" s="174"/>
      <c r="N249" s="174"/>
      <c r="O249" s="175" t="s">
        <v>1941</v>
      </c>
      <c r="P249" s="175" t="s">
        <v>1888</v>
      </c>
      <c r="Q249" s="179">
        <v>44925</v>
      </c>
      <c r="R249" s="179">
        <v>44986</v>
      </c>
      <c r="S249" s="177"/>
      <c r="T249" s="178">
        <v>63</v>
      </c>
      <c r="U249" s="178">
        <v>0</v>
      </c>
      <c r="V249" s="178">
        <v>62</v>
      </c>
      <c r="W249" s="178">
        <v>0</v>
      </c>
      <c r="X249" s="179"/>
      <c r="Y249" s="179"/>
      <c r="Z249" s="180">
        <v>0</v>
      </c>
      <c r="AA249" s="181">
        <v>0</v>
      </c>
      <c r="AB249" s="178"/>
      <c r="AC249" s="177"/>
      <c r="AD249" s="182"/>
      <c r="AE249" s="183">
        <v>0</v>
      </c>
      <c r="AF249" s="207">
        <v>0</v>
      </c>
      <c r="AG249" s="185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 t="str">
        <f>"     " &amp; TEXT(AF249,"#0.00%") &amp; " "</f>
        <v xml:space="preserve">     0.00% </v>
      </c>
      <c r="BO249" s="186"/>
      <c r="BP249" s="186"/>
      <c r="BQ249" s="186"/>
      <c r="BR249" s="186"/>
      <c r="BS249" s="186"/>
      <c r="BT249" s="186"/>
      <c r="BU249" s="186"/>
      <c r="BV249" s="186"/>
      <c r="BW249" s="186" t="str">
        <f>"    " &amp; "상온,고온 Aging" &amp; " " &amp; IF(Q249="","",TEXT(Q249,"M/D-")) &amp; IF(R249="","",TEXT(R249,"M/D")) &amp; " "</f>
        <v xml:space="preserve">    상온,고온 Aging 12/30-3/1 </v>
      </c>
      <c r="BX249" s="186"/>
      <c r="BY249" s="186"/>
      <c r="BZ249" s="186"/>
      <c r="CA249" s="186"/>
      <c r="CB249" s="186"/>
      <c r="CC249" s="186"/>
      <c r="CD249" s="186"/>
      <c r="CE249" s="186"/>
      <c r="CF249" s="186"/>
      <c r="CG249" s="186"/>
      <c r="CH249" s="186"/>
      <c r="CI249" s="186"/>
      <c r="CJ249" s="186"/>
      <c r="CK249" s="186"/>
      <c r="CL249" s="186"/>
      <c r="CM249" s="186"/>
      <c r="CN249" s="186"/>
      <c r="CO249" s="186"/>
    </row>
    <row r="250" spans="1:93" ht="15" customHeight="1" outlineLevel="4" x14ac:dyDescent="0.4">
      <c r="A250" s="172"/>
      <c r="B250" s="172"/>
      <c r="C250" s="172">
        <v>5</v>
      </c>
      <c r="D250" s="173" t="s">
        <v>2194</v>
      </c>
      <c r="E250" s="174"/>
      <c r="F250" s="174"/>
      <c r="G250" s="174"/>
      <c r="H250" s="174"/>
      <c r="I250" s="174" t="s">
        <v>2127</v>
      </c>
      <c r="J250" s="174"/>
      <c r="K250" s="174"/>
      <c r="L250" s="174"/>
      <c r="M250" s="174"/>
      <c r="N250" s="174"/>
      <c r="O250" s="175" t="s">
        <v>1941</v>
      </c>
      <c r="P250" s="175" t="s">
        <v>1888</v>
      </c>
      <c r="Q250" s="179">
        <v>44925</v>
      </c>
      <c r="R250" s="179">
        <v>44930</v>
      </c>
      <c r="S250" s="177">
        <f>R250-Q250</f>
        <v>5</v>
      </c>
      <c r="T250" s="178">
        <v>6</v>
      </c>
      <c r="U250" s="178">
        <v>0</v>
      </c>
      <c r="V250" s="178">
        <v>6</v>
      </c>
      <c r="W250" s="178">
        <v>0</v>
      </c>
      <c r="X250" s="179"/>
      <c r="Y250" s="179"/>
      <c r="Z250" s="180"/>
      <c r="AA250" s="181">
        <v>0</v>
      </c>
      <c r="AB250" s="178">
        <v>1</v>
      </c>
      <c r="AC250" s="177"/>
      <c r="AD250" s="182"/>
      <c r="AE250" s="183">
        <v>0</v>
      </c>
      <c r="AF250" s="195">
        <v>0</v>
      </c>
      <c r="AG250" s="185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  <c r="BG250" s="186"/>
      <c r="BH250" s="186"/>
      <c r="BI250" s="186"/>
      <c r="BJ250" s="186"/>
      <c r="BK250" s="186"/>
      <c r="BL250" s="186"/>
      <c r="BM250" s="186"/>
      <c r="BN250" s="186" t="str">
        <f>"     " &amp; TEXT(AF250,"#0.00%") &amp; " " &amp; "출하 선적" &amp; " " &amp; IF(Q250="","",TEXT(Q250,"M/D-")) &amp; IF(R250="","",TEXT(R250,"M/D")) &amp; " "</f>
        <v xml:space="preserve">     0.00% 출하 선적 12/30-1/4 </v>
      </c>
      <c r="BO250" s="186"/>
      <c r="BP250" s="186"/>
      <c r="BQ250" s="186"/>
      <c r="BR250" s="186"/>
      <c r="BS250" s="186"/>
      <c r="BT250" s="186"/>
      <c r="BU250" s="186"/>
      <c r="BV250" s="186"/>
      <c r="BW250" s="186"/>
      <c r="BX250" s="186"/>
      <c r="BY250" s="186"/>
      <c r="BZ250" s="186"/>
      <c r="CA250" s="186"/>
      <c r="CB250" s="186"/>
      <c r="CC250" s="186"/>
      <c r="CD250" s="186"/>
      <c r="CE250" s="186"/>
      <c r="CF250" s="186"/>
      <c r="CG250" s="186"/>
      <c r="CH250" s="186"/>
      <c r="CI250" s="186"/>
      <c r="CJ250" s="186"/>
      <c r="CK250" s="186"/>
      <c r="CL250" s="186"/>
      <c r="CM250" s="186"/>
      <c r="CN250" s="186"/>
      <c r="CO250" s="186"/>
    </row>
    <row r="251" spans="1:93" ht="15" customHeight="1" outlineLevel="4" x14ac:dyDescent="0.4">
      <c r="A251" s="172"/>
      <c r="B251" s="172"/>
      <c r="C251" s="172">
        <v>5</v>
      </c>
      <c r="D251" s="173" t="s">
        <v>2195</v>
      </c>
      <c r="E251" s="174"/>
      <c r="F251" s="174"/>
      <c r="G251" s="174"/>
      <c r="H251" s="174"/>
      <c r="I251" s="174" t="s">
        <v>2161</v>
      </c>
      <c r="J251" s="174"/>
      <c r="K251" s="174"/>
      <c r="L251" s="174"/>
      <c r="M251" s="174"/>
      <c r="N251" s="174"/>
      <c r="O251" s="175" t="s">
        <v>1941</v>
      </c>
      <c r="P251" s="175" t="s">
        <v>1888</v>
      </c>
      <c r="Q251" s="179">
        <v>44930</v>
      </c>
      <c r="R251" s="179">
        <v>44980</v>
      </c>
      <c r="S251" s="177">
        <f>R251-Q251</f>
        <v>50</v>
      </c>
      <c r="T251" s="178">
        <v>51</v>
      </c>
      <c r="U251" s="178">
        <v>0</v>
      </c>
      <c r="V251" s="178">
        <v>51</v>
      </c>
      <c r="W251" s="178">
        <v>0</v>
      </c>
      <c r="X251" s="179"/>
      <c r="Y251" s="179"/>
      <c r="Z251" s="180"/>
      <c r="AA251" s="181">
        <v>0</v>
      </c>
      <c r="AB251" s="178">
        <v>1</v>
      </c>
      <c r="AC251" s="177"/>
      <c r="AD251" s="182"/>
      <c r="AE251" s="183">
        <v>0</v>
      </c>
      <c r="AF251" s="195">
        <v>0</v>
      </c>
      <c r="AG251" s="185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 t="str">
        <f>"   " &amp; TEXT(AF251,"#0.00%") &amp; " "</f>
        <v xml:space="preserve">   0.00% </v>
      </c>
      <c r="BP251" s="186"/>
      <c r="BQ251" s="186"/>
      <c r="BR251" s="186"/>
      <c r="BS251" s="186"/>
      <c r="BT251" s="186"/>
      <c r="BU251" s="186"/>
      <c r="BV251" s="186" t="str">
        <f>"     " &amp; "화물이동(부산-&gt;CHS)" &amp; " " &amp; IF(Q251="","",TEXT(Q251,"M/D-")) &amp; IF(R251="","",TEXT(R251,"M/D")) &amp; " "</f>
        <v xml:space="preserve">     화물이동(부산-&gt;CHS) 1/4-2/23 </v>
      </c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186"/>
      <c r="CG251" s="186"/>
      <c r="CH251" s="186"/>
      <c r="CI251" s="186"/>
      <c r="CJ251" s="186"/>
      <c r="CK251" s="186"/>
      <c r="CL251" s="186"/>
      <c r="CM251" s="186"/>
      <c r="CN251" s="186"/>
      <c r="CO251" s="186"/>
    </row>
    <row r="252" spans="1:93" ht="15" customHeight="1" outlineLevel="4" x14ac:dyDescent="0.4">
      <c r="A252" s="172"/>
      <c r="B252" s="172"/>
      <c r="C252" s="172">
        <v>5</v>
      </c>
      <c r="D252" s="173" t="s">
        <v>2196</v>
      </c>
      <c r="E252" s="174"/>
      <c r="F252" s="174"/>
      <c r="G252" s="174"/>
      <c r="H252" s="174"/>
      <c r="I252" s="174" t="s">
        <v>2131</v>
      </c>
      <c r="J252" s="174"/>
      <c r="K252" s="174"/>
      <c r="L252" s="174"/>
      <c r="M252" s="174"/>
      <c r="N252" s="174"/>
      <c r="O252" s="175" t="s">
        <v>1941</v>
      </c>
      <c r="P252" s="175" t="s">
        <v>1888</v>
      </c>
      <c r="Q252" s="179">
        <v>44981</v>
      </c>
      <c r="R252" s="179">
        <v>44986</v>
      </c>
      <c r="S252" s="177">
        <f>R252-Q252</f>
        <v>5</v>
      </c>
      <c r="T252" s="178">
        <v>6</v>
      </c>
      <c r="U252" s="178">
        <v>0</v>
      </c>
      <c r="V252" s="178">
        <v>6</v>
      </c>
      <c r="W252" s="178">
        <v>0</v>
      </c>
      <c r="X252" s="179"/>
      <c r="Y252" s="179"/>
      <c r="Z252" s="180"/>
      <c r="AA252" s="181">
        <v>0</v>
      </c>
      <c r="AB252" s="178">
        <v>1</v>
      </c>
      <c r="AC252" s="177"/>
      <c r="AD252" s="182"/>
      <c r="AE252" s="183">
        <v>0</v>
      </c>
      <c r="AF252" s="195">
        <v>0</v>
      </c>
      <c r="AG252" s="185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 t="str">
        <f>"     " &amp; TEXT(AF252,"#0.00%") &amp; " " &amp; "하역 및 반입" &amp; " " &amp; IF(Q252="","",TEXT(Q252,"M/D-")) &amp; IF(R252="","",TEXT(R252,"M/D")) &amp; " "</f>
        <v xml:space="preserve">     0.00% 하역 및 반입 2/24-3/1 </v>
      </c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186"/>
      <c r="CG252" s="186"/>
      <c r="CH252" s="186"/>
      <c r="CI252" s="186"/>
      <c r="CJ252" s="186"/>
      <c r="CK252" s="186"/>
      <c r="CL252" s="186"/>
      <c r="CM252" s="186"/>
      <c r="CN252" s="186"/>
      <c r="CO252" s="186"/>
    </row>
    <row r="253" spans="1:93" ht="15" customHeight="1" x14ac:dyDescent="0.4">
      <c r="A253" s="172"/>
      <c r="B253" s="172" t="s">
        <v>1879</v>
      </c>
      <c r="C253" s="172">
        <v>1</v>
      </c>
      <c r="D253" s="173" t="s">
        <v>2197</v>
      </c>
      <c r="E253" s="174" t="s">
        <v>2198</v>
      </c>
      <c r="F253" s="174"/>
      <c r="G253" s="174"/>
      <c r="H253" s="174"/>
      <c r="I253" s="174"/>
      <c r="J253" s="174"/>
      <c r="K253" s="174"/>
      <c r="L253" s="174"/>
      <c r="M253" s="174"/>
      <c r="N253" s="174"/>
      <c r="O253" s="175"/>
      <c r="P253" s="175"/>
      <c r="Q253" s="179">
        <v>44930</v>
      </c>
      <c r="R253" s="179">
        <v>45094</v>
      </c>
      <c r="S253" s="177"/>
      <c r="T253" s="178">
        <v>930</v>
      </c>
      <c r="U253" s="178">
        <v>0</v>
      </c>
      <c r="V253" s="178">
        <v>165</v>
      </c>
      <c r="W253" s="178">
        <v>0</v>
      </c>
      <c r="X253" s="179"/>
      <c r="Y253" s="179"/>
      <c r="Z253" s="180">
        <v>0</v>
      </c>
      <c r="AA253" s="181">
        <v>0</v>
      </c>
      <c r="AB253" s="178"/>
      <c r="AC253" s="177"/>
      <c r="AD253" s="182"/>
      <c r="AE253" s="183">
        <v>0</v>
      </c>
      <c r="AF253" s="207">
        <v>0</v>
      </c>
      <c r="AG253" s="185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 t="str">
        <f>"   " &amp; TEXT(AF253,"#0.00%") &amp; " "</f>
        <v xml:space="preserve">   0.00% </v>
      </c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186"/>
      <c r="CG253" s="186"/>
      <c r="CH253" s="186"/>
      <c r="CI253" s="186"/>
      <c r="CJ253" s="186"/>
      <c r="CK253" s="186"/>
      <c r="CL253" s="186"/>
      <c r="CM253" s="186" t="str">
        <f>"" &amp; "SETUP" &amp; " " &amp; IF(Q253="","",TEXT(Q253,"M/D-")) &amp; IF(R253="","",TEXT(R253,"M/D")) &amp; " "</f>
        <v xml:space="preserve">SETUP 1/4-6/17 </v>
      </c>
      <c r="CN253" s="186"/>
      <c r="CO253" s="186"/>
    </row>
    <row r="254" spans="1:93" ht="15" customHeight="1" outlineLevel="1" x14ac:dyDescent="0.4">
      <c r="A254" s="172"/>
      <c r="B254" s="172" t="s">
        <v>1879</v>
      </c>
      <c r="C254" s="172">
        <v>2</v>
      </c>
      <c r="D254" s="173" t="s">
        <v>2199</v>
      </c>
      <c r="E254" s="174"/>
      <c r="F254" s="174" t="s">
        <v>1883</v>
      </c>
      <c r="G254" s="174"/>
      <c r="H254" s="174"/>
      <c r="I254" s="174"/>
      <c r="J254" s="174"/>
      <c r="K254" s="174"/>
      <c r="L254" s="174"/>
      <c r="M254" s="174"/>
      <c r="N254" s="174"/>
      <c r="O254" s="175"/>
      <c r="P254" s="175"/>
      <c r="Q254" s="179">
        <v>44930</v>
      </c>
      <c r="R254" s="179">
        <v>45094</v>
      </c>
      <c r="S254" s="177"/>
      <c r="T254" s="178">
        <v>930</v>
      </c>
      <c r="U254" s="178">
        <v>0</v>
      </c>
      <c r="V254" s="178">
        <v>165</v>
      </c>
      <c r="W254" s="178">
        <v>0</v>
      </c>
      <c r="X254" s="179"/>
      <c r="Y254" s="179"/>
      <c r="Z254" s="180">
        <v>0</v>
      </c>
      <c r="AA254" s="181">
        <v>0</v>
      </c>
      <c r="AB254" s="178"/>
      <c r="AC254" s="177"/>
      <c r="AD254" s="182"/>
      <c r="AE254" s="183">
        <v>0</v>
      </c>
      <c r="AF254" s="207">
        <v>0</v>
      </c>
      <c r="AG254" s="185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 t="str">
        <f>"   " &amp; TEXT(AF254,"#0.00%") &amp; " "</f>
        <v xml:space="preserve">   0.00% </v>
      </c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186"/>
      <c r="CG254" s="186"/>
      <c r="CH254" s="186"/>
      <c r="CI254" s="186"/>
      <c r="CJ254" s="186"/>
      <c r="CK254" s="186"/>
      <c r="CL254" s="186"/>
      <c r="CM254" s="186" t="str">
        <f>"" &amp; "SKOH2" &amp; " " &amp; IF(Q254="","",TEXT(Q254,"M/D-")) &amp; IF(R254="","",TEXT(R254,"M/D")) &amp; " "</f>
        <v xml:space="preserve">SKOH2 1/4-6/17 </v>
      </c>
      <c r="CN254" s="186"/>
      <c r="CO254" s="186"/>
    </row>
    <row r="255" spans="1:93" ht="15" customHeight="1" outlineLevel="2" x14ac:dyDescent="0.4">
      <c r="A255" s="172"/>
      <c r="B255" s="172" t="s">
        <v>1879</v>
      </c>
      <c r="C255" s="172">
        <v>3</v>
      </c>
      <c r="D255" s="173" t="s">
        <v>2200</v>
      </c>
      <c r="E255" s="174"/>
      <c r="F255" s="174"/>
      <c r="G255" s="174" t="s">
        <v>1887</v>
      </c>
      <c r="H255" s="174"/>
      <c r="I255" s="174"/>
      <c r="J255" s="174"/>
      <c r="K255" s="174"/>
      <c r="L255" s="174"/>
      <c r="M255" s="174"/>
      <c r="N255" s="174"/>
      <c r="O255" s="175" t="s">
        <v>1888</v>
      </c>
      <c r="P255" s="175"/>
      <c r="Q255" s="179">
        <v>44930</v>
      </c>
      <c r="R255" s="179">
        <v>45046</v>
      </c>
      <c r="S255" s="177"/>
      <c r="T255" s="178">
        <v>258</v>
      </c>
      <c r="U255" s="178">
        <v>0</v>
      </c>
      <c r="V255" s="178">
        <v>117</v>
      </c>
      <c r="W255" s="178">
        <v>0</v>
      </c>
      <c r="X255" s="179"/>
      <c r="Y255" s="179"/>
      <c r="Z255" s="180">
        <v>0</v>
      </c>
      <c r="AA255" s="181">
        <v>0</v>
      </c>
      <c r="AB255" s="178"/>
      <c r="AC255" s="177"/>
      <c r="AD255" s="182"/>
      <c r="AE255" s="183">
        <v>0</v>
      </c>
      <c r="AF255" s="207">
        <v>0</v>
      </c>
      <c r="AG255" s="185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  <c r="BO255" s="186" t="str">
        <f>"   " &amp; TEXT(AF255,"#0.00%") &amp; " "</f>
        <v xml:space="preserve">   0.00% </v>
      </c>
      <c r="BP255" s="186"/>
      <c r="BQ255" s="186"/>
      <c r="BR255" s="186"/>
      <c r="BS255" s="186"/>
      <c r="BT255" s="186"/>
      <c r="BU255" s="186"/>
      <c r="BV255" s="186"/>
      <c r="BW255" s="186"/>
      <c r="BX255" s="186"/>
      <c r="BY255" s="186"/>
      <c r="BZ255" s="186"/>
      <c r="CA255" s="186"/>
      <c r="CB255" s="186"/>
      <c r="CC255" s="186"/>
      <c r="CD255" s="186"/>
      <c r="CE255" s="186"/>
      <c r="CF255" s="186" t="str">
        <f>" " &amp; "Rack" &amp; " " &amp; IF(Q255="","",TEXT(Q255,"M/D-")) &amp; IF(R255="","",TEXT(R255,"M/D")) &amp; " "</f>
        <v xml:space="preserve"> Rack 1/4-4/30 </v>
      </c>
      <c r="CG255" s="186"/>
      <c r="CH255" s="186"/>
      <c r="CI255" s="186"/>
      <c r="CJ255" s="186"/>
      <c r="CK255" s="186"/>
      <c r="CL255" s="186"/>
      <c r="CM255" s="186"/>
      <c r="CN255" s="186"/>
      <c r="CO255" s="186"/>
    </row>
    <row r="256" spans="1:93" ht="15" customHeight="1" outlineLevel="3" x14ac:dyDescent="0.4">
      <c r="A256" s="172"/>
      <c r="B256" s="172" t="s">
        <v>1879</v>
      </c>
      <c r="C256" s="172">
        <v>4</v>
      </c>
      <c r="D256" s="173" t="s">
        <v>2201</v>
      </c>
      <c r="E256" s="174"/>
      <c r="F256" s="174"/>
      <c r="G256" s="174"/>
      <c r="H256" s="174" t="s">
        <v>1951</v>
      </c>
      <c r="I256" s="174"/>
      <c r="J256" s="174"/>
      <c r="K256" s="174"/>
      <c r="L256" s="174"/>
      <c r="M256" s="174"/>
      <c r="N256" s="174"/>
      <c r="O256" s="175" t="s">
        <v>1888</v>
      </c>
      <c r="P256" s="175" t="s">
        <v>1893</v>
      </c>
      <c r="Q256" s="179">
        <v>44930</v>
      </c>
      <c r="R256" s="179">
        <v>44973</v>
      </c>
      <c r="S256" s="177"/>
      <c r="T256" s="178">
        <v>47</v>
      </c>
      <c r="U256" s="178">
        <v>0</v>
      </c>
      <c r="V256" s="178">
        <v>44</v>
      </c>
      <c r="W256" s="178">
        <v>0</v>
      </c>
      <c r="X256" s="179"/>
      <c r="Y256" s="179"/>
      <c r="Z256" s="180">
        <v>0</v>
      </c>
      <c r="AA256" s="181">
        <v>0</v>
      </c>
      <c r="AB256" s="178"/>
      <c r="AC256" s="177"/>
      <c r="AD256" s="182"/>
      <c r="AE256" s="183">
        <v>0</v>
      </c>
      <c r="AF256" s="207">
        <v>0</v>
      </c>
      <c r="AG256" s="185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  <c r="BO256" s="186" t="str">
        <f>"   " &amp; TEXT(AF256,"#0.00%") &amp; " "</f>
        <v xml:space="preserve">   0.00% </v>
      </c>
      <c r="BP256" s="186"/>
      <c r="BQ256" s="186"/>
      <c r="BR256" s="186"/>
      <c r="BS256" s="186"/>
      <c r="BT256" s="186"/>
      <c r="BU256" s="186" t="str">
        <f>"     " &amp; "상온1,고온1 Aging 창고(전면Deck포함)" &amp; " " &amp; IF(Q256="","",TEXT(Q256,"M/D-")) &amp; IF(R256="","",TEXT(R256,"M/D")) &amp; " "</f>
        <v xml:space="preserve">     상온1,고온1 Aging 창고(전면Deck포함) 1/4-2/16 </v>
      </c>
      <c r="BV256" s="186"/>
      <c r="BW256" s="186"/>
      <c r="BX256" s="186"/>
      <c r="BY256" s="186"/>
      <c r="BZ256" s="186"/>
      <c r="CA256" s="186"/>
      <c r="CB256" s="186"/>
      <c r="CC256" s="186"/>
      <c r="CD256" s="186"/>
      <c r="CE256" s="186"/>
      <c r="CF256" s="186"/>
      <c r="CG256" s="186"/>
      <c r="CH256" s="186"/>
      <c r="CI256" s="186"/>
      <c r="CJ256" s="186"/>
      <c r="CK256" s="186"/>
      <c r="CL256" s="186"/>
      <c r="CM256" s="186"/>
      <c r="CN256" s="186"/>
      <c r="CO256" s="186"/>
    </row>
    <row r="257" spans="1:93" ht="15" customHeight="1" outlineLevel="4" x14ac:dyDescent="0.4">
      <c r="A257" s="172"/>
      <c r="B257" s="172"/>
      <c r="C257" s="172">
        <v>5</v>
      </c>
      <c r="D257" s="173" t="s">
        <v>2202</v>
      </c>
      <c r="E257" s="174"/>
      <c r="F257" s="174"/>
      <c r="G257" s="174"/>
      <c r="H257" s="174"/>
      <c r="I257" s="174" t="s">
        <v>2203</v>
      </c>
      <c r="J257" s="174"/>
      <c r="K257" s="174"/>
      <c r="L257" s="174"/>
      <c r="M257" s="174"/>
      <c r="N257" s="174"/>
      <c r="O257" s="175" t="s">
        <v>1888</v>
      </c>
      <c r="P257" s="175" t="s">
        <v>1893</v>
      </c>
      <c r="Q257" s="179">
        <v>44930</v>
      </c>
      <c r="R257" s="179">
        <v>44960</v>
      </c>
      <c r="S257" s="177">
        <f>R257-Q257</f>
        <v>30</v>
      </c>
      <c r="T257" s="178">
        <v>31</v>
      </c>
      <c r="U257" s="178">
        <v>0</v>
      </c>
      <c r="V257" s="178">
        <v>31</v>
      </c>
      <c r="W257" s="178">
        <v>0</v>
      </c>
      <c r="X257" s="179"/>
      <c r="Y257" s="179"/>
      <c r="Z257" s="180"/>
      <c r="AA257" s="181">
        <v>0</v>
      </c>
      <c r="AB257" s="178">
        <v>1</v>
      </c>
      <c r="AC257" s="177"/>
      <c r="AD257" s="182"/>
      <c r="AE257" s="183">
        <v>0</v>
      </c>
      <c r="AF257" s="195">
        <v>0</v>
      </c>
      <c r="AG257" s="185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 t="str">
        <f>"   " &amp; TEXT(AF257,"#0.00%") &amp; " "</f>
        <v xml:space="preserve">   0.00% </v>
      </c>
      <c r="BP257" s="186"/>
      <c r="BQ257" s="186"/>
      <c r="BR257" s="186"/>
      <c r="BS257" s="186" t="str">
        <f>"      " &amp; "Rack Erection" &amp; " " &amp; IF(Q257="","",TEXT(Q257,"M/D-")) &amp; IF(R257="","",TEXT(R257,"M/D")) &amp; " "</f>
        <v xml:space="preserve">      Rack Erection 1/4-2/3 </v>
      </c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</row>
    <row r="258" spans="1:93" ht="15" customHeight="1" outlineLevel="4" x14ac:dyDescent="0.4">
      <c r="A258" s="172"/>
      <c r="B258" s="172"/>
      <c r="C258" s="172">
        <v>5</v>
      </c>
      <c r="D258" s="173" t="s">
        <v>2204</v>
      </c>
      <c r="E258" s="174"/>
      <c r="F258" s="174"/>
      <c r="G258" s="174"/>
      <c r="H258" s="174"/>
      <c r="I258" s="174" t="s">
        <v>2205</v>
      </c>
      <c r="J258" s="174"/>
      <c r="K258" s="174"/>
      <c r="L258" s="174"/>
      <c r="M258" s="174"/>
      <c r="N258" s="174"/>
      <c r="O258" s="175" t="s">
        <v>1888</v>
      </c>
      <c r="P258" s="175" t="s">
        <v>1893</v>
      </c>
      <c r="Q258" s="179">
        <v>44958</v>
      </c>
      <c r="R258" s="179">
        <v>44973</v>
      </c>
      <c r="S258" s="177">
        <f>R258-Q258</f>
        <v>15</v>
      </c>
      <c r="T258" s="178">
        <v>16</v>
      </c>
      <c r="U258" s="178">
        <v>0</v>
      </c>
      <c r="V258" s="178">
        <v>16</v>
      </c>
      <c r="W258" s="178">
        <v>0</v>
      </c>
      <c r="X258" s="179"/>
      <c r="Y258" s="179"/>
      <c r="Z258" s="180"/>
      <c r="AA258" s="181">
        <v>0</v>
      </c>
      <c r="AB258" s="178">
        <v>1</v>
      </c>
      <c r="AC258" s="177"/>
      <c r="AD258" s="182"/>
      <c r="AE258" s="183">
        <v>0</v>
      </c>
      <c r="AF258" s="195">
        <v>0</v>
      </c>
      <c r="AG258" s="185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 t="str">
        <f>"   " &amp; TEXT(AF258,"#0.00%") &amp; " " &amp; "수직조정 및 Impact" &amp; " " &amp; IF(Q258="","",TEXT(Q258,"M/D-")) &amp; IF(R258="","",TEXT(R258,"M/D")) &amp; " "</f>
        <v xml:space="preserve">   0.00% 수직조정 및 Impact 2/1-2/16 </v>
      </c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186"/>
      <c r="CG258" s="186"/>
      <c r="CH258" s="186"/>
      <c r="CI258" s="186"/>
      <c r="CJ258" s="186"/>
      <c r="CK258" s="186"/>
      <c r="CL258" s="186"/>
      <c r="CM258" s="186"/>
      <c r="CN258" s="186"/>
      <c r="CO258" s="186"/>
    </row>
    <row r="259" spans="1:93" ht="15" customHeight="1" outlineLevel="3" x14ac:dyDescent="0.4">
      <c r="A259" s="172"/>
      <c r="B259" s="172" t="s">
        <v>1879</v>
      </c>
      <c r="C259" s="172">
        <v>4</v>
      </c>
      <c r="D259" s="173" t="s">
        <v>2206</v>
      </c>
      <c r="E259" s="174"/>
      <c r="F259" s="174"/>
      <c r="G259" s="174"/>
      <c r="H259" s="174" t="s">
        <v>1959</v>
      </c>
      <c r="I259" s="174"/>
      <c r="J259" s="174"/>
      <c r="K259" s="174"/>
      <c r="L259" s="174"/>
      <c r="M259" s="174"/>
      <c r="N259" s="174"/>
      <c r="O259" s="175" t="s">
        <v>1888</v>
      </c>
      <c r="P259" s="175" t="s">
        <v>1893</v>
      </c>
      <c r="Q259" s="179">
        <v>44942</v>
      </c>
      <c r="R259" s="179">
        <v>44965</v>
      </c>
      <c r="S259" s="177"/>
      <c r="T259" s="178">
        <v>28</v>
      </c>
      <c r="U259" s="178">
        <v>0</v>
      </c>
      <c r="V259" s="178">
        <v>24</v>
      </c>
      <c r="W259" s="178">
        <v>0</v>
      </c>
      <c r="X259" s="179"/>
      <c r="Y259" s="179"/>
      <c r="Z259" s="180">
        <v>0</v>
      </c>
      <c r="AA259" s="181">
        <v>0</v>
      </c>
      <c r="AB259" s="178"/>
      <c r="AC259" s="177"/>
      <c r="AD259" s="182"/>
      <c r="AE259" s="183">
        <v>0</v>
      </c>
      <c r="AF259" s="207">
        <v>0</v>
      </c>
      <c r="AG259" s="185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 t="str">
        <f>" " &amp; TEXT(AF259,"#0.00%") &amp; " "</f>
        <v xml:space="preserve"> 0.00% </v>
      </c>
      <c r="BR259" s="186"/>
      <c r="BS259" s="186"/>
      <c r="BT259" s="186" t="str">
        <f>"    " &amp; "고온2 Aging 창고" &amp; " " &amp; IF(Q259="","",TEXT(Q259,"M/D-")) &amp; IF(R259="","",TEXT(R259,"M/D")) &amp; " "</f>
        <v xml:space="preserve">    고온2 Aging 창고 1/16-2/8 </v>
      </c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186"/>
      <c r="CG259" s="186"/>
      <c r="CH259" s="186"/>
      <c r="CI259" s="186"/>
      <c r="CJ259" s="186"/>
      <c r="CK259" s="186"/>
      <c r="CL259" s="186"/>
      <c r="CM259" s="186"/>
      <c r="CN259" s="186"/>
      <c r="CO259" s="186"/>
    </row>
    <row r="260" spans="1:93" ht="15" customHeight="1" outlineLevel="4" x14ac:dyDescent="0.4">
      <c r="A260" s="172"/>
      <c r="B260" s="172"/>
      <c r="C260" s="172">
        <v>5</v>
      </c>
      <c r="D260" s="173" t="s">
        <v>2207</v>
      </c>
      <c r="E260" s="174"/>
      <c r="F260" s="174"/>
      <c r="G260" s="174"/>
      <c r="H260" s="174"/>
      <c r="I260" s="174" t="s">
        <v>2203</v>
      </c>
      <c r="J260" s="174"/>
      <c r="K260" s="174"/>
      <c r="L260" s="174"/>
      <c r="M260" s="174"/>
      <c r="N260" s="174"/>
      <c r="O260" s="175" t="s">
        <v>1888</v>
      </c>
      <c r="P260" s="175" t="s">
        <v>1893</v>
      </c>
      <c r="Q260" s="179">
        <v>44942</v>
      </c>
      <c r="R260" s="179">
        <v>44958</v>
      </c>
      <c r="S260" s="177">
        <f>R260-Q260</f>
        <v>16</v>
      </c>
      <c r="T260" s="178">
        <v>17</v>
      </c>
      <c r="U260" s="178">
        <v>0</v>
      </c>
      <c r="V260" s="178">
        <v>17</v>
      </c>
      <c r="W260" s="178">
        <v>0</v>
      </c>
      <c r="X260" s="179"/>
      <c r="Y260" s="179"/>
      <c r="Z260" s="180"/>
      <c r="AA260" s="181">
        <v>0</v>
      </c>
      <c r="AB260" s="178">
        <v>1</v>
      </c>
      <c r="AC260" s="177"/>
      <c r="AD260" s="182"/>
      <c r="AE260" s="183">
        <v>0</v>
      </c>
      <c r="AF260" s="195">
        <v>0</v>
      </c>
      <c r="AG260" s="185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  <c r="BO260" s="186"/>
      <c r="BP260" s="186"/>
      <c r="BQ260" s="186" t="str">
        <f>" " &amp; TEXT(AF260,"#0.00%") &amp; " " &amp; "Rack Erection" &amp; " " &amp; IF(Q260="","",TEXT(Q260,"M/D-")) &amp; IF(R260="","",TEXT(R260,"M/D")) &amp; " "</f>
        <v xml:space="preserve"> 0.00% Rack Erection 1/16-2/1 </v>
      </c>
      <c r="BR260" s="186"/>
      <c r="BS260" s="186"/>
      <c r="BT260" s="186"/>
      <c r="BU260" s="186"/>
      <c r="BV260" s="186"/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186"/>
      <c r="CG260" s="186"/>
      <c r="CH260" s="186"/>
      <c r="CI260" s="186"/>
      <c r="CJ260" s="186"/>
      <c r="CK260" s="186"/>
      <c r="CL260" s="186"/>
      <c r="CM260" s="186"/>
      <c r="CN260" s="186"/>
      <c r="CO260" s="186"/>
    </row>
    <row r="261" spans="1:93" ht="15" customHeight="1" outlineLevel="4" x14ac:dyDescent="0.4">
      <c r="A261" s="172"/>
      <c r="B261" s="172"/>
      <c r="C261" s="172">
        <v>5</v>
      </c>
      <c r="D261" s="173" t="s">
        <v>2208</v>
      </c>
      <c r="E261" s="174"/>
      <c r="F261" s="174"/>
      <c r="G261" s="174"/>
      <c r="H261" s="174"/>
      <c r="I261" s="174" t="s">
        <v>2205</v>
      </c>
      <c r="J261" s="174"/>
      <c r="K261" s="174"/>
      <c r="L261" s="174"/>
      <c r="M261" s="174"/>
      <c r="N261" s="174"/>
      <c r="O261" s="175" t="s">
        <v>1888</v>
      </c>
      <c r="P261" s="175" t="s">
        <v>1893</v>
      </c>
      <c r="Q261" s="179">
        <v>44955</v>
      </c>
      <c r="R261" s="179">
        <v>44965</v>
      </c>
      <c r="S261" s="177">
        <f>R261-Q261</f>
        <v>10</v>
      </c>
      <c r="T261" s="178">
        <v>11</v>
      </c>
      <c r="U261" s="178">
        <v>0</v>
      </c>
      <c r="V261" s="178">
        <v>11</v>
      </c>
      <c r="W261" s="178">
        <v>0</v>
      </c>
      <c r="X261" s="179"/>
      <c r="Y261" s="179"/>
      <c r="Z261" s="180"/>
      <c r="AA261" s="181">
        <v>0</v>
      </c>
      <c r="AB261" s="178">
        <v>1</v>
      </c>
      <c r="AC261" s="177"/>
      <c r="AD261" s="182"/>
      <c r="AE261" s="183">
        <v>0</v>
      </c>
      <c r="AF261" s="195">
        <v>0</v>
      </c>
      <c r="AG261" s="185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  <c r="BM261" s="186"/>
      <c r="BN261" s="186"/>
      <c r="BO261" s="186"/>
      <c r="BP261" s="186"/>
      <c r="BQ261" s="186"/>
      <c r="BR261" s="186"/>
      <c r="BS261" s="186" t="str">
        <f>"" &amp; TEXT(AF261,"#0.00%") &amp; " " &amp; "수직조정 및 Impact" &amp; " " &amp; IF(Q261="","",TEXT(Q261,"M/D-")) &amp; IF(R261="","",TEXT(R261,"M/D")) &amp; " "</f>
        <v xml:space="preserve">0.00% 수직조정 및 Impact 1/29-2/8 </v>
      </c>
      <c r="BT261" s="186"/>
      <c r="BU261" s="186"/>
      <c r="BV261" s="186"/>
      <c r="BW261" s="186"/>
      <c r="BX261" s="186"/>
      <c r="BY261" s="186"/>
      <c r="BZ261" s="186"/>
      <c r="CA261" s="186"/>
      <c r="CB261" s="186"/>
      <c r="CC261" s="186"/>
      <c r="CD261" s="186"/>
      <c r="CE261" s="186"/>
      <c r="CF261" s="186"/>
      <c r="CG261" s="186"/>
      <c r="CH261" s="186"/>
      <c r="CI261" s="186"/>
      <c r="CJ261" s="186"/>
      <c r="CK261" s="186"/>
      <c r="CL261" s="186"/>
      <c r="CM261" s="186"/>
      <c r="CN261" s="186"/>
      <c r="CO261" s="186"/>
    </row>
    <row r="262" spans="1:93" ht="15" customHeight="1" outlineLevel="3" x14ac:dyDescent="0.4">
      <c r="A262" s="172"/>
      <c r="B262" s="172" t="s">
        <v>1879</v>
      </c>
      <c r="C262" s="172">
        <v>4</v>
      </c>
      <c r="D262" s="173" t="s">
        <v>2209</v>
      </c>
      <c r="E262" s="174"/>
      <c r="F262" s="174"/>
      <c r="G262" s="174"/>
      <c r="H262" s="174" t="s">
        <v>1964</v>
      </c>
      <c r="I262" s="174"/>
      <c r="J262" s="174"/>
      <c r="K262" s="174"/>
      <c r="L262" s="174"/>
      <c r="M262" s="174"/>
      <c r="N262" s="174"/>
      <c r="O262" s="175" t="s">
        <v>1888</v>
      </c>
      <c r="P262" s="175" t="s">
        <v>1916</v>
      </c>
      <c r="Q262" s="179">
        <v>44957</v>
      </c>
      <c r="R262" s="179">
        <v>45014</v>
      </c>
      <c r="S262" s="177"/>
      <c r="T262" s="178">
        <v>62</v>
      </c>
      <c r="U262" s="178">
        <v>0</v>
      </c>
      <c r="V262" s="178">
        <v>58</v>
      </c>
      <c r="W262" s="178">
        <v>0</v>
      </c>
      <c r="X262" s="179"/>
      <c r="Y262" s="179"/>
      <c r="Z262" s="180">
        <v>0</v>
      </c>
      <c r="AA262" s="181">
        <v>0</v>
      </c>
      <c r="AB262" s="178"/>
      <c r="AC262" s="177"/>
      <c r="AD262" s="182"/>
      <c r="AE262" s="183">
        <v>0</v>
      </c>
      <c r="AF262" s="207">
        <v>0</v>
      </c>
      <c r="AG262" s="185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  <c r="BM262" s="186"/>
      <c r="BN262" s="186"/>
      <c r="BO262" s="186"/>
      <c r="BP262" s="186"/>
      <c r="BQ262" s="186"/>
      <c r="BR262" s="186"/>
      <c r="BS262" s="186" t="str">
        <f>"  " &amp; TEXT(AF262,"#0.00%") &amp; " "</f>
        <v xml:space="preserve">  0.00% </v>
      </c>
      <c r="BT262" s="186"/>
      <c r="BU262" s="186"/>
      <c r="BV262" s="186"/>
      <c r="BW262" s="186"/>
      <c r="BX262" s="186"/>
      <c r="BY262" s="186"/>
      <c r="BZ262" s="186"/>
      <c r="CA262" s="186" t="str">
        <f>"    " &amp; "상온2-1 Aging 창고" &amp; " " &amp; IF(Q262="","",TEXT(Q262,"M/D-")) &amp; IF(R262="","",TEXT(R262,"M/D")) &amp; " "</f>
        <v xml:space="preserve">    상온2-1 Aging 창고 1/31-3/29 </v>
      </c>
      <c r="CB262" s="186"/>
      <c r="CC262" s="186"/>
      <c r="CD262" s="186"/>
      <c r="CE262" s="186"/>
      <c r="CF262" s="186"/>
      <c r="CG262" s="186"/>
      <c r="CH262" s="186"/>
      <c r="CI262" s="186"/>
      <c r="CJ262" s="186"/>
      <c r="CK262" s="186"/>
      <c r="CL262" s="186"/>
      <c r="CM262" s="186"/>
      <c r="CN262" s="186"/>
      <c r="CO262" s="186"/>
    </row>
    <row r="263" spans="1:93" ht="15" customHeight="1" outlineLevel="4" x14ac:dyDescent="0.4">
      <c r="A263" s="172"/>
      <c r="B263" s="172"/>
      <c r="C263" s="172">
        <v>5</v>
      </c>
      <c r="D263" s="173" t="s">
        <v>2210</v>
      </c>
      <c r="E263" s="174"/>
      <c r="F263" s="174"/>
      <c r="G263" s="174"/>
      <c r="H263" s="174"/>
      <c r="I263" s="174" t="s">
        <v>2203</v>
      </c>
      <c r="J263" s="174"/>
      <c r="K263" s="174"/>
      <c r="L263" s="174"/>
      <c r="M263" s="174"/>
      <c r="N263" s="174"/>
      <c r="O263" s="175" t="s">
        <v>1888</v>
      </c>
      <c r="P263" s="175" t="s">
        <v>1916</v>
      </c>
      <c r="Q263" s="179">
        <v>44957</v>
      </c>
      <c r="R263" s="179">
        <v>45002</v>
      </c>
      <c r="S263" s="177">
        <f>R263-Q263</f>
        <v>45</v>
      </c>
      <c r="T263" s="178">
        <v>46</v>
      </c>
      <c r="U263" s="178">
        <v>0</v>
      </c>
      <c r="V263" s="178">
        <v>46</v>
      </c>
      <c r="W263" s="178">
        <v>0</v>
      </c>
      <c r="X263" s="179"/>
      <c r="Y263" s="179"/>
      <c r="Z263" s="180"/>
      <c r="AA263" s="181">
        <v>0</v>
      </c>
      <c r="AB263" s="178">
        <v>1</v>
      </c>
      <c r="AC263" s="177"/>
      <c r="AD263" s="182"/>
      <c r="AE263" s="183">
        <v>0</v>
      </c>
      <c r="AF263" s="195">
        <v>0</v>
      </c>
      <c r="AG263" s="185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 t="str">
        <f>"  " &amp; TEXT(AF263,"#0.00%") &amp; " "</f>
        <v xml:space="preserve">  0.00% </v>
      </c>
      <c r="BT263" s="186"/>
      <c r="BU263" s="186"/>
      <c r="BV263" s="186"/>
      <c r="BW263" s="186"/>
      <c r="BX263" s="186"/>
      <c r="BY263" s="186" t="str">
        <f>"      " &amp; "Rack Erection" &amp; " " &amp; IF(Q263="","",TEXT(Q263,"M/D-")) &amp; IF(R263="","",TEXT(R263,"M/D")) &amp; " "</f>
        <v xml:space="preserve">      Rack Erection 1/31-3/17 </v>
      </c>
      <c r="BZ263" s="186"/>
      <c r="CA263" s="186"/>
      <c r="CB263" s="186"/>
      <c r="CC263" s="186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6"/>
      <c r="CO263" s="186"/>
    </row>
    <row r="264" spans="1:93" ht="15" customHeight="1" outlineLevel="4" x14ac:dyDescent="0.4">
      <c r="A264" s="172"/>
      <c r="B264" s="172"/>
      <c r="C264" s="172">
        <v>5</v>
      </c>
      <c r="D264" s="173" t="s">
        <v>2211</v>
      </c>
      <c r="E264" s="174"/>
      <c r="F264" s="174"/>
      <c r="G264" s="174"/>
      <c r="H264" s="174"/>
      <c r="I264" s="174" t="s">
        <v>2205</v>
      </c>
      <c r="J264" s="174"/>
      <c r="K264" s="174"/>
      <c r="L264" s="174"/>
      <c r="M264" s="174"/>
      <c r="N264" s="174"/>
      <c r="O264" s="175" t="s">
        <v>1888</v>
      </c>
      <c r="P264" s="175" t="s">
        <v>1916</v>
      </c>
      <c r="Q264" s="179">
        <v>44999</v>
      </c>
      <c r="R264" s="179">
        <v>45014</v>
      </c>
      <c r="S264" s="177">
        <f>R264-Q264</f>
        <v>15</v>
      </c>
      <c r="T264" s="178">
        <v>16</v>
      </c>
      <c r="U264" s="178">
        <v>0</v>
      </c>
      <c r="V264" s="178">
        <v>16</v>
      </c>
      <c r="W264" s="178">
        <v>0</v>
      </c>
      <c r="X264" s="179"/>
      <c r="Y264" s="179"/>
      <c r="Z264" s="180"/>
      <c r="AA264" s="181">
        <v>0</v>
      </c>
      <c r="AB264" s="178">
        <v>1</v>
      </c>
      <c r="AC264" s="177"/>
      <c r="AD264" s="182"/>
      <c r="AE264" s="183">
        <v>0</v>
      </c>
      <c r="AF264" s="195">
        <v>0</v>
      </c>
      <c r="AG264" s="185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 t="str">
        <f>"  " &amp; TEXT(AF264,"#0.00%") &amp; " " &amp; "수직조정 및 Impact" &amp; " " &amp; IF(Q264="","",TEXT(Q264,"M/D-")) &amp; IF(R264="","",TEXT(R264,"M/D")) &amp; " "</f>
        <v xml:space="preserve">  0.00% 수직조정 및 Impact 3/14-3/29 </v>
      </c>
      <c r="BZ264" s="186"/>
      <c r="CA264" s="186"/>
      <c r="CB264" s="186"/>
      <c r="CC264" s="186"/>
      <c r="CD264" s="186"/>
      <c r="CE264" s="186"/>
      <c r="CF264" s="186"/>
      <c r="CG264" s="186"/>
      <c r="CH264" s="186"/>
      <c r="CI264" s="186"/>
      <c r="CJ264" s="186"/>
      <c r="CK264" s="186"/>
      <c r="CL264" s="186"/>
      <c r="CM264" s="186"/>
      <c r="CN264" s="186"/>
      <c r="CO264" s="186"/>
    </row>
    <row r="265" spans="1:93" ht="15" customHeight="1" outlineLevel="3" x14ac:dyDescent="0.4">
      <c r="A265" s="172"/>
      <c r="B265" s="172" t="s">
        <v>1879</v>
      </c>
      <c r="C265" s="172">
        <v>4</v>
      </c>
      <c r="D265" s="173" t="s">
        <v>2212</v>
      </c>
      <c r="E265" s="174"/>
      <c r="F265" s="174"/>
      <c r="G265" s="174"/>
      <c r="H265" s="174" t="s">
        <v>1970</v>
      </c>
      <c r="I265" s="174"/>
      <c r="J265" s="174"/>
      <c r="K265" s="174"/>
      <c r="L265" s="174"/>
      <c r="M265" s="174"/>
      <c r="N265" s="174"/>
      <c r="O265" s="175" t="s">
        <v>1888</v>
      </c>
      <c r="P265" s="175" t="s">
        <v>1965</v>
      </c>
      <c r="Q265" s="179">
        <v>44972</v>
      </c>
      <c r="R265" s="179">
        <v>45024</v>
      </c>
      <c r="S265" s="177"/>
      <c r="T265" s="178">
        <v>57</v>
      </c>
      <c r="U265" s="178">
        <v>0</v>
      </c>
      <c r="V265" s="178">
        <v>53</v>
      </c>
      <c r="W265" s="178">
        <v>0</v>
      </c>
      <c r="X265" s="179"/>
      <c r="Y265" s="179"/>
      <c r="Z265" s="180">
        <v>0</v>
      </c>
      <c r="AA265" s="181">
        <v>0</v>
      </c>
      <c r="AB265" s="178"/>
      <c r="AC265" s="177"/>
      <c r="AD265" s="182"/>
      <c r="AE265" s="183">
        <v>0</v>
      </c>
      <c r="AF265" s="207">
        <v>0</v>
      </c>
      <c r="AG265" s="185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  <c r="BO265" s="186"/>
      <c r="BP265" s="186"/>
      <c r="BQ265" s="186"/>
      <c r="BR265" s="186"/>
      <c r="BS265" s="186"/>
      <c r="BT265" s="186"/>
      <c r="BU265" s="186" t="str">
        <f>"   " &amp; TEXT(AF265,"#0.00%") &amp; " "</f>
        <v xml:space="preserve">   0.00% </v>
      </c>
      <c r="BV265" s="186"/>
      <c r="BW265" s="186"/>
      <c r="BX265" s="186"/>
      <c r="BY265" s="186"/>
      <c r="BZ265" s="186"/>
      <c r="CA265" s="186"/>
      <c r="CB265" s="186"/>
      <c r="CC265" s="186" t="str">
        <f>"" &amp; "상온2-2 Aging 창고" &amp; " " &amp; IF(Q265="","",TEXT(Q265,"M/D-")) &amp; IF(R265="","",TEXT(R265,"M/D")) &amp; " "</f>
        <v xml:space="preserve">상온2-2 Aging 창고 2/15-4/8 </v>
      </c>
      <c r="CD265" s="186"/>
      <c r="CE265" s="186"/>
      <c r="CF265" s="186"/>
      <c r="CG265" s="186"/>
      <c r="CH265" s="186"/>
      <c r="CI265" s="186"/>
      <c r="CJ265" s="186"/>
      <c r="CK265" s="186"/>
      <c r="CL265" s="186"/>
      <c r="CM265" s="186"/>
      <c r="CN265" s="186"/>
      <c r="CO265" s="186"/>
    </row>
    <row r="266" spans="1:93" ht="15" customHeight="1" outlineLevel="4" x14ac:dyDescent="0.4">
      <c r="A266" s="172"/>
      <c r="B266" s="172"/>
      <c r="C266" s="172">
        <v>5</v>
      </c>
      <c r="D266" s="173" t="s">
        <v>2213</v>
      </c>
      <c r="E266" s="174"/>
      <c r="F266" s="174"/>
      <c r="G266" s="174"/>
      <c r="H266" s="174"/>
      <c r="I266" s="174" t="s">
        <v>2203</v>
      </c>
      <c r="J266" s="174"/>
      <c r="K266" s="174"/>
      <c r="L266" s="174"/>
      <c r="M266" s="174"/>
      <c r="N266" s="174"/>
      <c r="O266" s="175" t="s">
        <v>1888</v>
      </c>
      <c r="P266" s="175" t="s">
        <v>1965</v>
      </c>
      <c r="Q266" s="179">
        <v>44972</v>
      </c>
      <c r="R266" s="179">
        <v>45012</v>
      </c>
      <c r="S266" s="177">
        <f>R266-Q266</f>
        <v>40</v>
      </c>
      <c r="T266" s="178">
        <v>41</v>
      </c>
      <c r="U266" s="178">
        <v>0</v>
      </c>
      <c r="V266" s="178">
        <v>41</v>
      </c>
      <c r="W266" s="178">
        <v>0</v>
      </c>
      <c r="X266" s="179"/>
      <c r="Y266" s="179"/>
      <c r="Z266" s="180"/>
      <c r="AA266" s="181">
        <v>0</v>
      </c>
      <c r="AB266" s="178">
        <v>1</v>
      </c>
      <c r="AC266" s="177"/>
      <c r="AD266" s="182"/>
      <c r="AE266" s="183">
        <v>0</v>
      </c>
      <c r="AF266" s="195">
        <v>0</v>
      </c>
      <c r="AG266" s="185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  <c r="BO266" s="186"/>
      <c r="BP266" s="186"/>
      <c r="BQ266" s="186"/>
      <c r="BR266" s="186"/>
      <c r="BS266" s="186"/>
      <c r="BT266" s="186"/>
      <c r="BU266" s="186" t="str">
        <f>"   " &amp; TEXT(AF266,"#0.00%") &amp; " "</f>
        <v xml:space="preserve">   0.00% </v>
      </c>
      <c r="BV266" s="186"/>
      <c r="BW266" s="186"/>
      <c r="BX266" s="186"/>
      <c r="BY266" s="186"/>
      <c r="BZ266" s="186"/>
      <c r="CA266" s="186" t="str">
        <f>"  " &amp; "Rack Erection" &amp; " " &amp; IF(Q266="","",TEXT(Q266,"M/D-")) &amp; IF(R266="","",TEXT(R266,"M/D")) &amp; " "</f>
        <v xml:space="preserve">  Rack Erection 2/15-3/27 </v>
      </c>
      <c r="CB266" s="186"/>
      <c r="CC266" s="186"/>
      <c r="CD266" s="186"/>
      <c r="CE266" s="186"/>
      <c r="CF266" s="186"/>
      <c r="CG266" s="186"/>
      <c r="CH266" s="186"/>
      <c r="CI266" s="186"/>
      <c r="CJ266" s="186"/>
      <c r="CK266" s="186"/>
      <c r="CL266" s="186"/>
      <c r="CM266" s="186"/>
      <c r="CN266" s="186"/>
      <c r="CO266" s="186"/>
    </row>
    <row r="267" spans="1:93" ht="15" customHeight="1" outlineLevel="4" x14ac:dyDescent="0.4">
      <c r="A267" s="172"/>
      <c r="B267" s="172"/>
      <c r="C267" s="172">
        <v>5</v>
      </c>
      <c r="D267" s="173" t="s">
        <v>2214</v>
      </c>
      <c r="E267" s="174"/>
      <c r="F267" s="174"/>
      <c r="G267" s="174"/>
      <c r="H267" s="174"/>
      <c r="I267" s="174" t="s">
        <v>2205</v>
      </c>
      <c r="J267" s="174"/>
      <c r="K267" s="174"/>
      <c r="L267" s="174"/>
      <c r="M267" s="174"/>
      <c r="N267" s="174"/>
      <c r="O267" s="175" t="s">
        <v>1888</v>
      </c>
      <c r="P267" s="175" t="s">
        <v>1965</v>
      </c>
      <c r="Q267" s="179">
        <v>45009</v>
      </c>
      <c r="R267" s="179">
        <v>45024</v>
      </c>
      <c r="S267" s="177">
        <f>R267-Q267</f>
        <v>15</v>
      </c>
      <c r="T267" s="178">
        <v>16</v>
      </c>
      <c r="U267" s="178">
        <v>0</v>
      </c>
      <c r="V267" s="178">
        <v>16</v>
      </c>
      <c r="W267" s="178">
        <v>0</v>
      </c>
      <c r="X267" s="179"/>
      <c r="Y267" s="179"/>
      <c r="Z267" s="180"/>
      <c r="AA267" s="181">
        <v>0</v>
      </c>
      <c r="AB267" s="178">
        <v>1</v>
      </c>
      <c r="AC267" s="177"/>
      <c r="AD267" s="182"/>
      <c r="AE267" s="183">
        <v>0</v>
      </c>
      <c r="AF267" s="195">
        <v>0</v>
      </c>
      <c r="AG267" s="185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6"/>
      <c r="BW267" s="186"/>
      <c r="BX267" s="186"/>
      <c r="BY267" s="186"/>
      <c r="BZ267" s="186" t="str">
        <f>"     " &amp; TEXT(AF267,"#0.00%") &amp; " " &amp; "수직조정 및 Impact" &amp; " " &amp; IF(Q267="","",TEXT(Q267,"M/D-")) &amp; IF(R267="","",TEXT(R267,"M/D")) &amp; " "</f>
        <v xml:space="preserve">     0.00% 수직조정 및 Impact 3/24-4/8 </v>
      </c>
      <c r="CA267" s="186"/>
      <c r="CB267" s="186"/>
      <c r="CC267" s="186"/>
      <c r="CD267" s="186"/>
      <c r="CE267" s="186"/>
      <c r="CF267" s="186"/>
      <c r="CG267" s="186"/>
      <c r="CH267" s="186"/>
      <c r="CI267" s="186"/>
      <c r="CJ267" s="186"/>
      <c r="CK267" s="186"/>
      <c r="CL267" s="186"/>
      <c r="CM267" s="186"/>
      <c r="CN267" s="186"/>
      <c r="CO267" s="186"/>
    </row>
    <row r="268" spans="1:93" ht="15" customHeight="1" outlineLevel="3" x14ac:dyDescent="0.4">
      <c r="A268" s="172"/>
      <c r="B268" s="172" t="s">
        <v>1879</v>
      </c>
      <c r="C268" s="172">
        <v>4</v>
      </c>
      <c r="D268" s="173" t="s">
        <v>2215</v>
      </c>
      <c r="E268" s="174"/>
      <c r="F268" s="174"/>
      <c r="G268" s="174"/>
      <c r="H268" s="197" t="s">
        <v>1975</v>
      </c>
      <c r="I268" s="174"/>
      <c r="J268" s="174"/>
      <c r="K268" s="174"/>
      <c r="L268" s="174"/>
      <c r="M268" s="174"/>
      <c r="N268" s="174"/>
      <c r="O268" s="175" t="s">
        <v>1888</v>
      </c>
      <c r="P268" s="175" t="s">
        <v>1965</v>
      </c>
      <c r="Q268" s="179">
        <v>44987</v>
      </c>
      <c r="R268" s="179">
        <v>45046</v>
      </c>
      <c r="S268" s="177"/>
      <c r="T268" s="178">
        <v>64</v>
      </c>
      <c r="U268" s="178">
        <v>0</v>
      </c>
      <c r="V268" s="178">
        <v>60</v>
      </c>
      <c r="W268" s="178">
        <v>0</v>
      </c>
      <c r="X268" s="179"/>
      <c r="Y268" s="179"/>
      <c r="Z268" s="180">
        <v>0</v>
      </c>
      <c r="AA268" s="181">
        <v>0</v>
      </c>
      <c r="AB268" s="178"/>
      <c r="AC268" s="177"/>
      <c r="AD268" s="182"/>
      <c r="AE268" s="183">
        <v>0</v>
      </c>
      <c r="AF268" s="207">
        <v>0</v>
      </c>
      <c r="AG268" s="185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 t="str">
        <f>"    " &amp; TEXT(AF268,"#0.00%") &amp; " "</f>
        <v xml:space="preserve">    0.00% </v>
      </c>
      <c r="BX268" s="186"/>
      <c r="BY268" s="186"/>
      <c r="BZ268" s="186"/>
      <c r="CA268" s="186"/>
      <c r="CB268" s="186"/>
      <c r="CC268" s="186"/>
      <c r="CD268" s="186"/>
      <c r="CE268" s="186"/>
      <c r="CF268" s="186" t="str">
        <f>" " &amp; "RACK 마감자재(후면Deck포함)" &amp; " " &amp; IF(Q268="","",TEXT(Q268,"M/D-")) &amp; IF(R268="","",TEXT(R268,"M/D")) &amp; " "</f>
        <v xml:space="preserve"> RACK 마감자재(후면Deck포함) 3/2-4/30 </v>
      </c>
      <c r="CG268" s="186"/>
      <c r="CH268" s="186"/>
      <c r="CI268" s="186"/>
      <c r="CJ268" s="186"/>
      <c r="CK268" s="186"/>
      <c r="CL268" s="186"/>
      <c r="CM268" s="186"/>
      <c r="CN268" s="186"/>
      <c r="CO268" s="186"/>
    </row>
    <row r="269" spans="1:93" ht="15" customHeight="1" outlineLevel="4" x14ac:dyDescent="0.4">
      <c r="A269" s="172"/>
      <c r="B269" s="172"/>
      <c r="C269" s="172">
        <v>5</v>
      </c>
      <c r="D269" s="173" t="s">
        <v>2216</v>
      </c>
      <c r="E269" s="174"/>
      <c r="F269" s="174"/>
      <c r="G269" s="174"/>
      <c r="H269" s="174"/>
      <c r="I269" s="174" t="s">
        <v>2203</v>
      </c>
      <c r="J269" s="174"/>
      <c r="K269" s="174"/>
      <c r="L269" s="174"/>
      <c r="M269" s="174"/>
      <c r="N269" s="174"/>
      <c r="O269" s="175" t="s">
        <v>1888</v>
      </c>
      <c r="P269" s="175" t="s">
        <v>1965</v>
      </c>
      <c r="Q269" s="179">
        <v>44987</v>
      </c>
      <c r="R269" s="179">
        <v>45012</v>
      </c>
      <c r="S269" s="177">
        <f>R269-Q269</f>
        <v>25</v>
      </c>
      <c r="T269" s="178">
        <v>26</v>
      </c>
      <c r="U269" s="178">
        <v>0</v>
      </c>
      <c r="V269" s="178">
        <v>26</v>
      </c>
      <c r="W269" s="178">
        <v>0</v>
      </c>
      <c r="X269" s="179"/>
      <c r="Y269" s="179"/>
      <c r="Z269" s="180"/>
      <c r="AA269" s="181">
        <v>0</v>
      </c>
      <c r="AB269" s="178">
        <v>1</v>
      </c>
      <c r="AC269" s="177"/>
      <c r="AD269" s="182"/>
      <c r="AE269" s="183">
        <v>0</v>
      </c>
      <c r="AF269" s="195">
        <v>0</v>
      </c>
      <c r="AG269" s="185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  <c r="BO269" s="186"/>
      <c r="BP269" s="186"/>
      <c r="BQ269" s="186"/>
      <c r="BR269" s="186"/>
      <c r="BS269" s="186"/>
      <c r="BT269" s="186"/>
      <c r="BU269" s="186"/>
      <c r="BV269" s="186"/>
      <c r="BW269" s="186" t="str">
        <f>"    " &amp; TEXT(AF269,"#0.00%") &amp; " "</f>
        <v xml:space="preserve">    0.00% </v>
      </c>
      <c r="BX269" s="186"/>
      <c r="BY269" s="186"/>
      <c r="BZ269" s="186"/>
      <c r="CA269" s="186" t="str">
        <f>"  " &amp; "Rack Erection" &amp; " " &amp; IF(Q269="","",TEXT(Q269,"M/D-")) &amp; IF(R269="","",TEXT(R269,"M/D")) &amp; " "</f>
        <v xml:space="preserve">  Rack Erection 3/2-3/27 </v>
      </c>
      <c r="CB269" s="186"/>
      <c r="CC269" s="186"/>
      <c r="CD269" s="186"/>
      <c r="CE269" s="186"/>
      <c r="CF269" s="186"/>
      <c r="CG269" s="186"/>
      <c r="CH269" s="186"/>
      <c r="CI269" s="186"/>
      <c r="CJ269" s="186"/>
      <c r="CK269" s="186"/>
      <c r="CL269" s="186"/>
      <c r="CM269" s="186"/>
      <c r="CN269" s="186"/>
      <c r="CO269" s="186"/>
    </row>
    <row r="270" spans="1:93" ht="15" customHeight="1" outlineLevel="4" x14ac:dyDescent="0.4">
      <c r="A270" s="172"/>
      <c r="B270" s="172"/>
      <c r="C270" s="172">
        <v>5</v>
      </c>
      <c r="D270" s="173" t="s">
        <v>2217</v>
      </c>
      <c r="E270" s="174"/>
      <c r="F270" s="174"/>
      <c r="G270" s="174"/>
      <c r="H270" s="174"/>
      <c r="I270" s="174" t="s">
        <v>2218</v>
      </c>
      <c r="J270" s="174"/>
      <c r="K270" s="174"/>
      <c r="L270" s="174"/>
      <c r="M270" s="174"/>
      <c r="N270" s="174"/>
      <c r="O270" s="175" t="s">
        <v>1888</v>
      </c>
      <c r="P270" s="175" t="s">
        <v>1965</v>
      </c>
      <c r="Q270" s="179">
        <v>45009</v>
      </c>
      <c r="R270" s="179">
        <v>45046</v>
      </c>
      <c r="S270" s="177">
        <f>R270-Q270</f>
        <v>37</v>
      </c>
      <c r="T270" s="178">
        <v>38</v>
      </c>
      <c r="U270" s="178">
        <v>0</v>
      </c>
      <c r="V270" s="178">
        <v>38</v>
      </c>
      <c r="W270" s="178">
        <v>0</v>
      </c>
      <c r="X270" s="179"/>
      <c r="Y270" s="179"/>
      <c r="Z270" s="180"/>
      <c r="AA270" s="181">
        <v>0</v>
      </c>
      <c r="AB270" s="178">
        <v>1</v>
      </c>
      <c r="AC270" s="177"/>
      <c r="AD270" s="182"/>
      <c r="AE270" s="183">
        <v>0</v>
      </c>
      <c r="AF270" s="195">
        <v>0</v>
      </c>
      <c r="AG270" s="185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6"/>
      <c r="BW270" s="186"/>
      <c r="BX270" s="186"/>
      <c r="BY270" s="186"/>
      <c r="BZ270" s="186" t="str">
        <f>"     " &amp; TEXT(AF270,"#0.00%") &amp; " "</f>
        <v xml:space="preserve">     0.00% </v>
      </c>
      <c r="CA270" s="186"/>
      <c r="CB270" s="186"/>
      <c r="CC270" s="186"/>
      <c r="CD270" s="186"/>
      <c r="CE270" s="186"/>
      <c r="CF270" s="186" t="str">
        <f>" " &amp; "수직조정 및 Impact, 마감작업" &amp; " " &amp; IF(Q270="","",TEXT(Q270,"M/D-")) &amp; IF(R270="","",TEXT(R270,"M/D")) &amp; " "</f>
        <v xml:space="preserve"> 수직조정 및 Impact, 마감작업 3/24-4/30 </v>
      </c>
      <c r="CG270" s="186"/>
      <c r="CH270" s="186"/>
      <c r="CI270" s="186"/>
      <c r="CJ270" s="186"/>
      <c r="CK270" s="186"/>
      <c r="CL270" s="186"/>
      <c r="CM270" s="186"/>
      <c r="CN270" s="186"/>
      <c r="CO270" s="186"/>
    </row>
    <row r="271" spans="1:93" ht="15" customHeight="1" outlineLevel="2" x14ac:dyDescent="0.4">
      <c r="A271" s="172"/>
      <c r="B271" s="172" t="s">
        <v>1879</v>
      </c>
      <c r="C271" s="172">
        <v>3</v>
      </c>
      <c r="D271" s="173" t="s">
        <v>2219</v>
      </c>
      <c r="E271" s="174"/>
      <c r="F271" s="174"/>
      <c r="G271" s="174" t="s">
        <v>1899</v>
      </c>
      <c r="H271" s="174"/>
      <c r="I271" s="174"/>
      <c r="J271" s="174"/>
      <c r="K271" s="174"/>
      <c r="L271" s="174"/>
      <c r="M271" s="174"/>
      <c r="N271" s="174"/>
      <c r="O271" s="175" t="s">
        <v>1900</v>
      </c>
      <c r="P271" s="175"/>
      <c r="Q271" s="179">
        <v>44987</v>
      </c>
      <c r="R271" s="179">
        <v>45080</v>
      </c>
      <c r="S271" s="177"/>
      <c r="T271" s="178">
        <v>142</v>
      </c>
      <c r="U271" s="178">
        <v>0</v>
      </c>
      <c r="V271" s="178">
        <v>94</v>
      </c>
      <c r="W271" s="178">
        <v>0</v>
      </c>
      <c r="X271" s="179"/>
      <c r="Y271" s="179"/>
      <c r="Z271" s="180">
        <v>0</v>
      </c>
      <c r="AA271" s="181">
        <v>0</v>
      </c>
      <c r="AB271" s="178"/>
      <c r="AC271" s="177"/>
      <c r="AD271" s="182"/>
      <c r="AE271" s="183">
        <v>0</v>
      </c>
      <c r="AF271" s="207">
        <v>0</v>
      </c>
      <c r="AG271" s="185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  <c r="BM271" s="186"/>
      <c r="BN271" s="186"/>
      <c r="BO271" s="186"/>
      <c r="BP271" s="186"/>
      <c r="BQ271" s="186"/>
      <c r="BR271" s="186"/>
      <c r="BS271" s="186"/>
      <c r="BT271" s="186"/>
      <c r="BU271" s="186"/>
      <c r="BV271" s="186"/>
      <c r="BW271" s="186" t="str">
        <f>"    " &amp; TEXT(AF271,"#0.00%") &amp; " "</f>
        <v xml:space="preserve">    0.00% </v>
      </c>
      <c r="BX271" s="186"/>
      <c r="BY271" s="186"/>
      <c r="BZ271" s="186"/>
      <c r="CA271" s="186"/>
      <c r="CB271" s="186"/>
      <c r="CC271" s="186"/>
      <c r="CD271" s="186"/>
      <c r="CE271" s="186"/>
      <c r="CF271" s="186"/>
      <c r="CG271" s="186"/>
      <c r="CH271" s="186"/>
      <c r="CI271" s="186"/>
      <c r="CJ271" s="186"/>
      <c r="CK271" s="186" t="str">
        <f>"" &amp; "MSC Crane" &amp; " " &amp; IF(Q271="","",TEXT(Q271,"M/D-")) &amp; IF(R271="","",TEXT(R271,"M/D")) &amp; " "</f>
        <v xml:space="preserve">MSC Crane 3/2-6/3 </v>
      </c>
      <c r="CL271" s="186"/>
      <c r="CM271" s="186"/>
      <c r="CN271" s="186"/>
      <c r="CO271" s="186"/>
    </row>
    <row r="272" spans="1:93" ht="15" customHeight="1" outlineLevel="3" x14ac:dyDescent="0.4">
      <c r="A272" s="172"/>
      <c r="B272" s="172" t="s">
        <v>1879</v>
      </c>
      <c r="C272" s="172">
        <v>4</v>
      </c>
      <c r="D272" s="173" t="s">
        <v>2220</v>
      </c>
      <c r="E272" s="174"/>
      <c r="F272" s="174"/>
      <c r="G272" s="174"/>
      <c r="H272" s="174" t="s">
        <v>1981</v>
      </c>
      <c r="I272" s="174"/>
      <c r="J272" s="174"/>
      <c r="K272" s="174"/>
      <c r="L272" s="174"/>
      <c r="M272" s="174"/>
      <c r="N272" s="174"/>
      <c r="O272" s="175" t="s">
        <v>1900</v>
      </c>
      <c r="P272" s="175" t="s">
        <v>1893</v>
      </c>
      <c r="Q272" s="179">
        <v>44987</v>
      </c>
      <c r="R272" s="179">
        <v>45046</v>
      </c>
      <c r="S272" s="177"/>
      <c r="T272" s="178">
        <v>70</v>
      </c>
      <c r="U272" s="178">
        <v>0</v>
      </c>
      <c r="V272" s="178">
        <v>60</v>
      </c>
      <c r="W272" s="178">
        <v>0</v>
      </c>
      <c r="X272" s="179"/>
      <c r="Y272" s="179"/>
      <c r="Z272" s="180">
        <v>0</v>
      </c>
      <c r="AA272" s="181">
        <v>0</v>
      </c>
      <c r="AB272" s="178"/>
      <c r="AC272" s="177"/>
      <c r="AD272" s="182"/>
      <c r="AE272" s="183">
        <v>0</v>
      </c>
      <c r="AF272" s="207">
        <v>0</v>
      </c>
      <c r="AG272" s="185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 t="str">
        <f>"    " &amp; TEXT(AF272,"#0.00%") &amp; " "</f>
        <v xml:space="preserve">    0.00% </v>
      </c>
      <c r="BX272" s="186"/>
      <c r="BY272" s="186"/>
      <c r="BZ272" s="186"/>
      <c r="CA272" s="186"/>
      <c r="CB272" s="186"/>
      <c r="CC272" s="186"/>
      <c r="CD272" s="186"/>
      <c r="CE272" s="186"/>
      <c r="CF272" s="186" t="str">
        <f>" " &amp; "상온1,고온1,PPC,충방전" &amp; " " &amp; IF(Q272="","",TEXT(Q272,"M/D-")) &amp; IF(R272="","",TEXT(R272,"M/D")) &amp; " "</f>
        <v xml:space="preserve"> 상온1,고온1,PPC,충방전 3/2-4/30 </v>
      </c>
      <c r="CG272" s="186"/>
      <c r="CH272" s="186"/>
      <c r="CI272" s="186"/>
      <c r="CJ272" s="186"/>
      <c r="CK272" s="186"/>
      <c r="CL272" s="186"/>
      <c r="CM272" s="186"/>
      <c r="CN272" s="186"/>
      <c r="CO272" s="186"/>
    </row>
    <row r="273" spans="1:93" ht="15" customHeight="1" outlineLevel="4" x14ac:dyDescent="0.4">
      <c r="A273" s="172"/>
      <c r="B273" s="172"/>
      <c r="C273" s="172">
        <v>5</v>
      </c>
      <c r="D273" s="173" t="s">
        <v>2221</v>
      </c>
      <c r="E273" s="174"/>
      <c r="F273" s="174"/>
      <c r="G273" s="174"/>
      <c r="H273" s="174"/>
      <c r="I273" s="174" t="s">
        <v>2222</v>
      </c>
      <c r="J273" s="174"/>
      <c r="K273" s="174"/>
      <c r="L273" s="174"/>
      <c r="M273" s="174"/>
      <c r="N273" s="174"/>
      <c r="O273" s="175" t="s">
        <v>1900</v>
      </c>
      <c r="P273" s="175" t="s">
        <v>1893</v>
      </c>
      <c r="Q273" s="179">
        <v>44987</v>
      </c>
      <c r="R273" s="179">
        <v>45013</v>
      </c>
      <c r="S273" s="177">
        <f>R273-Q273</f>
        <v>26</v>
      </c>
      <c r="T273" s="178">
        <v>27</v>
      </c>
      <c r="U273" s="178">
        <v>0</v>
      </c>
      <c r="V273" s="178">
        <v>27</v>
      </c>
      <c r="W273" s="178">
        <v>0</v>
      </c>
      <c r="X273" s="179"/>
      <c r="Y273" s="179"/>
      <c r="Z273" s="180"/>
      <c r="AA273" s="181">
        <v>0</v>
      </c>
      <c r="AB273" s="178">
        <v>1</v>
      </c>
      <c r="AC273" s="177"/>
      <c r="AD273" s="182"/>
      <c r="AE273" s="183">
        <v>0</v>
      </c>
      <c r="AF273" s="195">
        <v>0</v>
      </c>
      <c r="AG273" s="185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  <c r="BM273" s="186"/>
      <c r="BN273" s="186"/>
      <c r="BO273" s="186"/>
      <c r="BP273" s="186"/>
      <c r="BQ273" s="186"/>
      <c r="BR273" s="186"/>
      <c r="BS273" s="186"/>
      <c r="BT273" s="186"/>
      <c r="BU273" s="186"/>
      <c r="BV273" s="186"/>
      <c r="BW273" s="186" t="str">
        <f>"    " &amp; TEXT(AF273,"#0.00%") &amp; " "</f>
        <v xml:space="preserve">    0.00% </v>
      </c>
      <c r="BX273" s="186"/>
      <c r="BY273" s="186"/>
      <c r="BZ273" s="186"/>
      <c r="CA273" s="186" t="str">
        <f>"   " &amp; "Erection 및 악세서리 설치" &amp; " " &amp; IF(Q273="","",TEXT(Q273,"M/D-")) &amp; IF(R273="","",TEXT(R273,"M/D")) &amp; " "</f>
        <v xml:space="preserve">   Erection 및 악세서리 설치 3/2-3/28 </v>
      </c>
      <c r="CB273" s="186"/>
      <c r="CC273" s="186"/>
      <c r="CD273" s="186"/>
      <c r="CE273" s="186"/>
      <c r="CF273" s="186"/>
      <c r="CG273" s="186"/>
      <c r="CH273" s="186"/>
      <c r="CI273" s="186"/>
      <c r="CJ273" s="186"/>
      <c r="CK273" s="186"/>
      <c r="CL273" s="186"/>
      <c r="CM273" s="186"/>
      <c r="CN273" s="186"/>
      <c r="CO273" s="186"/>
    </row>
    <row r="274" spans="1:93" ht="15" customHeight="1" outlineLevel="4" x14ac:dyDescent="0.4">
      <c r="A274" s="172"/>
      <c r="B274" s="172"/>
      <c r="C274" s="172">
        <v>5</v>
      </c>
      <c r="D274" s="173" t="s">
        <v>2223</v>
      </c>
      <c r="E274" s="174"/>
      <c r="F274" s="174"/>
      <c r="G274" s="174"/>
      <c r="H274" s="174"/>
      <c r="I274" s="174" t="s">
        <v>2224</v>
      </c>
      <c r="J274" s="174"/>
      <c r="K274" s="174"/>
      <c r="L274" s="174"/>
      <c r="M274" s="174"/>
      <c r="N274" s="174"/>
      <c r="O274" s="175" t="s">
        <v>1900</v>
      </c>
      <c r="P274" s="175" t="s">
        <v>1893</v>
      </c>
      <c r="Q274" s="179">
        <v>45010</v>
      </c>
      <c r="R274" s="179">
        <v>45031</v>
      </c>
      <c r="S274" s="177">
        <f>R274-Q274</f>
        <v>21</v>
      </c>
      <c r="T274" s="178">
        <v>22</v>
      </c>
      <c r="U274" s="178">
        <v>0</v>
      </c>
      <c r="V274" s="178">
        <v>22</v>
      </c>
      <c r="W274" s="178">
        <v>0</v>
      </c>
      <c r="X274" s="179"/>
      <c r="Y274" s="179"/>
      <c r="Z274" s="180"/>
      <c r="AA274" s="181">
        <v>0</v>
      </c>
      <c r="AB274" s="178">
        <v>1</v>
      </c>
      <c r="AC274" s="177"/>
      <c r="AD274" s="182"/>
      <c r="AE274" s="183">
        <v>0</v>
      </c>
      <c r="AF274" s="195">
        <v>0</v>
      </c>
      <c r="AG274" s="185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  <c r="BG274" s="186"/>
      <c r="BH274" s="186"/>
      <c r="BI274" s="186"/>
      <c r="BJ274" s="186"/>
      <c r="BK274" s="186"/>
      <c r="BL274" s="186"/>
      <c r="BM274" s="186"/>
      <c r="BN274" s="186"/>
      <c r="BO274" s="186"/>
      <c r="BP274" s="186"/>
      <c r="BQ274" s="186"/>
      <c r="BR274" s="186"/>
      <c r="BS274" s="186"/>
      <c r="BT274" s="186"/>
      <c r="BU274" s="186"/>
      <c r="BV274" s="186"/>
      <c r="BW274" s="186"/>
      <c r="BX274" s="186"/>
      <c r="BY274" s="186"/>
      <c r="BZ274" s="186" t="str">
        <f>"      " &amp; TEXT(AF274,"#0.00%") &amp; " "</f>
        <v xml:space="preserve">      0.00% </v>
      </c>
      <c r="CA274" s="186"/>
      <c r="CB274" s="186"/>
      <c r="CC274" s="186"/>
      <c r="CD274" s="186" t="str">
        <f>"" &amp; "기내 배선 및  전기제어 공사" &amp; " " &amp; IF(Q274="","",TEXT(Q274,"M/D-")) &amp; IF(R274="","",TEXT(R274,"M/D")) &amp; " "</f>
        <v xml:space="preserve">기내 배선 및  전기제어 공사 3/25-4/15 </v>
      </c>
      <c r="CE274" s="186"/>
      <c r="CF274" s="186"/>
      <c r="CG274" s="186"/>
      <c r="CH274" s="186"/>
      <c r="CI274" s="186"/>
      <c r="CJ274" s="186"/>
      <c r="CK274" s="186"/>
      <c r="CL274" s="186"/>
      <c r="CM274" s="186"/>
      <c r="CN274" s="186"/>
      <c r="CO274" s="186"/>
    </row>
    <row r="275" spans="1:93" ht="15" customHeight="1" outlineLevel="4" x14ac:dyDescent="0.4">
      <c r="A275" s="172"/>
      <c r="B275" s="172"/>
      <c r="C275" s="172">
        <v>5</v>
      </c>
      <c r="D275" s="173" t="s">
        <v>2225</v>
      </c>
      <c r="E275" s="174"/>
      <c r="F275" s="174"/>
      <c r="G275" s="174"/>
      <c r="H275" s="174"/>
      <c r="I275" s="174" t="s">
        <v>2226</v>
      </c>
      <c r="J275" s="174"/>
      <c r="K275" s="174"/>
      <c r="L275" s="174"/>
      <c r="M275" s="174"/>
      <c r="N275" s="174"/>
      <c r="O275" s="175" t="s">
        <v>1900</v>
      </c>
      <c r="P275" s="175" t="s">
        <v>1893</v>
      </c>
      <c r="Q275" s="179">
        <v>45026</v>
      </c>
      <c r="R275" s="179">
        <v>45046</v>
      </c>
      <c r="S275" s="177">
        <f>R275-Q275</f>
        <v>20</v>
      </c>
      <c r="T275" s="178">
        <v>21</v>
      </c>
      <c r="U275" s="178">
        <v>0</v>
      </c>
      <c r="V275" s="178">
        <v>21</v>
      </c>
      <c r="W275" s="178">
        <v>0</v>
      </c>
      <c r="X275" s="179"/>
      <c r="Y275" s="179"/>
      <c r="Z275" s="180"/>
      <c r="AA275" s="181">
        <v>0</v>
      </c>
      <c r="AB275" s="178">
        <v>1</v>
      </c>
      <c r="AC275" s="177"/>
      <c r="AD275" s="182"/>
      <c r="AE275" s="183">
        <v>0</v>
      </c>
      <c r="AF275" s="195">
        <v>0</v>
      </c>
      <c r="AG275" s="185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186"/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 t="str">
        <f>" " &amp; TEXT(AF275,"#0.00%") &amp; " "</f>
        <v xml:space="preserve"> 0.00% </v>
      </c>
      <c r="CD275" s="186"/>
      <c r="CE275" s="186"/>
      <c r="CF275" s="186" t="str">
        <f>" " &amp; "I/O Check 및 단동 TEST" &amp; " " &amp; IF(Q275="","",TEXT(Q275,"M/D-")) &amp; IF(R275="","",TEXT(R275,"M/D")) &amp; " "</f>
        <v xml:space="preserve"> I/O Check 및 단동 TEST 4/10-4/30 </v>
      </c>
      <c r="CG275" s="186"/>
      <c r="CH275" s="186"/>
      <c r="CI275" s="186"/>
      <c r="CJ275" s="186"/>
      <c r="CK275" s="186"/>
      <c r="CL275" s="186"/>
      <c r="CM275" s="186"/>
      <c r="CN275" s="186"/>
      <c r="CO275" s="186"/>
    </row>
    <row r="276" spans="1:93" ht="15" customHeight="1" outlineLevel="3" x14ac:dyDescent="0.4">
      <c r="A276" s="172"/>
      <c r="B276" s="172" t="s">
        <v>1879</v>
      </c>
      <c r="C276" s="172">
        <v>4</v>
      </c>
      <c r="D276" s="173" t="s">
        <v>2227</v>
      </c>
      <c r="E276" s="174"/>
      <c r="F276" s="174"/>
      <c r="G276" s="174"/>
      <c r="H276" s="174" t="s">
        <v>1991</v>
      </c>
      <c r="I276" s="174"/>
      <c r="J276" s="174"/>
      <c r="K276" s="174"/>
      <c r="L276" s="174"/>
      <c r="M276" s="174"/>
      <c r="N276" s="174"/>
      <c r="O276" s="175" t="s">
        <v>1900</v>
      </c>
      <c r="P276" s="175" t="s">
        <v>1893</v>
      </c>
      <c r="Q276" s="179">
        <v>45018</v>
      </c>
      <c r="R276" s="179">
        <v>45080</v>
      </c>
      <c r="S276" s="177"/>
      <c r="T276" s="178">
        <v>72</v>
      </c>
      <c r="U276" s="178">
        <v>0</v>
      </c>
      <c r="V276" s="178">
        <v>63</v>
      </c>
      <c r="W276" s="178">
        <v>0</v>
      </c>
      <c r="X276" s="179"/>
      <c r="Y276" s="179"/>
      <c r="Z276" s="180">
        <v>0</v>
      </c>
      <c r="AA276" s="181">
        <v>0</v>
      </c>
      <c r="AB276" s="178"/>
      <c r="AC276" s="177"/>
      <c r="AD276" s="182"/>
      <c r="AE276" s="183">
        <v>0</v>
      </c>
      <c r="AF276" s="207">
        <v>0</v>
      </c>
      <c r="AG276" s="185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186"/>
      <c r="BE276" s="186"/>
      <c r="BF276" s="186"/>
      <c r="BG276" s="186"/>
      <c r="BH276" s="186"/>
      <c r="BI276" s="186"/>
      <c r="BJ276" s="186"/>
      <c r="BK276" s="186"/>
      <c r="BL276" s="186"/>
      <c r="BM276" s="186"/>
      <c r="BN276" s="186"/>
      <c r="BO276" s="186"/>
      <c r="BP276" s="186"/>
      <c r="BQ276" s="186"/>
      <c r="BR276" s="186"/>
      <c r="BS276" s="186"/>
      <c r="BT276" s="186"/>
      <c r="BU276" s="186"/>
      <c r="BV276" s="186"/>
      <c r="BW276" s="186"/>
      <c r="BX276" s="186"/>
      <c r="BY276" s="186"/>
      <c r="BZ276" s="186"/>
      <c r="CA276" s="186"/>
      <c r="CB276" s="186" t="str">
        <f>"" &amp; TEXT(AF276,"#0.00%") &amp; " "</f>
        <v xml:space="preserve">0.00% </v>
      </c>
      <c r="CC276" s="186"/>
      <c r="CD276" s="186"/>
      <c r="CE276" s="186"/>
      <c r="CF276" s="186"/>
      <c r="CG276" s="186"/>
      <c r="CH276" s="186"/>
      <c r="CI276" s="186"/>
      <c r="CJ276" s="186"/>
      <c r="CK276" s="186" t="str">
        <f>"" &amp; "상온2,고온2" &amp; " " &amp; IF(Q276="","",TEXT(Q276,"M/D-")) &amp; IF(R276="","",TEXT(R276,"M/D")) &amp; " "</f>
        <v xml:space="preserve">상온2,고온2 4/2-6/3 </v>
      </c>
      <c r="CL276" s="186"/>
      <c r="CM276" s="186"/>
      <c r="CN276" s="186"/>
      <c r="CO276" s="186"/>
    </row>
    <row r="277" spans="1:93" ht="15" customHeight="1" outlineLevel="4" x14ac:dyDescent="0.4">
      <c r="A277" s="172"/>
      <c r="B277" s="172"/>
      <c r="C277" s="172">
        <v>5</v>
      </c>
      <c r="D277" s="173" t="s">
        <v>2228</v>
      </c>
      <c r="E277" s="174"/>
      <c r="F277" s="174"/>
      <c r="G277" s="174"/>
      <c r="H277" s="174"/>
      <c r="I277" s="174" t="s">
        <v>2222</v>
      </c>
      <c r="J277" s="174"/>
      <c r="K277" s="174"/>
      <c r="L277" s="174"/>
      <c r="M277" s="174"/>
      <c r="N277" s="174"/>
      <c r="O277" s="175" t="s">
        <v>1900</v>
      </c>
      <c r="P277" s="175" t="s">
        <v>1893</v>
      </c>
      <c r="Q277" s="179">
        <v>45018</v>
      </c>
      <c r="R277" s="179">
        <v>45046</v>
      </c>
      <c r="S277" s="177">
        <f>R277-Q277</f>
        <v>28</v>
      </c>
      <c r="T277" s="178">
        <v>29</v>
      </c>
      <c r="U277" s="178">
        <v>0</v>
      </c>
      <c r="V277" s="178">
        <v>29</v>
      </c>
      <c r="W277" s="178">
        <v>0</v>
      </c>
      <c r="X277" s="179"/>
      <c r="Y277" s="179"/>
      <c r="Z277" s="180"/>
      <c r="AA277" s="181">
        <v>0</v>
      </c>
      <c r="AB277" s="178">
        <v>1</v>
      </c>
      <c r="AC277" s="177"/>
      <c r="AD277" s="182"/>
      <c r="AE277" s="183">
        <v>0</v>
      </c>
      <c r="AF277" s="195">
        <v>0</v>
      </c>
      <c r="AG277" s="185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186"/>
      <c r="BE277" s="186"/>
      <c r="BF277" s="186"/>
      <c r="BG277" s="186"/>
      <c r="BH277" s="186"/>
      <c r="BI277" s="186"/>
      <c r="BJ277" s="186"/>
      <c r="BK277" s="186"/>
      <c r="BL277" s="186"/>
      <c r="BM277" s="186"/>
      <c r="BN277" s="186"/>
      <c r="BO277" s="186"/>
      <c r="BP277" s="186"/>
      <c r="BQ277" s="186"/>
      <c r="BR277" s="186"/>
      <c r="BS277" s="186"/>
      <c r="BT277" s="186"/>
      <c r="BU277" s="186"/>
      <c r="BV277" s="186"/>
      <c r="BW277" s="186"/>
      <c r="BX277" s="186"/>
      <c r="BY277" s="186"/>
      <c r="BZ277" s="186"/>
      <c r="CA277" s="186"/>
      <c r="CB277" s="186" t="str">
        <f>"" &amp; TEXT(AF277,"#0.00%") &amp; " "</f>
        <v xml:space="preserve">0.00% </v>
      </c>
      <c r="CC277" s="186"/>
      <c r="CD277" s="186"/>
      <c r="CE277" s="186"/>
      <c r="CF277" s="186" t="str">
        <f>" " &amp; "Erection 및 악세서리 설치" &amp; " " &amp; IF(Q277="","",TEXT(Q277,"M/D-")) &amp; IF(R277="","",TEXT(R277,"M/D")) &amp; " "</f>
        <v xml:space="preserve"> Erection 및 악세서리 설치 4/2-4/30 </v>
      </c>
      <c r="CG277" s="186"/>
      <c r="CH277" s="186"/>
      <c r="CI277" s="186"/>
      <c r="CJ277" s="186"/>
      <c r="CK277" s="186"/>
      <c r="CL277" s="186"/>
      <c r="CM277" s="186"/>
      <c r="CN277" s="186"/>
      <c r="CO277" s="186"/>
    </row>
    <row r="278" spans="1:93" ht="15" customHeight="1" outlineLevel="4" x14ac:dyDescent="0.4">
      <c r="A278" s="172"/>
      <c r="B278" s="172"/>
      <c r="C278" s="172">
        <v>5</v>
      </c>
      <c r="D278" s="173" t="s">
        <v>2229</v>
      </c>
      <c r="E278" s="174"/>
      <c r="F278" s="174"/>
      <c r="G278" s="174"/>
      <c r="H278" s="174"/>
      <c r="I278" s="174" t="s">
        <v>2224</v>
      </c>
      <c r="J278" s="174"/>
      <c r="K278" s="174"/>
      <c r="L278" s="174"/>
      <c r="M278" s="174"/>
      <c r="N278" s="174"/>
      <c r="O278" s="175" t="s">
        <v>1900</v>
      </c>
      <c r="P278" s="175" t="s">
        <v>1893</v>
      </c>
      <c r="Q278" s="179">
        <v>45043</v>
      </c>
      <c r="R278" s="179">
        <v>45065</v>
      </c>
      <c r="S278" s="177">
        <f>R278-Q278</f>
        <v>22</v>
      </c>
      <c r="T278" s="178">
        <v>23</v>
      </c>
      <c r="U278" s="178">
        <v>0</v>
      </c>
      <c r="V278" s="178">
        <v>23</v>
      </c>
      <c r="W278" s="178">
        <v>0</v>
      </c>
      <c r="X278" s="179"/>
      <c r="Y278" s="179"/>
      <c r="Z278" s="180"/>
      <c r="AA278" s="181">
        <v>0</v>
      </c>
      <c r="AB278" s="178">
        <v>1</v>
      </c>
      <c r="AC278" s="177"/>
      <c r="AD278" s="182"/>
      <c r="AE278" s="183">
        <v>0</v>
      </c>
      <c r="AF278" s="195">
        <v>0</v>
      </c>
      <c r="AG278" s="185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6"/>
      <c r="BD278" s="186"/>
      <c r="BE278" s="186"/>
      <c r="BF278" s="186"/>
      <c r="BG278" s="186"/>
      <c r="BH278" s="186"/>
      <c r="BI278" s="186"/>
      <c r="BJ278" s="186"/>
      <c r="BK278" s="186"/>
      <c r="BL278" s="186"/>
      <c r="BM278" s="186"/>
      <c r="BN278" s="186"/>
      <c r="BO278" s="186"/>
      <c r="BP278" s="186"/>
      <c r="BQ278" s="186"/>
      <c r="BR278" s="186"/>
      <c r="BS278" s="186"/>
      <c r="BT278" s="186"/>
      <c r="BU278" s="186"/>
      <c r="BV278" s="186"/>
      <c r="BW278" s="186"/>
      <c r="BX278" s="186"/>
      <c r="BY278" s="186"/>
      <c r="BZ278" s="186"/>
      <c r="CA278" s="186"/>
      <c r="CB278" s="186"/>
      <c r="CC278" s="186"/>
      <c r="CD278" s="186"/>
      <c r="CE278" s="186" t="str">
        <f>"    " &amp; TEXT(AF278,"#0.00%") &amp; " " &amp; "기내 배선 및  전기제어 공사" &amp; " " &amp; IF(Q278="","",TEXT(Q278,"M/D-")) &amp; IF(R278="","",TEXT(R278,"M/D")) &amp; " "</f>
        <v xml:space="preserve">    0.00% 기내 배선 및  전기제어 공사 4/27-5/19 </v>
      </c>
      <c r="CF278" s="186"/>
      <c r="CG278" s="186"/>
      <c r="CH278" s="186"/>
      <c r="CI278" s="186"/>
      <c r="CJ278" s="186"/>
      <c r="CK278" s="186"/>
      <c r="CL278" s="186"/>
      <c r="CM278" s="186"/>
      <c r="CN278" s="186"/>
      <c r="CO278" s="186"/>
    </row>
    <row r="279" spans="1:93" ht="15" customHeight="1" outlineLevel="4" x14ac:dyDescent="0.4">
      <c r="A279" s="172"/>
      <c r="B279" s="172"/>
      <c r="C279" s="172">
        <v>5</v>
      </c>
      <c r="D279" s="173" t="s">
        <v>2230</v>
      </c>
      <c r="E279" s="174"/>
      <c r="F279" s="174"/>
      <c r="G279" s="174"/>
      <c r="H279" s="174"/>
      <c r="I279" s="174" t="s">
        <v>2226</v>
      </c>
      <c r="J279" s="174"/>
      <c r="K279" s="174"/>
      <c r="L279" s="174"/>
      <c r="M279" s="174"/>
      <c r="N279" s="174"/>
      <c r="O279" s="175" t="s">
        <v>1900</v>
      </c>
      <c r="P279" s="175" t="s">
        <v>1893</v>
      </c>
      <c r="Q279" s="179">
        <v>45061</v>
      </c>
      <c r="R279" s="179">
        <v>45080</v>
      </c>
      <c r="S279" s="177">
        <f>R279-Q279</f>
        <v>19</v>
      </c>
      <c r="T279" s="178">
        <v>20</v>
      </c>
      <c r="U279" s="178">
        <v>0</v>
      </c>
      <c r="V279" s="178">
        <v>20</v>
      </c>
      <c r="W279" s="178">
        <v>0</v>
      </c>
      <c r="X279" s="179"/>
      <c r="Y279" s="179"/>
      <c r="Z279" s="180"/>
      <c r="AA279" s="181">
        <v>0</v>
      </c>
      <c r="AB279" s="178">
        <v>1</v>
      </c>
      <c r="AC279" s="177"/>
      <c r="AD279" s="182"/>
      <c r="AE279" s="183">
        <v>0</v>
      </c>
      <c r="AF279" s="195">
        <v>0</v>
      </c>
      <c r="AG279" s="185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186"/>
      <c r="BE279" s="186"/>
      <c r="BF279" s="186"/>
      <c r="BG279" s="186"/>
      <c r="BH279" s="186"/>
      <c r="BI279" s="186"/>
      <c r="BJ279" s="186"/>
      <c r="BK279" s="186"/>
      <c r="BL279" s="186"/>
      <c r="BM279" s="186"/>
      <c r="BN279" s="186"/>
      <c r="BO279" s="186"/>
      <c r="BP279" s="186"/>
      <c r="BQ279" s="186"/>
      <c r="BR279" s="186"/>
      <c r="BS279" s="186"/>
      <c r="BT279" s="186"/>
      <c r="BU279" s="186"/>
      <c r="BV279" s="186"/>
      <c r="BW279" s="186"/>
      <c r="BX279" s="186"/>
      <c r="BY279" s="186"/>
      <c r="BZ279" s="186"/>
      <c r="CA279" s="186"/>
      <c r="CB279" s="186"/>
      <c r="CC279" s="186"/>
      <c r="CD279" s="186"/>
      <c r="CE279" s="186"/>
      <c r="CF279" s="186"/>
      <c r="CG279" s="186"/>
      <c r="CH279" s="186" t="str">
        <f>" " &amp; TEXT(AF279,"#0.00%") &amp; " "</f>
        <v xml:space="preserve"> 0.00% </v>
      </c>
      <c r="CI279" s="186"/>
      <c r="CJ279" s="186"/>
      <c r="CK279" s="186" t="str">
        <f>"" &amp; "I/O Check 및 단동 TEST" &amp; " " &amp; IF(Q279="","",TEXT(Q279,"M/D-")) &amp; IF(R279="","",TEXT(R279,"M/D")) &amp; " "</f>
        <v xml:space="preserve">I/O Check 및 단동 TEST 5/15-6/3 </v>
      </c>
      <c r="CL279" s="186"/>
      <c r="CM279" s="186"/>
      <c r="CN279" s="186"/>
      <c r="CO279" s="186"/>
    </row>
    <row r="280" spans="1:93" ht="15" customHeight="1" outlineLevel="2" x14ac:dyDescent="0.4">
      <c r="A280" s="172"/>
      <c r="B280" s="172" t="s">
        <v>1879</v>
      </c>
      <c r="C280" s="172">
        <v>3</v>
      </c>
      <c r="D280" s="173" t="s">
        <v>2231</v>
      </c>
      <c r="E280" s="174"/>
      <c r="F280" s="174"/>
      <c r="G280" s="193" t="s">
        <v>1922</v>
      </c>
      <c r="H280" s="174"/>
      <c r="I280" s="174"/>
      <c r="J280" s="174"/>
      <c r="K280" s="174"/>
      <c r="L280" s="174"/>
      <c r="M280" s="174"/>
      <c r="N280" s="174"/>
      <c r="O280" s="175" t="s">
        <v>1923</v>
      </c>
      <c r="P280" s="175"/>
      <c r="Q280" s="179">
        <v>44942</v>
      </c>
      <c r="R280" s="179">
        <v>45008</v>
      </c>
      <c r="S280" s="177"/>
      <c r="T280" s="178">
        <v>69</v>
      </c>
      <c r="U280" s="178">
        <v>0</v>
      </c>
      <c r="V280" s="178">
        <v>67</v>
      </c>
      <c r="W280" s="178">
        <v>0</v>
      </c>
      <c r="X280" s="179"/>
      <c r="Y280" s="179"/>
      <c r="Z280" s="180">
        <v>0</v>
      </c>
      <c r="AA280" s="181">
        <v>0</v>
      </c>
      <c r="AB280" s="178"/>
      <c r="AC280" s="177"/>
      <c r="AD280" s="182"/>
      <c r="AE280" s="183">
        <v>0</v>
      </c>
      <c r="AF280" s="207">
        <v>0</v>
      </c>
      <c r="AG280" s="185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186"/>
      <c r="BE280" s="186"/>
      <c r="BF280" s="186"/>
      <c r="BG280" s="186"/>
      <c r="BH280" s="186"/>
      <c r="BI280" s="186"/>
      <c r="BJ280" s="186"/>
      <c r="BK280" s="186"/>
      <c r="BL280" s="186"/>
      <c r="BM280" s="186"/>
      <c r="BN280" s="186"/>
      <c r="BO280" s="186"/>
      <c r="BP280" s="186"/>
      <c r="BQ280" s="186" t="str">
        <f>" " &amp; TEXT(AF280,"#0.00%") &amp; " "</f>
        <v xml:space="preserve"> 0.00% </v>
      </c>
      <c r="BR280" s="186"/>
      <c r="BS280" s="186"/>
      <c r="BT280" s="186"/>
      <c r="BU280" s="186"/>
      <c r="BV280" s="186"/>
      <c r="BW280" s="186"/>
      <c r="BX280" s="186"/>
      <c r="BY280" s="186"/>
      <c r="BZ280" s="186" t="str">
        <f>"     " &amp; "환적 이재기" &amp; " " &amp; IF(Q280="","",TEXT(Q280,"M/D-")) &amp; IF(R280="","",TEXT(R280,"M/D")) &amp; " "</f>
        <v xml:space="preserve">     환적 이재기 1/16-3/23 </v>
      </c>
      <c r="CA280" s="186"/>
      <c r="CB280" s="186"/>
      <c r="CC280" s="186"/>
      <c r="CD280" s="186"/>
      <c r="CE280" s="186"/>
      <c r="CF280" s="186"/>
      <c r="CG280" s="186"/>
      <c r="CH280" s="186"/>
      <c r="CI280" s="186"/>
      <c r="CJ280" s="186"/>
      <c r="CK280" s="186"/>
      <c r="CL280" s="186"/>
      <c r="CM280" s="186"/>
      <c r="CN280" s="186"/>
      <c r="CO280" s="186"/>
    </row>
    <row r="281" spans="1:93" ht="15" customHeight="1" outlineLevel="3" x14ac:dyDescent="0.4">
      <c r="A281" s="172"/>
      <c r="B281" s="172" t="s">
        <v>1879</v>
      </c>
      <c r="C281" s="172">
        <v>4</v>
      </c>
      <c r="D281" s="173" t="s">
        <v>2232</v>
      </c>
      <c r="E281" s="174"/>
      <c r="F281" s="174"/>
      <c r="G281" s="174"/>
      <c r="H281" s="174" t="s">
        <v>2101</v>
      </c>
      <c r="I281" s="174"/>
      <c r="J281" s="174"/>
      <c r="K281" s="174"/>
      <c r="L281" s="174"/>
      <c r="M281" s="174"/>
      <c r="N281" s="174"/>
      <c r="O281" s="175" t="s">
        <v>1923</v>
      </c>
      <c r="P281" s="175" t="s">
        <v>1916</v>
      </c>
      <c r="Q281" s="179">
        <v>44942</v>
      </c>
      <c r="R281" s="179">
        <v>45008</v>
      </c>
      <c r="S281" s="177"/>
      <c r="T281" s="178">
        <v>69</v>
      </c>
      <c r="U281" s="178">
        <v>0</v>
      </c>
      <c r="V281" s="178">
        <v>67</v>
      </c>
      <c r="W281" s="178">
        <v>0</v>
      </c>
      <c r="X281" s="179"/>
      <c r="Y281" s="179"/>
      <c r="Z281" s="180">
        <v>0</v>
      </c>
      <c r="AA281" s="181">
        <v>0</v>
      </c>
      <c r="AB281" s="178"/>
      <c r="AC281" s="177"/>
      <c r="AD281" s="182"/>
      <c r="AE281" s="183">
        <v>0</v>
      </c>
      <c r="AF281" s="207">
        <v>0</v>
      </c>
      <c r="AG281" s="185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BM281" s="186"/>
      <c r="BN281" s="186"/>
      <c r="BO281" s="186"/>
      <c r="BP281" s="186"/>
      <c r="BQ281" s="186" t="str">
        <f>" " &amp; TEXT(AF281,"#0.00%") &amp; " "</f>
        <v xml:space="preserve"> 0.00% </v>
      </c>
      <c r="BR281" s="186"/>
      <c r="BS281" s="186"/>
      <c r="BT281" s="186"/>
      <c r="BU281" s="186"/>
      <c r="BV281" s="186"/>
      <c r="BW281" s="186"/>
      <c r="BX281" s="186"/>
      <c r="BY281" s="186"/>
      <c r="BZ281" s="186" t="str">
        <f>"     " &amp; "Cell 환적 이재기 (24set)" &amp; " " &amp; IF(Q281="","",TEXT(Q281,"M/D-")) &amp; IF(R281="","",TEXT(R281,"M/D")) &amp; " "</f>
        <v xml:space="preserve">     Cell 환적 이재기 (24set) 1/16-3/23 </v>
      </c>
      <c r="CA281" s="186"/>
      <c r="CB281" s="186"/>
      <c r="CC281" s="186"/>
      <c r="CD281" s="186"/>
      <c r="CE281" s="186"/>
      <c r="CF281" s="186"/>
      <c r="CG281" s="186"/>
      <c r="CH281" s="186"/>
      <c r="CI281" s="186"/>
      <c r="CJ281" s="186"/>
      <c r="CK281" s="186"/>
      <c r="CL281" s="186"/>
      <c r="CM281" s="186"/>
      <c r="CN281" s="186"/>
      <c r="CO281" s="186"/>
    </row>
    <row r="282" spans="1:93" ht="15" customHeight="1" outlineLevel="4" x14ac:dyDescent="0.4">
      <c r="A282" s="172"/>
      <c r="B282" s="172"/>
      <c r="C282" s="172">
        <v>5</v>
      </c>
      <c r="D282" s="173" t="s">
        <v>2233</v>
      </c>
      <c r="E282" s="174"/>
      <c r="F282" s="174"/>
      <c r="G282" s="174"/>
      <c r="H282" s="174"/>
      <c r="I282" s="174" t="s">
        <v>2234</v>
      </c>
      <c r="J282" s="174"/>
      <c r="K282" s="174"/>
      <c r="L282" s="174"/>
      <c r="M282" s="174"/>
      <c r="N282" s="174"/>
      <c r="O282" s="175" t="s">
        <v>1923</v>
      </c>
      <c r="P282" s="175" t="s">
        <v>1916</v>
      </c>
      <c r="Q282" s="179">
        <v>44942</v>
      </c>
      <c r="R282" s="179">
        <v>44967</v>
      </c>
      <c r="S282" s="177">
        <f>R282-Q282</f>
        <v>25</v>
      </c>
      <c r="T282" s="178">
        <v>26</v>
      </c>
      <c r="U282" s="178">
        <v>0</v>
      </c>
      <c r="V282" s="178">
        <v>26</v>
      </c>
      <c r="W282" s="178">
        <v>0</v>
      </c>
      <c r="X282" s="179"/>
      <c r="Y282" s="179"/>
      <c r="Z282" s="180"/>
      <c r="AA282" s="181">
        <v>0</v>
      </c>
      <c r="AB282" s="178">
        <v>1</v>
      </c>
      <c r="AC282" s="177"/>
      <c r="AD282" s="182"/>
      <c r="AE282" s="183">
        <v>0</v>
      </c>
      <c r="AF282" s="195">
        <v>0</v>
      </c>
      <c r="AG282" s="185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BM282" s="186"/>
      <c r="BN282" s="186"/>
      <c r="BO282" s="186"/>
      <c r="BP282" s="186"/>
      <c r="BQ282" s="186" t="str">
        <f>" " &amp; TEXT(AF282,"#0.00%") &amp; " "</f>
        <v xml:space="preserve"> 0.00% </v>
      </c>
      <c r="BR282" s="186"/>
      <c r="BS282" s="186"/>
      <c r="BT282" s="186" t="str">
        <f>"      " &amp; "기구 Set-up" &amp; " " &amp; IF(Q282="","",TEXT(Q282,"M/D-")) &amp; IF(R282="","",TEXT(R282,"M/D")) &amp; " "</f>
        <v xml:space="preserve">      기구 Set-up 1/16-2/10 </v>
      </c>
      <c r="BU282" s="186"/>
      <c r="BV282" s="186"/>
      <c r="BW282" s="186"/>
      <c r="BX282" s="186"/>
      <c r="BY282" s="186"/>
      <c r="BZ282" s="186"/>
      <c r="CA282" s="186"/>
      <c r="CB282" s="186"/>
      <c r="CC282" s="186"/>
      <c r="CD282" s="186"/>
      <c r="CE282" s="186"/>
      <c r="CF282" s="186"/>
      <c r="CG282" s="186"/>
      <c r="CH282" s="186"/>
      <c r="CI282" s="186"/>
      <c r="CJ282" s="186"/>
      <c r="CK282" s="186"/>
      <c r="CL282" s="186"/>
      <c r="CM282" s="186"/>
      <c r="CN282" s="186"/>
      <c r="CO282" s="186"/>
    </row>
    <row r="283" spans="1:93" ht="15" customHeight="1" outlineLevel="4" x14ac:dyDescent="0.4">
      <c r="A283" s="172"/>
      <c r="B283" s="172"/>
      <c r="C283" s="172">
        <v>5</v>
      </c>
      <c r="D283" s="173" t="s">
        <v>2235</v>
      </c>
      <c r="E283" s="174"/>
      <c r="F283" s="174"/>
      <c r="G283" s="174"/>
      <c r="H283" s="174"/>
      <c r="I283" s="174" t="s">
        <v>2236</v>
      </c>
      <c r="J283" s="174"/>
      <c r="K283" s="174"/>
      <c r="L283" s="174"/>
      <c r="M283" s="174"/>
      <c r="N283" s="174"/>
      <c r="O283" s="175" t="s">
        <v>1923</v>
      </c>
      <c r="P283" s="175" t="s">
        <v>1916</v>
      </c>
      <c r="Q283" s="179">
        <v>44967</v>
      </c>
      <c r="R283" s="179">
        <v>44988</v>
      </c>
      <c r="S283" s="177">
        <f>R283-Q283</f>
        <v>21</v>
      </c>
      <c r="T283" s="178">
        <v>22</v>
      </c>
      <c r="U283" s="178">
        <v>0</v>
      </c>
      <c r="V283" s="178">
        <v>22</v>
      </c>
      <c r="W283" s="178">
        <v>0</v>
      </c>
      <c r="X283" s="179"/>
      <c r="Y283" s="179"/>
      <c r="Z283" s="180"/>
      <c r="AA283" s="181">
        <v>0</v>
      </c>
      <c r="AB283" s="178">
        <v>1</v>
      </c>
      <c r="AC283" s="177"/>
      <c r="AD283" s="182"/>
      <c r="AE283" s="183">
        <v>0</v>
      </c>
      <c r="AF283" s="195">
        <v>0</v>
      </c>
      <c r="AG283" s="185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  <c r="BO283" s="186"/>
      <c r="BP283" s="186"/>
      <c r="BQ283" s="186"/>
      <c r="BR283" s="186"/>
      <c r="BS283" s="186"/>
      <c r="BT283" s="186" t="str">
        <f>"     " &amp; TEXT(AF283,"#0.00%") &amp; " " &amp; "기내 배선 및 전장 Set-up" &amp; " " &amp; IF(Q283="","",TEXT(Q283,"M/D-")) &amp; IF(R283="","",TEXT(R283,"M/D")) &amp; " "</f>
        <v xml:space="preserve">     0.00% 기내 배선 및 전장 Set-up 2/10-3/3 </v>
      </c>
      <c r="BU283" s="186"/>
      <c r="BV283" s="186"/>
      <c r="BW283" s="186"/>
      <c r="BX283" s="186"/>
      <c r="BY283" s="186"/>
      <c r="BZ283" s="186"/>
      <c r="CA283" s="186"/>
      <c r="CB283" s="186"/>
      <c r="CC283" s="186"/>
      <c r="CD283" s="186"/>
      <c r="CE283" s="186"/>
      <c r="CF283" s="186"/>
      <c r="CG283" s="186"/>
      <c r="CH283" s="186"/>
      <c r="CI283" s="186"/>
      <c r="CJ283" s="186"/>
      <c r="CK283" s="186"/>
      <c r="CL283" s="186"/>
      <c r="CM283" s="186"/>
      <c r="CN283" s="186"/>
      <c r="CO283" s="186"/>
    </row>
    <row r="284" spans="1:93" ht="15" customHeight="1" outlineLevel="4" x14ac:dyDescent="0.4">
      <c r="A284" s="172"/>
      <c r="B284" s="172"/>
      <c r="C284" s="172">
        <v>5</v>
      </c>
      <c r="D284" s="173" t="s">
        <v>2237</v>
      </c>
      <c r="E284" s="174"/>
      <c r="F284" s="174"/>
      <c r="G284" s="174"/>
      <c r="H284" s="174"/>
      <c r="I284" s="174" t="s">
        <v>2238</v>
      </c>
      <c r="J284" s="174"/>
      <c r="K284" s="174"/>
      <c r="L284" s="174"/>
      <c r="M284" s="174"/>
      <c r="N284" s="174"/>
      <c r="O284" s="175" t="s">
        <v>1923</v>
      </c>
      <c r="P284" s="175" t="s">
        <v>1916</v>
      </c>
      <c r="Q284" s="179">
        <v>44988</v>
      </c>
      <c r="R284" s="179">
        <v>45008</v>
      </c>
      <c r="S284" s="177">
        <f>R284-Q284</f>
        <v>20</v>
      </c>
      <c r="T284" s="178">
        <v>21</v>
      </c>
      <c r="U284" s="178">
        <v>0</v>
      </c>
      <c r="V284" s="178">
        <v>21</v>
      </c>
      <c r="W284" s="178">
        <v>0</v>
      </c>
      <c r="X284" s="179"/>
      <c r="Y284" s="179"/>
      <c r="Z284" s="180"/>
      <c r="AA284" s="181">
        <v>0</v>
      </c>
      <c r="AB284" s="178">
        <v>1</v>
      </c>
      <c r="AC284" s="177"/>
      <c r="AD284" s="182"/>
      <c r="AE284" s="183">
        <v>0</v>
      </c>
      <c r="AF284" s="195">
        <v>0</v>
      </c>
      <c r="AG284" s="185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 t="str">
        <f>"     " &amp; TEXT(AF284,"#0.00%") &amp; " " &amp; "I/O Check 및 단동 Test" &amp; " " &amp; IF(Q284="","",TEXT(Q284,"M/D-")) &amp; IF(R284="","",TEXT(R284,"M/D")) &amp; " "</f>
        <v xml:space="preserve">     0.00% I/O Check 및 단동 Test 3/3-3/23 </v>
      </c>
      <c r="BX284" s="186"/>
      <c r="BY284" s="186"/>
      <c r="BZ284" s="186"/>
      <c r="CA284" s="186"/>
      <c r="CB284" s="186"/>
      <c r="CC284" s="186"/>
      <c r="CD284" s="186"/>
      <c r="CE284" s="186"/>
      <c r="CF284" s="186"/>
      <c r="CG284" s="186"/>
      <c r="CH284" s="186"/>
      <c r="CI284" s="186"/>
      <c r="CJ284" s="186"/>
      <c r="CK284" s="186"/>
      <c r="CL284" s="186"/>
      <c r="CM284" s="186"/>
      <c r="CN284" s="186"/>
      <c r="CO284" s="186"/>
    </row>
    <row r="285" spans="1:93" ht="15" customHeight="1" outlineLevel="2" x14ac:dyDescent="0.4">
      <c r="A285" s="172"/>
      <c r="B285" s="172" t="s">
        <v>1879</v>
      </c>
      <c r="C285" s="172">
        <v>3</v>
      </c>
      <c r="D285" s="173" t="s">
        <v>2239</v>
      </c>
      <c r="E285" s="174"/>
      <c r="F285" s="174"/>
      <c r="G285" s="174" t="s">
        <v>1933</v>
      </c>
      <c r="H285" s="174"/>
      <c r="I285" s="174"/>
      <c r="J285" s="174"/>
      <c r="K285" s="174"/>
      <c r="L285" s="174"/>
      <c r="M285" s="174"/>
      <c r="N285" s="174"/>
      <c r="O285" s="175" t="s">
        <v>1934</v>
      </c>
      <c r="P285" s="175"/>
      <c r="Q285" s="179">
        <v>44942</v>
      </c>
      <c r="R285" s="179">
        <v>45094</v>
      </c>
      <c r="S285" s="177"/>
      <c r="T285" s="178">
        <v>337</v>
      </c>
      <c r="U285" s="178">
        <v>0</v>
      </c>
      <c r="V285" s="178">
        <v>153</v>
      </c>
      <c r="W285" s="178">
        <v>0</v>
      </c>
      <c r="X285" s="179"/>
      <c r="Y285" s="179"/>
      <c r="Z285" s="180">
        <v>0</v>
      </c>
      <c r="AA285" s="181">
        <v>0</v>
      </c>
      <c r="AB285" s="178"/>
      <c r="AC285" s="177"/>
      <c r="AD285" s="182"/>
      <c r="AE285" s="183">
        <v>0</v>
      </c>
      <c r="AF285" s="207">
        <v>0</v>
      </c>
      <c r="AG285" s="185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  <c r="BM285" s="186"/>
      <c r="BN285" s="186"/>
      <c r="BO285" s="186"/>
      <c r="BP285" s="186"/>
      <c r="BQ285" s="186" t="str">
        <f>" " &amp; TEXT(AF285,"#0.00%") &amp; " "</f>
        <v xml:space="preserve"> 0.00% </v>
      </c>
      <c r="BR285" s="186"/>
      <c r="BS285" s="186"/>
      <c r="BT285" s="186"/>
      <c r="BU285" s="186"/>
      <c r="BV285" s="186"/>
      <c r="BW285" s="186"/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 t="str">
        <f>"" &amp; "Conveyor" &amp; " " &amp; IF(Q285="","",TEXT(Q285,"M/D-")) &amp; IF(R285="","",TEXT(R285,"M/D")) &amp; " "</f>
        <v xml:space="preserve">Conveyor 1/16-6/17 </v>
      </c>
      <c r="CN285" s="186"/>
      <c r="CO285" s="186"/>
    </row>
    <row r="286" spans="1:93" ht="15" customHeight="1" outlineLevel="3" x14ac:dyDescent="0.4">
      <c r="A286" s="172"/>
      <c r="B286" s="172" t="s">
        <v>1879</v>
      </c>
      <c r="C286" s="172">
        <v>4</v>
      </c>
      <c r="D286" s="173" t="s">
        <v>2240</v>
      </c>
      <c r="E286" s="174"/>
      <c r="F286" s="174"/>
      <c r="G286" s="174"/>
      <c r="H286" s="174" t="s">
        <v>2005</v>
      </c>
      <c r="I286" s="174"/>
      <c r="J286" s="174"/>
      <c r="K286" s="174"/>
      <c r="L286" s="174"/>
      <c r="M286" s="174"/>
      <c r="N286" s="174"/>
      <c r="O286" s="175" t="s">
        <v>1934</v>
      </c>
      <c r="P286" s="175" t="s">
        <v>1893</v>
      </c>
      <c r="Q286" s="179">
        <v>44942</v>
      </c>
      <c r="R286" s="179">
        <v>44990</v>
      </c>
      <c r="S286" s="177"/>
      <c r="T286" s="178">
        <v>54</v>
      </c>
      <c r="U286" s="178">
        <v>0</v>
      </c>
      <c r="V286" s="178">
        <v>49</v>
      </c>
      <c r="W286" s="178">
        <v>0</v>
      </c>
      <c r="X286" s="179"/>
      <c r="Y286" s="179"/>
      <c r="Z286" s="180">
        <v>0</v>
      </c>
      <c r="AA286" s="181">
        <v>0</v>
      </c>
      <c r="AB286" s="178"/>
      <c r="AC286" s="177"/>
      <c r="AD286" s="182"/>
      <c r="AE286" s="183">
        <v>0</v>
      </c>
      <c r="AF286" s="207">
        <v>0</v>
      </c>
      <c r="AG286" s="185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  <c r="BM286" s="186"/>
      <c r="BN286" s="186"/>
      <c r="BO286" s="186"/>
      <c r="BP286" s="186"/>
      <c r="BQ286" s="186" t="str">
        <f>" " &amp; TEXT(AF286,"#0.00%") &amp; " "</f>
        <v xml:space="preserve"> 0.00% </v>
      </c>
      <c r="BR286" s="186"/>
      <c r="BS286" s="186"/>
      <c r="BT286" s="186"/>
      <c r="BU286" s="186"/>
      <c r="BV286" s="186"/>
      <c r="BW286" s="186"/>
      <c r="BX286" s="186" t="str">
        <f>" " &amp; "PPC&amp;충방-C/V" &amp; " " &amp; IF(Q286="","",TEXT(Q286,"M/D-")) &amp; IF(R286="","",TEXT(R286,"M/D")) &amp; " "</f>
        <v xml:space="preserve"> PPC&amp;충방-C/V 1/16-3/5 </v>
      </c>
      <c r="BY286" s="186"/>
      <c r="BZ286" s="186"/>
      <c r="CA286" s="186"/>
      <c r="CB286" s="186"/>
      <c r="CC286" s="186"/>
      <c r="CD286" s="186"/>
      <c r="CE286" s="186"/>
      <c r="CF286" s="186"/>
      <c r="CG286" s="186"/>
      <c r="CH286" s="186"/>
      <c r="CI286" s="186"/>
      <c r="CJ286" s="186"/>
      <c r="CK286" s="186"/>
      <c r="CL286" s="186"/>
      <c r="CM286" s="186"/>
      <c r="CN286" s="186"/>
      <c r="CO286" s="186"/>
    </row>
    <row r="287" spans="1:93" ht="15" customHeight="1" outlineLevel="4" x14ac:dyDescent="0.4">
      <c r="A287" s="172"/>
      <c r="B287" s="172"/>
      <c r="C287" s="172">
        <v>5</v>
      </c>
      <c r="D287" s="173" t="s">
        <v>2241</v>
      </c>
      <c r="E287" s="174"/>
      <c r="F287" s="174"/>
      <c r="G287" s="174"/>
      <c r="H287" s="174"/>
      <c r="I287" s="174" t="s">
        <v>2242</v>
      </c>
      <c r="J287" s="174"/>
      <c r="K287" s="174"/>
      <c r="L287" s="174"/>
      <c r="M287" s="174"/>
      <c r="N287" s="174"/>
      <c r="O287" s="175" t="s">
        <v>1934</v>
      </c>
      <c r="P287" s="175" t="s">
        <v>1893</v>
      </c>
      <c r="Q287" s="179">
        <v>44942</v>
      </c>
      <c r="R287" s="179">
        <v>44963</v>
      </c>
      <c r="S287" s="177">
        <f>R287-Q287</f>
        <v>21</v>
      </c>
      <c r="T287" s="178">
        <v>22</v>
      </c>
      <c r="U287" s="178">
        <v>0</v>
      </c>
      <c r="V287" s="178">
        <v>22</v>
      </c>
      <c r="W287" s="178">
        <v>0</v>
      </c>
      <c r="X287" s="179"/>
      <c r="Y287" s="179"/>
      <c r="Z287" s="180"/>
      <c r="AA287" s="181">
        <v>0</v>
      </c>
      <c r="AB287" s="178">
        <v>1</v>
      </c>
      <c r="AC287" s="177"/>
      <c r="AD287" s="182"/>
      <c r="AE287" s="183">
        <v>0</v>
      </c>
      <c r="AF287" s="195">
        <v>0</v>
      </c>
      <c r="AG287" s="185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  <c r="BO287" s="186"/>
      <c r="BP287" s="186"/>
      <c r="BQ287" s="186" t="str">
        <f>" " &amp; TEXT(AF287,"#0.00%") &amp; " "</f>
        <v xml:space="preserve"> 0.00% </v>
      </c>
      <c r="BR287" s="186"/>
      <c r="BS287" s="186"/>
      <c r="BT287" s="186" t="str">
        <f>"  " &amp; "DECK &amp; 기구 Set-up" &amp; " " &amp; IF(Q287="","",TEXT(Q287,"M/D-")) &amp; IF(R287="","",TEXT(R287,"M/D")) &amp; " "</f>
        <v xml:space="preserve">  DECK &amp; 기구 Set-up 1/16-2/6 </v>
      </c>
      <c r="BU287" s="186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</row>
    <row r="288" spans="1:93" ht="15" customHeight="1" outlineLevel="4" x14ac:dyDescent="0.4">
      <c r="A288" s="172"/>
      <c r="B288" s="172"/>
      <c r="C288" s="172">
        <v>5</v>
      </c>
      <c r="D288" s="173" t="s">
        <v>2243</v>
      </c>
      <c r="E288" s="174"/>
      <c r="F288" s="174"/>
      <c r="G288" s="174"/>
      <c r="H288" s="174"/>
      <c r="I288" s="174" t="s">
        <v>2236</v>
      </c>
      <c r="J288" s="174"/>
      <c r="K288" s="174"/>
      <c r="L288" s="174"/>
      <c r="M288" s="174"/>
      <c r="N288" s="174"/>
      <c r="O288" s="175" t="s">
        <v>1934</v>
      </c>
      <c r="P288" s="175" t="s">
        <v>1893</v>
      </c>
      <c r="Q288" s="179">
        <v>44960</v>
      </c>
      <c r="R288" s="179">
        <v>44975</v>
      </c>
      <c r="S288" s="177">
        <f>R288-Q288</f>
        <v>15</v>
      </c>
      <c r="T288" s="178">
        <v>16</v>
      </c>
      <c r="U288" s="178">
        <v>0</v>
      </c>
      <c r="V288" s="178">
        <v>16</v>
      </c>
      <c r="W288" s="178">
        <v>0</v>
      </c>
      <c r="X288" s="179"/>
      <c r="Y288" s="179"/>
      <c r="Z288" s="180"/>
      <c r="AA288" s="181">
        <v>0</v>
      </c>
      <c r="AB288" s="178">
        <v>1</v>
      </c>
      <c r="AC288" s="177"/>
      <c r="AD288" s="182"/>
      <c r="AE288" s="183">
        <v>0</v>
      </c>
      <c r="AF288" s="195">
        <v>0</v>
      </c>
      <c r="AG288" s="185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  <c r="BM288" s="186"/>
      <c r="BN288" s="186"/>
      <c r="BO288" s="186"/>
      <c r="BP288" s="186"/>
      <c r="BQ288" s="186"/>
      <c r="BR288" s="186"/>
      <c r="BS288" s="186" t="str">
        <f>"     " &amp; TEXT(AF288,"#0.00%") &amp; " " &amp; "기내 배선 및 전장 Set-up" &amp; " " &amp; IF(Q288="","",TEXT(Q288,"M/D-")) &amp; IF(R288="","",TEXT(R288,"M/D")) &amp; " "</f>
        <v xml:space="preserve">     0.00% 기내 배선 및 전장 Set-up 2/3-2/18 </v>
      </c>
      <c r="BT288" s="186"/>
      <c r="BU288" s="186"/>
      <c r="BV288" s="186"/>
      <c r="BW288" s="186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</row>
    <row r="289" spans="1:93" ht="15" customHeight="1" outlineLevel="4" x14ac:dyDescent="0.4">
      <c r="A289" s="172"/>
      <c r="B289" s="172"/>
      <c r="C289" s="172">
        <v>5</v>
      </c>
      <c r="D289" s="173" t="s">
        <v>2244</v>
      </c>
      <c r="E289" s="174"/>
      <c r="F289" s="174"/>
      <c r="G289" s="174"/>
      <c r="H289" s="174"/>
      <c r="I289" s="174" t="s">
        <v>2238</v>
      </c>
      <c r="J289" s="174"/>
      <c r="K289" s="174"/>
      <c r="L289" s="174"/>
      <c r="M289" s="174"/>
      <c r="N289" s="174"/>
      <c r="O289" s="175" t="s">
        <v>1934</v>
      </c>
      <c r="P289" s="175" t="s">
        <v>1893</v>
      </c>
      <c r="Q289" s="179">
        <v>44975</v>
      </c>
      <c r="R289" s="179">
        <v>44990</v>
      </c>
      <c r="S289" s="177">
        <f>R289-Q289</f>
        <v>15</v>
      </c>
      <c r="T289" s="178">
        <v>16</v>
      </c>
      <c r="U289" s="178">
        <v>0</v>
      </c>
      <c r="V289" s="178">
        <v>16</v>
      </c>
      <c r="W289" s="178">
        <v>0</v>
      </c>
      <c r="X289" s="179"/>
      <c r="Y289" s="179"/>
      <c r="Z289" s="180"/>
      <c r="AA289" s="181">
        <v>0</v>
      </c>
      <c r="AB289" s="178">
        <v>1</v>
      </c>
      <c r="AC289" s="177"/>
      <c r="AD289" s="182"/>
      <c r="AE289" s="183">
        <v>0</v>
      </c>
      <c r="AF289" s="195">
        <v>0</v>
      </c>
      <c r="AG289" s="185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  <c r="BM289" s="186"/>
      <c r="BN289" s="186"/>
      <c r="BO289" s="186"/>
      <c r="BP289" s="186"/>
      <c r="BQ289" s="186"/>
      <c r="BR289" s="186"/>
      <c r="BS289" s="186"/>
      <c r="BT289" s="186"/>
      <c r="BU289" s="186" t="str">
        <f>"      " &amp; TEXT(AF289,"#0.00%") &amp; " " &amp; "I/O Check 및 단동 Test" &amp; " " &amp; IF(Q289="","",TEXT(Q289,"M/D-")) &amp; IF(R289="","",TEXT(R289,"M/D")) &amp; " "</f>
        <v xml:space="preserve">      0.00% I/O Check 및 단동 Test 2/18-3/5 </v>
      </c>
      <c r="BV289" s="186"/>
      <c r="BW289" s="186"/>
      <c r="BX289" s="186"/>
      <c r="BY289" s="186"/>
      <c r="BZ289" s="186"/>
      <c r="CA289" s="186"/>
      <c r="CB289" s="186"/>
      <c r="CC289" s="186"/>
      <c r="CD289" s="186"/>
      <c r="CE289" s="186"/>
      <c r="CF289" s="186"/>
      <c r="CG289" s="186"/>
      <c r="CH289" s="186"/>
      <c r="CI289" s="186"/>
      <c r="CJ289" s="186"/>
      <c r="CK289" s="186"/>
      <c r="CL289" s="186"/>
      <c r="CM289" s="186"/>
      <c r="CN289" s="186"/>
      <c r="CO289" s="186"/>
    </row>
    <row r="290" spans="1:93" ht="15" customHeight="1" outlineLevel="3" x14ac:dyDescent="0.4">
      <c r="A290" s="172"/>
      <c r="B290" s="172" t="s">
        <v>1879</v>
      </c>
      <c r="C290" s="172">
        <v>4</v>
      </c>
      <c r="D290" s="173" t="s">
        <v>2245</v>
      </c>
      <c r="E290" s="174"/>
      <c r="F290" s="174"/>
      <c r="G290" s="174"/>
      <c r="H290" s="174" t="s">
        <v>2011</v>
      </c>
      <c r="I290" s="174"/>
      <c r="J290" s="174"/>
      <c r="K290" s="174"/>
      <c r="L290" s="174"/>
      <c r="M290" s="174"/>
      <c r="N290" s="174"/>
      <c r="O290" s="175" t="s">
        <v>1934</v>
      </c>
      <c r="P290" s="175" t="s">
        <v>1893</v>
      </c>
      <c r="Q290" s="179">
        <v>44972</v>
      </c>
      <c r="R290" s="179">
        <v>45020</v>
      </c>
      <c r="S290" s="177"/>
      <c r="T290" s="178">
        <v>54</v>
      </c>
      <c r="U290" s="178">
        <v>0</v>
      </c>
      <c r="V290" s="178">
        <v>49</v>
      </c>
      <c r="W290" s="178">
        <v>0</v>
      </c>
      <c r="X290" s="179"/>
      <c r="Y290" s="179"/>
      <c r="Z290" s="180">
        <v>0</v>
      </c>
      <c r="AA290" s="181">
        <v>0</v>
      </c>
      <c r="AB290" s="178"/>
      <c r="AC290" s="177"/>
      <c r="AD290" s="182"/>
      <c r="AE290" s="183">
        <v>0</v>
      </c>
      <c r="AF290" s="207">
        <v>0</v>
      </c>
      <c r="AG290" s="185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  <c r="BG290" s="186"/>
      <c r="BH290" s="186"/>
      <c r="BI290" s="186"/>
      <c r="BJ290" s="186"/>
      <c r="BK290" s="186"/>
      <c r="BL290" s="186"/>
      <c r="BM290" s="186"/>
      <c r="BN290" s="186"/>
      <c r="BO290" s="186"/>
      <c r="BP290" s="186"/>
      <c r="BQ290" s="186"/>
      <c r="BR290" s="186"/>
      <c r="BS290" s="186"/>
      <c r="BT290" s="186"/>
      <c r="BU290" s="186" t="str">
        <f>"   " &amp; TEXT(AF290,"#0.00%") &amp; " "</f>
        <v xml:space="preserve">   0.00% </v>
      </c>
      <c r="BV290" s="186"/>
      <c r="BW290" s="186"/>
      <c r="BX290" s="186"/>
      <c r="BY290" s="186"/>
      <c r="BZ290" s="186"/>
      <c r="CA290" s="186"/>
      <c r="CB290" s="186" t="str">
        <f>"   " &amp; "조립&amp;후단물류-Deck, Lifter" &amp; " " &amp; IF(Q290="","",TEXT(Q290,"M/D-")) &amp; IF(R290="","",TEXT(R290,"M/D")) &amp; " "</f>
        <v xml:space="preserve">   조립&amp;후단물류-Deck, Lifter 2/15-4/4 </v>
      </c>
      <c r="CC290" s="186"/>
      <c r="CD290" s="186"/>
      <c r="CE290" s="186"/>
      <c r="CF290" s="186"/>
      <c r="CG290" s="186"/>
      <c r="CH290" s="186"/>
      <c r="CI290" s="186"/>
      <c r="CJ290" s="186"/>
      <c r="CK290" s="186"/>
      <c r="CL290" s="186"/>
      <c r="CM290" s="186"/>
      <c r="CN290" s="186"/>
      <c r="CO290" s="186"/>
    </row>
    <row r="291" spans="1:93" ht="15" customHeight="1" outlineLevel="4" x14ac:dyDescent="0.4">
      <c r="A291" s="172"/>
      <c r="B291" s="172"/>
      <c r="C291" s="172">
        <v>5</v>
      </c>
      <c r="D291" s="173" t="s">
        <v>2246</v>
      </c>
      <c r="E291" s="174"/>
      <c r="F291" s="174"/>
      <c r="G291" s="174"/>
      <c r="H291" s="174"/>
      <c r="I291" s="174" t="s">
        <v>2242</v>
      </c>
      <c r="J291" s="174"/>
      <c r="K291" s="174"/>
      <c r="L291" s="174"/>
      <c r="M291" s="174"/>
      <c r="N291" s="174"/>
      <c r="O291" s="175" t="s">
        <v>1934</v>
      </c>
      <c r="P291" s="175" t="s">
        <v>1893</v>
      </c>
      <c r="Q291" s="179">
        <v>44972</v>
      </c>
      <c r="R291" s="179">
        <v>44993</v>
      </c>
      <c r="S291" s="177">
        <f>R291-Q291</f>
        <v>21</v>
      </c>
      <c r="T291" s="178">
        <v>22</v>
      </c>
      <c r="U291" s="178">
        <v>0</v>
      </c>
      <c r="V291" s="178">
        <v>22</v>
      </c>
      <c r="W291" s="178">
        <v>0</v>
      </c>
      <c r="X291" s="179"/>
      <c r="Y291" s="179"/>
      <c r="Z291" s="180"/>
      <c r="AA291" s="181">
        <v>0</v>
      </c>
      <c r="AB291" s="178">
        <v>1</v>
      </c>
      <c r="AC291" s="177"/>
      <c r="AD291" s="182"/>
      <c r="AE291" s="183">
        <v>0</v>
      </c>
      <c r="AF291" s="195">
        <v>0</v>
      </c>
      <c r="AG291" s="185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  <c r="BO291" s="186"/>
      <c r="BP291" s="186"/>
      <c r="BQ291" s="186"/>
      <c r="BR291" s="186"/>
      <c r="BS291" s="186"/>
      <c r="BT291" s="186"/>
      <c r="BU291" s="186" t="str">
        <f>"   " &amp; TEXT(AF291,"#0.00%") &amp; " "</f>
        <v xml:space="preserve">   0.00% </v>
      </c>
      <c r="BV291" s="186"/>
      <c r="BW291" s="186"/>
      <c r="BX291" s="186" t="str">
        <f>"    " &amp; "DECK &amp; 기구 Set-up" &amp; " " &amp; IF(Q291="","",TEXT(Q291,"M/D-")) &amp; IF(R291="","",TEXT(R291,"M/D")) &amp; " "</f>
        <v xml:space="preserve">    DECK &amp; 기구 Set-up 2/15-3/8 </v>
      </c>
      <c r="BY291" s="186"/>
      <c r="BZ291" s="186"/>
      <c r="CA291" s="186"/>
      <c r="CB291" s="186"/>
      <c r="CC291" s="186"/>
      <c r="CD291" s="186"/>
      <c r="CE291" s="186"/>
      <c r="CF291" s="186"/>
      <c r="CG291" s="186"/>
      <c r="CH291" s="186"/>
      <c r="CI291" s="186"/>
      <c r="CJ291" s="186"/>
      <c r="CK291" s="186"/>
      <c r="CL291" s="186"/>
      <c r="CM291" s="186"/>
      <c r="CN291" s="186"/>
      <c r="CO291" s="186"/>
    </row>
    <row r="292" spans="1:93" ht="15" customHeight="1" outlineLevel="4" x14ac:dyDescent="0.4">
      <c r="A292" s="172"/>
      <c r="B292" s="172"/>
      <c r="C292" s="172">
        <v>5</v>
      </c>
      <c r="D292" s="173" t="s">
        <v>2247</v>
      </c>
      <c r="E292" s="174"/>
      <c r="F292" s="174"/>
      <c r="G292" s="174"/>
      <c r="H292" s="174"/>
      <c r="I292" s="174" t="s">
        <v>2236</v>
      </c>
      <c r="J292" s="174"/>
      <c r="K292" s="174"/>
      <c r="L292" s="174"/>
      <c r="M292" s="174"/>
      <c r="N292" s="174"/>
      <c r="O292" s="175" t="s">
        <v>1934</v>
      </c>
      <c r="P292" s="175" t="s">
        <v>1893</v>
      </c>
      <c r="Q292" s="179">
        <v>44990</v>
      </c>
      <c r="R292" s="179">
        <v>45005</v>
      </c>
      <c r="S292" s="177">
        <f>R292-Q292</f>
        <v>15</v>
      </c>
      <c r="T292" s="178">
        <v>16</v>
      </c>
      <c r="U292" s="178">
        <v>0</v>
      </c>
      <c r="V292" s="178">
        <v>16</v>
      </c>
      <c r="W292" s="178">
        <v>0</v>
      </c>
      <c r="X292" s="179"/>
      <c r="Y292" s="179"/>
      <c r="Z292" s="180"/>
      <c r="AA292" s="181">
        <v>0</v>
      </c>
      <c r="AB292" s="178">
        <v>1</v>
      </c>
      <c r="AC292" s="177"/>
      <c r="AD292" s="182"/>
      <c r="AE292" s="183">
        <v>0</v>
      </c>
      <c r="AF292" s="195">
        <v>0</v>
      </c>
      <c r="AG292" s="185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6"/>
      <c r="BD292" s="186"/>
      <c r="BE292" s="186"/>
      <c r="BF292" s="186"/>
      <c r="BG292" s="186"/>
      <c r="BH292" s="186"/>
      <c r="BI292" s="186"/>
      <c r="BJ292" s="186"/>
      <c r="BK292" s="186"/>
      <c r="BL292" s="186"/>
      <c r="BM292" s="186"/>
      <c r="BN292" s="186"/>
      <c r="BO292" s="186"/>
      <c r="BP292" s="186"/>
      <c r="BQ292" s="186"/>
      <c r="BR292" s="186"/>
      <c r="BS292" s="186"/>
      <c r="BT292" s="186"/>
      <c r="BU292" s="186"/>
      <c r="BV292" s="186"/>
      <c r="BW292" s="186"/>
      <c r="BX292" s="186" t="str">
        <f>"" &amp; TEXT(AF292,"#0.00%") &amp; " " &amp; "기내 배선 및 전장 Set-up" &amp; " " &amp; IF(Q292="","",TEXT(Q292,"M/D-")) &amp; IF(R292="","",TEXT(R292,"M/D")) &amp; " "</f>
        <v xml:space="preserve">0.00% 기내 배선 및 전장 Set-up 3/5-3/20 </v>
      </c>
      <c r="BY292" s="186"/>
      <c r="BZ292" s="186"/>
      <c r="CA292" s="186"/>
      <c r="CB292" s="186"/>
      <c r="CC292" s="186"/>
      <c r="CD292" s="186"/>
      <c r="CE292" s="186"/>
      <c r="CF292" s="186"/>
      <c r="CG292" s="186"/>
      <c r="CH292" s="186"/>
      <c r="CI292" s="186"/>
      <c r="CJ292" s="186"/>
      <c r="CK292" s="186"/>
      <c r="CL292" s="186"/>
      <c r="CM292" s="186"/>
      <c r="CN292" s="186"/>
      <c r="CO292" s="186"/>
    </row>
    <row r="293" spans="1:93" ht="15" customHeight="1" outlineLevel="4" x14ac:dyDescent="0.4">
      <c r="A293" s="172"/>
      <c r="B293" s="172"/>
      <c r="C293" s="172">
        <v>5</v>
      </c>
      <c r="D293" s="173" t="s">
        <v>2248</v>
      </c>
      <c r="E293" s="174"/>
      <c r="F293" s="174"/>
      <c r="G293" s="174"/>
      <c r="H293" s="174"/>
      <c r="I293" s="174" t="s">
        <v>2238</v>
      </c>
      <c r="J293" s="174"/>
      <c r="K293" s="174"/>
      <c r="L293" s="174"/>
      <c r="M293" s="174"/>
      <c r="N293" s="174"/>
      <c r="O293" s="175" t="s">
        <v>1934</v>
      </c>
      <c r="P293" s="175" t="s">
        <v>1893</v>
      </c>
      <c r="Q293" s="179">
        <v>45005</v>
      </c>
      <c r="R293" s="179">
        <v>45020</v>
      </c>
      <c r="S293" s="177">
        <f>R293-Q293</f>
        <v>15</v>
      </c>
      <c r="T293" s="178">
        <v>16</v>
      </c>
      <c r="U293" s="178">
        <v>0</v>
      </c>
      <c r="V293" s="178">
        <v>16</v>
      </c>
      <c r="W293" s="178">
        <v>0</v>
      </c>
      <c r="X293" s="179"/>
      <c r="Y293" s="179"/>
      <c r="Z293" s="180"/>
      <c r="AA293" s="181">
        <v>0</v>
      </c>
      <c r="AB293" s="178">
        <v>1</v>
      </c>
      <c r="AC293" s="177"/>
      <c r="AD293" s="182"/>
      <c r="AE293" s="183">
        <v>0</v>
      </c>
      <c r="AF293" s="195">
        <v>0</v>
      </c>
      <c r="AG293" s="185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186"/>
      <c r="BE293" s="186"/>
      <c r="BF293" s="186"/>
      <c r="BG293" s="186"/>
      <c r="BH293" s="186"/>
      <c r="BI293" s="186"/>
      <c r="BJ293" s="186"/>
      <c r="BK293" s="186"/>
      <c r="BL293" s="186"/>
      <c r="BM293" s="186"/>
      <c r="BN293" s="186"/>
      <c r="BO293" s="186"/>
      <c r="BP293" s="186"/>
      <c r="BQ293" s="186"/>
      <c r="BR293" s="186"/>
      <c r="BS293" s="186"/>
      <c r="BT293" s="186"/>
      <c r="BU293" s="186"/>
      <c r="BV293" s="186"/>
      <c r="BW293" s="186"/>
      <c r="BX293" s="186"/>
      <c r="BY293" s="186"/>
      <c r="BZ293" s="186" t="str">
        <f>" " &amp; TEXT(AF293,"#0.00%") &amp; " " &amp; "I/O Check 및 단동 Test" &amp; " " &amp; IF(Q293="","",TEXT(Q293,"M/D-")) &amp; IF(R293="","",TEXT(R293,"M/D")) &amp; " "</f>
        <v xml:space="preserve"> 0.00% I/O Check 및 단동 Test 3/20-4/4 </v>
      </c>
      <c r="CA293" s="186"/>
      <c r="CB293" s="186"/>
      <c r="CC293" s="186"/>
      <c r="CD293" s="186"/>
      <c r="CE293" s="186"/>
      <c r="CF293" s="186"/>
      <c r="CG293" s="186"/>
      <c r="CH293" s="186"/>
      <c r="CI293" s="186"/>
      <c r="CJ293" s="186"/>
      <c r="CK293" s="186"/>
      <c r="CL293" s="186"/>
      <c r="CM293" s="186"/>
      <c r="CN293" s="186"/>
      <c r="CO293" s="186"/>
    </row>
    <row r="294" spans="1:93" ht="15" customHeight="1" outlineLevel="3" x14ac:dyDescent="0.4">
      <c r="A294" s="172"/>
      <c r="B294" s="172" t="s">
        <v>1879</v>
      </c>
      <c r="C294" s="172">
        <v>4</v>
      </c>
      <c r="D294" s="173" t="s">
        <v>2249</v>
      </c>
      <c r="E294" s="174"/>
      <c r="F294" s="174"/>
      <c r="G294" s="174"/>
      <c r="H294" s="174" t="s">
        <v>2017</v>
      </c>
      <c r="I294" s="174"/>
      <c r="J294" s="174"/>
      <c r="K294" s="174"/>
      <c r="L294" s="174"/>
      <c r="M294" s="174"/>
      <c r="N294" s="174"/>
      <c r="O294" s="175" t="s">
        <v>1934</v>
      </c>
      <c r="P294" s="175" t="s">
        <v>1916</v>
      </c>
      <c r="Q294" s="179">
        <v>45003</v>
      </c>
      <c r="R294" s="179">
        <v>45046</v>
      </c>
      <c r="S294" s="177"/>
      <c r="T294" s="178">
        <v>53</v>
      </c>
      <c r="U294" s="178">
        <v>0</v>
      </c>
      <c r="V294" s="178">
        <v>44</v>
      </c>
      <c r="W294" s="178">
        <v>0</v>
      </c>
      <c r="X294" s="179"/>
      <c r="Y294" s="179"/>
      <c r="Z294" s="180">
        <v>0</v>
      </c>
      <c r="AA294" s="181">
        <v>0</v>
      </c>
      <c r="AB294" s="178"/>
      <c r="AC294" s="177"/>
      <c r="AD294" s="182"/>
      <c r="AE294" s="183">
        <v>0</v>
      </c>
      <c r="AF294" s="207">
        <v>0</v>
      </c>
      <c r="AG294" s="185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6"/>
      <c r="BL294" s="186"/>
      <c r="BM294" s="186"/>
      <c r="BN294" s="186"/>
      <c r="BO294" s="186"/>
      <c r="BP294" s="186"/>
      <c r="BQ294" s="186"/>
      <c r="BR294" s="186"/>
      <c r="BS294" s="186"/>
      <c r="BT294" s="186"/>
      <c r="BU294" s="186"/>
      <c r="BV294" s="186"/>
      <c r="BW294" s="186"/>
      <c r="BX294" s="186"/>
      <c r="BY294" s="186" t="str">
        <f>"      " &amp; TEXT(AF294,"#0.00%") &amp; " "</f>
        <v xml:space="preserve">      0.00% </v>
      </c>
      <c r="BZ294" s="186"/>
      <c r="CA294" s="186"/>
      <c r="CB294" s="186"/>
      <c r="CC294" s="186"/>
      <c r="CD294" s="186"/>
      <c r="CE294" s="186"/>
      <c r="CF294" s="186" t="str">
        <f>" " &amp; "동간물류(1) &amp; 조립후단/Aging - C/V" &amp; " " &amp; IF(Q294="","",TEXT(Q294,"M/D-")) &amp; IF(R294="","",TEXT(R294,"M/D")) &amp; " "</f>
        <v xml:space="preserve"> 동간물류(1) &amp; 조립후단/Aging - C/V 3/18-4/30 </v>
      </c>
      <c r="CG294" s="186"/>
      <c r="CH294" s="186"/>
      <c r="CI294" s="186"/>
      <c r="CJ294" s="186"/>
      <c r="CK294" s="186"/>
      <c r="CL294" s="186"/>
      <c r="CM294" s="186"/>
      <c r="CN294" s="186"/>
      <c r="CO294" s="186"/>
    </row>
    <row r="295" spans="1:93" ht="15" customHeight="1" outlineLevel="4" x14ac:dyDescent="0.4">
      <c r="A295" s="172"/>
      <c r="B295" s="172"/>
      <c r="C295" s="172">
        <v>5</v>
      </c>
      <c r="D295" s="173" t="s">
        <v>2250</v>
      </c>
      <c r="E295" s="174"/>
      <c r="F295" s="174"/>
      <c r="G295" s="174"/>
      <c r="H295" s="174"/>
      <c r="I295" s="174" t="s">
        <v>2234</v>
      </c>
      <c r="J295" s="174"/>
      <c r="K295" s="174"/>
      <c r="L295" s="174"/>
      <c r="M295" s="174"/>
      <c r="N295" s="174"/>
      <c r="O295" s="175" t="s">
        <v>1934</v>
      </c>
      <c r="P295" s="175" t="s">
        <v>1916</v>
      </c>
      <c r="Q295" s="179">
        <v>45003</v>
      </c>
      <c r="R295" s="179">
        <v>45024</v>
      </c>
      <c r="S295" s="177">
        <f>R295-Q295</f>
        <v>21</v>
      </c>
      <c r="T295" s="178">
        <v>22</v>
      </c>
      <c r="U295" s="178">
        <v>0</v>
      </c>
      <c r="V295" s="178">
        <v>22</v>
      </c>
      <c r="W295" s="178">
        <v>0</v>
      </c>
      <c r="X295" s="179"/>
      <c r="Y295" s="179"/>
      <c r="Z295" s="180"/>
      <c r="AA295" s="181">
        <v>0</v>
      </c>
      <c r="AB295" s="178">
        <v>1</v>
      </c>
      <c r="AC295" s="177"/>
      <c r="AD295" s="182"/>
      <c r="AE295" s="183">
        <v>0</v>
      </c>
      <c r="AF295" s="195">
        <v>0</v>
      </c>
      <c r="AG295" s="185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186"/>
      <c r="BE295" s="186"/>
      <c r="BF295" s="186"/>
      <c r="BG295" s="186"/>
      <c r="BH295" s="186"/>
      <c r="BI295" s="186"/>
      <c r="BJ295" s="186"/>
      <c r="BK295" s="186"/>
      <c r="BL295" s="186"/>
      <c r="BM295" s="186"/>
      <c r="BN295" s="186"/>
      <c r="BO295" s="186"/>
      <c r="BP295" s="186"/>
      <c r="BQ295" s="186"/>
      <c r="BR295" s="186"/>
      <c r="BS295" s="186"/>
      <c r="BT295" s="186"/>
      <c r="BU295" s="186"/>
      <c r="BV295" s="186"/>
      <c r="BW295" s="186"/>
      <c r="BX295" s="186"/>
      <c r="BY295" s="186" t="str">
        <f>"      " &amp; TEXT(AF295,"#0.00%") &amp; " "</f>
        <v xml:space="preserve">      0.00% </v>
      </c>
      <c r="BZ295" s="186"/>
      <c r="CA295" s="186"/>
      <c r="CB295" s="186"/>
      <c r="CC295" s="186" t="str">
        <f>"" &amp; "기구 Set-up" &amp; " " &amp; IF(Q295="","",TEXT(Q295,"M/D-")) &amp; IF(R295="","",TEXT(R295,"M/D")) &amp; " "</f>
        <v xml:space="preserve">기구 Set-up 3/18-4/8 </v>
      </c>
      <c r="CD295" s="186"/>
      <c r="CE295" s="186"/>
      <c r="CF295" s="186"/>
      <c r="CG295" s="186"/>
      <c r="CH295" s="186"/>
      <c r="CI295" s="186"/>
      <c r="CJ295" s="186"/>
      <c r="CK295" s="186"/>
      <c r="CL295" s="186"/>
      <c r="CM295" s="186"/>
      <c r="CN295" s="186"/>
      <c r="CO295" s="186"/>
    </row>
    <row r="296" spans="1:93" ht="15" customHeight="1" outlineLevel="4" x14ac:dyDescent="0.4">
      <c r="A296" s="172"/>
      <c r="B296" s="172"/>
      <c r="C296" s="172">
        <v>5</v>
      </c>
      <c r="D296" s="173" t="s">
        <v>2251</v>
      </c>
      <c r="E296" s="174"/>
      <c r="F296" s="174"/>
      <c r="G296" s="174"/>
      <c r="H296" s="174"/>
      <c r="I296" s="174" t="s">
        <v>2236</v>
      </c>
      <c r="J296" s="174"/>
      <c r="K296" s="174"/>
      <c r="L296" s="174"/>
      <c r="M296" s="174"/>
      <c r="N296" s="174"/>
      <c r="O296" s="175" t="s">
        <v>1934</v>
      </c>
      <c r="P296" s="175" t="s">
        <v>1916</v>
      </c>
      <c r="Q296" s="179">
        <v>45017</v>
      </c>
      <c r="R296" s="179">
        <v>45032</v>
      </c>
      <c r="S296" s="177">
        <f>R296-Q296</f>
        <v>15</v>
      </c>
      <c r="T296" s="178">
        <v>16</v>
      </c>
      <c r="U296" s="178">
        <v>0</v>
      </c>
      <c r="V296" s="178">
        <v>16</v>
      </c>
      <c r="W296" s="178">
        <v>0</v>
      </c>
      <c r="X296" s="179"/>
      <c r="Y296" s="179"/>
      <c r="Z296" s="180"/>
      <c r="AA296" s="181">
        <v>0</v>
      </c>
      <c r="AB296" s="178">
        <v>1</v>
      </c>
      <c r="AC296" s="177"/>
      <c r="AD296" s="182"/>
      <c r="AE296" s="183">
        <v>0</v>
      </c>
      <c r="AF296" s="195">
        <v>0</v>
      </c>
      <c r="AG296" s="185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  <c r="BG296" s="186"/>
      <c r="BH296" s="186"/>
      <c r="BI296" s="186"/>
      <c r="BJ296" s="186"/>
      <c r="BK296" s="186"/>
      <c r="BL296" s="186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6"/>
      <c r="BW296" s="186"/>
      <c r="BX296" s="186"/>
      <c r="BY296" s="186"/>
      <c r="BZ296" s="186"/>
      <c r="CA296" s="186" t="str">
        <f>"      " &amp; TEXT(AF296,"#0.00%") &amp; " " &amp; "기내 배선 및 전장 Set-up" &amp; " " &amp; IF(Q296="","",TEXT(Q296,"M/D-")) &amp; IF(R296="","",TEXT(R296,"M/D")) &amp; " "</f>
        <v xml:space="preserve">      0.00% 기내 배선 및 전장 Set-up 4/1-4/16 </v>
      </c>
      <c r="CB296" s="186"/>
      <c r="CC296" s="186"/>
      <c r="CD296" s="186"/>
      <c r="CE296" s="186"/>
      <c r="CF296" s="186"/>
      <c r="CG296" s="186"/>
      <c r="CH296" s="186"/>
      <c r="CI296" s="186"/>
      <c r="CJ296" s="186"/>
      <c r="CK296" s="186"/>
      <c r="CL296" s="186"/>
      <c r="CM296" s="186"/>
      <c r="CN296" s="186"/>
      <c r="CO296" s="186"/>
    </row>
    <row r="297" spans="1:93" ht="15" customHeight="1" outlineLevel="4" x14ac:dyDescent="0.4">
      <c r="A297" s="172"/>
      <c r="B297" s="172"/>
      <c r="C297" s="172">
        <v>5</v>
      </c>
      <c r="D297" s="173" t="s">
        <v>2252</v>
      </c>
      <c r="E297" s="174"/>
      <c r="F297" s="174"/>
      <c r="G297" s="174"/>
      <c r="H297" s="174"/>
      <c r="I297" s="174" t="s">
        <v>2238</v>
      </c>
      <c r="J297" s="174"/>
      <c r="K297" s="174"/>
      <c r="L297" s="174"/>
      <c r="M297" s="174"/>
      <c r="N297" s="174"/>
      <c r="O297" s="175" t="s">
        <v>1934</v>
      </c>
      <c r="P297" s="175" t="s">
        <v>1916</v>
      </c>
      <c r="Q297" s="179">
        <v>45032</v>
      </c>
      <c r="R297" s="179">
        <v>45046</v>
      </c>
      <c r="S297" s="177">
        <f>R297-Q297</f>
        <v>14</v>
      </c>
      <c r="T297" s="178">
        <v>15</v>
      </c>
      <c r="U297" s="178">
        <v>0</v>
      </c>
      <c r="V297" s="178">
        <v>15</v>
      </c>
      <c r="W297" s="178">
        <v>0</v>
      </c>
      <c r="X297" s="179"/>
      <c r="Y297" s="179"/>
      <c r="Z297" s="180"/>
      <c r="AA297" s="181">
        <v>0</v>
      </c>
      <c r="AB297" s="178">
        <v>1</v>
      </c>
      <c r="AC297" s="177"/>
      <c r="AD297" s="182"/>
      <c r="AE297" s="183">
        <v>0</v>
      </c>
      <c r="AF297" s="195">
        <v>0</v>
      </c>
      <c r="AG297" s="185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  <c r="BG297" s="186"/>
      <c r="BH297" s="186"/>
      <c r="BI297" s="186"/>
      <c r="BJ297" s="186"/>
      <c r="BK297" s="186"/>
      <c r="BL297" s="186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/>
      <c r="BW297" s="186"/>
      <c r="BX297" s="186"/>
      <c r="BY297" s="186"/>
      <c r="BZ297" s="186"/>
      <c r="CA297" s="186"/>
      <c r="CB297" s="186"/>
      <c r="CC297" s="186"/>
      <c r="CD297" s="186" t="str">
        <f>"" &amp; TEXT(AF297,"#0.00%") &amp; " " &amp; "I/O Check 및 단동 Test" &amp; " " &amp; IF(Q297="","",TEXT(Q297,"M/D-")) &amp; IF(R297="","",TEXT(R297,"M/D")) &amp; " "</f>
        <v xml:space="preserve">0.00% I/O Check 및 단동 Test 4/16-4/30 </v>
      </c>
      <c r="CE297" s="186"/>
      <c r="CF297" s="186"/>
      <c r="CG297" s="186"/>
      <c r="CH297" s="186"/>
      <c r="CI297" s="186"/>
      <c r="CJ297" s="186"/>
      <c r="CK297" s="186"/>
      <c r="CL297" s="186"/>
      <c r="CM297" s="186"/>
      <c r="CN297" s="186"/>
      <c r="CO297" s="186"/>
    </row>
    <row r="298" spans="1:93" ht="15" customHeight="1" outlineLevel="3" x14ac:dyDescent="0.4">
      <c r="A298" s="172"/>
      <c r="B298" s="172" t="s">
        <v>1879</v>
      </c>
      <c r="C298" s="172">
        <v>4</v>
      </c>
      <c r="D298" s="173" t="s">
        <v>2253</v>
      </c>
      <c r="E298" s="174"/>
      <c r="F298" s="174"/>
      <c r="G298" s="174"/>
      <c r="H298" s="174" t="s">
        <v>2023</v>
      </c>
      <c r="I298" s="174"/>
      <c r="J298" s="174"/>
      <c r="K298" s="174"/>
      <c r="L298" s="174"/>
      <c r="M298" s="174"/>
      <c r="N298" s="174"/>
      <c r="O298" s="175" t="s">
        <v>1934</v>
      </c>
      <c r="P298" s="175" t="s">
        <v>1888</v>
      </c>
      <c r="Q298" s="179">
        <v>45018</v>
      </c>
      <c r="R298" s="179">
        <v>45062</v>
      </c>
      <c r="S298" s="177"/>
      <c r="T298" s="178">
        <v>54</v>
      </c>
      <c r="U298" s="178">
        <v>0</v>
      </c>
      <c r="V298" s="178">
        <v>45</v>
      </c>
      <c r="W298" s="178">
        <v>0</v>
      </c>
      <c r="X298" s="179"/>
      <c r="Y298" s="179"/>
      <c r="Z298" s="180">
        <v>0</v>
      </c>
      <c r="AA298" s="181">
        <v>0</v>
      </c>
      <c r="AB298" s="178"/>
      <c r="AC298" s="177"/>
      <c r="AD298" s="182"/>
      <c r="AE298" s="183">
        <v>0</v>
      </c>
      <c r="AF298" s="207">
        <v>0</v>
      </c>
      <c r="AG298" s="185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  <c r="BH298" s="186"/>
      <c r="BI298" s="186"/>
      <c r="BJ298" s="186"/>
      <c r="BK298" s="186"/>
      <c r="BL298" s="186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6"/>
      <c r="BY298" s="186"/>
      <c r="BZ298" s="186"/>
      <c r="CA298" s="186"/>
      <c r="CB298" s="186" t="str">
        <f>"" &amp; TEXT(AF298,"#0.00%") &amp; " "</f>
        <v xml:space="preserve">0.00% </v>
      </c>
      <c r="CC298" s="186"/>
      <c r="CD298" s="186"/>
      <c r="CE298" s="186"/>
      <c r="CF298" s="186"/>
      <c r="CG298" s="186"/>
      <c r="CH298" s="186" t="str">
        <f>"   " &amp; "동간물류(2) &amp; 화성동(1)/NG Line - C/V" &amp; " " &amp; IF(Q298="","",TEXT(Q298,"M/D-")) &amp; IF(R298="","",TEXT(R298,"M/D")) &amp; " "</f>
        <v xml:space="preserve">   동간물류(2) &amp; 화성동(1)/NG Line - C/V 4/2-5/16 </v>
      </c>
      <c r="CI298" s="186"/>
      <c r="CJ298" s="186"/>
      <c r="CK298" s="186"/>
      <c r="CL298" s="186"/>
      <c r="CM298" s="186"/>
      <c r="CN298" s="186"/>
      <c r="CO298" s="186"/>
    </row>
    <row r="299" spans="1:93" ht="15" customHeight="1" outlineLevel="4" x14ac:dyDescent="0.4">
      <c r="A299" s="172"/>
      <c r="B299" s="172"/>
      <c r="C299" s="172">
        <v>5</v>
      </c>
      <c r="D299" s="173" t="s">
        <v>2254</v>
      </c>
      <c r="E299" s="174"/>
      <c r="F299" s="174"/>
      <c r="G299" s="174"/>
      <c r="H299" s="174"/>
      <c r="I299" s="174" t="s">
        <v>2234</v>
      </c>
      <c r="J299" s="174"/>
      <c r="K299" s="174"/>
      <c r="L299" s="174"/>
      <c r="M299" s="174"/>
      <c r="N299" s="174"/>
      <c r="O299" s="175" t="s">
        <v>1934</v>
      </c>
      <c r="P299" s="175" t="s">
        <v>1888</v>
      </c>
      <c r="Q299" s="179">
        <v>45018</v>
      </c>
      <c r="R299" s="179">
        <v>45039</v>
      </c>
      <c r="S299" s="177">
        <f>R299-Q299</f>
        <v>21</v>
      </c>
      <c r="T299" s="178">
        <v>22</v>
      </c>
      <c r="U299" s="178">
        <v>0</v>
      </c>
      <c r="V299" s="178">
        <v>22</v>
      </c>
      <c r="W299" s="178">
        <v>0</v>
      </c>
      <c r="X299" s="179"/>
      <c r="Y299" s="179"/>
      <c r="Z299" s="180"/>
      <c r="AA299" s="181">
        <v>0</v>
      </c>
      <c r="AB299" s="178">
        <v>1</v>
      </c>
      <c r="AC299" s="177"/>
      <c r="AD299" s="182"/>
      <c r="AE299" s="183">
        <v>0</v>
      </c>
      <c r="AF299" s="195">
        <v>0</v>
      </c>
      <c r="AG299" s="185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/>
      <c r="BW299" s="186"/>
      <c r="BX299" s="186"/>
      <c r="BY299" s="186"/>
      <c r="BZ299" s="186"/>
      <c r="CA299" s="186"/>
      <c r="CB299" s="186" t="str">
        <f>"" &amp; TEXT(AF299,"#0.00%") &amp; " "</f>
        <v xml:space="preserve">0.00% </v>
      </c>
      <c r="CC299" s="186"/>
      <c r="CD299" s="186"/>
      <c r="CE299" s="186" t="str">
        <f>" " &amp; "기구 Set-up" &amp; " " &amp; IF(Q299="","",TEXT(Q299,"M/D-")) &amp; IF(R299="","",TEXT(R299,"M/D")) &amp; " "</f>
        <v xml:space="preserve"> 기구 Set-up 4/2-4/23 </v>
      </c>
      <c r="CF299" s="186"/>
      <c r="CG299" s="186"/>
      <c r="CH299" s="186"/>
      <c r="CI299" s="186"/>
      <c r="CJ299" s="186"/>
      <c r="CK299" s="186"/>
      <c r="CL299" s="186"/>
      <c r="CM299" s="186"/>
      <c r="CN299" s="186"/>
      <c r="CO299" s="186"/>
    </row>
    <row r="300" spans="1:93" ht="15" customHeight="1" outlineLevel="4" x14ac:dyDescent="0.4">
      <c r="A300" s="172"/>
      <c r="B300" s="172"/>
      <c r="C300" s="172">
        <v>5</v>
      </c>
      <c r="D300" s="173" t="s">
        <v>2255</v>
      </c>
      <c r="E300" s="174"/>
      <c r="F300" s="174"/>
      <c r="G300" s="174"/>
      <c r="H300" s="174"/>
      <c r="I300" s="174" t="s">
        <v>2236</v>
      </c>
      <c r="J300" s="174"/>
      <c r="K300" s="174"/>
      <c r="L300" s="174"/>
      <c r="M300" s="174"/>
      <c r="N300" s="174"/>
      <c r="O300" s="175" t="s">
        <v>1934</v>
      </c>
      <c r="P300" s="175" t="s">
        <v>1888</v>
      </c>
      <c r="Q300" s="179">
        <v>45032</v>
      </c>
      <c r="R300" s="179">
        <v>45047</v>
      </c>
      <c r="S300" s="177">
        <f>R300-Q300</f>
        <v>15</v>
      </c>
      <c r="T300" s="178">
        <v>16</v>
      </c>
      <c r="U300" s="178">
        <v>0</v>
      </c>
      <c r="V300" s="178">
        <v>16</v>
      </c>
      <c r="W300" s="178">
        <v>0</v>
      </c>
      <c r="X300" s="179"/>
      <c r="Y300" s="179"/>
      <c r="Z300" s="180"/>
      <c r="AA300" s="181">
        <v>0</v>
      </c>
      <c r="AB300" s="178">
        <v>1</v>
      </c>
      <c r="AC300" s="177"/>
      <c r="AD300" s="182"/>
      <c r="AE300" s="183">
        <v>0</v>
      </c>
      <c r="AF300" s="195">
        <v>0</v>
      </c>
      <c r="AG300" s="185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  <c r="BG300" s="186"/>
      <c r="BH300" s="186"/>
      <c r="BI300" s="186"/>
      <c r="BJ300" s="186"/>
      <c r="BK300" s="186"/>
      <c r="BL300" s="186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6"/>
      <c r="BY300" s="186"/>
      <c r="BZ300" s="186"/>
      <c r="CA300" s="186"/>
      <c r="CB300" s="186"/>
      <c r="CC300" s="186"/>
      <c r="CD300" s="186" t="str">
        <f>"" &amp; TEXT(AF300,"#0.00%") &amp; " " &amp; "기내 배선 및 전장 Set-up" &amp; " " &amp; IF(Q300="","",TEXT(Q300,"M/D-")) &amp; IF(R300="","",TEXT(R300,"M/D")) &amp; " "</f>
        <v xml:space="preserve">0.00% 기내 배선 및 전장 Set-up 4/16-5/1 </v>
      </c>
      <c r="CE300" s="186"/>
      <c r="CF300" s="186"/>
      <c r="CG300" s="186"/>
      <c r="CH300" s="186"/>
      <c r="CI300" s="186"/>
      <c r="CJ300" s="186"/>
      <c r="CK300" s="186"/>
      <c r="CL300" s="186"/>
      <c r="CM300" s="186"/>
      <c r="CN300" s="186"/>
      <c r="CO300" s="186"/>
    </row>
    <row r="301" spans="1:93" ht="15" customHeight="1" outlineLevel="4" x14ac:dyDescent="0.4">
      <c r="A301" s="172"/>
      <c r="B301" s="172"/>
      <c r="C301" s="172">
        <v>5</v>
      </c>
      <c r="D301" s="173" t="s">
        <v>2256</v>
      </c>
      <c r="E301" s="174"/>
      <c r="F301" s="174"/>
      <c r="G301" s="174"/>
      <c r="H301" s="174"/>
      <c r="I301" s="174" t="s">
        <v>2238</v>
      </c>
      <c r="J301" s="174"/>
      <c r="K301" s="174"/>
      <c r="L301" s="174"/>
      <c r="M301" s="174"/>
      <c r="N301" s="174"/>
      <c r="O301" s="175" t="s">
        <v>1934</v>
      </c>
      <c r="P301" s="175" t="s">
        <v>1888</v>
      </c>
      <c r="Q301" s="179">
        <v>45047</v>
      </c>
      <c r="R301" s="179">
        <v>45062</v>
      </c>
      <c r="S301" s="177">
        <f>R301-Q301</f>
        <v>15</v>
      </c>
      <c r="T301" s="178">
        <v>16</v>
      </c>
      <c r="U301" s="178">
        <v>0</v>
      </c>
      <c r="V301" s="178">
        <v>16</v>
      </c>
      <c r="W301" s="178">
        <v>0</v>
      </c>
      <c r="X301" s="179"/>
      <c r="Y301" s="179"/>
      <c r="Z301" s="180"/>
      <c r="AA301" s="181">
        <v>0</v>
      </c>
      <c r="AB301" s="178">
        <v>1</v>
      </c>
      <c r="AC301" s="177"/>
      <c r="AD301" s="182"/>
      <c r="AE301" s="183">
        <v>0</v>
      </c>
      <c r="AF301" s="195">
        <v>0</v>
      </c>
      <c r="AG301" s="185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6"/>
      <c r="BW301" s="186"/>
      <c r="BX301" s="186"/>
      <c r="BY301" s="186"/>
      <c r="BZ301" s="186"/>
      <c r="CA301" s="186"/>
      <c r="CB301" s="186"/>
      <c r="CC301" s="186"/>
      <c r="CD301" s="186"/>
      <c r="CE301" s="186"/>
      <c r="CF301" s="186" t="str">
        <f>" " &amp; TEXT(AF301,"#0.00%") &amp; " " &amp; "I/O Check 및 단동 Test" &amp; " " &amp; IF(Q301="","",TEXT(Q301,"M/D-")) &amp; IF(R301="","",TEXT(R301,"M/D")) &amp; " "</f>
        <v xml:space="preserve"> 0.00% I/O Check 및 단동 Test 5/1-5/16 </v>
      </c>
      <c r="CG301" s="186"/>
      <c r="CH301" s="186"/>
      <c r="CI301" s="186"/>
      <c r="CJ301" s="186"/>
      <c r="CK301" s="186"/>
      <c r="CL301" s="186"/>
      <c r="CM301" s="186"/>
      <c r="CN301" s="186"/>
      <c r="CO301" s="186"/>
    </row>
    <row r="302" spans="1:93" ht="15" customHeight="1" outlineLevel="3" x14ac:dyDescent="0.4">
      <c r="A302" s="172"/>
      <c r="B302" s="172" t="s">
        <v>1879</v>
      </c>
      <c r="C302" s="172">
        <v>4</v>
      </c>
      <c r="D302" s="173" t="s">
        <v>2257</v>
      </c>
      <c r="E302" s="174"/>
      <c r="F302" s="174"/>
      <c r="G302" s="174"/>
      <c r="H302" s="174" t="s">
        <v>2029</v>
      </c>
      <c r="I302" s="174"/>
      <c r="J302" s="174"/>
      <c r="K302" s="174"/>
      <c r="L302" s="174"/>
      <c r="M302" s="174"/>
      <c r="N302" s="174"/>
      <c r="O302" s="175" t="s">
        <v>1934</v>
      </c>
      <c r="P302" s="175" t="s">
        <v>1888</v>
      </c>
      <c r="Q302" s="179">
        <v>45034</v>
      </c>
      <c r="R302" s="179">
        <v>45079</v>
      </c>
      <c r="S302" s="177"/>
      <c r="T302" s="178">
        <v>54</v>
      </c>
      <c r="U302" s="178">
        <v>0</v>
      </c>
      <c r="V302" s="178">
        <v>46</v>
      </c>
      <c r="W302" s="178">
        <v>0</v>
      </c>
      <c r="X302" s="179"/>
      <c r="Y302" s="179"/>
      <c r="Z302" s="180">
        <v>0</v>
      </c>
      <c r="AA302" s="181">
        <v>0</v>
      </c>
      <c r="AB302" s="178"/>
      <c r="AC302" s="177"/>
      <c r="AD302" s="182"/>
      <c r="AE302" s="183">
        <v>0</v>
      </c>
      <c r="AF302" s="207">
        <v>0</v>
      </c>
      <c r="AG302" s="185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6"/>
      <c r="BL302" s="186"/>
      <c r="BM302" s="186"/>
      <c r="BN302" s="186"/>
      <c r="BO302" s="186"/>
      <c r="BP302" s="186"/>
      <c r="BQ302" s="186"/>
      <c r="BR302" s="186"/>
      <c r="BS302" s="186"/>
      <c r="BT302" s="186"/>
      <c r="BU302" s="186"/>
      <c r="BV302" s="186"/>
      <c r="BW302" s="186"/>
      <c r="BX302" s="186"/>
      <c r="BY302" s="186"/>
      <c r="BZ302" s="186"/>
      <c r="CA302" s="186"/>
      <c r="CB302" s="186"/>
      <c r="CC302" s="186"/>
      <c r="CD302" s="186" t="str">
        <f>"  " &amp; TEXT(AF302,"#0.00%") &amp; " "</f>
        <v xml:space="preserve">  0.00% </v>
      </c>
      <c r="CE302" s="186"/>
      <c r="CF302" s="186"/>
      <c r="CG302" s="186"/>
      <c r="CH302" s="186"/>
      <c r="CI302" s="186"/>
      <c r="CJ302" s="186" t="str">
        <f>"      " &amp; "조립동(1) &amp; 화성동(2)/후단물류 - C/V" &amp; " " &amp; IF(Q302="","",TEXT(Q302,"M/D-")) &amp; IF(R302="","",TEXT(R302,"M/D")) &amp; " "</f>
        <v xml:space="preserve">      조립동(1) &amp; 화성동(2)/후단물류 - C/V 4/18-6/2 </v>
      </c>
      <c r="CK302" s="186"/>
      <c r="CL302" s="186"/>
      <c r="CM302" s="186"/>
      <c r="CN302" s="186"/>
      <c r="CO302" s="186"/>
    </row>
    <row r="303" spans="1:93" ht="15" customHeight="1" outlineLevel="4" x14ac:dyDescent="0.4">
      <c r="A303" s="172"/>
      <c r="B303" s="172"/>
      <c r="C303" s="172">
        <v>5</v>
      </c>
      <c r="D303" s="173" t="s">
        <v>2258</v>
      </c>
      <c r="E303" s="174"/>
      <c r="F303" s="174"/>
      <c r="G303" s="174"/>
      <c r="H303" s="174"/>
      <c r="I303" s="174" t="s">
        <v>2234</v>
      </c>
      <c r="J303" s="174"/>
      <c r="K303" s="174"/>
      <c r="L303" s="174"/>
      <c r="M303" s="174"/>
      <c r="N303" s="174"/>
      <c r="O303" s="175" t="s">
        <v>1934</v>
      </c>
      <c r="P303" s="175" t="s">
        <v>1888</v>
      </c>
      <c r="Q303" s="179">
        <v>45034</v>
      </c>
      <c r="R303" s="179">
        <v>45055</v>
      </c>
      <c r="S303" s="177">
        <f>R303-Q303</f>
        <v>21</v>
      </c>
      <c r="T303" s="178">
        <v>22</v>
      </c>
      <c r="U303" s="178">
        <v>0</v>
      </c>
      <c r="V303" s="178">
        <v>22</v>
      </c>
      <c r="W303" s="178">
        <v>0</v>
      </c>
      <c r="X303" s="179"/>
      <c r="Y303" s="179"/>
      <c r="Z303" s="180"/>
      <c r="AA303" s="181">
        <v>0</v>
      </c>
      <c r="AB303" s="178">
        <v>1</v>
      </c>
      <c r="AC303" s="177"/>
      <c r="AD303" s="182"/>
      <c r="AE303" s="183">
        <v>0</v>
      </c>
      <c r="AF303" s="195">
        <v>0</v>
      </c>
      <c r="AG303" s="185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6"/>
      <c r="BQ303" s="186"/>
      <c r="BR303" s="186"/>
      <c r="BS303" s="186"/>
      <c r="BT303" s="186"/>
      <c r="BU303" s="186"/>
      <c r="BV303" s="186"/>
      <c r="BW303" s="186"/>
      <c r="BX303" s="186"/>
      <c r="BY303" s="186"/>
      <c r="BZ303" s="186"/>
      <c r="CA303" s="186"/>
      <c r="CB303" s="186"/>
      <c r="CC303" s="186"/>
      <c r="CD303" s="186" t="str">
        <f>"  " &amp; TEXT(AF303,"#0.00%") &amp; " "</f>
        <v xml:space="preserve">  0.00% </v>
      </c>
      <c r="CE303" s="186"/>
      <c r="CF303" s="186"/>
      <c r="CG303" s="186" t="str">
        <f>"   " &amp; "기구 Set-up" &amp; " " &amp; IF(Q303="","",TEXT(Q303,"M/D-")) &amp; IF(R303="","",TEXT(R303,"M/D")) &amp; " "</f>
        <v xml:space="preserve">   기구 Set-up 4/18-5/9 </v>
      </c>
      <c r="CH303" s="186"/>
      <c r="CI303" s="186"/>
      <c r="CJ303" s="186"/>
      <c r="CK303" s="186"/>
      <c r="CL303" s="186"/>
      <c r="CM303" s="186"/>
      <c r="CN303" s="186"/>
      <c r="CO303" s="186"/>
    </row>
    <row r="304" spans="1:93" ht="15" customHeight="1" outlineLevel="4" x14ac:dyDescent="0.4">
      <c r="A304" s="172"/>
      <c r="B304" s="172"/>
      <c r="C304" s="172">
        <v>5</v>
      </c>
      <c r="D304" s="173" t="s">
        <v>2259</v>
      </c>
      <c r="E304" s="174"/>
      <c r="F304" s="174"/>
      <c r="G304" s="174"/>
      <c r="H304" s="174"/>
      <c r="I304" s="174" t="s">
        <v>2236</v>
      </c>
      <c r="J304" s="174"/>
      <c r="K304" s="174"/>
      <c r="L304" s="174"/>
      <c r="M304" s="174"/>
      <c r="N304" s="174"/>
      <c r="O304" s="175" t="s">
        <v>1934</v>
      </c>
      <c r="P304" s="175" t="s">
        <v>1888</v>
      </c>
      <c r="Q304" s="179">
        <v>45049</v>
      </c>
      <c r="R304" s="179">
        <v>45064</v>
      </c>
      <c r="S304" s="177">
        <f>R304-Q304</f>
        <v>15</v>
      </c>
      <c r="T304" s="178">
        <v>16</v>
      </c>
      <c r="U304" s="178">
        <v>0</v>
      </c>
      <c r="V304" s="178">
        <v>16</v>
      </c>
      <c r="W304" s="178">
        <v>0</v>
      </c>
      <c r="X304" s="179"/>
      <c r="Y304" s="179"/>
      <c r="Z304" s="180"/>
      <c r="AA304" s="181">
        <v>0</v>
      </c>
      <c r="AB304" s="178">
        <v>1</v>
      </c>
      <c r="AC304" s="177"/>
      <c r="AD304" s="182"/>
      <c r="AE304" s="183">
        <v>0</v>
      </c>
      <c r="AF304" s="195">
        <v>0</v>
      </c>
      <c r="AG304" s="185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  <c r="BG304" s="186"/>
      <c r="BH304" s="186"/>
      <c r="BI304" s="186"/>
      <c r="BJ304" s="186"/>
      <c r="BK304" s="186"/>
      <c r="BL304" s="186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6"/>
      <c r="BW304" s="186"/>
      <c r="BX304" s="186"/>
      <c r="BY304" s="186"/>
      <c r="BZ304" s="186"/>
      <c r="CA304" s="186"/>
      <c r="CB304" s="186"/>
      <c r="CC304" s="186"/>
      <c r="CD304" s="186"/>
      <c r="CE304" s="186"/>
      <c r="CF304" s="186" t="str">
        <f>"   " &amp; TEXT(AF304,"#0.00%") &amp; " " &amp; "기내 배선 및 전장 Set-up" &amp; " " &amp; IF(Q304="","",TEXT(Q304,"M/D-")) &amp; IF(R304="","",TEXT(R304,"M/D")) &amp; " "</f>
        <v xml:space="preserve">   0.00% 기내 배선 및 전장 Set-up 5/3-5/18 </v>
      </c>
      <c r="CG304" s="186"/>
      <c r="CH304" s="186"/>
      <c r="CI304" s="186"/>
      <c r="CJ304" s="186"/>
      <c r="CK304" s="186"/>
      <c r="CL304" s="186"/>
      <c r="CM304" s="186"/>
      <c r="CN304" s="186"/>
      <c r="CO304" s="186"/>
    </row>
    <row r="305" spans="1:93" ht="15" customHeight="1" outlineLevel="4" x14ac:dyDescent="0.4">
      <c r="A305" s="172"/>
      <c r="B305" s="172"/>
      <c r="C305" s="172">
        <v>5</v>
      </c>
      <c r="D305" s="173" t="s">
        <v>2260</v>
      </c>
      <c r="E305" s="174"/>
      <c r="F305" s="174"/>
      <c r="G305" s="174"/>
      <c r="H305" s="174"/>
      <c r="I305" s="174" t="s">
        <v>2238</v>
      </c>
      <c r="J305" s="174"/>
      <c r="K305" s="174"/>
      <c r="L305" s="174"/>
      <c r="M305" s="174"/>
      <c r="N305" s="174"/>
      <c r="O305" s="175" t="s">
        <v>1934</v>
      </c>
      <c r="P305" s="175" t="s">
        <v>1888</v>
      </c>
      <c r="Q305" s="179">
        <v>45064</v>
      </c>
      <c r="R305" s="179">
        <v>45079</v>
      </c>
      <c r="S305" s="177">
        <f>R305-Q305</f>
        <v>15</v>
      </c>
      <c r="T305" s="178">
        <v>16</v>
      </c>
      <c r="U305" s="178">
        <v>0</v>
      </c>
      <c r="V305" s="178">
        <v>16</v>
      </c>
      <c r="W305" s="178">
        <v>0</v>
      </c>
      <c r="X305" s="179"/>
      <c r="Y305" s="179"/>
      <c r="Z305" s="180"/>
      <c r="AA305" s="181">
        <v>0</v>
      </c>
      <c r="AB305" s="178">
        <v>1</v>
      </c>
      <c r="AC305" s="177"/>
      <c r="AD305" s="182"/>
      <c r="AE305" s="183">
        <v>0</v>
      </c>
      <c r="AF305" s="195">
        <v>0</v>
      </c>
      <c r="AG305" s="185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  <c r="BG305" s="186"/>
      <c r="BH305" s="186"/>
      <c r="BI305" s="186"/>
      <c r="BJ305" s="186"/>
      <c r="BK305" s="186"/>
      <c r="BL305" s="186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/>
      <c r="BW305" s="186"/>
      <c r="BX305" s="186"/>
      <c r="BY305" s="186"/>
      <c r="BZ305" s="186"/>
      <c r="CA305" s="186"/>
      <c r="CB305" s="186"/>
      <c r="CC305" s="186"/>
      <c r="CD305" s="186"/>
      <c r="CE305" s="186"/>
      <c r="CF305" s="186"/>
      <c r="CG305" s="186"/>
      <c r="CH305" s="186" t="str">
        <f>"    " &amp; TEXT(AF305,"#0.00%") &amp; " " &amp; "I/O Check 및 단동 Test" &amp; " " &amp; IF(Q305="","",TEXT(Q305,"M/D-")) &amp; IF(R305="","",TEXT(R305,"M/D")) &amp; " "</f>
        <v xml:space="preserve">    0.00% I/O Check 및 단동 Test 5/18-6/2 </v>
      </c>
      <c r="CI305" s="186"/>
      <c r="CJ305" s="186"/>
      <c r="CK305" s="186"/>
      <c r="CL305" s="186"/>
      <c r="CM305" s="186"/>
      <c r="CN305" s="186"/>
      <c r="CO305" s="186"/>
    </row>
    <row r="306" spans="1:93" ht="15" customHeight="1" outlineLevel="3" x14ac:dyDescent="0.4">
      <c r="A306" s="172"/>
      <c r="B306" s="172" t="s">
        <v>1879</v>
      </c>
      <c r="C306" s="172">
        <v>4</v>
      </c>
      <c r="D306" s="173" t="s">
        <v>2261</v>
      </c>
      <c r="E306" s="174"/>
      <c r="F306" s="174"/>
      <c r="G306" s="174"/>
      <c r="H306" s="197" t="s">
        <v>2035</v>
      </c>
      <c r="I306" s="174"/>
      <c r="J306" s="174"/>
      <c r="K306" s="174"/>
      <c r="L306" s="174"/>
      <c r="M306" s="174"/>
      <c r="N306" s="174"/>
      <c r="O306" s="175" t="s">
        <v>1934</v>
      </c>
      <c r="P306" s="175" t="s">
        <v>1888</v>
      </c>
      <c r="Q306" s="179">
        <v>45050</v>
      </c>
      <c r="R306" s="179">
        <v>45094</v>
      </c>
      <c r="S306" s="177"/>
      <c r="T306" s="178">
        <v>68</v>
      </c>
      <c r="U306" s="178">
        <v>0</v>
      </c>
      <c r="V306" s="178">
        <v>45</v>
      </c>
      <c r="W306" s="178">
        <v>0</v>
      </c>
      <c r="X306" s="179"/>
      <c r="Y306" s="179"/>
      <c r="Z306" s="180">
        <v>0</v>
      </c>
      <c r="AA306" s="181">
        <v>0</v>
      </c>
      <c r="AB306" s="178"/>
      <c r="AC306" s="177"/>
      <c r="AD306" s="182"/>
      <c r="AE306" s="183">
        <v>0</v>
      </c>
      <c r="AF306" s="207">
        <v>0</v>
      </c>
      <c r="AG306" s="185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  <c r="BG306" s="186"/>
      <c r="BH306" s="186"/>
      <c r="BI306" s="186"/>
      <c r="BJ306" s="186"/>
      <c r="BK306" s="186"/>
      <c r="BL306" s="186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6"/>
      <c r="BY306" s="186"/>
      <c r="BZ306" s="186"/>
      <c r="CA306" s="186"/>
      <c r="CB306" s="186"/>
      <c r="CC306" s="186"/>
      <c r="CD306" s="186"/>
      <c r="CE306" s="186"/>
      <c r="CF306" s="186" t="str">
        <f>"    " &amp; TEXT(AF306,"#0.00%") &amp; " "</f>
        <v xml:space="preserve">    0.00% </v>
      </c>
      <c r="CG306" s="186"/>
      <c r="CH306" s="186"/>
      <c r="CI306" s="186"/>
      <c r="CJ306" s="186"/>
      <c r="CK306" s="186"/>
      <c r="CL306" s="186"/>
      <c r="CM306" s="186" t="str">
        <f>"" &amp; "조립동(2) &amp; 화성동(3) - C/V,Fence" &amp; " " &amp; IF(Q306="","",TEXT(Q306,"M/D-")) &amp; IF(R306="","",TEXT(R306,"M/D")) &amp; " "</f>
        <v xml:space="preserve">조립동(2) &amp; 화성동(3) - C/V,Fence 5/4-6/17 </v>
      </c>
      <c r="CN306" s="186"/>
      <c r="CO306" s="186"/>
    </row>
    <row r="307" spans="1:93" ht="15" customHeight="1" outlineLevel="4" x14ac:dyDescent="0.4">
      <c r="A307" s="172"/>
      <c r="B307" s="172"/>
      <c r="C307" s="172">
        <v>5</v>
      </c>
      <c r="D307" s="173" t="s">
        <v>2262</v>
      </c>
      <c r="E307" s="174"/>
      <c r="F307" s="174"/>
      <c r="G307" s="174"/>
      <c r="H307" s="174"/>
      <c r="I307" s="174" t="s">
        <v>2263</v>
      </c>
      <c r="J307" s="174"/>
      <c r="K307" s="174"/>
      <c r="L307" s="174"/>
      <c r="M307" s="174"/>
      <c r="N307" s="174"/>
      <c r="O307" s="175" t="s">
        <v>1934</v>
      </c>
      <c r="P307" s="175" t="s">
        <v>1888</v>
      </c>
      <c r="Q307" s="179">
        <v>45050</v>
      </c>
      <c r="R307" s="179">
        <v>45085</v>
      </c>
      <c r="S307" s="177">
        <f>R307-Q307</f>
        <v>35</v>
      </c>
      <c r="T307" s="178">
        <v>36</v>
      </c>
      <c r="U307" s="178">
        <v>0</v>
      </c>
      <c r="V307" s="178">
        <v>36</v>
      </c>
      <c r="W307" s="178">
        <v>0</v>
      </c>
      <c r="X307" s="179"/>
      <c r="Y307" s="179"/>
      <c r="Z307" s="180"/>
      <c r="AA307" s="181">
        <v>0</v>
      </c>
      <c r="AB307" s="178">
        <v>1</v>
      </c>
      <c r="AC307" s="177"/>
      <c r="AD307" s="182"/>
      <c r="AE307" s="183">
        <v>0</v>
      </c>
      <c r="AF307" s="195">
        <v>0</v>
      </c>
      <c r="AG307" s="185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  <c r="BG307" s="186"/>
      <c r="BH307" s="186"/>
      <c r="BI307" s="186"/>
      <c r="BJ307" s="186"/>
      <c r="BK307" s="186"/>
      <c r="BL307" s="186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6"/>
      <c r="BW307" s="186"/>
      <c r="BX307" s="186"/>
      <c r="BY307" s="186"/>
      <c r="BZ307" s="186"/>
      <c r="CA307" s="186"/>
      <c r="CB307" s="186"/>
      <c r="CC307" s="186"/>
      <c r="CD307" s="186"/>
      <c r="CE307" s="186"/>
      <c r="CF307" s="186" t="str">
        <f>"    " &amp; TEXT(AF307,"#0.00%") &amp; " "</f>
        <v xml:space="preserve">    0.00% </v>
      </c>
      <c r="CG307" s="186"/>
      <c r="CH307" s="186"/>
      <c r="CI307" s="186"/>
      <c r="CJ307" s="186"/>
      <c r="CK307" s="186" t="str">
        <f>"     " &amp; "기구 Set-up 및 Fence 설치" &amp; " " &amp; IF(Q307="","",TEXT(Q307,"M/D-")) &amp; IF(R307="","",TEXT(R307,"M/D")) &amp; " "</f>
        <v xml:space="preserve">     기구 Set-up 및 Fence 설치 5/4-6/8 </v>
      </c>
      <c r="CL307" s="186"/>
      <c r="CM307" s="186"/>
      <c r="CN307" s="186"/>
      <c r="CO307" s="186"/>
    </row>
    <row r="308" spans="1:93" ht="15" customHeight="1" outlineLevel="4" x14ac:dyDescent="0.4">
      <c r="A308" s="172"/>
      <c r="B308" s="172"/>
      <c r="C308" s="172">
        <v>5</v>
      </c>
      <c r="D308" s="173" t="s">
        <v>2264</v>
      </c>
      <c r="E308" s="174"/>
      <c r="F308" s="174"/>
      <c r="G308" s="174"/>
      <c r="H308" s="174"/>
      <c r="I308" s="174" t="s">
        <v>2236</v>
      </c>
      <c r="J308" s="174"/>
      <c r="K308" s="174"/>
      <c r="L308" s="174"/>
      <c r="M308" s="174"/>
      <c r="N308" s="174"/>
      <c r="O308" s="175" t="s">
        <v>1934</v>
      </c>
      <c r="P308" s="175" t="s">
        <v>1888</v>
      </c>
      <c r="Q308" s="179">
        <v>45064</v>
      </c>
      <c r="R308" s="179">
        <v>45079</v>
      </c>
      <c r="S308" s="177">
        <f>R308-Q308</f>
        <v>15</v>
      </c>
      <c r="T308" s="178">
        <v>16</v>
      </c>
      <c r="U308" s="178">
        <v>0</v>
      </c>
      <c r="V308" s="178">
        <v>16</v>
      </c>
      <c r="W308" s="178">
        <v>0</v>
      </c>
      <c r="X308" s="179"/>
      <c r="Y308" s="179"/>
      <c r="Z308" s="180"/>
      <c r="AA308" s="181">
        <v>0</v>
      </c>
      <c r="AB308" s="178">
        <v>1</v>
      </c>
      <c r="AC308" s="177"/>
      <c r="AD308" s="182"/>
      <c r="AE308" s="183">
        <v>0</v>
      </c>
      <c r="AF308" s="195">
        <v>0</v>
      </c>
      <c r="AG308" s="185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186"/>
      <c r="BE308" s="186"/>
      <c r="BF308" s="186"/>
      <c r="BG308" s="186"/>
      <c r="BH308" s="186"/>
      <c r="BI308" s="186"/>
      <c r="BJ308" s="186"/>
      <c r="BK308" s="186"/>
      <c r="BL308" s="186"/>
      <c r="BM308" s="186"/>
      <c r="BN308" s="186"/>
      <c r="BO308" s="186"/>
      <c r="BP308" s="186"/>
      <c r="BQ308" s="186"/>
      <c r="BR308" s="186"/>
      <c r="BS308" s="186"/>
      <c r="BT308" s="186"/>
      <c r="BU308" s="186"/>
      <c r="BV308" s="186"/>
      <c r="BW308" s="186"/>
      <c r="BX308" s="186"/>
      <c r="BY308" s="186"/>
      <c r="BZ308" s="186"/>
      <c r="CA308" s="186"/>
      <c r="CB308" s="186"/>
      <c r="CC308" s="186"/>
      <c r="CD308" s="186"/>
      <c r="CE308" s="186"/>
      <c r="CF308" s="186"/>
      <c r="CG308" s="186"/>
      <c r="CH308" s="186" t="str">
        <f>"    " &amp; TEXT(AF308,"#0.00%") &amp; " " &amp; "기내 배선 및 전장 Set-up" &amp; " " &amp; IF(Q308="","",TEXT(Q308,"M/D-")) &amp; IF(R308="","",TEXT(R308,"M/D")) &amp; " "</f>
        <v xml:space="preserve">    0.00% 기내 배선 및 전장 Set-up 5/18-6/2 </v>
      </c>
      <c r="CI308" s="186"/>
      <c r="CJ308" s="186"/>
      <c r="CK308" s="186"/>
      <c r="CL308" s="186"/>
      <c r="CM308" s="186"/>
      <c r="CN308" s="186"/>
      <c r="CO308" s="186"/>
    </row>
    <row r="309" spans="1:93" ht="15" customHeight="1" outlineLevel="4" x14ac:dyDescent="0.4">
      <c r="A309" s="172"/>
      <c r="B309" s="172"/>
      <c r="C309" s="172">
        <v>5</v>
      </c>
      <c r="D309" s="173" t="s">
        <v>2265</v>
      </c>
      <c r="E309" s="174"/>
      <c r="F309" s="174"/>
      <c r="G309" s="174"/>
      <c r="H309" s="174"/>
      <c r="I309" s="174" t="s">
        <v>2238</v>
      </c>
      <c r="J309" s="174"/>
      <c r="K309" s="174"/>
      <c r="L309" s="174"/>
      <c r="M309" s="174"/>
      <c r="N309" s="174"/>
      <c r="O309" s="175" t="s">
        <v>1934</v>
      </c>
      <c r="P309" s="175" t="s">
        <v>1888</v>
      </c>
      <c r="Q309" s="179">
        <v>45079</v>
      </c>
      <c r="R309" s="179">
        <v>45094</v>
      </c>
      <c r="S309" s="177">
        <f>R309-Q309</f>
        <v>15</v>
      </c>
      <c r="T309" s="178">
        <v>16</v>
      </c>
      <c r="U309" s="178">
        <v>0</v>
      </c>
      <c r="V309" s="178">
        <v>16</v>
      </c>
      <c r="W309" s="178">
        <v>0</v>
      </c>
      <c r="X309" s="179"/>
      <c r="Y309" s="179"/>
      <c r="Z309" s="180"/>
      <c r="AA309" s="181">
        <v>0</v>
      </c>
      <c r="AB309" s="178">
        <v>1</v>
      </c>
      <c r="AC309" s="177"/>
      <c r="AD309" s="182"/>
      <c r="AE309" s="183">
        <v>0</v>
      </c>
      <c r="AF309" s="195">
        <v>0</v>
      </c>
      <c r="AG309" s="185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  <c r="BG309" s="186"/>
      <c r="BH309" s="186"/>
      <c r="BI309" s="186"/>
      <c r="BJ309" s="186"/>
      <c r="BK309" s="186"/>
      <c r="BL309" s="186"/>
      <c r="BM309" s="186"/>
      <c r="BN309" s="186"/>
      <c r="BO309" s="186"/>
      <c r="BP309" s="186"/>
      <c r="BQ309" s="186"/>
      <c r="BR309" s="186"/>
      <c r="BS309" s="186"/>
      <c r="BT309" s="186"/>
      <c r="BU309" s="186"/>
      <c r="BV309" s="186"/>
      <c r="BW309" s="186"/>
      <c r="BX309" s="186"/>
      <c r="BY309" s="186"/>
      <c r="BZ309" s="186"/>
      <c r="CA309" s="186"/>
      <c r="CB309" s="186"/>
      <c r="CC309" s="186"/>
      <c r="CD309" s="186"/>
      <c r="CE309" s="186"/>
      <c r="CF309" s="186"/>
      <c r="CG309" s="186"/>
      <c r="CH309" s="186"/>
      <c r="CI309" s="186"/>
      <c r="CJ309" s="186" t="str">
        <f>"     " &amp; TEXT(AF309,"#0.00%") &amp; " " &amp; "I/O Check 및 단동 Test" &amp; " " &amp; IF(Q309="","",TEXT(Q309,"M/D-")) &amp; IF(R309="","",TEXT(R309,"M/D")) &amp; " "</f>
        <v xml:space="preserve">     0.00% I/O Check 및 단동 Test 6/2-6/17 </v>
      </c>
      <c r="CK309" s="186"/>
      <c r="CL309" s="186"/>
      <c r="CM309" s="186"/>
      <c r="CN309" s="186"/>
      <c r="CO309" s="186"/>
    </row>
    <row r="310" spans="1:93" ht="15" customHeight="1" outlineLevel="2" x14ac:dyDescent="0.4">
      <c r="A310" s="172"/>
      <c r="B310" s="172" t="s">
        <v>1879</v>
      </c>
      <c r="C310" s="172">
        <v>3</v>
      </c>
      <c r="D310" s="173" t="s">
        <v>2266</v>
      </c>
      <c r="E310" s="174"/>
      <c r="F310" s="174"/>
      <c r="G310" s="174" t="s">
        <v>1940</v>
      </c>
      <c r="H310" s="174"/>
      <c r="I310" s="174"/>
      <c r="J310" s="174"/>
      <c r="K310" s="174"/>
      <c r="L310" s="174"/>
      <c r="M310" s="174"/>
      <c r="N310" s="174"/>
      <c r="O310" s="175" t="s">
        <v>1941</v>
      </c>
      <c r="P310" s="175"/>
      <c r="Q310" s="179">
        <v>44972</v>
      </c>
      <c r="R310" s="179">
        <v>45040</v>
      </c>
      <c r="S310" s="177"/>
      <c r="T310" s="178">
        <v>124</v>
      </c>
      <c r="U310" s="178">
        <v>0</v>
      </c>
      <c r="V310" s="178">
        <v>69</v>
      </c>
      <c r="W310" s="178">
        <v>0</v>
      </c>
      <c r="X310" s="179"/>
      <c r="Y310" s="179"/>
      <c r="Z310" s="180">
        <v>0</v>
      </c>
      <c r="AA310" s="181">
        <v>0</v>
      </c>
      <c r="AB310" s="178"/>
      <c r="AC310" s="177"/>
      <c r="AD310" s="182"/>
      <c r="AE310" s="183">
        <v>0</v>
      </c>
      <c r="AF310" s="207">
        <v>0</v>
      </c>
      <c r="AG310" s="185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186"/>
      <c r="BE310" s="186"/>
      <c r="BF310" s="186"/>
      <c r="BG310" s="186"/>
      <c r="BH310" s="186"/>
      <c r="BI310" s="186"/>
      <c r="BJ310" s="186"/>
      <c r="BK310" s="186"/>
      <c r="BL310" s="186"/>
      <c r="BM310" s="186"/>
      <c r="BN310" s="186"/>
      <c r="BO310" s="186"/>
      <c r="BP310" s="186"/>
      <c r="BQ310" s="186"/>
      <c r="BR310" s="186"/>
      <c r="BS310" s="186"/>
      <c r="BT310" s="186"/>
      <c r="BU310" s="186" t="str">
        <f>"   " &amp; TEXT(AF310,"#0.00%") &amp; " "</f>
        <v xml:space="preserve">   0.00% </v>
      </c>
      <c r="BV310" s="186"/>
      <c r="BW310" s="186"/>
      <c r="BX310" s="186"/>
      <c r="BY310" s="186"/>
      <c r="BZ310" s="186"/>
      <c r="CA310" s="186"/>
      <c r="CB310" s="186"/>
      <c r="CC310" s="186"/>
      <c r="CD310" s="186"/>
      <c r="CE310" s="186" t="str">
        <f>"  " &amp; "Lifter" &amp; " " &amp; IF(Q310="","",TEXT(Q310,"M/D-")) &amp; IF(R310="","",TEXT(R310,"M/D")) &amp; " "</f>
        <v xml:space="preserve">  Lifter 2/15-4/24 </v>
      </c>
      <c r="CF310" s="186"/>
      <c r="CG310" s="186"/>
      <c r="CH310" s="186"/>
      <c r="CI310" s="186"/>
      <c r="CJ310" s="186"/>
      <c r="CK310" s="186"/>
      <c r="CL310" s="186"/>
      <c r="CM310" s="186"/>
      <c r="CN310" s="186"/>
      <c r="CO310" s="186"/>
    </row>
    <row r="311" spans="1:93" ht="15" customHeight="1" outlineLevel="3" x14ac:dyDescent="0.4">
      <c r="A311" s="172"/>
      <c r="B311" s="172" t="s">
        <v>1879</v>
      </c>
      <c r="C311" s="172">
        <v>4</v>
      </c>
      <c r="D311" s="173" t="s">
        <v>2267</v>
      </c>
      <c r="E311" s="174"/>
      <c r="F311" s="174"/>
      <c r="G311" s="174"/>
      <c r="H311" s="174" t="s">
        <v>2042</v>
      </c>
      <c r="I311" s="174"/>
      <c r="J311" s="174"/>
      <c r="K311" s="174"/>
      <c r="L311" s="174"/>
      <c r="M311" s="174"/>
      <c r="N311" s="174"/>
      <c r="O311" s="175" t="s">
        <v>1941</v>
      </c>
      <c r="P311" s="175" t="s">
        <v>1888</v>
      </c>
      <c r="Q311" s="179">
        <v>44972</v>
      </c>
      <c r="R311" s="179">
        <v>45025</v>
      </c>
      <c r="S311" s="177"/>
      <c r="T311" s="178">
        <v>62</v>
      </c>
      <c r="U311" s="178">
        <v>0</v>
      </c>
      <c r="V311" s="178">
        <v>54</v>
      </c>
      <c r="W311" s="178">
        <v>0</v>
      </c>
      <c r="X311" s="179"/>
      <c r="Y311" s="179"/>
      <c r="Z311" s="180">
        <v>0</v>
      </c>
      <c r="AA311" s="181">
        <v>0</v>
      </c>
      <c r="AB311" s="178"/>
      <c r="AC311" s="177"/>
      <c r="AD311" s="182"/>
      <c r="AE311" s="183">
        <v>0</v>
      </c>
      <c r="AF311" s="207">
        <v>0</v>
      </c>
      <c r="AG311" s="185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  <c r="BD311" s="186"/>
      <c r="BE311" s="186"/>
      <c r="BF311" s="186"/>
      <c r="BG311" s="186"/>
      <c r="BH311" s="186"/>
      <c r="BI311" s="186"/>
      <c r="BJ311" s="186"/>
      <c r="BK311" s="186"/>
      <c r="BL311" s="186"/>
      <c r="BM311" s="186"/>
      <c r="BN311" s="186"/>
      <c r="BO311" s="186"/>
      <c r="BP311" s="186"/>
      <c r="BQ311" s="186"/>
      <c r="BR311" s="186"/>
      <c r="BS311" s="186"/>
      <c r="BT311" s="186"/>
      <c r="BU311" s="186" t="str">
        <f>"   " &amp; TEXT(AF311,"#0.00%") &amp; " "</f>
        <v xml:space="preserve">   0.00% </v>
      </c>
      <c r="BV311" s="186"/>
      <c r="BW311" s="186"/>
      <c r="BX311" s="186"/>
      <c r="BY311" s="186"/>
      <c r="BZ311" s="186"/>
      <c r="CA311" s="186"/>
      <c r="CB311" s="186"/>
      <c r="CC311" s="186" t="str">
        <f>" " &amp; "상온,고온 Aging + PPC,충방전" &amp; " " &amp; IF(Q311="","",TEXT(Q311,"M/D-")) &amp; IF(R311="","",TEXT(R311,"M/D")) &amp; " "</f>
        <v xml:space="preserve"> 상온,고온 Aging + PPC,충방전 2/15-4/9 </v>
      </c>
      <c r="CD311" s="186"/>
      <c r="CE311" s="186"/>
      <c r="CF311" s="186"/>
      <c r="CG311" s="186"/>
      <c r="CH311" s="186"/>
      <c r="CI311" s="186"/>
      <c r="CJ311" s="186"/>
      <c r="CK311" s="186"/>
      <c r="CL311" s="186"/>
      <c r="CM311" s="186"/>
      <c r="CN311" s="186"/>
      <c r="CO311" s="186"/>
    </row>
    <row r="312" spans="1:93" ht="15" customHeight="1" outlineLevel="4" x14ac:dyDescent="0.4">
      <c r="A312" s="172"/>
      <c r="B312" s="172"/>
      <c r="C312" s="172">
        <v>5</v>
      </c>
      <c r="D312" s="173" t="s">
        <v>2268</v>
      </c>
      <c r="E312" s="174"/>
      <c r="F312" s="174"/>
      <c r="G312" s="174"/>
      <c r="H312" s="174"/>
      <c r="I312" s="174" t="s">
        <v>2234</v>
      </c>
      <c r="J312" s="174"/>
      <c r="K312" s="174"/>
      <c r="L312" s="174"/>
      <c r="M312" s="174"/>
      <c r="N312" s="174"/>
      <c r="O312" s="175" t="s">
        <v>1941</v>
      </c>
      <c r="P312" s="175" t="s">
        <v>1888</v>
      </c>
      <c r="Q312" s="179">
        <v>44972</v>
      </c>
      <c r="R312" s="179">
        <v>45001</v>
      </c>
      <c r="S312" s="177">
        <f>R312-Q312</f>
        <v>29</v>
      </c>
      <c r="T312" s="178">
        <v>30</v>
      </c>
      <c r="U312" s="178">
        <v>0</v>
      </c>
      <c r="V312" s="178">
        <v>30</v>
      </c>
      <c r="W312" s="178">
        <v>0</v>
      </c>
      <c r="X312" s="179"/>
      <c r="Y312" s="179"/>
      <c r="Z312" s="180"/>
      <c r="AA312" s="181">
        <v>0</v>
      </c>
      <c r="AB312" s="178">
        <v>1</v>
      </c>
      <c r="AC312" s="177"/>
      <c r="AD312" s="182"/>
      <c r="AE312" s="183">
        <v>0</v>
      </c>
      <c r="AF312" s="195">
        <v>0</v>
      </c>
      <c r="AG312" s="185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  <c r="BD312" s="186"/>
      <c r="BE312" s="186"/>
      <c r="BF312" s="186"/>
      <c r="BG312" s="186"/>
      <c r="BH312" s="186"/>
      <c r="BI312" s="186"/>
      <c r="BJ312" s="186"/>
      <c r="BK312" s="186"/>
      <c r="BL312" s="186"/>
      <c r="BM312" s="186"/>
      <c r="BN312" s="186"/>
      <c r="BO312" s="186"/>
      <c r="BP312" s="186"/>
      <c r="BQ312" s="186"/>
      <c r="BR312" s="186"/>
      <c r="BS312" s="186"/>
      <c r="BT312" s="186"/>
      <c r="BU312" s="186" t="str">
        <f>"   " &amp; TEXT(AF312,"#0.00%") &amp; " "</f>
        <v xml:space="preserve">   0.00% </v>
      </c>
      <c r="BV312" s="186"/>
      <c r="BW312" s="186"/>
      <c r="BX312" s="186"/>
      <c r="BY312" s="186" t="str">
        <f>"     " &amp; "기구 Set-up" &amp; " " &amp; IF(Q312="","",TEXT(Q312,"M/D-")) &amp; IF(R312="","",TEXT(R312,"M/D")) &amp; " "</f>
        <v xml:space="preserve">     기구 Set-up 2/15-3/16 </v>
      </c>
      <c r="BZ312" s="186"/>
      <c r="CA312" s="186"/>
      <c r="CB312" s="186"/>
      <c r="CC312" s="186"/>
      <c r="CD312" s="186"/>
      <c r="CE312" s="186"/>
      <c r="CF312" s="186"/>
      <c r="CG312" s="186"/>
      <c r="CH312" s="186"/>
      <c r="CI312" s="186"/>
      <c r="CJ312" s="186"/>
      <c r="CK312" s="186"/>
      <c r="CL312" s="186"/>
      <c r="CM312" s="186"/>
      <c r="CN312" s="186"/>
      <c r="CO312" s="186"/>
    </row>
    <row r="313" spans="1:93" ht="15" customHeight="1" outlineLevel="4" x14ac:dyDescent="0.4">
      <c r="A313" s="172"/>
      <c r="B313" s="172"/>
      <c r="C313" s="172">
        <v>5</v>
      </c>
      <c r="D313" s="173" t="s">
        <v>2269</v>
      </c>
      <c r="E313" s="174"/>
      <c r="F313" s="174"/>
      <c r="G313" s="174"/>
      <c r="H313" s="174"/>
      <c r="I313" s="174" t="s">
        <v>2236</v>
      </c>
      <c r="J313" s="174"/>
      <c r="K313" s="174"/>
      <c r="L313" s="174"/>
      <c r="M313" s="174"/>
      <c r="N313" s="174"/>
      <c r="O313" s="175" t="s">
        <v>1941</v>
      </c>
      <c r="P313" s="175" t="s">
        <v>1888</v>
      </c>
      <c r="Q313" s="179">
        <v>44994</v>
      </c>
      <c r="R313" s="179">
        <v>45009</v>
      </c>
      <c r="S313" s="177">
        <f>R313-Q313</f>
        <v>15</v>
      </c>
      <c r="T313" s="178">
        <v>16</v>
      </c>
      <c r="U313" s="178">
        <v>0</v>
      </c>
      <c r="V313" s="178">
        <v>16</v>
      </c>
      <c r="W313" s="178">
        <v>0</v>
      </c>
      <c r="X313" s="179"/>
      <c r="Y313" s="179"/>
      <c r="Z313" s="180"/>
      <c r="AA313" s="181">
        <v>0</v>
      </c>
      <c r="AB313" s="178">
        <v>1</v>
      </c>
      <c r="AC313" s="177"/>
      <c r="AD313" s="182"/>
      <c r="AE313" s="183">
        <v>0</v>
      </c>
      <c r="AF313" s="195">
        <v>0</v>
      </c>
      <c r="AG313" s="185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  <c r="BD313" s="186"/>
      <c r="BE313" s="186"/>
      <c r="BF313" s="186"/>
      <c r="BG313" s="186"/>
      <c r="BH313" s="186"/>
      <c r="BI313" s="186"/>
      <c r="BJ313" s="186"/>
      <c r="BK313" s="186"/>
      <c r="BL313" s="186"/>
      <c r="BM313" s="186"/>
      <c r="BN313" s="186"/>
      <c r="BO313" s="186"/>
      <c r="BP313" s="186"/>
      <c r="BQ313" s="186"/>
      <c r="BR313" s="186"/>
      <c r="BS313" s="186"/>
      <c r="BT313" s="186"/>
      <c r="BU313" s="186"/>
      <c r="BV313" s="186"/>
      <c r="BW313" s="186"/>
      <c r="BX313" s="186" t="str">
        <f>"    " &amp; TEXT(AF313,"#0.00%") &amp; " " &amp; "기내 배선 및 전장 Set-up" &amp; " " &amp; IF(Q313="","",TEXT(Q313,"M/D-")) &amp; IF(R313="","",TEXT(R313,"M/D")) &amp; " "</f>
        <v xml:space="preserve">    0.00% 기내 배선 및 전장 Set-up 3/9-3/24 </v>
      </c>
      <c r="BY313" s="186"/>
      <c r="BZ313" s="186"/>
      <c r="CA313" s="186"/>
      <c r="CB313" s="186"/>
      <c r="CC313" s="186"/>
      <c r="CD313" s="186"/>
      <c r="CE313" s="186"/>
      <c r="CF313" s="186"/>
      <c r="CG313" s="186"/>
      <c r="CH313" s="186"/>
      <c r="CI313" s="186"/>
      <c r="CJ313" s="186"/>
      <c r="CK313" s="186"/>
      <c r="CL313" s="186"/>
      <c r="CM313" s="186"/>
      <c r="CN313" s="186"/>
      <c r="CO313" s="186"/>
    </row>
    <row r="314" spans="1:93" ht="15" customHeight="1" outlineLevel="4" x14ac:dyDescent="0.4">
      <c r="A314" s="172"/>
      <c r="B314" s="172"/>
      <c r="C314" s="172">
        <v>5</v>
      </c>
      <c r="D314" s="173" t="s">
        <v>2270</v>
      </c>
      <c r="E314" s="174"/>
      <c r="F314" s="174"/>
      <c r="G314" s="174"/>
      <c r="H314" s="174"/>
      <c r="I314" s="174" t="s">
        <v>2238</v>
      </c>
      <c r="J314" s="174"/>
      <c r="K314" s="174"/>
      <c r="L314" s="174"/>
      <c r="M314" s="174"/>
      <c r="N314" s="174"/>
      <c r="O314" s="175" t="s">
        <v>1941</v>
      </c>
      <c r="P314" s="175" t="s">
        <v>1888</v>
      </c>
      <c r="Q314" s="179">
        <v>45010</v>
      </c>
      <c r="R314" s="179">
        <v>45025</v>
      </c>
      <c r="S314" s="177">
        <f>R314-Q314</f>
        <v>15</v>
      </c>
      <c r="T314" s="178">
        <v>16</v>
      </c>
      <c r="U314" s="178">
        <v>0</v>
      </c>
      <c r="V314" s="178">
        <v>16</v>
      </c>
      <c r="W314" s="178">
        <v>0</v>
      </c>
      <c r="X314" s="179"/>
      <c r="Y314" s="179"/>
      <c r="Z314" s="180"/>
      <c r="AA314" s="181">
        <v>0</v>
      </c>
      <c r="AB314" s="178">
        <v>1</v>
      </c>
      <c r="AC314" s="177"/>
      <c r="AD314" s="182"/>
      <c r="AE314" s="183">
        <v>0</v>
      </c>
      <c r="AF314" s="195">
        <v>0</v>
      </c>
      <c r="AG314" s="185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  <c r="BG314" s="186"/>
      <c r="BH314" s="186"/>
      <c r="BI314" s="186"/>
      <c r="BJ314" s="186"/>
      <c r="BK314" s="186"/>
      <c r="BL314" s="186"/>
      <c r="BM314" s="186"/>
      <c r="BN314" s="186"/>
      <c r="BO314" s="186"/>
      <c r="BP314" s="186"/>
      <c r="BQ314" s="186"/>
      <c r="BR314" s="186"/>
      <c r="BS314" s="186"/>
      <c r="BT314" s="186"/>
      <c r="BU314" s="186"/>
      <c r="BV314" s="186"/>
      <c r="BW314" s="186"/>
      <c r="BX314" s="186"/>
      <c r="BY314" s="186"/>
      <c r="BZ314" s="186" t="str">
        <f>"      " &amp; TEXT(AF314,"#0.00%") &amp; " " &amp; "I/O Check 및 단동 Test" &amp; " " &amp; IF(Q314="","",TEXT(Q314,"M/D-")) &amp; IF(R314="","",TEXT(R314,"M/D")) &amp; " "</f>
        <v xml:space="preserve">      0.00% I/O Check 및 단동 Test 3/25-4/9 </v>
      </c>
      <c r="CA314" s="186"/>
      <c r="CB314" s="186"/>
      <c r="CC314" s="186"/>
      <c r="CD314" s="186"/>
      <c r="CE314" s="186"/>
      <c r="CF314" s="186"/>
      <c r="CG314" s="186"/>
      <c r="CH314" s="186"/>
      <c r="CI314" s="186"/>
      <c r="CJ314" s="186"/>
      <c r="CK314" s="186"/>
      <c r="CL314" s="186"/>
      <c r="CM314" s="186"/>
      <c r="CN314" s="186"/>
      <c r="CO314" s="186"/>
    </row>
    <row r="315" spans="1:93" ht="15" customHeight="1" outlineLevel="3" x14ac:dyDescent="0.4">
      <c r="A315" s="172"/>
      <c r="B315" s="172" t="s">
        <v>1879</v>
      </c>
      <c r="C315" s="172">
        <v>4</v>
      </c>
      <c r="D315" s="173" t="s">
        <v>2271</v>
      </c>
      <c r="E315" s="174"/>
      <c r="F315" s="174"/>
      <c r="G315" s="174"/>
      <c r="H315" s="174" t="s">
        <v>2048</v>
      </c>
      <c r="I315" s="174"/>
      <c r="J315" s="174"/>
      <c r="K315" s="174"/>
      <c r="L315" s="174"/>
      <c r="M315" s="174"/>
      <c r="N315" s="174"/>
      <c r="O315" s="175" t="s">
        <v>1941</v>
      </c>
      <c r="P315" s="175" t="s">
        <v>1888</v>
      </c>
      <c r="Q315" s="179">
        <v>44987</v>
      </c>
      <c r="R315" s="179">
        <v>45040</v>
      </c>
      <c r="S315" s="177"/>
      <c r="T315" s="178">
        <v>62</v>
      </c>
      <c r="U315" s="178">
        <v>0</v>
      </c>
      <c r="V315" s="178">
        <v>54</v>
      </c>
      <c r="W315" s="178">
        <v>0</v>
      </c>
      <c r="X315" s="179"/>
      <c r="Y315" s="179"/>
      <c r="Z315" s="180">
        <v>0</v>
      </c>
      <c r="AA315" s="181">
        <v>0</v>
      </c>
      <c r="AB315" s="178"/>
      <c r="AC315" s="177"/>
      <c r="AD315" s="182"/>
      <c r="AE315" s="183">
        <v>0</v>
      </c>
      <c r="AF315" s="207">
        <v>0</v>
      </c>
      <c r="AG315" s="185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6"/>
      <c r="BD315" s="186"/>
      <c r="BE315" s="186"/>
      <c r="BF315" s="186"/>
      <c r="BG315" s="186"/>
      <c r="BH315" s="186"/>
      <c r="BI315" s="186"/>
      <c r="BJ315" s="186"/>
      <c r="BK315" s="186"/>
      <c r="BL315" s="186"/>
      <c r="BM315" s="186"/>
      <c r="BN315" s="186"/>
      <c r="BO315" s="186"/>
      <c r="BP315" s="186"/>
      <c r="BQ315" s="186"/>
      <c r="BR315" s="186"/>
      <c r="BS315" s="186"/>
      <c r="BT315" s="186"/>
      <c r="BU315" s="186"/>
      <c r="BV315" s="186"/>
      <c r="BW315" s="186" t="str">
        <f>"    " &amp; TEXT(AF315,"#0.00%") &amp; " "</f>
        <v xml:space="preserve">    0.00% </v>
      </c>
      <c r="BX315" s="186"/>
      <c r="BY315" s="186"/>
      <c r="BZ315" s="186"/>
      <c r="CA315" s="186"/>
      <c r="CB315" s="186"/>
      <c r="CC315" s="186"/>
      <c r="CD315" s="186"/>
      <c r="CE315" s="186" t="str">
        <f>"  " &amp; "상온,고온 Aging" &amp; " " &amp; IF(Q315="","",TEXT(Q315,"M/D-")) &amp; IF(R315="","",TEXT(R315,"M/D")) &amp; " "</f>
        <v xml:space="preserve">  상온,고온 Aging 3/2-4/24 </v>
      </c>
      <c r="CF315" s="186"/>
      <c r="CG315" s="186"/>
      <c r="CH315" s="186"/>
      <c r="CI315" s="186"/>
      <c r="CJ315" s="186"/>
      <c r="CK315" s="186"/>
      <c r="CL315" s="186"/>
      <c r="CM315" s="186"/>
      <c r="CN315" s="186"/>
      <c r="CO315" s="186"/>
    </row>
    <row r="316" spans="1:93" ht="15" customHeight="1" outlineLevel="4" x14ac:dyDescent="0.4">
      <c r="A316" s="172"/>
      <c r="B316" s="172"/>
      <c r="C316" s="172">
        <v>5</v>
      </c>
      <c r="D316" s="173" t="s">
        <v>2272</v>
      </c>
      <c r="E316" s="174"/>
      <c r="F316" s="174"/>
      <c r="G316" s="174"/>
      <c r="H316" s="174"/>
      <c r="I316" s="174" t="s">
        <v>2234</v>
      </c>
      <c r="J316" s="174"/>
      <c r="K316" s="174"/>
      <c r="L316" s="174"/>
      <c r="M316" s="174"/>
      <c r="N316" s="174"/>
      <c r="O316" s="175" t="s">
        <v>1941</v>
      </c>
      <c r="P316" s="175" t="s">
        <v>1888</v>
      </c>
      <c r="Q316" s="179">
        <v>44987</v>
      </c>
      <c r="R316" s="179">
        <v>45016</v>
      </c>
      <c r="S316" s="177">
        <f>R316-Q316</f>
        <v>29</v>
      </c>
      <c r="T316" s="178">
        <v>30</v>
      </c>
      <c r="U316" s="178">
        <v>0</v>
      </c>
      <c r="V316" s="178">
        <v>30</v>
      </c>
      <c r="W316" s="178">
        <v>0</v>
      </c>
      <c r="X316" s="179"/>
      <c r="Y316" s="179"/>
      <c r="Z316" s="180"/>
      <c r="AA316" s="181">
        <v>0</v>
      </c>
      <c r="AB316" s="178">
        <v>1</v>
      </c>
      <c r="AC316" s="177"/>
      <c r="AD316" s="182"/>
      <c r="AE316" s="183">
        <v>0</v>
      </c>
      <c r="AF316" s="195">
        <v>0</v>
      </c>
      <c r="AG316" s="185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  <c r="BG316" s="186"/>
      <c r="BH316" s="186"/>
      <c r="BI316" s="186"/>
      <c r="BJ316" s="186"/>
      <c r="BK316" s="186"/>
      <c r="BL316" s="186"/>
      <c r="BM316" s="186"/>
      <c r="BN316" s="186"/>
      <c r="BO316" s="186"/>
      <c r="BP316" s="186"/>
      <c r="BQ316" s="186"/>
      <c r="BR316" s="186"/>
      <c r="BS316" s="186"/>
      <c r="BT316" s="186"/>
      <c r="BU316" s="186"/>
      <c r="BV316" s="186"/>
      <c r="BW316" s="186" t="str">
        <f>"    " &amp; TEXT(AF316,"#0.00%") &amp; " "</f>
        <v xml:space="preserve">    0.00% </v>
      </c>
      <c r="BX316" s="186"/>
      <c r="BY316" s="186"/>
      <c r="BZ316" s="186"/>
      <c r="CA316" s="186" t="str">
        <f>"      " &amp; "기구 Set-up" &amp; " " &amp; IF(Q316="","",TEXT(Q316,"M/D-")) &amp; IF(R316="","",TEXT(R316,"M/D")) &amp; " "</f>
        <v xml:space="preserve">      기구 Set-up 3/2-3/31 </v>
      </c>
      <c r="CB316" s="186"/>
      <c r="CC316" s="186"/>
      <c r="CD316" s="186"/>
      <c r="CE316" s="186"/>
      <c r="CF316" s="186"/>
      <c r="CG316" s="186"/>
      <c r="CH316" s="186"/>
      <c r="CI316" s="186"/>
      <c r="CJ316" s="186"/>
      <c r="CK316" s="186"/>
      <c r="CL316" s="186"/>
      <c r="CM316" s="186"/>
      <c r="CN316" s="186"/>
      <c r="CO316" s="186"/>
    </row>
    <row r="317" spans="1:93" ht="15" customHeight="1" outlineLevel="4" x14ac:dyDescent="0.4">
      <c r="A317" s="172"/>
      <c r="B317" s="172"/>
      <c r="C317" s="172">
        <v>5</v>
      </c>
      <c r="D317" s="173" t="s">
        <v>2273</v>
      </c>
      <c r="E317" s="174"/>
      <c r="F317" s="174"/>
      <c r="G317" s="174"/>
      <c r="H317" s="174"/>
      <c r="I317" s="174" t="s">
        <v>2236</v>
      </c>
      <c r="J317" s="174"/>
      <c r="K317" s="174"/>
      <c r="L317" s="174"/>
      <c r="M317" s="174"/>
      <c r="N317" s="174"/>
      <c r="O317" s="175" t="s">
        <v>1941</v>
      </c>
      <c r="P317" s="175" t="s">
        <v>1888</v>
      </c>
      <c r="Q317" s="179">
        <v>45009</v>
      </c>
      <c r="R317" s="179">
        <v>45024</v>
      </c>
      <c r="S317" s="177">
        <f>R317-Q317</f>
        <v>15</v>
      </c>
      <c r="T317" s="178">
        <v>16</v>
      </c>
      <c r="U317" s="178">
        <v>0</v>
      </c>
      <c r="V317" s="178">
        <v>16</v>
      </c>
      <c r="W317" s="178">
        <v>0</v>
      </c>
      <c r="X317" s="179"/>
      <c r="Y317" s="179"/>
      <c r="Z317" s="180"/>
      <c r="AA317" s="181">
        <v>0</v>
      </c>
      <c r="AB317" s="178">
        <v>1</v>
      </c>
      <c r="AC317" s="177"/>
      <c r="AD317" s="182"/>
      <c r="AE317" s="183">
        <v>0</v>
      </c>
      <c r="AF317" s="195">
        <v>0</v>
      </c>
      <c r="AG317" s="185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  <c r="BO317" s="186"/>
      <c r="BP317" s="186"/>
      <c r="BQ317" s="186"/>
      <c r="BR317" s="186"/>
      <c r="BS317" s="186"/>
      <c r="BT317" s="186"/>
      <c r="BU317" s="186"/>
      <c r="BV317" s="186"/>
      <c r="BW317" s="186"/>
      <c r="BX317" s="186"/>
      <c r="BY317" s="186"/>
      <c r="BZ317" s="186" t="str">
        <f>"     " &amp; TEXT(AF317,"#0.00%") &amp; " " &amp; "기내 배선 및 전장 Set-up" &amp; " " &amp; IF(Q317="","",TEXT(Q317,"M/D-")) &amp; IF(R317="","",TEXT(R317,"M/D")) &amp; " "</f>
        <v xml:space="preserve">     0.00% 기내 배선 및 전장 Set-up 3/24-4/8 </v>
      </c>
      <c r="CA317" s="186"/>
      <c r="CB317" s="186"/>
      <c r="CC317" s="186"/>
      <c r="CD317" s="186"/>
      <c r="CE317" s="186"/>
      <c r="CF317" s="186"/>
      <c r="CG317" s="186"/>
      <c r="CH317" s="186"/>
      <c r="CI317" s="186"/>
      <c r="CJ317" s="186"/>
      <c r="CK317" s="186"/>
      <c r="CL317" s="186"/>
      <c r="CM317" s="186"/>
      <c r="CN317" s="186"/>
      <c r="CO317" s="186"/>
    </row>
    <row r="318" spans="1:93" ht="15" customHeight="1" outlineLevel="4" x14ac:dyDescent="0.4">
      <c r="A318" s="172"/>
      <c r="B318" s="172"/>
      <c r="C318" s="172">
        <v>5</v>
      </c>
      <c r="D318" s="173" t="s">
        <v>2274</v>
      </c>
      <c r="E318" s="174"/>
      <c r="F318" s="174"/>
      <c r="G318" s="174"/>
      <c r="H318" s="174"/>
      <c r="I318" s="174" t="s">
        <v>2238</v>
      </c>
      <c r="J318" s="174"/>
      <c r="K318" s="174"/>
      <c r="L318" s="174"/>
      <c r="M318" s="174"/>
      <c r="N318" s="174"/>
      <c r="O318" s="175" t="s">
        <v>1941</v>
      </c>
      <c r="P318" s="175" t="s">
        <v>1888</v>
      </c>
      <c r="Q318" s="179">
        <v>45025</v>
      </c>
      <c r="R318" s="179">
        <v>45040</v>
      </c>
      <c r="S318" s="177">
        <f>R318-Q318</f>
        <v>15</v>
      </c>
      <c r="T318" s="178">
        <v>16</v>
      </c>
      <c r="U318" s="178">
        <v>0</v>
      </c>
      <c r="V318" s="178">
        <v>16</v>
      </c>
      <c r="W318" s="178">
        <v>0</v>
      </c>
      <c r="X318" s="179"/>
      <c r="Y318" s="179"/>
      <c r="Z318" s="180"/>
      <c r="AA318" s="181">
        <v>0</v>
      </c>
      <c r="AB318" s="178">
        <v>1</v>
      </c>
      <c r="AC318" s="177"/>
      <c r="AD318" s="182"/>
      <c r="AE318" s="183">
        <v>0</v>
      </c>
      <c r="AF318" s="195">
        <v>0</v>
      </c>
      <c r="AG318" s="185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  <c r="BO318" s="186"/>
      <c r="BP318" s="186"/>
      <c r="BQ318" s="186"/>
      <c r="BR318" s="186"/>
      <c r="BS318" s="186"/>
      <c r="BT318" s="186"/>
      <c r="BU318" s="186"/>
      <c r="BV318" s="186"/>
      <c r="BW318" s="186"/>
      <c r="BX318" s="186"/>
      <c r="BY318" s="186"/>
      <c r="BZ318" s="186"/>
      <c r="CA318" s="186"/>
      <c r="CB318" s="186"/>
      <c r="CC318" s="186" t="str">
        <f>"" &amp; TEXT(AF318,"#0.00%") &amp; " " &amp; "I/O Check 및 단동 Test" &amp; " " &amp; IF(Q318="","",TEXT(Q318,"M/D-")) &amp; IF(R318="","",TEXT(R318,"M/D")) &amp; " "</f>
        <v xml:space="preserve">0.00% I/O Check 및 단동 Test 4/9-4/24 </v>
      </c>
      <c r="CD318" s="186"/>
      <c r="CE318" s="186"/>
      <c r="CF318" s="186"/>
      <c r="CG318" s="186"/>
      <c r="CH318" s="186"/>
      <c r="CI318" s="186"/>
      <c r="CJ318" s="186"/>
      <c r="CK318" s="186"/>
      <c r="CL318" s="186"/>
      <c r="CM318" s="186"/>
      <c r="CN318" s="186"/>
      <c r="CO318" s="186"/>
    </row>
    <row r="319" spans="1:93" ht="15" customHeight="1" x14ac:dyDescent="0.4">
      <c r="A319" s="172"/>
      <c r="B319" s="172" t="s">
        <v>1879</v>
      </c>
      <c r="C319" s="172">
        <v>1</v>
      </c>
      <c r="D319" s="173" t="s">
        <v>2275</v>
      </c>
      <c r="E319" s="174" t="s">
        <v>2276</v>
      </c>
      <c r="F319" s="174"/>
      <c r="G319" s="174"/>
      <c r="H319" s="174"/>
      <c r="I319" s="174"/>
      <c r="J319" s="174"/>
      <c r="K319" s="174"/>
      <c r="L319" s="174"/>
      <c r="M319" s="174"/>
      <c r="N319" s="174"/>
      <c r="O319" s="175"/>
      <c r="P319" s="175"/>
      <c r="Q319" s="176">
        <v>45036</v>
      </c>
      <c r="R319" s="176">
        <v>45107</v>
      </c>
      <c r="S319" s="177"/>
      <c r="T319" s="178">
        <v>79</v>
      </c>
      <c r="U319" s="178">
        <v>0</v>
      </c>
      <c r="V319" s="178">
        <v>72</v>
      </c>
      <c r="W319" s="178">
        <v>0</v>
      </c>
      <c r="X319" s="179"/>
      <c r="Y319" s="179"/>
      <c r="Z319" s="180">
        <v>0</v>
      </c>
      <c r="AA319" s="181">
        <v>0</v>
      </c>
      <c r="AB319" s="178"/>
      <c r="AC319" s="177"/>
      <c r="AD319" s="182"/>
      <c r="AE319" s="183">
        <v>0</v>
      </c>
      <c r="AF319" s="207">
        <v>0</v>
      </c>
      <c r="AG319" s="185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  <c r="BG319" s="186"/>
      <c r="BH319" s="186"/>
      <c r="BI319" s="186"/>
      <c r="BJ319" s="186"/>
      <c r="BK319" s="186"/>
      <c r="BL319" s="186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6"/>
      <c r="BW319" s="186"/>
      <c r="BX319" s="186"/>
      <c r="BY319" s="186"/>
      <c r="BZ319" s="186"/>
      <c r="CA319" s="186"/>
      <c r="CB319" s="186"/>
      <c r="CC319" s="186"/>
      <c r="CD319" s="186" t="str">
        <f>"    " &amp; TEXT(AF319,"#0.00%") &amp; " "</f>
        <v xml:space="preserve">    0.00% </v>
      </c>
      <c r="CE319" s="186"/>
      <c r="CF319" s="186"/>
      <c r="CG319" s="186"/>
      <c r="CH319" s="186"/>
      <c r="CI319" s="186"/>
      <c r="CJ319" s="186"/>
      <c r="CK319" s="186"/>
      <c r="CL319" s="186"/>
      <c r="CM319" s="186"/>
      <c r="CN319" s="186" t="str">
        <f>"      " &amp; "연동Test" &amp; " " &amp; IF(Q319="","",TEXT(Q319,"M/D-")) &amp; IF(R319="","",TEXT(R319,"M/D")) &amp; " "</f>
        <v xml:space="preserve">      연동Test 4/20-6/30 </v>
      </c>
      <c r="CO319" s="186"/>
    </row>
    <row r="320" spans="1:93" ht="15" customHeight="1" outlineLevel="1" x14ac:dyDescent="0.4">
      <c r="A320" s="172"/>
      <c r="B320" s="172" t="s">
        <v>1879</v>
      </c>
      <c r="C320" s="172">
        <v>2</v>
      </c>
      <c r="D320" s="173" t="s">
        <v>2277</v>
      </c>
      <c r="E320" s="174"/>
      <c r="F320" s="174" t="s">
        <v>1883</v>
      </c>
      <c r="G320" s="174"/>
      <c r="H320" s="174"/>
      <c r="I320" s="174"/>
      <c r="J320" s="174"/>
      <c r="K320" s="174"/>
      <c r="L320" s="174"/>
      <c r="M320" s="174"/>
      <c r="N320" s="174"/>
      <c r="O320" s="175"/>
      <c r="P320" s="175"/>
      <c r="Q320" s="176">
        <v>45036</v>
      </c>
      <c r="R320" s="176">
        <v>45107</v>
      </c>
      <c r="S320" s="177"/>
      <c r="T320" s="178">
        <v>79</v>
      </c>
      <c r="U320" s="178">
        <v>0</v>
      </c>
      <c r="V320" s="178">
        <v>72</v>
      </c>
      <c r="W320" s="178">
        <v>0</v>
      </c>
      <c r="X320" s="179"/>
      <c r="Y320" s="179"/>
      <c r="Z320" s="180">
        <v>0</v>
      </c>
      <c r="AA320" s="181">
        <v>0</v>
      </c>
      <c r="AB320" s="178"/>
      <c r="AC320" s="177"/>
      <c r="AD320" s="182"/>
      <c r="AE320" s="183">
        <v>0</v>
      </c>
      <c r="AF320" s="207">
        <v>0</v>
      </c>
      <c r="AG320" s="185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/>
      <c r="BB320" s="186"/>
      <c r="BC320" s="186"/>
      <c r="BD320" s="186"/>
      <c r="BE320" s="186"/>
      <c r="BF320" s="186"/>
      <c r="BG320" s="186"/>
      <c r="BH320" s="186"/>
      <c r="BI320" s="186"/>
      <c r="BJ320" s="186"/>
      <c r="BK320" s="186"/>
      <c r="BL320" s="186"/>
      <c r="BM320" s="186"/>
      <c r="BN320" s="186"/>
      <c r="BO320" s="186"/>
      <c r="BP320" s="186"/>
      <c r="BQ320" s="186"/>
      <c r="BR320" s="186"/>
      <c r="BS320" s="186"/>
      <c r="BT320" s="186"/>
      <c r="BU320" s="186"/>
      <c r="BV320" s="186"/>
      <c r="BW320" s="186"/>
      <c r="BX320" s="186"/>
      <c r="BY320" s="186"/>
      <c r="BZ320" s="186"/>
      <c r="CA320" s="186"/>
      <c r="CB320" s="186"/>
      <c r="CC320" s="186"/>
      <c r="CD320" s="186" t="str">
        <f>"    " &amp; TEXT(AF320,"#0.00%") &amp; " "</f>
        <v xml:space="preserve">    0.00% </v>
      </c>
      <c r="CE320" s="186"/>
      <c r="CF320" s="186"/>
      <c r="CG320" s="186"/>
      <c r="CH320" s="186"/>
      <c r="CI320" s="186"/>
      <c r="CJ320" s="186"/>
      <c r="CK320" s="186"/>
      <c r="CL320" s="186"/>
      <c r="CM320" s="186"/>
      <c r="CN320" s="186" t="str">
        <f>"      " &amp; "SKOH2" &amp; " " &amp; IF(Q320="","",TEXT(Q320,"M/D-")) &amp; IF(R320="","",TEXT(R320,"M/D")) &amp; " "</f>
        <v xml:space="preserve">      SKOH2 4/20-6/30 </v>
      </c>
      <c r="CO320" s="186"/>
    </row>
    <row r="321" spans="1:93" ht="15" customHeight="1" outlineLevel="2" x14ac:dyDescent="0.4">
      <c r="A321" s="172"/>
      <c r="B321" s="172"/>
      <c r="C321" s="172">
        <v>3</v>
      </c>
      <c r="D321" s="173" t="s">
        <v>2278</v>
      </c>
      <c r="E321" s="174"/>
      <c r="F321" s="174"/>
      <c r="G321" s="174" t="s">
        <v>2279</v>
      </c>
      <c r="H321" s="174"/>
      <c r="I321" s="174"/>
      <c r="J321" s="174"/>
      <c r="K321" s="174"/>
      <c r="L321" s="174"/>
      <c r="M321" s="174"/>
      <c r="N321" s="174"/>
      <c r="O321" s="175"/>
      <c r="P321" s="175"/>
      <c r="Q321" s="176">
        <v>45036</v>
      </c>
      <c r="R321" s="176">
        <v>45066</v>
      </c>
      <c r="S321" s="177">
        <f>R321-Q321</f>
        <v>30</v>
      </c>
      <c r="T321" s="178">
        <v>31</v>
      </c>
      <c r="U321" s="178">
        <v>0</v>
      </c>
      <c r="V321" s="178">
        <v>31</v>
      </c>
      <c r="W321" s="178">
        <v>0</v>
      </c>
      <c r="X321" s="179"/>
      <c r="Y321" s="179"/>
      <c r="Z321" s="180"/>
      <c r="AA321" s="181">
        <v>0</v>
      </c>
      <c r="AB321" s="178">
        <v>1</v>
      </c>
      <c r="AC321" s="177"/>
      <c r="AD321" s="182"/>
      <c r="AE321" s="183">
        <v>0</v>
      </c>
      <c r="AF321" s="195">
        <v>0</v>
      </c>
      <c r="AG321" s="185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 t="str">
        <f>"    " &amp; TEXT(AF321,"#0.00%") &amp; " "</f>
        <v xml:space="preserve">    0.00% </v>
      </c>
      <c r="CE321" s="186"/>
      <c r="CF321" s="186"/>
      <c r="CG321" s="186"/>
      <c r="CH321" s="186"/>
      <c r="CI321" s="186" t="str">
        <f>"" &amp; "SW 현장설치" &amp; " " &amp; IF(Q321="","",TEXT(Q321,"M/D-")) &amp; IF(R321="","",TEXT(R321,"M/D")) &amp; " "</f>
        <v xml:space="preserve">SW 현장설치 4/20-5/20 </v>
      </c>
      <c r="CJ321" s="186"/>
      <c r="CK321" s="186"/>
      <c r="CL321" s="186"/>
      <c r="CM321" s="186"/>
      <c r="CN321" s="186"/>
      <c r="CO321" s="186"/>
    </row>
    <row r="322" spans="1:93" ht="15" customHeight="1" outlineLevel="2" x14ac:dyDescent="0.4">
      <c r="A322" s="172"/>
      <c r="B322" s="172"/>
      <c r="C322" s="172">
        <v>3</v>
      </c>
      <c r="D322" s="173" t="s">
        <v>2280</v>
      </c>
      <c r="E322" s="174"/>
      <c r="F322" s="174"/>
      <c r="G322" s="174" t="s">
        <v>2281</v>
      </c>
      <c r="H322" s="174"/>
      <c r="I322" s="174"/>
      <c r="J322" s="174"/>
      <c r="K322" s="174"/>
      <c r="L322" s="174"/>
      <c r="M322" s="174"/>
      <c r="N322" s="174"/>
      <c r="O322" s="175"/>
      <c r="P322" s="175"/>
      <c r="Q322" s="176">
        <v>45066</v>
      </c>
      <c r="R322" s="176">
        <v>45087</v>
      </c>
      <c r="S322" s="177">
        <f>R322-Q322</f>
        <v>21</v>
      </c>
      <c r="T322" s="178">
        <v>22</v>
      </c>
      <c r="U322" s="178">
        <v>0</v>
      </c>
      <c r="V322" s="178">
        <v>22</v>
      </c>
      <c r="W322" s="178">
        <v>0</v>
      </c>
      <c r="X322" s="179"/>
      <c r="Y322" s="179"/>
      <c r="Z322" s="180"/>
      <c r="AA322" s="181">
        <v>0</v>
      </c>
      <c r="AB322" s="178">
        <v>1</v>
      </c>
      <c r="AC322" s="177"/>
      <c r="AD322" s="182"/>
      <c r="AE322" s="183">
        <v>0</v>
      </c>
      <c r="AF322" s="195">
        <v>0</v>
      </c>
      <c r="AG322" s="185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6"/>
      <c r="BW322" s="186"/>
      <c r="BX322" s="186"/>
      <c r="BY322" s="186"/>
      <c r="BZ322" s="186"/>
      <c r="CA322" s="186"/>
      <c r="CB322" s="186"/>
      <c r="CC322" s="186"/>
      <c r="CD322" s="186"/>
      <c r="CE322" s="186"/>
      <c r="CF322" s="186"/>
      <c r="CG322" s="186"/>
      <c r="CH322" s="186" t="str">
        <f>"      " &amp; TEXT(AF322,"#0.00%") &amp; " "</f>
        <v xml:space="preserve">      0.00% </v>
      </c>
      <c r="CI322" s="186"/>
      <c r="CJ322" s="186"/>
      <c r="CK322" s="186"/>
      <c r="CL322" s="186" t="str">
        <f>"" &amp; "Interface Test" &amp; " " &amp; IF(Q322="","",TEXT(Q322,"M/D-")) &amp; IF(R322="","",TEXT(R322,"M/D")) &amp; " "</f>
        <v xml:space="preserve">Interface Test 5/20-6/10 </v>
      </c>
      <c r="CM322" s="186"/>
      <c r="CN322" s="186"/>
      <c r="CO322" s="186"/>
    </row>
    <row r="323" spans="1:93" ht="15" customHeight="1" outlineLevel="2" x14ac:dyDescent="0.4">
      <c r="A323" s="172"/>
      <c r="B323" s="172"/>
      <c r="C323" s="172">
        <v>3</v>
      </c>
      <c r="D323" s="173" t="s">
        <v>2282</v>
      </c>
      <c r="E323" s="174"/>
      <c r="F323" s="174"/>
      <c r="G323" s="174" t="s">
        <v>2283</v>
      </c>
      <c r="H323" s="174"/>
      <c r="I323" s="174"/>
      <c r="J323" s="174"/>
      <c r="K323" s="174"/>
      <c r="L323" s="174"/>
      <c r="M323" s="174"/>
      <c r="N323" s="174"/>
      <c r="O323" s="175"/>
      <c r="P323" s="175"/>
      <c r="Q323" s="176">
        <v>45082</v>
      </c>
      <c r="R323" s="176">
        <v>45107</v>
      </c>
      <c r="S323" s="177">
        <f>R323-Q323</f>
        <v>25</v>
      </c>
      <c r="T323" s="178">
        <v>26</v>
      </c>
      <c r="U323" s="178">
        <v>0</v>
      </c>
      <c r="V323" s="178">
        <v>26</v>
      </c>
      <c r="W323" s="178">
        <v>0</v>
      </c>
      <c r="X323" s="179"/>
      <c r="Y323" s="179"/>
      <c r="Z323" s="180"/>
      <c r="AA323" s="181">
        <v>0</v>
      </c>
      <c r="AB323" s="178">
        <v>1</v>
      </c>
      <c r="AC323" s="177"/>
      <c r="AD323" s="182"/>
      <c r="AE323" s="183">
        <v>0</v>
      </c>
      <c r="AF323" s="195">
        <v>0</v>
      </c>
      <c r="AG323" s="185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6"/>
      <c r="BL323" s="186"/>
      <c r="BM323" s="186"/>
      <c r="BN323" s="186"/>
      <c r="BO323" s="186"/>
      <c r="BP323" s="186"/>
      <c r="BQ323" s="186"/>
      <c r="BR323" s="186"/>
      <c r="BS323" s="186"/>
      <c r="BT323" s="186"/>
      <c r="BU323" s="186"/>
      <c r="BV323" s="186"/>
      <c r="BW323" s="186"/>
      <c r="BX323" s="186"/>
      <c r="BY323" s="186"/>
      <c r="BZ323" s="186"/>
      <c r="CA323" s="186"/>
      <c r="CB323" s="186"/>
      <c r="CC323" s="186"/>
      <c r="CD323" s="186"/>
      <c r="CE323" s="186"/>
      <c r="CF323" s="186"/>
      <c r="CG323" s="186"/>
      <c r="CH323" s="186"/>
      <c r="CI323" s="186"/>
      <c r="CJ323" s="186"/>
      <c r="CK323" s="186" t="str">
        <f>" " &amp; TEXT(AF323,"#0.00%") &amp; " "</f>
        <v xml:space="preserve"> 0.00% </v>
      </c>
      <c r="CL323" s="186"/>
      <c r="CM323" s="186"/>
      <c r="CN323" s="186" t="str">
        <f>"      " &amp; "연동 Test 및 사용자운영교육" &amp; " " &amp; IF(Q323="","",TEXT(Q323,"M/D-")) &amp; IF(R323="","",TEXT(R323,"M/D")) &amp; " "</f>
        <v xml:space="preserve">      연동 Test 및 사용자운영교육 6/5-6/30 </v>
      </c>
      <c r="CO323" s="186"/>
    </row>
    <row r="324" spans="1:93" ht="15" customHeight="1" x14ac:dyDescent="0.4">
      <c r="A324" s="220"/>
      <c r="B324" s="220"/>
      <c r="C324" s="220"/>
      <c r="D324" s="221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223"/>
      <c r="P324" s="223"/>
      <c r="Q324" s="224"/>
      <c r="R324" s="224"/>
      <c r="S324" s="225"/>
      <c r="T324" s="226"/>
      <c r="U324" s="226"/>
      <c r="V324" s="226"/>
      <c r="W324" s="226"/>
      <c r="X324" s="224"/>
      <c r="Y324" s="224"/>
      <c r="Z324" s="227"/>
      <c r="AA324" s="228"/>
      <c r="AB324" s="226"/>
      <c r="AC324" s="225"/>
      <c r="AD324" s="229"/>
      <c r="AE324" s="230"/>
      <c r="AF324" s="231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32"/>
      <c r="AU324" s="232"/>
      <c r="AV324" s="232"/>
      <c r="AW324" s="232"/>
      <c r="AX324" s="232"/>
      <c r="AY324" s="232"/>
      <c r="AZ324" s="232"/>
      <c r="BA324" s="232"/>
      <c r="BB324" s="232"/>
      <c r="BC324" s="232"/>
      <c r="BD324" s="232"/>
      <c r="BE324" s="232"/>
      <c r="BF324" s="232"/>
      <c r="BG324" s="232"/>
      <c r="BH324" s="232"/>
      <c r="BI324" s="232"/>
      <c r="BJ324" s="232"/>
      <c r="BK324" s="232"/>
      <c r="BL324" s="232"/>
      <c r="BM324" s="232"/>
      <c r="BN324" s="232"/>
      <c r="BO324" s="232"/>
      <c r="BP324" s="232"/>
      <c r="BQ324" s="232"/>
      <c r="BR324" s="232"/>
      <c r="BS324" s="232"/>
      <c r="BT324" s="232"/>
      <c r="BU324" s="232"/>
      <c r="BV324" s="232"/>
      <c r="BW324" s="232"/>
      <c r="BX324" s="232"/>
      <c r="BY324" s="232"/>
      <c r="BZ324" s="232"/>
      <c r="CA324" s="232"/>
      <c r="CB324" s="232"/>
      <c r="CC324" s="232"/>
      <c r="CD324" s="232"/>
      <c r="CE324" s="232"/>
      <c r="CF324" s="232"/>
      <c r="CG324" s="232"/>
      <c r="CH324" s="232"/>
      <c r="CI324" s="232"/>
      <c r="CJ324" s="232"/>
      <c r="CK324" s="232"/>
      <c r="CL324" s="232"/>
      <c r="CM324" s="232"/>
      <c r="CN324" s="232"/>
      <c r="CO324" s="232"/>
    </row>
    <row r="327" spans="1:93" ht="12" customHeight="1" x14ac:dyDescent="0.4">
      <c r="S327" s="177"/>
    </row>
    <row r="328" spans="1:93" ht="12" customHeight="1" x14ac:dyDescent="0.4">
      <c r="S328" s="177"/>
    </row>
    <row r="329" spans="1:93" ht="12" customHeight="1" x14ac:dyDescent="0.4">
      <c r="S329" s="177"/>
    </row>
  </sheetData>
  <sheetProtection formatCells="0" formatColumns="0" formatRows="0" insertColumns="0" insertRows="0" insertHyperlinks="0" deleteColumns="0" deleteRows="0" sort="0" autoFilter="0" pivotTables="0"/>
  <dataConsolidate/>
  <mergeCells count="53">
    <mergeCell ref="AW2:AZ2"/>
    <mergeCell ref="D1:AE2"/>
    <mergeCell ref="AG2:AJ2"/>
    <mergeCell ref="AK2:AN2"/>
    <mergeCell ref="AO2:AR2"/>
    <mergeCell ref="AS2:AV2"/>
    <mergeCell ref="BY2:CB2"/>
    <mergeCell ref="CC2:CF2"/>
    <mergeCell ref="CG2:CJ2"/>
    <mergeCell ref="CK2:CN2"/>
    <mergeCell ref="A3:A4"/>
    <mergeCell ref="B3:B4"/>
    <mergeCell ref="C3:C4"/>
    <mergeCell ref="D3:D4"/>
    <mergeCell ref="E3:N4"/>
    <mergeCell ref="O3:O4"/>
    <mergeCell ref="BA2:BD2"/>
    <mergeCell ref="BE2:BH2"/>
    <mergeCell ref="BI2:BL2"/>
    <mergeCell ref="BM2:BP2"/>
    <mergeCell ref="BQ2:BT2"/>
    <mergeCell ref="BU2:BX2"/>
    <mergeCell ref="AB3:AB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BI3:BL3"/>
    <mergeCell ref="AC3:AC4"/>
    <mergeCell ref="AD3:AD4"/>
    <mergeCell ref="AE3:AE4"/>
    <mergeCell ref="AF3:AF4"/>
    <mergeCell ref="AG3:AJ3"/>
    <mergeCell ref="AK3:AN3"/>
    <mergeCell ref="AO3:AR3"/>
    <mergeCell ref="AS3:AV3"/>
    <mergeCell ref="AW3:AZ3"/>
    <mergeCell ref="BA3:BD3"/>
    <mergeCell ref="BE3:BH3"/>
    <mergeCell ref="CK3:CN3"/>
    <mergeCell ref="BM3:BP3"/>
    <mergeCell ref="BQ3:BT3"/>
    <mergeCell ref="BU3:BX3"/>
    <mergeCell ref="BY3:CB3"/>
    <mergeCell ref="CC3:CF3"/>
    <mergeCell ref="CG3:CJ3"/>
  </mergeCells>
  <phoneticPr fontId="1" type="noConversion"/>
  <conditionalFormatting sqref="D5:AE323">
    <cfRule type="expression" dxfId="26" priority="1">
      <formula>($AF5=1)</formula>
    </cfRule>
    <cfRule type="expression" dxfId="25" priority="2">
      <formula>($B5="G")</formula>
    </cfRule>
  </conditionalFormatting>
  <hyperlinks>
    <hyperlink ref="AG1:BK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8" fitToHeight="0" orientation="portrait" r:id="rId2"/>
  <headerFooter alignWithMargins="0">
    <oddFooter>&amp;L&amp;"-,보통"&amp;9XLGantt ©http://xlworks.net&amp;C&amp;"-,보통"&amp;9&amp;P/&amp;N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S23"/>
  <sheetViews>
    <sheetView showGridLines="0" tabSelected="1" topLeftCell="A10" zoomScale="70" zoomScaleNormal="70" zoomScaleSheetLayoutView="85" workbookViewId="0">
      <selection activeCell="A10" sqref="A10:XFD1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35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2308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6" t="s">
        <v>264</v>
      </c>
      <c r="R1" s="66" t="s">
        <v>265</v>
      </c>
      <c r="S1" s="66" t="s">
        <v>266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2300</v>
      </c>
      <c r="O2" s="376"/>
      <c r="P2" s="376"/>
      <c r="Q2" s="67" t="s">
        <v>1802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150" t="s">
        <v>15</v>
      </c>
      <c r="G4" s="50" t="s">
        <v>7</v>
      </c>
      <c r="H4" s="55" t="s">
        <v>3</v>
      </c>
      <c r="I4" s="378"/>
      <c r="J4" s="49" t="s">
        <v>5</v>
      </c>
      <c r="K4" s="49" t="s">
        <v>6</v>
      </c>
      <c r="L4" s="49" t="s">
        <v>9</v>
      </c>
      <c r="M4" s="381"/>
      <c r="N4" s="48" t="s">
        <v>5</v>
      </c>
      <c r="O4" s="48" t="s">
        <v>6</v>
      </c>
      <c r="P4" s="48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39" customHeight="1" x14ac:dyDescent="0.4">
      <c r="A6" s="109">
        <v>1</v>
      </c>
      <c r="B6" s="153" t="s">
        <v>17</v>
      </c>
      <c r="C6" s="247" t="s">
        <v>675</v>
      </c>
      <c r="D6" s="154" t="s">
        <v>2287</v>
      </c>
      <c r="E6" s="59" t="s">
        <v>191</v>
      </c>
      <c r="F6" s="41">
        <v>1.3</v>
      </c>
      <c r="G6" s="57" t="s">
        <v>2288</v>
      </c>
      <c r="H6" s="101" t="s">
        <v>232</v>
      </c>
      <c r="I6" s="54" t="s">
        <v>213</v>
      </c>
      <c r="J6" s="83">
        <v>2</v>
      </c>
      <c r="K6" s="83">
        <v>2</v>
      </c>
      <c r="L6" s="152">
        <f>J6*K6</f>
        <v>4</v>
      </c>
      <c r="M6" s="54" t="s">
        <v>214</v>
      </c>
      <c r="N6" s="245">
        <v>1</v>
      </c>
      <c r="O6" s="83">
        <v>3</v>
      </c>
      <c r="P6" s="152">
        <f>N6*O6</f>
        <v>3</v>
      </c>
      <c r="Q6" s="41"/>
      <c r="R6" s="41"/>
      <c r="S6" s="41"/>
    </row>
    <row r="7" spans="1:19" ht="43.2" x14ac:dyDescent="0.4">
      <c r="A7" s="104">
        <v>2</v>
      </c>
      <c r="B7" s="387" t="s">
        <v>17</v>
      </c>
      <c r="C7" s="385" t="s">
        <v>243</v>
      </c>
      <c r="D7" s="59" t="s">
        <v>2294</v>
      </c>
      <c r="E7" s="59" t="s">
        <v>191</v>
      </c>
      <c r="F7" s="41">
        <v>4.0999999999999996</v>
      </c>
      <c r="G7" s="57" t="s">
        <v>197</v>
      </c>
      <c r="H7" s="101" t="s">
        <v>230</v>
      </c>
      <c r="I7" s="54" t="s">
        <v>213</v>
      </c>
      <c r="J7" s="41">
        <v>2</v>
      </c>
      <c r="K7" s="41">
        <v>2</v>
      </c>
      <c r="L7" s="152">
        <f t="shared" ref="L7:L18" si="0">J7*K7</f>
        <v>4</v>
      </c>
      <c r="M7" s="54" t="s">
        <v>222</v>
      </c>
      <c r="N7" s="245">
        <v>1</v>
      </c>
      <c r="O7" s="83">
        <v>2</v>
      </c>
      <c r="P7" s="152">
        <f t="shared" ref="P7:P18" si="1">N7*O7</f>
        <v>2</v>
      </c>
      <c r="Q7" s="41"/>
      <c r="R7" s="41"/>
      <c r="S7" s="41"/>
    </row>
    <row r="8" spans="1:19" ht="37.5" customHeight="1" x14ac:dyDescent="0.4">
      <c r="A8" s="109">
        <v>3</v>
      </c>
      <c r="B8" s="388"/>
      <c r="C8" s="386"/>
      <c r="D8" s="59" t="s">
        <v>2294</v>
      </c>
      <c r="E8" s="59" t="s">
        <v>191</v>
      </c>
      <c r="F8" s="41">
        <v>1.4</v>
      </c>
      <c r="G8" s="57" t="s">
        <v>198</v>
      </c>
      <c r="H8" s="101" t="s">
        <v>231</v>
      </c>
      <c r="I8" s="54" t="s">
        <v>213</v>
      </c>
      <c r="J8" s="41">
        <v>2</v>
      </c>
      <c r="K8" s="41">
        <v>1</v>
      </c>
      <c r="L8" s="152">
        <f t="shared" si="0"/>
        <v>2</v>
      </c>
      <c r="M8" s="54" t="s">
        <v>223</v>
      </c>
      <c r="N8" s="246">
        <v>1</v>
      </c>
      <c r="O8" s="41">
        <v>2</v>
      </c>
      <c r="P8" s="152">
        <f t="shared" si="1"/>
        <v>2</v>
      </c>
      <c r="Q8" s="41"/>
      <c r="R8" s="41"/>
      <c r="S8" s="41"/>
    </row>
    <row r="9" spans="1:19" ht="36" customHeight="1" x14ac:dyDescent="0.4">
      <c r="A9" s="104">
        <v>4</v>
      </c>
      <c r="B9" s="80" t="s">
        <v>494</v>
      </c>
      <c r="C9" s="247" t="s">
        <v>2289</v>
      </c>
      <c r="D9" s="154" t="s">
        <v>2290</v>
      </c>
      <c r="E9" s="59" t="s">
        <v>361</v>
      </c>
      <c r="F9" s="41">
        <v>5.8</v>
      </c>
      <c r="G9" s="57" t="s">
        <v>1803</v>
      </c>
      <c r="H9" s="101" t="s">
        <v>1804</v>
      </c>
      <c r="I9" s="54" t="s">
        <v>1805</v>
      </c>
      <c r="J9" s="41">
        <v>2</v>
      </c>
      <c r="K9" s="41">
        <v>2</v>
      </c>
      <c r="L9" s="152">
        <f t="shared" si="0"/>
        <v>4</v>
      </c>
      <c r="M9" s="54" t="s">
        <v>1806</v>
      </c>
      <c r="N9" s="246">
        <v>1</v>
      </c>
      <c r="O9" s="41">
        <v>2</v>
      </c>
      <c r="P9" s="152">
        <f t="shared" si="1"/>
        <v>2</v>
      </c>
      <c r="Q9" s="41"/>
      <c r="R9" s="41"/>
      <c r="S9" s="41"/>
    </row>
    <row r="10" spans="1:19" ht="36" customHeight="1" x14ac:dyDescent="0.4">
      <c r="A10" s="104">
        <v>6</v>
      </c>
      <c r="B10" s="80" t="s">
        <v>1041</v>
      </c>
      <c r="C10" s="247" t="s">
        <v>2312</v>
      </c>
      <c r="D10" s="59" t="s">
        <v>2311</v>
      </c>
      <c r="E10" s="59" t="s">
        <v>191</v>
      </c>
      <c r="F10" s="41">
        <v>1.6</v>
      </c>
      <c r="G10" s="87" t="s">
        <v>2293</v>
      </c>
      <c r="H10" s="57" t="s">
        <v>234</v>
      </c>
      <c r="I10" s="54" t="s">
        <v>213</v>
      </c>
      <c r="J10" s="41">
        <v>1</v>
      </c>
      <c r="K10" s="41">
        <v>2</v>
      </c>
      <c r="L10" s="152">
        <f t="shared" si="0"/>
        <v>2</v>
      </c>
      <c r="M10" s="54" t="s">
        <v>219</v>
      </c>
      <c r="N10" s="246">
        <v>1</v>
      </c>
      <c r="O10" s="41">
        <v>2</v>
      </c>
      <c r="P10" s="152">
        <f t="shared" si="1"/>
        <v>2</v>
      </c>
      <c r="Q10" s="41"/>
      <c r="R10" s="41"/>
      <c r="S10" s="41"/>
    </row>
    <row r="11" spans="1:19" ht="36" customHeight="1" x14ac:dyDescent="0.4">
      <c r="A11" s="109">
        <v>5</v>
      </c>
      <c r="B11" s="80" t="s">
        <v>1041</v>
      </c>
      <c r="C11" s="248" t="s">
        <v>2309</v>
      </c>
      <c r="D11" s="59" t="s">
        <v>2306</v>
      </c>
      <c r="E11" s="59" t="s">
        <v>191</v>
      </c>
      <c r="F11" s="41">
        <v>1.3</v>
      </c>
      <c r="G11" s="57" t="s">
        <v>2291</v>
      </c>
      <c r="H11" s="57" t="s">
        <v>232</v>
      </c>
      <c r="I11" s="54" t="s">
        <v>213</v>
      </c>
      <c r="J11" s="41">
        <v>2</v>
      </c>
      <c r="K11" s="41">
        <v>2</v>
      </c>
      <c r="L11" s="152">
        <f t="shared" si="0"/>
        <v>4</v>
      </c>
      <c r="M11" s="54" t="s">
        <v>223</v>
      </c>
      <c r="N11" s="246">
        <v>1</v>
      </c>
      <c r="O11" s="41">
        <v>3</v>
      </c>
      <c r="P11" s="152">
        <f t="shared" si="1"/>
        <v>3</v>
      </c>
      <c r="Q11" s="41"/>
      <c r="R11" s="41"/>
      <c r="S11" s="41"/>
    </row>
    <row r="12" spans="1:19" ht="36" customHeight="1" x14ac:dyDescent="0.4">
      <c r="A12" s="109">
        <v>6</v>
      </c>
      <c r="B12" s="371" t="s">
        <v>1041</v>
      </c>
      <c r="C12" s="385" t="s">
        <v>2310</v>
      </c>
      <c r="D12" s="59" t="s">
        <v>2294</v>
      </c>
      <c r="E12" s="59" t="s">
        <v>191</v>
      </c>
      <c r="F12" s="41">
        <v>1.4</v>
      </c>
      <c r="G12" s="57" t="s">
        <v>198</v>
      </c>
      <c r="H12" s="101" t="s">
        <v>231</v>
      </c>
      <c r="I12" s="54" t="s">
        <v>213</v>
      </c>
      <c r="J12" s="41">
        <v>2</v>
      </c>
      <c r="K12" s="41">
        <v>1</v>
      </c>
      <c r="L12" s="152">
        <f t="shared" ref="L12" si="2">J12*K12</f>
        <v>2</v>
      </c>
      <c r="M12" s="54" t="s">
        <v>223</v>
      </c>
      <c r="N12" s="246">
        <v>1</v>
      </c>
      <c r="O12" s="41">
        <v>2</v>
      </c>
      <c r="P12" s="152">
        <f t="shared" ref="P12" si="3">N12*O12</f>
        <v>2</v>
      </c>
      <c r="Q12" s="41"/>
      <c r="R12" s="41"/>
      <c r="S12" s="41"/>
    </row>
    <row r="13" spans="1:19" ht="36" customHeight="1" x14ac:dyDescent="0.4">
      <c r="A13" s="104">
        <v>7</v>
      </c>
      <c r="B13" s="373"/>
      <c r="C13" s="386"/>
      <c r="D13" s="59" t="s">
        <v>2292</v>
      </c>
      <c r="E13" s="59" t="s">
        <v>191</v>
      </c>
      <c r="F13" s="41">
        <v>1.6</v>
      </c>
      <c r="G13" s="87" t="s">
        <v>2293</v>
      </c>
      <c r="H13" s="101" t="s">
        <v>234</v>
      </c>
      <c r="I13" s="54" t="s">
        <v>213</v>
      </c>
      <c r="J13" s="41">
        <v>1</v>
      </c>
      <c r="K13" s="41">
        <v>2</v>
      </c>
      <c r="L13" s="152">
        <f t="shared" si="0"/>
        <v>2</v>
      </c>
      <c r="M13" s="54" t="s">
        <v>219</v>
      </c>
      <c r="N13" s="246">
        <v>1</v>
      </c>
      <c r="O13" s="41">
        <v>2</v>
      </c>
      <c r="P13" s="152">
        <f t="shared" si="1"/>
        <v>2</v>
      </c>
      <c r="Q13" s="41"/>
      <c r="R13" s="41"/>
      <c r="S13" s="41"/>
    </row>
    <row r="14" spans="1:19" ht="52.95" customHeight="1" x14ac:dyDescent="0.4">
      <c r="A14" s="109">
        <v>8</v>
      </c>
      <c r="B14" s="371" t="s">
        <v>563</v>
      </c>
      <c r="C14" s="249" t="s">
        <v>2303</v>
      </c>
      <c r="D14" s="113" t="s">
        <v>570</v>
      </c>
      <c r="E14" s="59" t="s">
        <v>191</v>
      </c>
      <c r="F14" s="113">
        <v>3.4</v>
      </c>
      <c r="G14" s="113" t="s">
        <v>377</v>
      </c>
      <c r="H14" s="250" t="s">
        <v>2307</v>
      </c>
      <c r="I14" s="112" t="s">
        <v>1082</v>
      </c>
      <c r="J14" s="2">
        <v>2</v>
      </c>
      <c r="K14" s="2">
        <v>1</v>
      </c>
      <c r="L14" s="110">
        <f t="shared" si="0"/>
        <v>2</v>
      </c>
      <c r="M14" s="74" t="s">
        <v>1084</v>
      </c>
      <c r="N14" s="2">
        <v>2</v>
      </c>
      <c r="O14" s="2">
        <v>1</v>
      </c>
      <c r="P14" s="110">
        <f t="shared" si="1"/>
        <v>2</v>
      </c>
      <c r="Q14" s="41"/>
      <c r="R14" s="41"/>
      <c r="S14" s="41"/>
    </row>
    <row r="15" spans="1:19" ht="52.95" customHeight="1" x14ac:dyDescent="0.4">
      <c r="A15" s="104">
        <v>9</v>
      </c>
      <c r="B15" s="372"/>
      <c r="C15" s="249" t="s">
        <v>2304</v>
      </c>
      <c r="D15" s="113" t="s">
        <v>570</v>
      </c>
      <c r="E15" s="59" t="s">
        <v>191</v>
      </c>
      <c r="F15" s="113">
        <v>3.4</v>
      </c>
      <c r="G15" s="113" t="s">
        <v>377</v>
      </c>
      <c r="H15" s="250" t="s">
        <v>2307</v>
      </c>
      <c r="I15" s="112" t="s">
        <v>1082</v>
      </c>
      <c r="J15" s="2">
        <v>2</v>
      </c>
      <c r="K15" s="2">
        <v>1</v>
      </c>
      <c r="L15" s="110">
        <f t="shared" si="0"/>
        <v>2</v>
      </c>
      <c r="M15" s="74" t="s">
        <v>1084</v>
      </c>
      <c r="N15" s="2">
        <v>2</v>
      </c>
      <c r="O15" s="2">
        <v>1</v>
      </c>
      <c r="P15" s="110">
        <f t="shared" si="1"/>
        <v>2</v>
      </c>
      <c r="Q15" s="41"/>
      <c r="R15" s="41"/>
      <c r="S15" s="41"/>
    </row>
    <row r="16" spans="1:19" ht="52.95" customHeight="1" x14ac:dyDescent="0.4">
      <c r="A16" s="109">
        <v>10</v>
      </c>
      <c r="B16" s="373"/>
      <c r="C16" s="249" t="s">
        <v>2305</v>
      </c>
      <c r="D16" s="113" t="s">
        <v>570</v>
      </c>
      <c r="E16" s="59" t="s">
        <v>191</v>
      </c>
      <c r="F16" s="113">
        <v>2.1</v>
      </c>
      <c r="G16" s="113" t="s">
        <v>701</v>
      </c>
      <c r="H16" s="250" t="s">
        <v>1059</v>
      </c>
      <c r="I16" s="112" t="s">
        <v>1069</v>
      </c>
      <c r="J16" s="2">
        <v>2</v>
      </c>
      <c r="K16" s="2">
        <v>1</v>
      </c>
      <c r="L16" s="110">
        <f t="shared" si="0"/>
        <v>2</v>
      </c>
      <c r="M16" s="112" t="s">
        <v>1083</v>
      </c>
      <c r="N16" s="2">
        <v>2</v>
      </c>
      <c r="O16" s="2">
        <v>1</v>
      </c>
      <c r="P16" s="110">
        <f t="shared" si="1"/>
        <v>2</v>
      </c>
      <c r="Q16" s="41"/>
      <c r="R16" s="41"/>
      <c r="S16" s="41"/>
    </row>
    <row r="17" spans="1:19" ht="52.95" customHeight="1" x14ac:dyDescent="0.4">
      <c r="A17" s="104">
        <v>11</v>
      </c>
      <c r="B17" s="371" t="s">
        <v>203</v>
      </c>
      <c r="C17" s="249" t="s">
        <v>1070</v>
      </c>
      <c r="D17" s="113" t="s">
        <v>570</v>
      </c>
      <c r="E17" s="59" t="s">
        <v>191</v>
      </c>
      <c r="F17" s="113">
        <v>1.4</v>
      </c>
      <c r="G17" s="113" t="s">
        <v>682</v>
      </c>
      <c r="H17" s="250" t="s">
        <v>1062</v>
      </c>
      <c r="I17" s="112" t="s">
        <v>1086</v>
      </c>
      <c r="J17" s="2">
        <v>2</v>
      </c>
      <c r="K17" s="2">
        <v>1</v>
      </c>
      <c r="L17" s="110">
        <f t="shared" si="0"/>
        <v>2</v>
      </c>
      <c r="M17" s="74" t="s">
        <v>1087</v>
      </c>
      <c r="N17" s="2">
        <v>1</v>
      </c>
      <c r="O17" s="2">
        <v>1</v>
      </c>
      <c r="P17" s="110">
        <f t="shared" si="1"/>
        <v>1</v>
      </c>
      <c r="Q17" s="41"/>
      <c r="R17" s="41"/>
      <c r="S17" s="41"/>
    </row>
    <row r="18" spans="1:19" ht="52.95" customHeight="1" x14ac:dyDescent="0.4">
      <c r="A18" s="109">
        <v>12</v>
      </c>
      <c r="B18" s="373"/>
      <c r="C18" s="249" t="s">
        <v>2295</v>
      </c>
      <c r="D18" s="113" t="s">
        <v>1064</v>
      </c>
      <c r="E18" s="59" t="s">
        <v>191</v>
      </c>
      <c r="F18" s="113">
        <v>1.4</v>
      </c>
      <c r="G18" s="113" t="s">
        <v>682</v>
      </c>
      <c r="H18" s="250" t="s">
        <v>1065</v>
      </c>
      <c r="I18" s="112" t="s">
        <v>1086</v>
      </c>
      <c r="J18" s="2">
        <v>2</v>
      </c>
      <c r="K18" s="2">
        <v>1</v>
      </c>
      <c r="L18" s="110">
        <f t="shared" si="0"/>
        <v>2</v>
      </c>
      <c r="M18" s="74" t="s">
        <v>1087</v>
      </c>
      <c r="N18" s="2">
        <v>1</v>
      </c>
      <c r="O18" s="2">
        <v>1</v>
      </c>
      <c r="P18" s="110">
        <f t="shared" si="1"/>
        <v>1</v>
      </c>
      <c r="Q18" s="41"/>
      <c r="R18" s="41"/>
      <c r="S18" s="41"/>
    </row>
    <row r="19" spans="1:19" ht="25.2" customHeight="1" x14ac:dyDescent="0.4">
      <c r="A19" s="389" t="s">
        <v>185</v>
      </c>
      <c r="B19" s="390"/>
      <c r="C19" s="39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392"/>
      <c r="B20" s="393"/>
      <c r="C20" s="39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5"/>
      <c r="B23" s="396"/>
      <c r="C23" s="39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35">
    <mergeCell ref="C12:C1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B14:B16"/>
    <mergeCell ref="B17:B18"/>
    <mergeCell ref="S3:S4"/>
    <mergeCell ref="Q3:Q4"/>
    <mergeCell ref="R3:R4"/>
    <mergeCell ref="I3:I4"/>
    <mergeCell ref="J3:L3"/>
    <mergeCell ref="M3:M4"/>
    <mergeCell ref="N3:P3"/>
    <mergeCell ref="F3:H3"/>
    <mergeCell ref="C7:C8"/>
    <mergeCell ref="B7:B8"/>
    <mergeCell ref="B12:B13"/>
  </mergeCells>
  <phoneticPr fontId="1" type="noConversion"/>
  <conditionalFormatting sqref="L6:L9 P6:P9 L13 P13:P18">
    <cfRule type="cellIs" dxfId="24" priority="29" operator="greaterThan">
      <formula>5</formula>
    </cfRule>
    <cfRule type="cellIs" dxfId="23" priority="30" operator="greaterThan">
      <formula>5</formula>
    </cfRule>
    <cfRule type="cellIs" dxfId="22" priority="31" operator="greaterThan">
      <formula>10</formula>
    </cfRule>
    <cfRule type="cellIs" dxfId="21" priority="32" operator="greaterThan">
      <formula>5</formula>
    </cfRule>
  </conditionalFormatting>
  <conditionalFormatting sqref="L14:L18">
    <cfRule type="cellIs" dxfId="20" priority="25" operator="greaterThan">
      <formula>5</formula>
    </cfRule>
    <cfRule type="cellIs" dxfId="19" priority="26" operator="greaterThan">
      <formula>5</formula>
    </cfRule>
    <cfRule type="cellIs" dxfId="18" priority="27" operator="greaterThan">
      <formula>10</formula>
    </cfRule>
    <cfRule type="cellIs" dxfId="17" priority="28" operator="greaterThan">
      <formula>5</formula>
    </cfRule>
  </conditionalFormatting>
  <conditionalFormatting sqref="L12">
    <cfRule type="cellIs" dxfId="16" priority="9" operator="greaterThan">
      <formula>5</formula>
    </cfRule>
    <cfRule type="cellIs" dxfId="15" priority="10" operator="greaterThan">
      <formula>5</formula>
    </cfRule>
    <cfRule type="cellIs" dxfId="14" priority="11" operator="greaterThan">
      <formula>10</formula>
    </cfRule>
    <cfRule type="cellIs" dxfId="13" priority="12" operator="greaterThan">
      <formula>5</formula>
    </cfRule>
  </conditionalFormatting>
  <conditionalFormatting sqref="P12">
    <cfRule type="cellIs" dxfId="12" priority="13" operator="greaterThan">
      <formula>5</formula>
    </cfRule>
    <cfRule type="cellIs" dxfId="11" priority="14" operator="greaterThan">
      <formula>5</formula>
    </cfRule>
    <cfRule type="cellIs" dxfId="10" priority="15" operator="greaterThan">
      <formula>10</formula>
    </cfRule>
    <cfRule type="cellIs" dxfId="9" priority="16" operator="greaterThan">
      <formula>5</formula>
    </cfRule>
  </conditionalFormatting>
  <conditionalFormatting sqref="L11 P11">
    <cfRule type="cellIs" dxfId="8" priority="5" operator="greaterThan">
      <formula>5</formula>
    </cfRule>
    <cfRule type="cellIs" dxfId="7" priority="6" operator="greaterThan">
      <formula>5</formula>
    </cfRule>
    <cfRule type="cellIs" dxfId="6" priority="7" operator="greaterThan">
      <formula>10</formula>
    </cfRule>
    <cfRule type="cellIs" dxfId="5" priority="8" operator="greaterThan">
      <formula>5</formula>
    </cfRule>
  </conditionalFormatting>
  <conditionalFormatting sqref="L10 P10">
    <cfRule type="cellIs" dxfId="3" priority="1" operator="greaterThan">
      <formula>5</formula>
    </cfRule>
    <cfRule type="cellIs" dxfId="2" priority="2" operator="greaterThan">
      <formula>5</formula>
    </cfRule>
    <cfRule type="cellIs" dxfId="1" priority="3" operator="greaterThan">
      <formula>10</formula>
    </cfRule>
    <cfRule type="cellIs" dxfId="0" priority="4" operator="greaterThan">
      <formula>5</formula>
    </cfRule>
  </conditionalFormatting>
  <dataValidations count="6">
    <dataValidation type="list" allowBlank="1" showInputMessage="1" showErrorMessage="1" sqref="K5:K6 O6 K14:K18 O14:O18">
      <formula1>"1, 2, 3, 4"</formula1>
    </dataValidation>
    <dataValidation type="list" allowBlank="1" showInputMessage="1" showErrorMessage="1" sqref="J5:J6 N6 J14:J18 N14:N18">
      <formula1>"1, 2, 3, 4, 5"</formula1>
    </dataValidation>
    <dataValidation type="list" allowBlank="1" showInputMessage="1" showErrorMessage="1" sqref="B6:B7">
      <formula1>"자재반입(입고), 설비(장비)설치_기구, 설비(장비)설치_전장, 시운전"</formula1>
    </dataValidation>
    <dataValidation type="list" allowBlank="1" showInputMessage="1" showErrorMessage="1" sqref="B17 B14 B9:B1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J7:J13 N7:N13">
      <formula1>"1,2,3,4,5"</formula1>
    </dataValidation>
    <dataValidation type="list" allowBlank="1" showInputMessage="1" showErrorMessage="1" sqref="K7:K13 O7:O13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99"/>
  </sheetPr>
  <dimension ref="B1:Z65"/>
  <sheetViews>
    <sheetView showGridLines="0" zoomScale="80" zoomScaleNormal="80" workbookViewId="0">
      <selection activeCell="D6" sqref="D6:H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60" t="s">
        <v>43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2:18" ht="21.6" thickBot="1" x14ac:dyDescent="0.45">
      <c r="B2" s="461" t="s">
        <v>68</v>
      </c>
      <c r="C2" s="461"/>
      <c r="D2" s="461"/>
      <c r="E2" s="461"/>
      <c r="F2" s="461"/>
      <c r="G2" s="461"/>
      <c r="H2" s="461"/>
      <c r="J2" s="461" t="s">
        <v>69</v>
      </c>
      <c r="K2" s="461"/>
      <c r="L2" s="461"/>
      <c r="M2" s="461"/>
      <c r="N2" s="461"/>
      <c r="O2" s="461"/>
      <c r="P2" s="461"/>
      <c r="Q2" s="461"/>
      <c r="R2" s="461"/>
    </row>
    <row r="3" spans="2:18" ht="27" customHeight="1" thickBot="1" x14ac:dyDescent="0.45">
      <c r="B3" s="16" t="s">
        <v>44</v>
      </c>
      <c r="C3" s="17" t="s">
        <v>46</v>
      </c>
      <c r="D3" s="428" t="s">
        <v>47</v>
      </c>
      <c r="E3" s="428"/>
      <c r="F3" s="428"/>
      <c r="G3" s="428"/>
      <c r="H3" s="429"/>
      <c r="J3" s="16" t="s">
        <v>44</v>
      </c>
      <c r="K3" s="17" t="s">
        <v>46</v>
      </c>
      <c r="L3" s="428" t="s">
        <v>47</v>
      </c>
      <c r="M3" s="428"/>
      <c r="N3" s="428"/>
      <c r="O3" s="17" t="s">
        <v>46</v>
      </c>
      <c r="P3" s="428" t="s">
        <v>47</v>
      </c>
      <c r="Q3" s="428"/>
      <c r="R3" s="429"/>
    </row>
    <row r="4" spans="2:18" ht="18" thickTop="1" x14ac:dyDescent="0.4">
      <c r="B4" s="415" t="s">
        <v>45</v>
      </c>
      <c r="C4" s="18">
        <v>1.1000000000000001</v>
      </c>
      <c r="D4" s="430" t="s">
        <v>51</v>
      </c>
      <c r="E4" s="430"/>
      <c r="F4" s="430"/>
      <c r="G4" s="430"/>
      <c r="H4" s="431"/>
      <c r="J4" s="436" t="s">
        <v>70</v>
      </c>
      <c r="K4" s="18">
        <v>5.0999999999999996</v>
      </c>
      <c r="L4" s="430" t="s">
        <v>74</v>
      </c>
      <c r="M4" s="430"/>
      <c r="N4" s="430"/>
      <c r="O4" s="18">
        <v>5.7</v>
      </c>
      <c r="P4" s="430" t="s">
        <v>90</v>
      </c>
      <c r="Q4" s="430"/>
      <c r="R4" s="431"/>
    </row>
    <row r="5" spans="2:18" x14ac:dyDescent="0.4">
      <c r="B5" s="416"/>
      <c r="C5" s="13">
        <v>1.2</v>
      </c>
      <c r="D5" s="262" t="s">
        <v>52</v>
      </c>
      <c r="E5" s="262"/>
      <c r="F5" s="262"/>
      <c r="G5" s="262"/>
      <c r="H5" s="432"/>
      <c r="J5" s="416"/>
      <c r="K5" s="13">
        <v>5.2</v>
      </c>
      <c r="L5" s="262" t="s">
        <v>75</v>
      </c>
      <c r="M5" s="262"/>
      <c r="N5" s="262"/>
      <c r="O5" s="13">
        <v>5.8</v>
      </c>
      <c r="P5" s="262" t="s">
        <v>91</v>
      </c>
      <c r="Q5" s="262"/>
      <c r="R5" s="432"/>
    </row>
    <row r="6" spans="2:18" x14ac:dyDescent="0.4">
      <c r="B6" s="416"/>
      <c r="C6" s="13">
        <v>1.3</v>
      </c>
      <c r="D6" s="420" t="s">
        <v>53</v>
      </c>
      <c r="E6" s="420"/>
      <c r="F6" s="420"/>
      <c r="G6" s="420"/>
      <c r="H6" s="421"/>
      <c r="J6" s="416"/>
      <c r="K6" s="13">
        <v>5.3</v>
      </c>
      <c r="L6" s="420" t="s">
        <v>76</v>
      </c>
      <c r="M6" s="420"/>
      <c r="N6" s="420"/>
      <c r="O6" s="13">
        <v>5.9</v>
      </c>
      <c r="P6" s="420" t="s">
        <v>92</v>
      </c>
      <c r="Q6" s="420"/>
      <c r="R6" s="421"/>
    </row>
    <row r="7" spans="2:18" x14ac:dyDescent="0.4">
      <c r="B7" s="416"/>
      <c r="C7" s="13">
        <v>1.4</v>
      </c>
      <c r="D7" s="420" t="s">
        <v>54</v>
      </c>
      <c r="E7" s="420"/>
      <c r="F7" s="420"/>
      <c r="G7" s="420"/>
      <c r="H7" s="421"/>
      <c r="J7" s="416"/>
      <c r="K7" s="13">
        <v>5.4</v>
      </c>
      <c r="L7" s="420" t="s">
        <v>77</v>
      </c>
      <c r="M7" s="420"/>
      <c r="N7" s="420"/>
      <c r="O7" s="13"/>
      <c r="P7" s="420"/>
      <c r="Q7" s="420"/>
      <c r="R7" s="421"/>
    </row>
    <row r="8" spans="2:18" x14ac:dyDescent="0.4">
      <c r="B8" s="416"/>
      <c r="C8" s="13">
        <v>1.5</v>
      </c>
      <c r="D8" s="420" t="s">
        <v>55</v>
      </c>
      <c r="E8" s="420"/>
      <c r="F8" s="420"/>
      <c r="G8" s="420"/>
      <c r="H8" s="421"/>
      <c r="J8" s="416"/>
      <c r="K8" s="13">
        <v>5.5</v>
      </c>
      <c r="L8" s="420" t="s">
        <v>78</v>
      </c>
      <c r="M8" s="420"/>
      <c r="N8" s="420"/>
      <c r="O8" s="13"/>
      <c r="P8" s="420"/>
      <c r="Q8" s="420"/>
      <c r="R8" s="421"/>
    </row>
    <row r="9" spans="2:18" ht="18" thickBot="1" x14ac:dyDescent="0.45">
      <c r="B9" s="417"/>
      <c r="C9" s="14">
        <v>1.6</v>
      </c>
      <c r="D9" s="424" t="s">
        <v>56</v>
      </c>
      <c r="E9" s="424"/>
      <c r="F9" s="424"/>
      <c r="G9" s="424"/>
      <c r="H9" s="425"/>
      <c r="J9" s="417"/>
      <c r="K9" s="14">
        <v>5.6</v>
      </c>
      <c r="L9" s="424" t="s">
        <v>79</v>
      </c>
      <c r="M9" s="424"/>
      <c r="N9" s="424"/>
      <c r="O9" s="14"/>
      <c r="P9" s="424"/>
      <c r="Q9" s="424"/>
      <c r="R9" s="425"/>
    </row>
    <row r="10" spans="2:18" x14ac:dyDescent="0.4">
      <c r="B10" s="418" t="s">
        <v>48</v>
      </c>
      <c r="C10" s="15">
        <v>2.1</v>
      </c>
      <c r="D10" s="422" t="s">
        <v>57</v>
      </c>
      <c r="E10" s="422"/>
      <c r="F10" s="422"/>
      <c r="G10" s="422"/>
      <c r="H10" s="423"/>
      <c r="J10" s="419" t="s">
        <v>71</v>
      </c>
      <c r="K10" s="19">
        <v>6.1</v>
      </c>
      <c r="L10" s="426" t="s">
        <v>80</v>
      </c>
      <c r="M10" s="426"/>
      <c r="N10" s="426"/>
      <c r="O10" s="19">
        <v>6.5</v>
      </c>
      <c r="P10" s="426" t="s">
        <v>93</v>
      </c>
      <c r="Q10" s="426"/>
      <c r="R10" s="427"/>
    </row>
    <row r="11" spans="2:18" x14ac:dyDescent="0.4">
      <c r="B11" s="416"/>
      <c r="C11" s="13">
        <v>2.2000000000000002</v>
      </c>
      <c r="D11" s="420" t="s">
        <v>58</v>
      </c>
      <c r="E11" s="420"/>
      <c r="F11" s="420"/>
      <c r="G11" s="420"/>
      <c r="H11" s="421"/>
      <c r="J11" s="416"/>
      <c r="K11" s="13">
        <v>6.2</v>
      </c>
      <c r="L11" s="420" t="s">
        <v>81</v>
      </c>
      <c r="M11" s="420"/>
      <c r="N11" s="420"/>
      <c r="O11" s="13">
        <v>6.6</v>
      </c>
      <c r="P11" s="420" t="s">
        <v>90</v>
      </c>
      <c r="Q11" s="420"/>
      <c r="R11" s="421"/>
    </row>
    <row r="12" spans="2:18" ht="18" thickBot="1" x14ac:dyDescent="0.45">
      <c r="B12" s="417"/>
      <c r="C12" s="14">
        <v>2.2999999999999998</v>
      </c>
      <c r="D12" s="424" t="s">
        <v>59</v>
      </c>
      <c r="E12" s="424"/>
      <c r="F12" s="424"/>
      <c r="G12" s="424"/>
      <c r="H12" s="425"/>
      <c r="J12" s="416"/>
      <c r="K12" s="13">
        <v>6.3</v>
      </c>
      <c r="L12" s="420" t="s">
        <v>82</v>
      </c>
      <c r="M12" s="420"/>
      <c r="N12" s="420"/>
      <c r="O12" s="13">
        <v>6.7</v>
      </c>
      <c r="P12" s="420" t="s">
        <v>94</v>
      </c>
      <c r="Q12" s="420"/>
      <c r="R12" s="421"/>
    </row>
    <row r="13" spans="2:18" ht="17.399999999999999" customHeight="1" thickBot="1" x14ac:dyDescent="0.45">
      <c r="B13" s="419" t="s">
        <v>49</v>
      </c>
      <c r="C13" s="19">
        <v>3.1</v>
      </c>
      <c r="D13" s="426" t="s">
        <v>60</v>
      </c>
      <c r="E13" s="426"/>
      <c r="F13" s="426"/>
      <c r="G13" s="426"/>
      <c r="H13" s="427"/>
      <c r="J13" s="417"/>
      <c r="K13" s="14">
        <v>6.4</v>
      </c>
      <c r="L13" s="424" t="s">
        <v>83</v>
      </c>
      <c r="M13" s="424"/>
      <c r="N13" s="424"/>
      <c r="O13" s="14"/>
      <c r="P13" s="424"/>
      <c r="Q13" s="424"/>
      <c r="R13" s="425"/>
    </row>
    <row r="14" spans="2:18" x14ac:dyDescent="0.4">
      <c r="B14" s="416"/>
      <c r="C14" s="13">
        <v>3.2</v>
      </c>
      <c r="D14" s="420" t="s">
        <v>61</v>
      </c>
      <c r="E14" s="420"/>
      <c r="F14" s="420"/>
      <c r="G14" s="420"/>
      <c r="H14" s="421"/>
      <c r="J14" s="433" t="s">
        <v>72</v>
      </c>
      <c r="K14" s="19">
        <v>7.1</v>
      </c>
      <c r="L14" s="426" t="s">
        <v>84</v>
      </c>
      <c r="M14" s="426"/>
      <c r="N14" s="426"/>
      <c r="O14" s="19">
        <v>7.4</v>
      </c>
      <c r="P14" s="426" t="s">
        <v>95</v>
      </c>
      <c r="Q14" s="426"/>
      <c r="R14" s="427"/>
    </row>
    <row r="15" spans="2:18" x14ac:dyDescent="0.4">
      <c r="B15" s="416"/>
      <c r="C15" s="13">
        <v>3.3</v>
      </c>
      <c r="D15" s="420" t="s">
        <v>62</v>
      </c>
      <c r="E15" s="420"/>
      <c r="F15" s="420"/>
      <c r="G15" s="420"/>
      <c r="H15" s="421"/>
      <c r="J15" s="416"/>
      <c r="K15" s="13">
        <v>7.2</v>
      </c>
      <c r="L15" s="420" t="s">
        <v>85</v>
      </c>
      <c r="M15" s="420"/>
      <c r="N15" s="420"/>
      <c r="O15" s="13">
        <v>7.5</v>
      </c>
      <c r="P15" s="420" t="s">
        <v>96</v>
      </c>
      <c r="Q15" s="420"/>
      <c r="R15" s="421"/>
    </row>
    <row r="16" spans="2:18" ht="18" thickBot="1" x14ac:dyDescent="0.45">
      <c r="B16" s="417"/>
      <c r="C16" s="14">
        <v>3.4</v>
      </c>
      <c r="D16" s="424" t="s">
        <v>63</v>
      </c>
      <c r="E16" s="424"/>
      <c r="F16" s="424"/>
      <c r="G16" s="424"/>
      <c r="H16" s="425"/>
      <c r="J16" s="417"/>
      <c r="K16" s="14">
        <v>7.3</v>
      </c>
      <c r="L16" s="424" t="s">
        <v>86</v>
      </c>
      <c r="M16" s="424"/>
      <c r="N16" s="424"/>
      <c r="O16" s="14"/>
      <c r="P16" s="424"/>
      <c r="Q16" s="424"/>
      <c r="R16" s="425"/>
    </row>
    <row r="17" spans="2:26" x14ac:dyDescent="0.4">
      <c r="B17" s="418" t="s">
        <v>50</v>
      </c>
      <c r="C17" s="15">
        <v>4.0999999999999996</v>
      </c>
      <c r="D17" s="422" t="s">
        <v>64</v>
      </c>
      <c r="E17" s="422"/>
      <c r="F17" s="422"/>
      <c r="G17" s="422"/>
      <c r="H17" s="423"/>
      <c r="J17" s="418" t="s">
        <v>73</v>
      </c>
      <c r="K17" s="434">
        <v>8.1</v>
      </c>
      <c r="L17" s="435" t="s">
        <v>87</v>
      </c>
      <c r="M17" s="422"/>
      <c r="N17" s="422"/>
      <c r="O17" s="434">
        <v>8.4</v>
      </c>
      <c r="P17" s="435" t="s">
        <v>97</v>
      </c>
      <c r="Q17" s="422"/>
      <c r="R17" s="423"/>
    </row>
    <row r="18" spans="2:26" x14ac:dyDescent="0.4">
      <c r="B18" s="416"/>
      <c r="C18" s="13">
        <v>4.2</v>
      </c>
      <c r="D18" s="420" t="s">
        <v>65</v>
      </c>
      <c r="E18" s="420"/>
      <c r="F18" s="420"/>
      <c r="G18" s="420"/>
      <c r="H18" s="421"/>
      <c r="J18" s="416"/>
      <c r="K18" s="262"/>
      <c r="L18" s="420"/>
      <c r="M18" s="420"/>
      <c r="N18" s="420"/>
      <c r="O18" s="262"/>
      <c r="P18" s="420"/>
      <c r="Q18" s="420"/>
      <c r="R18" s="421"/>
    </row>
    <row r="19" spans="2:26" x14ac:dyDescent="0.4">
      <c r="B19" s="416"/>
      <c r="C19" s="13">
        <v>4.3</v>
      </c>
      <c r="D19" s="420" t="s">
        <v>66</v>
      </c>
      <c r="E19" s="420"/>
      <c r="F19" s="420"/>
      <c r="G19" s="420"/>
      <c r="H19" s="421"/>
      <c r="J19" s="416"/>
      <c r="K19" s="13">
        <v>8.1999999999999993</v>
      </c>
      <c r="L19" s="420" t="s">
        <v>88</v>
      </c>
      <c r="M19" s="420"/>
      <c r="N19" s="420"/>
      <c r="O19" s="13">
        <v>8.5</v>
      </c>
      <c r="P19" s="420" t="s">
        <v>98</v>
      </c>
      <c r="Q19" s="420"/>
      <c r="R19" s="421"/>
    </row>
    <row r="20" spans="2:26" ht="18" thickBot="1" x14ac:dyDescent="0.45">
      <c r="B20" s="417"/>
      <c r="C20" s="14">
        <v>4.4000000000000004</v>
      </c>
      <c r="D20" s="424" t="s">
        <v>67</v>
      </c>
      <c r="E20" s="424"/>
      <c r="F20" s="424"/>
      <c r="G20" s="424"/>
      <c r="H20" s="425"/>
      <c r="J20" s="417"/>
      <c r="K20" s="14">
        <v>8.3000000000000007</v>
      </c>
      <c r="L20" s="424" t="s">
        <v>89</v>
      </c>
      <c r="M20" s="424"/>
      <c r="N20" s="424"/>
      <c r="O20" s="14"/>
      <c r="P20" s="424"/>
      <c r="Q20" s="424"/>
      <c r="R20" s="425"/>
    </row>
    <row r="23" spans="2:26" ht="25.8" thickBot="1" x14ac:dyDescent="0.45">
      <c r="B23" s="457" t="s">
        <v>99</v>
      </c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O23" s="457" t="s">
        <v>112</v>
      </c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</row>
    <row r="24" spans="2:26" ht="27.6" customHeight="1" thickBot="1" x14ac:dyDescent="0.45">
      <c r="B24" s="456" t="s">
        <v>100</v>
      </c>
      <c r="C24" s="428"/>
      <c r="D24" s="428" t="s">
        <v>101</v>
      </c>
      <c r="E24" s="428"/>
      <c r="F24" s="428"/>
      <c r="G24" s="428"/>
      <c r="H24" s="428"/>
      <c r="I24" s="428"/>
      <c r="J24" s="428"/>
      <c r="K24" s="428"/>
      <c r="L24" s="428"/>
      <c r="M24" s="429"/>
      <c r="O24" s="439" t="s">
        <v>113</v>
      </c>
      <c r="P24" s="440"/>
      <c r="Q24" s="441"/>
      <c r="R24" s="442" t="s">
        <v>101</v>
      </c>
      <c r="S24" s="440"/>
      <c r="T24" s="440"/>
      <c r="U24" s="440"/>
      <c r="V24" s="440"/>
      <c r="W24" s="440"/>
      <c r="X24" s="440"/>
      <c r="Y24" s="440"/>
      <c r="Z24" s="443"/>
    </row>
    <row r="25" spans="2:26" ht="49.95" customHeight="1" thickTop="1" x14ac:dyDescent="0.4">
      <c r="B25" s="29">
        <v>5</v>
      </c>
      <c r="C25" s="30" t="s">
        <v>102</v>
      </c>
      <c r="D25" s="458" t="s">
        <v>107</v>
      </c>
      <c r="E25" s="458"/>
      <c r="F25" s="458"/>
      <c r="G25" s="458"/>
      <c r="H25" s="458"/>
      <c r="I25" s="458"/>
      <c r="J25" s="458"/>
      <c r="K25" s="458"/>
      <c r="L25" s="458"/>
      <c r="M25" s="459"/>
      <c r="N25" s="20"/>
      <c r="O25" s="31">
        <v>4</v>
      </c>
      <c r="P25" s="454" t="s">
        <v>114</v>
      </c>
      <c r="Q25" s="455"/>
      <c r="R25" s="451" t="s">
        <v>121</v>
      </c>
      <c r="S25" s="452"/>
      <c r="T25" s="452"/>
      <c r="U25" s="452"/>
      <c r="V25" s="452"/>
      <c r="W25" s="452"/>
      <c r="X25" s="452"/>
      <c r="Y25" s="452"/>
      <c r="Z25" s="453"/>
    </row>
    <row r="26" spans="2:26" ht="49.95" customHeight="1" x14ac:dyDescent="0.4">
      <c r="B26" s="23">
        <v>4</v>
      </c>
      <c r="C26" s="24" t="s">
        <v>103</v>
      </c>
      <c r="D26" s="437" t="s">
        <v>108</v>
      </c>
      <c r="E26" s="437"/>
      <c r="F26" s="437"/>
      <c r="G26" s="437"/>
      <c r="H26" s="437"/>
      <c r="I26" s="437"/>
      <c r="J26" s="437"/>
      <c r="K26" s="437"/>
      <c r="L26" s="437"/>
      <c r="M26" s="438"/>
      <c r="N26" s="20"/>
      <c r="O26" s="32">
        <v>3</v>
      </c>
      <c r="P26" s="444" t="s">
        <v>115</v>
      </c>
      <c r="Q26" s="445"/>
      <c r="R26" s="451" t="s">
        <v>120</v>
      </c>
      <c r="S26" s="452"/>
      <c r="T26" s="452"/>
      <c r="U26" s="452"/>
      <c r="V26" s="452"/>
      <c r="W26" s="452"/>
      <c r="X26" s="452"/>
      <c r="Y26" s="452"/>
      <c r="Z26" s="453"/>
    </row>
    <row r="27" spans="2:26" ht="49.95" customHeight="1" x14ac:dyDescent="0.4">
      <c r="B27" s="21">
        <v>3</v>
      </c>
      <c r="C27" s="22" t="s">
        <v>104</v>
      </c>
      <c r="D27" s="437" t="s">
        <v>109</v>
      </c>
      <c r="E27" s="437"/>
      <c r="F27" s="437"/>
      <c r="G27" s="437"/>
      <c r="H27" s="437"/>
      <c r="I27" s="437"/>
      <c r="J27" s="437"/>
      <c r="K27" s="437"/>
      <c r="L27" s="437"/>
      <c r="M27" s="438"/>
      <c r="N27" s="20"/>
      <c r="O27" s="32">
        <v>2</v>
      </c>
      <c r="P27" s="444" t="s">
        <v>116</v>
      </c>
      <c r="Q27" s="445"/>
      <c r="R27" s="451" t="s">
        <v>119</v>
      </c>
      <c r="S27" s="452"/>
      <c r="T27" s="452"/>
      <c r="U27" s="452"/>
      <c r="V27" s="452"/>
      <c r="W27" s="452"/>
      <c r="X27" s="452"/>
      <c r="Y27" s="452"/>
      <c r="Z27" s="453"/>
    </row>
    <row r="28" spans="2:26" ht="49.95" customHeight="1" thickBot="1" x14ac:dyDescent="0.45">
      <c r="B28" s="25">
        <v>2</v>
      </c>
      <c r="C28" s="26" t="s">
        <v>105</v>
      </c>
      <c r="D28" s="437" t="s">
        <v>110</v>
      </c>
      <c r="E28" s="437"/>
      <c r="F28" s="437"/>
      <c r="G28" s="437"/>
      <c r="H28" s="437"/>
      <c r="I28" s="437"/>
      <c r="J28" s="437"/>
      <c r="K28" s="437"/>
      <c r="L28" s="437"/>
      <c r="M28" s="438"/>
      <c r="N28" s="20"/>
      <c r="O28" s="33">
        <v>1</v>
      </c>
      <c r="P28" s="446" t="s">
        <v>117</v>
      </c>
      <c r="Q28" s="447"/>
      <c r="R28" s="448" t="s">
        <v>118</v>
      </c>
      <c r="S28" s="449"/>
      <c r="T28" s="449"/>
      <c r="U28" s="449"/>
      <c r="V28" s="449"/>
      <c r="W28" s="449"/>
      <c r="X28" s="449"/>
      <c r="Y28" s="449"/>
      <c r="Z28" s="450"/>
    </row>
    <row r="29" spans="2:26" ht="49.95" customHeight="1" thickBot="1" x14ac:dyDescent="0.45">
      <c r="B29" s="27">
        <v>1</v>
      </c>
      <c r="C29" s="28" t="s">
        <v>106</v>
      </c>
      <c r="D29" s="448" t="s">
        <v>111</v>
      </c>
      <c r="E29" s="449"/>
      <c r="F29" s="449"/>
      <c r="G29" s="449"/>
      <c r="H29" s="449"/>
      <c r="I29" s="449"/>
      <c r="J29" s="449"/>
      <c r="K29" s="449"/>
      <c r="L29" s="449"/>
      <c r="M29" s="450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S46"/>
  <sheetViews>
    <sheetView showGridLines="0" view="pageBreakPreview" zoomScale="85" zoomScaleNormal="70" zoomScaleSheetLayoutView="85" workbookViewId="0">
      <selection activeCell="H60" sqref="H6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278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279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74" t="s">
        <v>175</v>
      </c>
      <c r="D6" s="41" t="s">
        <v>184</v>
      </c>
      <c r="E6" s="75" t="s">
        <v>280</v>
      </c>
      <c r="F6" s="41">
        <v>1.3</v>
      </c>
      <c r="G6" s="74" t="s">
        <v>53</v>
      </c>
      <c r="H6" s="74" t="s">
        <v>281</v>
      </c>
      <c r="I6" s="54" t="s">
        <v>176</v>
      </c>
      <c r="J6" s="2">
        <v>2</v>
      </c>
      <c r="K6" s="2">
        <v>2</v>
      </c>
      <c r="L6" s="41">
        <f>J6*K6</f>
        <v>4</v>
      </c>
      <c r="M6" s="54" t="s">
        <v>177</v>
      </c>
      <c r="N6" s="41">
        <v>1</v>
      </c>
      <c r="O6" s="41">
        <v>2</v>
      </c>
      <c r="P6" s="41">
        <f>N6*O6</f>
        <v>2</v>
      </c>
      <c r="Q6" s="79" t="s">
        <v>283</v>
      </c>
      <c r="R6" s="79" t="s">
        <v>284</v>
      </c>
      <c r="S6" s="79" t="s">
        <v>285</v>
      </c>
    </row>
    <row r="7" spans="1:19" ht="52.95" customHeight="1" x14ac:dyDescent="0.4">
      <c r="A7" s="2">
        <v>2</v>
      </c>
      <c r="B7" s="80" t="s">
        <v>17</v>
      </c>
      <c r="C7" s="74" t="s">
        <v>286</v>
      </c>
      <c r="D7" s="41" t="s">
        <v>184</v>
      </c>
      <c r="E7" s="75" t="s">
        <v>280</v>
      </c>
      <c r="F7" s="41">
        <v>1.1000000000000001</v>
      </c>
      <c r="G7" s="74" t="s">
        <v>51</v>
      </c>
      <c r="H7" s="74" t="s">
        <v>287</v>
      </c>
      <c r="I7" s="54" t="s">
        <v>176</v>
      </c>
      <c r="J7" s="2">
        <v>2</v>
      </c>
      <c r="K7" s="2">
        <v>2</v>
      </c>
      <c r="L7" s="41">
        <f t="shared" ref="L7:L35" si="0">J7*K7</f>
        <v>4</v>
      </c>
      <c r="M7" s="54" t="s">
        <v>177</v>
      </c>
      <c r="N7" s="41">
        <v>1</v>
      </c>
      <c r="O7" s="41">
        <v>2</v>
      </c>
      <c r="P7" s="41">
        <f t="shared" ref="P7:P34" si="1">N7*O7</f>
        <v>2</v>
      </c>
      <c r="Q7" s="79" t="s">
        <v>283</v>
      </c>
      <c r="R7" s="79" t="s">
        <v>284</v>
      </c>
      <c r="S7" s="79" t="s">
        <v>285</v>
      </c>
    </row>
    <row r="8" spans="1:19" ht="52.95" customHeight="1" x14ac:dyDescent="0.4">
      <c r="A8" s="2">
        <v>3</v>
      </c>
      <c r="B8" s="80" t="s">
        <v>227</v>
      </c>
      <c r="C8" s="93" t="s">
        <v>288</v>
      </c>
      <c r="D8" s="75" t="s">
        <v>280</v>
      </c>
      <c r="E8" s="75" t="s">
        <v>280</v>
      </c>
      <c r="F8" s="41">
        <v>1.4</v>
      </c>
      <c r="G8" s="114" t="s">
        <v>54</v>
      </c>
      <c r="H8" s="93" t="s">
        <v>289</v>
      </c>
      <c r="I8" s="54" t="s">
        <v>290</v>
      </c>
      <c r="J8" s="143">
        <v>2</v>
      </c>
      <c r="K8" s="143">
        <v>1</v>
      </c>
      <c r="L8" s="41">
        <f t="shared" si="0"/>
        <v>2</v>
      </c>
      <c r="M8" s="54" t="s">
        <v>291</v>
      </c>
      <c r="N8" s="41">
        <v>1</v>
      </c>
      <c r="O8" s="41">
        <v>1</v>
      </c>
      <c r="P8" s="41">
        <f t="shared" si="1"/>
        <v>1</v>
      </c>
      <c r="Q8" s="79" t="s">
        <v>283</v>
      </c>
      <c r="R8" s="79" t="s">
        <v>284</v>
      </c>
      <c r="S8" s="79" t="s">
        <v>285</v>
      </c>
    </row>
    <row r="9" spans="1:19" ht="52.95" customHeight="1" x14ac:dyDescent="0.4">
      <c r="A9" s="2">
        <v>4</v>
      </c>
      <c r="B9" s="80" t="s">
        <v>227</v>
      </c>
      <c r="C9" s="93" t="s">
        <v>292</v>
      </c>
      <c r="D9" s="75" t="s">
        <v>280</v>
      </c>
      <c r="E9" s="41" t="s">
        <v>293</v>
      </c>
      <c r="F9" s="41">
        <v>5.5</v>
      </c>
      <c r="G9" s="144" t="s">
        <v>294</v>
      </c>
      <c r="H9" s="93" t="s">
        <v>295</v>
      </c>
      <c r="I9" s="54" t="s">
        <v>296</v>
      </c>
      <c r="J9" s="143">
        <v>2</v>
      </c>
      <c r="K9" s="143">
        <v>1</v>
      </c>
      <c r="L9" s="41">
        <f t="shared" si="0"/>
        <v>2</v>
      </c>
      <c r="M9" s="54" t="s">
        <v>297</v>
      </c>
      <c r="N9" s="41">
        <v>1</v>
      </c>
      <c r="O9" s="41">
        <v>1</v>
      </c>
      <c r="P9" s="41">
        <f t="shared" si="1"/>
        <v>1</v>
      </c>
      <c r="Q9" s="79" t="s">
        <v>283</v>
      </c>
      <c r="R9" s="79" t="s">
        <v>284</v>
      </c>
      <c r="S9" s="79" t="s">
        <v>285</v>
      </c>
    </row>
    <row r="10" spans="1:19" ht="52.95" customHeight="1" x14ac:dyDescent="0.4">
      <c r="A10" s="2">
        <v>5</v>
      </c>
      <c r="B10" s="80" t="s">
        <v>227</v>
      </c>
      <c r="C10" s="93" t="s">
        <v>298</v>
      </c>
      <c r="D10" s="75" t="s">
        <v>280</v>
      </c>
      <c r="E10" s="75" t="s">
        <v>280</v>
      </c>
      <c r="F10" s="41">
        <v>1.2</v>
      </c>
      <c r="G10" s="90" t="s">
        <v>52</v>
      </c>
      <c r="H10" s="93" t="s">
        <v>299</v>
      </c>
      <c r="I10" s="54" t="s">
        <v>296</v>
      </c>
      <c r="J10" s="143">
        <v>2</v>
      </c>
      <c r="K10" s="143">
        <v>1</v>
      </c>
      <c r="L10" s="41">
        <f t="shared" si="0"/>
        <v>2</v>
      </c>
      <c r="M10" s="54" t="s">
        <v>300</v>
      </c>
      <c r="N10" s="41">
        <v>1</v>
      </c>
      <c r="O10" s="41">
        <v>1</v>
      </c>
      <c r="P10" s="41">
        <f t="shared" si="1"/>
        <v>1</v>
      </c>
      <c r="Q10" s="79" t="s">
        <v>283</v>
      </c>
      <c r="R10" s="79" t="s">
        <v>284</v>
      </c>
      <c r="S10" s="79" t="s">
        <v>285</v>
      </c>
    </row>
    <row r="11" spans="1:19" ht="52.95" customHeight="1" x14ac:dyDescent="0.4">
      <c r="A11" s="2">
        <v>6</v>
      </c>
      <c r="B11" s="80" t="s">
        <v>227</v>
      </c>
      <c r="C11" s="93" t="s">
        <v>301</v>
      </c>
      <c r="D11" s="75" t="s">
        <v>280</v>
      </c>
      <c r="E11" s="75" t="s">
        <v>280</v>
      </c>
      <c r="F11" s="41">
        <v>1.2</v>
      </c>
      <c r="G11" s="90" t="s">
        <v>52</v>
      </c>
      <c r="H11" s="93" t="s">
        <v>299</v>
      </c>
      <c r="I11" s="54" t="s">
        <v>296</v>
      </c>
      <c r="J11" s="143">
        <v>2</v>
      </c>
      <c r="K11" s="143">
        <v>1</v>
      </c>
      <c r="L11" s="41">
        <f t="shared" si="0"/>
        <v>2</v>
      </c>
      <c r="M11" s="54" t="s">
        <v>300</v>
      </c>
      <c r="N11" s="41">
        <v>1</v>
      </c>
      <c r="O11" s="41">
        <v>1</v>
      </c>
      <c r="P11" s="41">
        <f t="shared" si="1"/>
        <v>1</v>
      </c>
      <c r="Q11" s="79" t="s">
        <v>283</v>
      </c>
      <c r="R11" s="79" t="s">
        <v>284</v>
      </c>
      <c r="S11" s="79" t="s">
        <v>285</v>
      </c>
    </row>
    <row r="12" spans="1:19" ht="52.95" customHeight="1" x14ac:dyDescent="0.4">
      <c r="A12" s="2">
        <v>7</v>
      </c>
      <c r="B12" s="80" t="s">
        <v>227</v>
      </c>
      <c r="C12" s="94" t="s">
        <v>302</v>
      </c>
      <c r="D12" s="75" t="s">
        <v>280</v>
      </c>
      <c r="E12" s="75" t="s">
        <v>280</v>
      </c>
      <c r="F12" s="41">
        <v>1.5</v>
      </c>
      <c r="G12" s="74" t="s">
        <v>55</v>
      </c>
      <c r="H12" s="93" t="s">
        <v>303</v>
      </c>
      <c r="I12" s="54" t="s">
        <v>296</v>
      </c>
      <c r="J12" s="143">
        <v>2</v>
      </c>
      <c r="K12" s="143">
        <v>1</v>
      </c>
      <c r="L12" s="41">
        <f t="shared" si="0"/>
        <v>2</v>
      </c>
      <c r="M12" s="54" t="s">
        <v>304</v>
      </c>
      <c r="N12" s="41">
        <v>1</v>
      </c>
      <c r="O12" s="41">
        <v>1</v>
      </c>
      <c r="P12" s="41">
        <f t="shared" si="1"/>
        <v>1</v>
      </c>
      <c r="Q12" s="79" t="s">
        <v>283</v>
      </c>
      <c r="R12" s="79" t="s">
        <v>284</v>
      </c>
      <c r="S12" s="79" t="s">
        <v>285</v>
      </c>
    </row>
    <row r="13" spans="1:19" ht="52.95" customHeight="1" x14ac:dyDescent="0.4">
      <c r="A13" s="2">
        <v>8</v>
      </c>
      <c r="B13" s="80" t="s">
        <v>227</v>
      </c>
      <c r="C13" s="58" t="s">
        <v>305</v>
      </c>
      <c r="D13" s="75" t="s">
        <v>280</v>
      </c>
      <c r="E13" s="75" t="s">
        <v>280</v>
      </c>
      <c r="F13" s="61">
        <v>1.3</v>
      </c>
      <c r="G13" s="90" t="s">
        <v>53</v>
      </c>
      <c r="H13" s="90" t="s">
        <v>306</v>
      </c>
      <c r="I13" s="54" t="s">
        <v>176</v>
      </c>
      <c r="J13" s="59">
        <v>2</v>
      </c>
      <c r="K13" s="59">
        <v>1</v>
      </c>
      <c r="L13" s="41">
        <f t="shared" si="0"/>
        <v>2</v>
      </c>
      <c r="M13" s="114" t="s">
        <v>307</v>
      </c>
      <c r="N13" s="61">
        <v>1</v>
      </c>
      <c r="O13" s="61">
        <v>1</v>
      </c>
      <c r="P13" s="41">
        <f t="shared" si="1"/>
        <v>1</v>
      </c>
      <c r="Q13" s="79" t="s">
        <v>283</v>
      </c>
      <c r="R13" s="79" t="s">
        <v>284</v>
      </c>
      <c r="S13" s="79" t="s">
        <v>285</v>
      </c>
    </row>
    <row r="14" spans="1:19" ht="52.95" customHeight="1" x14ac:dyDescent="0.4">
      <c r="A14" s="2">
        <v>9</v>
      </c>
      <c r="B14" s="80" t="s">
        <v>227</v>
      </c>
      <c r="C14" s="58" t="s">
        <v>308</v>
      </c>
      <c r="D14" s="75" t="s">
        <v>309</v>
      </c>
      <c r="E14" s="75" t="s">
        <v>280</v>
      </c>
      <c r="F14" s="61">
        <v>3.2</v>
      </c>
      <c r="G14" s="90" t="s">
        <v>310</v>
      </c>
      <c r="H14" s="90" t="s">
        <v>311</v>
      </c>
      <c r="I14" s="114" t="s">
        <v>312</v>
      </c>
      <c r="J14" s="59">
        <v>2</v>
      </c>
      <c r="K14" s="59">
        <v>1</v>
      </c>
      <c r="L14" s="41">
        <f t="shared" si="0"/>
        <v>2</v>
      </c>
      <c r="M14" s="114" t="s">
        <v>313</v>
      </c>
      <c r="N14" s="41">
        <v>1</v>
      </c>
      <c r="O14" s="41">
        <v>1</v>
      </c>
      <c r="P14" s="41">
        <f t="shared" si="1"/>
        <v>1</v>
      </c>
      <c r="Q14" s="79" t="s">
        <v>283</v>
      </c>
      <c r="R14" s="79" t="s">
        <v>284</v>
      </c>
      <c r="S14" s="79" t="s">
        <v>285</v>
      </c>
    </row>
    <row r="15" spans="1:19" ht="52.95" customHeight="1" x14ac:dyDescent="0.4">
      <c r="A15" s="2">
        <v>10</v>
      </c>
      <c r="B15" s="80" t="s">
        <v>227</v>
      </c>
      <c r="C15" s="58" t="s">
        <v>314</v>
      </c>
      <c r="D15" s="75" t="s">
        <v>315</v>
      </c>
      <c r="E15" s="75" t="s">
        <v>280</v>
      </c>
      <c r="F15" s="61">
        <v>1.3</v>
      </c>
      <c r="G15" s="90" t="s">
        <v>53</v>
      </c>
      <c r="H15" s="93" t="s">
        <v>316</v>
      </c>
      <c r="I15" s="114" t="s">
        <v>317</v>
      </c>
      <c r="J15" s="59">
        <v>2</v>
      </c>
      <c r="K15" s="59">
        <v>2</v>
      </c>
      <c r="L15" s="41">
        <f t="shared" si="0"/>
        <v>4</v>
      </c>
      <c r="M15" s="114" t="s">
        <v>318</v>
      </c>
      <c r="N15" s="61">
        <v>1</v>
      </c>
      <c r="O15" s="61">
        <v>2</v>
      </c>
      <c r="P15" s="41">
        <f t="shared" si="1"/>
        <v>2</v>
      </c>
      <c r="Q15" s="79" t="s">
        <v>283</v>
      </c>
      <c r="R15" s="79" t="s">
        <v>284</v>
      </c>
      <c r="S15" s="79" t="s">
        <v>285</v>
      </c>
    </row>
    <row r="16" spans="1:19" ht="52.95" customHeight="1" x14ac:dyDescent="0.4">
      <c r="A16" s="2">
        <v>11</v>
      </c>
      <c r="B16" s="80" t="s">
        <v>227</v>
      </c>
      <c r="C16" s="58" t="s">
        <v>319</v>
      </c>
      <c r="D16" s="75" t="s">
        <v>315</v>
      </c>
      <c r="E16" s="75" t="s">
        <v>280</v>
      </c>
      <c r="F16" s="61">
        <v>1.3</v>
      </c>
      <c r="G16" s="90" t="s">
        <v>53</v>
      </c>
      <c r="H16" s="93" t="s">
        <v>320</v>
      </c>
      <c r="I16" s="114" t="s">
        <v>317</v>
      </c>
      <c r="J16" s="59">
        <v>2</v>
      </c>
      <c r="K16" s="59">
        <v>2</v>
      </c>
      <c r="L16" s="41">
        <f t="shared" si="0"/>
        <v>4</v>
      </c>
      <c r="M16" s="114" t="s">
        <v>321</v>
      </c>
      <c r="N16" s="61">
        <v>1</v>
      </c>
      <c r="O16" s="61">
        <v>2</v>
      </c>
      <c r="P16" s="41">
        <f t="shared" si="1"/>
        <v>2</v>
      </c>
      <c r="Q16" s="79" t="s">
        <v>283</v>
      </c>
      <c r="R16" s="79" t="s">
        <v>284</v>
      </c>
      <c r="S16" s="79" t="s">
        <v>285</v>
      </c>
    </row>
    <row r="17" spans="1:19" ht="52.95" customHeight="1" x14ac:dyDescent="0.4">
      <c r="A17" s="2">
        <v>12</v>
      </c>
      <c r="B17" s="80" t="s">
        <v>227</v>
      </c>
      <c r="C17" s="58" t="s">
        <v>322</v>
      </c>
      <c r="D17" s="75" t="s">
        <v>309</v>
      </c>
      <c r="E17" s="75" t="s">
        <v>280</v>
      </c>
      <c r="F17" s="61">
        <v>1.3</v>
      </c>
      <c r="G17" s="90" t="s">
        <v>53</v>
      </c>
      <c r="H17" s="93" t="s">
        <v>316</v>
      </c>
      <c r="I17" s="54" t="s">
        <v>323</v>
      </c>
      <c r="J17" s="59">
        <v>2</v>
      </c>
      <c r="K17" s="59">
        <v>2</v>
      </c>
      <c r="L17" s="41">
        <f t="shared" si="0"/>
        <v>4</v>
      </c>
      <c r="M17" s="54" t="s">
        <v>313</v>
      </c>
      <c r="N17" s="61">
        <v>1</v>
      </c>
      <c r="O17" s="61">
        <v>2</v>
      </c>
      <c r="P17" s="41">
        <f t="shared" si="1"/>
        <v>2</v>
      </c>
      <c r="Q17" s="79" t="s">
        <v>283</v>
      </c>
      <c r="R17" s="79" t="s">
        <v>284</v>
      </c>
      <c r="S17" s="79" t="s">
        <v>285</v>
      </c>
    </row>
    <row r="18" spans="1:19" ht="52.95" customHeight="1" x14ac:dyDescent="0.4">
      <c r="A18" s="2">
        <v>13</v>
      </c>
      <c r="B18" s="80" t="s">
        <v>227</v>
      </c>
      <c r="C18" s="58" t="s">
        <v>324</v>
      </c>
      <c r="D18" s="75" t="s">
        <v>309</v>
      </c>
      <c r="E18" s="75" t="s">
        <v>280</v>
      </c>
      <c r="F18" s="61">
        <v>3.2</v>
      </c>
      <c r="G18" s="90" t="s">
        <v>310</v>
      </c>
      <c r="H18" s="90" t="s">
        <v>311</v>
      </c>
      <c r="I18" s="114" t="s">
        <v>312</v>
      </c>
      <c r="J18" s="59">
        <v>2</v>
      </c>
      <c r="K18" s="59">
        <v>1</v>
      </c>
      <c r="L18" s="41">
        <f t="shared" si="0"/>
        <v>2</v>
      </c>
      <c r="M18" s="118" t="s">
        <v>325</v>
      </c>
      <c r="N18" s="61">
        <v>1</v>
      </c>
      <c r="O18" s="61">
        <v>1</v>
      </c>
      <c r="P18" s="41">
        <f t="shared" si="1"/>
        <v>1</v>
      </c>
      <c r="Q18" s="79" t="s">
        <v>283</v>
      </c>
      <c r="R18" s="79" t="s">
        <v>284</v>
      </c>
      <c r="S18" s="79" t="s">
        <v>285</v>
      </c>
    </row>
    <row r="19" spans="1:19" ht="52.95" customHeight="1" x14ac:dyDescent="0.4">
      <c r="A19" s="2">
        <v>14</v>
      </c>
      <c r="B19" s="80" t="s">
        <v>227</v>
      </c>
      <c r="C19" s="58" t="s">
        <v>326</v>
      </c>
      <c r="D19" s="75" t="s">
        <v>309</v>
      </c>
      <c r="E19" s="75" t="s">
        <v>280</v>
      </c>
      <c r="F19" s="61">
        <v>1.3</v>
      </c>
      <c r="G19" s="90" t="s">
        <v>53</v>
      </c>
      <c r="H19" s="93" t="s">
        <v>316</v>
      </c>
      <c r="I19" s="114" t="s">
        <v>312</v>
      </c>
      <c r="J19" s="59">
        <v>2</v>
      </c>
      <c r="K19" s="59">
        <v>1</v>
      </c>
      <c r="L19" s="41">
        <f t="shared" si="0"/>
        <v>2</v>
      </c>
      <c r="M19" s="114" t="s">
        <v>313</v>
      </c>
      <c r="N19" s="61">
        <v>1</v>
      </c>
      <c r="O19" s="61">
        <v>1</v>
      </c>
      <c r="P19" s="41">
        <f t="shared" si="1"/>
        <v>1</v>
      </c>
      <c r="Q19" s="79" t="s">
        <v>285</v>
      </c>
      <c r="R19" s="79" t="s">
        <v>284</v>
      </c>
      <c r="S19" s="79" t="s">
        <v>327</v>
      </c>
    </row>
    <row r="20" spans="1:19" ht="52.95" customHeight="1" x14ac:dyDescent="0.4">
      <c r="A20" s="2">
        <v>15</v>
      </c>
      <c r="B20" s="80" t="s">
        <v>227</v>
      </c>
      <c r="C20" s="58" t="s">
        <v>328</v>
      </c>
      <c r="D20" s="75" t="s">
        <v>309</v>
      </c>
      <c r="E20" s="75" t="s">
        <v>280</v>
      </c>
      <c r="F20" s="61">
        <v>3.2</v>
      </c>
      <c r="G20" s="90" t="s">
        <v>310</v>
      </c>
      <c r="H20" s="90" t="s">
        <v>311</v>
      </c>
      <c r="I20" s="114" t="s">
        <v>312</v>
      </c>
      <c r="J20" s="59">
        <v>2</v>
      </c>
      <c r="K20" s="59">
        <v>1</v>
      </c>
      <c r="L20" s="41">
        <f t="shared" si="0"/>
        <v>2</v>
      </c>
      <c r="M20" s="114" t="s">
        <v>313</v>
      </c>
      <c r="N20" s="61">
        <v>1</v>
      </c>
      <c r="O20" s="61">
        <v>1</v>
      </c>
      <c r="P20" s="41">
        <f t="shared" si="1"/>
        <v>1</v>
      </c>
      <c r="Q20" s="79" t="s">
        <v>285</v>
      </c>
      <c r="R20" s="79" t="s">
        <v>284</v>
      </c>
      <c r="S20" s="79" t="s">
        <v>327</v>
      </c>
    </row>
    <row r="21" spans="1:19" ht="52.95" customHeight="1" x14ac:dyDescent="0.4">
      <c r="A21" s="2">
        <v>16</v>
      </c>
      <c r="B21" s="80" t="s">
        <v>227</v>
      </c>
      <c r="C21" s="58" t="s">
        <v>329</v>
      </c>
      <c r="D21" s="75" t="s">
        <v>330</v>
      </c>
      <c r="E21" s="75" t="s">
        <v>280</v>
      </c>
      <c r="F21" s="61">
        <v>1.3</v>
      </c>
      <c r="G21" s="90" t="s">
        <v>53</v>
      </c>
      <c r="H21" s="93" t="s">
        <v>316</v>
      </c>
      <c r="I21" s="54" t="s">
        <v>323</v>
      </c>
      <c r="J21" s="59">
        <v>2</v>
      </c>
      <c r="K21" s="59">
        <v>2</v>
      </c>
      <c r="L21" s="41">
        <f>J21*K21</f>
        <v>4</v>
      </c>
      <c r="M21" s="114" t="s">
        <v>331</v>
      </c>
      <c r="N21" s="61">
        <v>1</v>
      </c>
      <c r="O21" s="61">
        <v>1</v>
      </c>
      <c r="P21" s="41">
        <f t="shared" si="1"/>
        <v>1</v>
      </c>
      <c r="Q21" s="79" t="s">
        <v>285</v>
      </c>
      <c r="R21" s="79" t="s">
        <v>284</v>
      </c>
      <c r="S21" s="79" t="s">
        <v>327</v>
      </c>
    </row>
    <row r="22" spans="1:19" ht="52.95" customHeight="1" x14ac:dyDescent="0.4">
      <c r="A22" s="2">
        <v>17</v>
      </c>
      <c r="B22" s="80" t="s">
        <v>227</v>
      </c>
      <c r="C22" s="58" t="s">
        <v>332</v>
      </c>
      <c r="D22" s="75" t="s">
        <v>280</v>
      </c>
      <c r="E22" s="75" t="s">
        <v>280</v>
      </c>
      <c r="F22" s="61">
        <v>4.0999999999999996</v>
      </c>
      <c r="G22" s="90" t="s">
        <v>64</v>
      </c>
      <c r="H22" s="90" t="s">
        <v>333</v>
      </c>
      <c r="I22" s="54" t="s">
        <v>296</v>
      </c>
      <c r="J22" s="59">
        <v>2</v>
      </c>
      <c r="K22" s="59">
        <v>1</v>
      </c>
      <c r="L22" s="41">
        <f t="shared" si="0"/>
        <v>2</v>
      </c>
      <c r="M22" s="114" t="s">
        <v>334</v>
      </c>
      <c r="N22" s="61">
        <v>1</v>
      </c>
      <c r="O22" s="61">
        <v>1</v>
      </c>
      <c r="P22" s="41">
        <f t="shared" si="1"/>
        <v>1</v>
      </c>
      <c r="Q22" s="79" t="s">
        <v>285</v>
      </c>
      <c r="R22" s="79" t="s">
        <v>284</v>
      </c>
      <c r="S22" s="79" t="s">
        <v>327</v>
      </c>
    </row>
    <row r="23" spans="1:19" ht="52.95" customHeight="1" x14ac:dyDescent="0.4">
      <c r="A23" s="2">
        <v>18</v>
      </c>
      <c r="B23" s="80" t="s">
        <v>227</v>
      </c>
      <c r="C23" s="58" t="s">
        <v>335</v>
      </c>
      <c r="D23" s="75" t="s">
        <v>280</v>
      </c>
      <c r="E23" s="75" t="s">
        <v>280</v>
      </c>
      <c r="F23" s="61">
        <v>4.0999999999999996</v>
      </c>
      <c r="G23" s="90" t="s">
        <v>64</v>
      </c>
      <c r="H23" s="90" t="s">
        <v>333</v>
      </c>
      <c r="I23" s="54" t="s">
        <v>296</v>
      </c>
      <c r="J23" s="59">
        <v>2</v>
      </c>
      <c r="K23" s="59">
        <v>1</v>
      </c>
      <c r="L23" s="41">
        <f t="shared" si="0"/>
        <v>2</v>
      </c>
      <c r="M23" s="114" t="s">
        <v>334</v>
      </c>
      <c r="N23" s="61">
        <v>1</v>
      </c>
      <c r="O23" s="61">
        <v>1</v>
      </c>
      <c r="P23" s="41">
        <f t="shared" si="1"/>
        <v>1</v>
      </c>
      <c r="Q23" s="79" t="s">
        <v>285</v>
      </c>
      <c r="R23" s="79" t="s">
        <v>284</v>
      </c>
      <c r="S23" s="79" t="s">
        <v>327</v>
      </c>
    </row>
    <row r="24" spans="1:19" ht="52.95" customHeight="1" x14ac:dyDescent="0.4">
      <c r="A24" s="2">
        <v>19</v>
      </c>
      <c r="B24" s="80" t="s">
        <v>227</v>
      </c>
      <c r="C24" s="58" t="s">
        <v>336</v>
      </c>
      <c r="D24" s="75" t="s">
        <v>330</v>
      </c>
      <c r="E24" s="75" t="s">
        <v>280</v>
      </c>
      <c r="F24" s="61">
        <v>1.3</v>
      </c>
      <c r="G24" s="90" t="s">
        <v>53</v>
      </c>
      <c r="H24" s="93" t="s">
        <v>316</v>
      </c>
      <c r="I24" s="54" t="s">
        <v>323</v>
      </c>
      <c r="J24" s="59">
        <v>2</v>
      </c>
      <c r="K24" s="59">
        <v>2</v>
      </c>
      <c r="L24" s="41">
        <f t="shared" si="0"/>
        <v>4</v>
      </c>
      <c r="M24" s="114" t="s">
        <v>331</v>
      </c>
      <c r="N24" s="61">
        <v>1</v>
      </c>
      <c r="O24" s="61">
        <v>2</v>
      </c>
      <c r="P24" s="41">
        <f t="shared" si="1"/>
        <v>2</v>
      </c>
      <c r="Q24" s="79" t="s">
        <v>285</v>
      </c>
      <c r="R24" s="79" t="s">
        <v>284</v>
      </c>
      <c r="S24" s="79" t="s">
        <v>327</v>
      </c>
    </row>
    <row r="25" spans="1:19" ht="52.95" customHeight="1" x14ac:dyDescent="0.4">
      <c r="A25" s="2">
        <v>20</v>
      </c>
      <c r="B25" s="80" t="s">
        <v>227</v>
      </c>
      <c r="C25" s="58" t="s">
        <v>337</v>
      </c>
      <c r="D25" s="75" t="s">
        <v>280</v>
      </c>
      <c r="E25" s="75" t="s">
        <v>280</v>
      </c>
      <c r="F25" s="61">
        <v>4.0999999999999996</v>
      </c>
      <c r="G25" s="90" t="s">
        <v>64</v>
      </c>
      <c r="H25" s="90" t="s">
        <v>333</v>
      </c>
      <c r="I25" s="54" t="s">
        <v>296</v>
      </c>
      <c r="J25" s="59">
        <v>2</v>
      </c>
      <c r="K25" s="59">
        <v>1</v>
      </c>
      <c r="L25" s="41">
        <f t="shared" si="0"/>
        <v>2</v>
      </c>
      <c r="M25" s="114" t="s">
        <v>334</v>
      </c>
      <c r="N25" s="61">
        <v>1</v>
      </c>
      <c r="O25" s="61">
        <v>1</v>
      </c>
      <c r="P25" s="41">
        <f t="shared" si="1"/>
        <v>1</v>
      </c>
      <c r="Q25" s="79" t="s">
        <v>285</v>
      </c>
      <c r="R25" s="79" t="s">
        <v>284</v>
      </c>
      <c r="S25" s="79" t="s">
        <v>327</v>
      </c>
    </row>
    <row r="26" spans="1:19" ht="52.95" customHeight="1" x14ac:dyDescent="0.4">
      <c r="A26" s="2">
        <v>21</v>
      </c>
      <c r="B26" s="80" t="s">
        <v>227</v>
      </c>
      <c r="C26" s="58" t="s">
        <v>338</v>
      </c>
      <c r="D26" s="75" t="s">
        <v>280</v>
      </c>
      <c r="E26" s="75" t="s">
        <v>280</v>
      </c>
      <c r="F26" s="61">
        <v>4.0999999999999996</v>
      </c>
      <c r="G26" s="90" t="s">
        <v>64</v>
      </c>
      <c r="H26" s="90" t="s">
        <v>333</v>
      </c>
      <c r="I26" s="54" t="s">
        <v>296</v>
      </c>
      <c r="J26" s="59">
        <v>2</v>
      </c>
      <c r="K26" s="59">
        <v>1</v>
      </c>
      <c r="L26" s="41">
        <f t="shared" si="0"/>
        <v>2</v>
      </c>
      <c r="M26" s="114" t="s">
        <v>334</v>
      </c>
      <c r="N26" s="61">
        <v>1</v>
      </c>
      <c r="O26" s="61">
        <v>1</v>
      </c>
      <c r="P26" s="41">
        <f t="shared" si="1"/>
        <v>1</v>
      </c>
      <c r="Q26" s="79" t="s">
        <v>285</v>
      </c>
      <c r="R26" s="79" t="s">
        <v>284</v>
      </c>
      <c r="S26" s="79" t="s">
        <v>327</v>
      </c>
    </row>
    <row r="27" spans="1:19" ht="52.95" customHeight="1" x14ac:dyDescent="0.4">
      <c r="A27" s="2">
        <v>22</v>
      </c>
      <c r="B27" s="80" t="s">
        <v>227</v>
      </c>
      <c r="C27" s="58" t="s">
        <v>339</v>
      </c>
      <c r="D27" s="75" t="s">
        <v>309</v>
      </c>
      <c r="E27" s="75" t="s">
        <v>280</v>
      </c>
      <c r="F27" s="61">
        <v>3.2</v>
      </c>
      <c r="G27" s="90" t="s">
        <v>310</v>
      </c>
      <c r="H27" s="90" t="s">
        <v>340</v>
      </c>
      <c r="I27" s="114" t="s">
        <v>312</v>
      </c>
      <c r="J27" s="59">
        <v>2</v>
      </c>
      <c r="K27" s="59">
        <v>2</v>
      </c>
      <c r="L27" s="41">
        <f t="shared" si="0"/>
        <v>4</v>
      </c>
      <c r="M27" s="54" t="s">
        <v>341</v>
      </c>
      <c r="N27" s="61">
        <v>1</v>
      </c>
      <c r="O27" s="61">
        <v>2</v>
      </c>
      <c r="P27" s="41">
        <f t="shared" si="1"/>
        <v>2</v>
      </c>
      <c r="Q27" s="79" t="s">
        <v>327</v>
      </c>
      <c r="R27" s="79" t="s">
        <v>284</v>
      </c>
      <c r="S27" s="79" t="s">
        <v>342</v>
      </c>
    </row>
    <row r="28" spans="1:19" ht="52.95" customHeight="1" x14ac:dyDescent="0.4">
      <c r="A28" s="2">
        <v>23</v>
      </c>
      <c r="B28" s="80" t="s">
        <v>227</v>
      </c>
      <c r="C28" s="58" t="s">
        <v>343</v>
      </c>
      <c r="D28" s="75" t="s">
        <v>344</v>
      </c>
      <c r="E28" s="75" t="s">
        <v>280</v>
      </c>
      <c r="F28" s="61">
        <v>1.3</v>
      </c>
      <c r="G28" s="74" t="s">
        <v>53</v>
      </c>
      <c r="H28" s="93" t="s">
        <v>320</v>
      </c>
      <c r="I28" s="54" t="s">
        <v>323</v>
      </c>
      <c r="J28" s="59">
        <v>2</v>
      </c>
      <c r="K28" s="59">
        <v>2</v>
      </c>
      <c r="L28" s="41">
        <f t="shared" si="0"/>
        <v>4</v>
      </c>
      <c r="M28" s="114" t="s">
        <v>345</v>
      </c>
      <c r="N28" s="61">
        <v>1</v>
      </c>
      <c r="O28" s="61">
        <v>2</v>
      </c>
      <c r="P28" s="41">
        <f t="shared" si="1"/>
        <v>2</v>
      </c>
      <c r="Q28" s="79" t="s">
        <v>327</v>
      </c>
      <c r="R28" s="79" t="s">
        <v>284</v>
      </c>
      <c r="S28" s="79" t="s">
        <v>342</v>
      </c>
    </row>
    <row r="29" spans="1:19" ht="52.95" customHeight="1" x14ac:dyDescent="0.4">
      <c r="A29" s="2">
        <v>24</v>
      </c>
      <c r="B29" s="80" t="s">
        <v>227</v>
      </c>
      <c r="C29" s="58" t="s">
        <v>346</v>
      </c>
      <c r="D29" s="75" t="s">
        <v>344</v>
      </c>
      <c r="E29" s="75" t="s">
        <v>280</v>
      </c>
      <c r="F29" s="61">
        <v>1.1000000000000001</v>
      </c>
      <c r="G29" s="90" t="s">
        <v>51</v>
      </c>
      <c r="H29" s="93" t="s">
        <v>347</v>
      </c>
      <c r="I29" s="54" t="s">
        <v>296</v>
      </c>
      <c r="J29" s="59">
        <v>2</v>
      </c>
      <c r="K29" s="59">
        <v>1</v>
      </c>
      <c r="L29" s="41">
        <f t="shared" si="0"/>
        <v>2</v>
      </c>
      <c r="M29" s="114" t="s">
        <v>348</v>
      </c>
      <c r="N29" s="61">
        <v>1</v>
      </c>
      <c r="O29" s="61">
        <v>1</v>
      </c>
      <c r="P29" s="41">
        <f t="shared" si="1"/>
        <v>1</v>
      </c>
      <c r="Q29" s="79" t="s">
        <v>327</v>
      </c>
      <c r="R29" s="79" t="s">
        <v>284</v>
      </c>
      <c r="S29" s="79" t="s">
        <v>342</v>
      </c>
    </row>
    <row r="30" spans="1:19" ht="52.95" customHeight="1" x14ac:dyDescent="0.4">
      <c r="A30" s="2">
        <v>25</v>
      </c>
      <c r="B30" s="80" t="s">
        <v>227</v>
      </c>
      <c r="C30" s="58" t="s">
        <v>349</v>
      </c>
      <c r="D30" s="75" t="s">
        <v>280</v>
      </c>
      <c r="E30" s="75" t="s">
        <v>280</v>
      </c>
      <c r="F30" s="61">
        <v>1.3</v>
      </c>
      <c r="G30" s="74" t="s">
        <v>53</v>
      </c>
      <c r="H30" s="93" t="s">
        <v>316</v>
      </c>
      <c r="I30" s="54" t="s">
        <v>323</v>
      </c>
      <c r="J30" s="59">
        <v>2</v>
      </c>
      <c r="K30" s="59">
        <v>2</v>
      </c>
      <c r="L30" s="41">
        <f t="shared" si="0"/>
        <v>4</v>
      </c>
      <c r="M30" s="114" t="s">
        <v>345</v>
      </c>
      <c r="N30" s="61">
        <v>1</v>
      </c>
      <c r="O30" s="61">
        <v>2</v>
      </c>
      <c r="P30" s="41">
        <f t="shared" si="1"/>
        <v>2</v>
      </c>
      <c r="Q30" s="79" t="s">
        <v>327</v>
      </c>
      <c r="R30" s="79" t="s">
        <v>284</v>
      </c>
      <c r="S30" s="79" t="s">
        <v>342</v>
      </c>
    </row>
    <row r="31" spans="1:19" ht="52.95" customHeight="1" x14ac:dyDescent="0.4">
      <c r="A31" s="2">
        <v>26</v>
      </c>
      <c r="B31" s="80" t="s">
        <v>227</v>
      </c>
      <c r="C31" s="58" t="s">
        <v>350</v>
      </c>
      <c r="D31" s="75" t="s">
        <v>280</v>
      </c>
      <c r="E31" s="75" t="s">
        <v>280</v>
      </c>
      <c r="F31" s="61">
        <v>1.6</v>
      </c>
      <c r="G31" s="74" t="s">
        <v>56</v>
      </c>
      <c r="H31" s="93" t="s">
        <v>351</v>
      </c>
      <c r="I31" s="114" t="s">
        <v>312</v>
      </c>
      <c r="J31" s="59">
        <v>2</v>
      </c>
      <c r="K31" s="59">
        <v>1</v>
      </c>
      <c r="L31" s="41">
        <f t="shared" si="0"/>
        <v>2</v>
      </c>
      <c r="M31" s="114" t="s">
        <v>313</v>
      </c>
      <c r="N31" s="61">
        <v>1</v>
      </c>
      <c r="O31" s="61">
        <v>1</v>
      </c>
      <c r="P31" s="41">
        <f t="shared" si="1"/>
        <v>1</v>
      </c>
      <c r="Q31" s="79" t="s">
        <v>327</v>
      </c>
      <c r="R31" s="79" t="s">
        <v>284</v>
      </c>
      <c r="S31" s="79" t="s">
        <v>342</v>
      </c>
    </row>
    <row r="32" spans="1:19" ht="52.95" customHeight="1" x14ac:dyDescent="0.4">
      <c r="A32" s="2">
        <v>27</v>
      </c>
      <c r="B32" s="80" t="s">
        <v>227</v>
      </c>
      <c r="C32" s="58" t="s">
        <v>352</v>
      </c>
      <c r="D32" s="75" t="s">
        <v>280</v>
      </c>
      <c r="E32" s="75" t="s">
        <v>280</v>
      </c>
      <c r="F32" s="61">
        <v>1.4</v>
      </c>
      <c r="G32" s="90" t="s">
        <v>54</v>
      </c>
      <c r="H32" s="93" t="s">
        <v>353</v>
      </c>
      <c r="I32" s="54" t="s">
        <v>296</v>
      </c>
      <c r="J32" s="59">
        <v>2</v>
      </c>
      <c r="K32" s="59">
        <v>1</v>
      </c>
      <c r="L32" s="41">
        <f t="shared" si="0"/>
        <v>2</v>
      </c>
      <c r="M32" s="114" t="s">
        <v>354</v>
      </c>
      <c r="N32" s="61">
        <v>1</v>
      </c>
      <c r="O32" s="61">
        <v>1</v>
      </c>
      <c r="P32" s="41">
        <f t="shared" si="1"/>
        <v>1</v>
      </c>
      <c r="Q32" s="79" t="s">
        <v>327</v>
      </c>
      <c r="R32" s="79" t="s">
        <v>284</v>
      </c>
      <c r="S32" s="79" t="s">
        <v>342</v>
      </c>
    </row>
    <row r="33" spans="1:19" ht="52.95" customHeight="1" x14ac:dyDescent="0.4">
      <c r="A33" s="2">
        <v>28</v>
      </c>
      <c r="B33" s="80" t="s">
        <v>227</v>
      </c>
      <c r="C33" s="58" t="s">
        <v>355</v>
      </c>
      <c r="D33" s="75" t="s">
        <v>280</v>
      </c>
      <c r="E33" s="75" t="s">
        <v>280</v>
      </c>
      <c r="F33" s="61">
        <v>1.1000000000000001</v>
      </c>
      <c r="G33" s="90" t="s">
        <v>51</v>
      </c>
      <c r="H33" s="93" t="s">
        <v>356</v>
      </c>
      <c r="I33" s="54" t="s">
        <v>296</v>
      </c>
      <c r="J33" s="59">
        <v>2</v>
      </c>
      <c r="K33" s="59">
        <v>1</v>
      </c>
      <c r="L33" s="41">
        <f t="shared" si="0"/>
        <v>2</v>
      </c>
      <c r="M33" s="114" t="s">
        <v>354</v>
      </c>
      <c r="N33" s="61">
        <v>1</v>
      </c>
      <c r="O33" s="61">
        <v>1</v>
      </c>
      <c r="P33" s="41">
        <f t="shared" si="1"/>
        <v>1</v>
      </c>
      <c r="Q33" s="79" t="s">
        <v>327</v>
      </c>
      <c r="R33" s="79" t="s">
        <v>284</v>
      </c>
      <c r="S33" s="79" t="s">
        <v>342</v>
      </c>
    </row>
    <row r="34" spans="1:19" ht="52.95" customHeight="1" x14ac:dyDescent="0.4">
      <c r="A34" s="2">
        <v>29</v>
      </c>
      <c r="B34" s="80" t="s">
        <v>227</v>
      </c>
      <c r="C34" s="58" t="s">
        <v>357</v>
      </c>
      <c r="D34" s="75" t="s">
        <v>280</v>
      </c>
      <c r="E34" s="75" t="s">
        <v>280</v>
      </c>
      <c r="F34" s="61">
        <v>1.6</v>
      </c>
      <c r="G34" s="90" t="s">
        <v>56</v>
      </c>
      <c r="H34" s="93" t="s">
        <v>358</v>
      </c>
      <c r="I34" s="114" t="s">
        <v>312</v>
      </c>
      <c r="J34" s="59">
        <v>2</v>
      </c>
      <c r="K34" s="59">
        <v>1</v>
      </c>
      <c r="L34" s="41">
        <f t="shared" si="0"/>
        <v>2</v>
      </c>
      <c r="M34" s="54" t="s">
        <v>359</v>
      </c>
      <c r="N34" s="61">
        <v>1</v>
      </c>
      <c r="O34" s="61">
        <v>1</v>
      </c>
      <c r="P34" s="41">
        <f t="shared" si="1"/>
        <v>1</v>
      </c>
      <c r="Q34" s="79" t="s">
        <v>327</v>
      </c>
      <c r="R34" s="79" t="s">
        <v>284</v>
      </c>
      <c r="S34" s="79" t="s">
        <v>342</v>
      </c>
    </row>
    <row r="35" spans="1:19" ht="52.95" customHeight="1" x14ac:dyDescent="0.4">
      <c r="A35" s="2">
        <v>30</v>
      </c>
      <c r="B35" s="80" t="s">
        <v>227</v>
      </c>
      <c r="C35" s="58" t="s">
        <v>360</v>
      </c>
      <c r="D35" s="75" t="s">
        <v>280</v>
      </c>
      <c r="E35" s="75" t="s">
        <v>361</v>
      </c>
      <c r="F35" s="61">
        <v>5.6</v>
      </c>
      <c r="G35" s="90" t="s">
        <v>79</v>
      </c>
      <c r="H35" s="93" t="s">
        <v>362</v>
      </c>
      <c r="I35" s="54" t="s">
        <v>296</v>
      </c>
      <c r="J35" s="59">
        <v>2</v>
      </c>
      <c r="K35" s="59">
        <v>2</v>
      </c>
      <c r="L35" s="41">
        <f t="shared" si="0"/>
        <v>4</v>
      </c>
      <c r="M35" s="114" t="s">
        <v>363</v>
      </c>
      <c r="N35" s="61">
        <v>1</v>
      </c>
      <c r="O35" s="61">
        <v>2</v>
      </c>
      <c r="P35" s="41">
        <v>2</v>
      </c>
      <c r="Q35" s="79" t="s">
        <v>327</v>
      </c>
      <c r="R35" s="79" t="s">
        <v>284</v>
      </c>
      <c r="S35" s="79" t="s">
        <v>342</v>
      </c>
    </row>
    <row r="36" spans="1:19" ht="52.95" customHeight="1" x14ac:dyDescent="0.4">
      <c r="A36" s="2">
        <v>31</v>
      </c>
      <c r="B36" s="80" t="s">
        <v>228</v>
      </c>
      <c r="C36" s="85" t="s">
        <v>364</v>
      </c>
      <c r="D36" s="41" t="s">
        <v>365</v>
      </c>
      <c r="E36" s="41" t="s">
        <v>280</v>
      </c>
      <c r="F36" s="41">
        <v>1.3</v>
      </c>
      <c r="G36" s="86" t="s">
        <v>53</v>
      </c>
      <c r="H36" s="57" t="s">
        <v>366</v>
      </c>
      <c r="I36" s="54" t="s">
        <v>176</v>
      </c>
      <c r="J36" s="41">
        <v>3</v>
      </c>
      <c r="K36" s="41">
        <v>3</v>
      </c>
      <c r="L36" s="41">
        <v>9</v>
      </c>
      <c r="M36" s="54" t="s">
        <v>367</v>
      </c>
      <c r="N36" s="41">
        <v>2</v>
      </c>
      <c r="O36" s="41">
        <v>2</v>
      </c>
      <c r="P36" s="41">
        <v>4</v>
      </c>
      <c r="Q36" s="79" t="s">
        <v>180</v>
      </c>
      <c r="R36" s="79" t="s">
        <v>368</v>
      </c>
      <c r="S36" s="79" t="s">
        <v>282</v>
      </c>
    </row>
    <row r="37" spans="1:19" ht="52.95" customHeight="1" x14ac:dyDescent="0.4">
      <c r="A37" s="2">
        <v>32</v>
      </c>
      <c r="B37" s="80" t="s">
        <v>228</v>
      </c>
      <c r="C37" s="85" t="s">
        <v>369</v>
      </c>
      <c r="D37" s="41" t="s">
        <v>193</v>
      </c>
      <c r="E37" s="41" t="s">
        <v>280</v>
      </c>
      <c r="F37" s="41">
        <v>1.6</v>
      </c>
      <c r="G37" s="86" t="s">
        <v>56</v>
      </c>
      <c r="H37" s="57" t="s">
        <v>370</v>
      </c>
      <c r="I37" s="54" t="s">
        <v>312</v>
      </c>
      <c r="J37" s="41">
        <v>3</v>
      </c>
      <c r="K37" s="41">
        <v>3</v>
      </c>
      <c r="L37" s="41">
        <v>9</v>
      </c>
      <c r="M37" s="54" t="s">
        <v>325</v>
      </c>
      <c r="N37" s="41">
        <v>1</v>
      </c>
      <c r="O37" s="41">
        <v>1</v>
      </c>
      <c r="P37" s="41">
        <v>1</v>
      </c>
      <c r="Q37" s="79" t="s">
        <v>180</v>
      </c>
      <c r="R37" s="79" t="s">
        <v>368</v>
      </c>
      <c r="S37" s="79" t="s">
        <v>282</v>
      </c>
    </row>
    <row r="38" spans="1:19" ht="52.95" customHeight="1" x14ac:dyDescent="0.4">
      <c r="A38" s="2">
        <v>33</v>
      </c>
      <c r="B38" s="80" t="s">
        <v>228</v>
      </c>
      <c r="C38" s="85" t="s">
        <v>371</v>
      </c>
      <c r="D38" s="41" t="s">
        <v>193</v>
      </c>
      <c r="E38" s="41" t="s">
        <v>280</v>
      </c>
      <c r="F38" s="41">
        <v>2.1</v>
      </c>
      <c r="G38" s="86" t="s">
        <v>57</v>
      </c>
      <c r="H38" s="57" t="s">
        <v>372</v>
      </c>
      <c r="I38" s="54" t="s">
        <v>373</v>
      </c>
      <c r="J38" s="41">
        <v>3</v>
      </c>
      <c r="K38" s="41">
        <v>3</v>
      </c>
      <c r="L38" s="41">
        <v>9</v>
      </c>
      <c r="M38" s="54" t="s">
        <v>374</v>
      </c>
      <c r="N38" s="41">
        <v>1</v>
      </c>
      <c r="O38" s="41">
        <v>1</v>
      </c>
      <c r="P38" s="41">
        <v>1</v>
      </c>
      <c r="Q38" s="79" t="s">
        <v>180</v>
      </c>
      <c r="R38" s="79" t="s">
        <v>368</v>
      </c>
      <c r="S38" s="79" t="s">
        <v>282</v>
      </c>
    </row>
    <row r="39" spans="1:19" ht="52.95" customHeight="1" x14ac:dyDescent="0.4">
      <c r="A39" s="2">
        <v>34</v>
      </c>
      <c r="B39" s="80" t="s">
        <v>228</v>
      </c>
      <c r="C39" s="85" t="s">
        <v>375</v>
      </c>
      <c r="D39" s="41" t="s">
        <v>376</v>
      </c>
      <c r="E39" s="41" t="s">
        <v>280</v>
      </c>
      <c r="F39" s="41">
        <v>3.4</v>
      </c>
      <c r="G39" s="86" t="s">
        <v>377</v>
      </c>
      <c r="H39" s="57" t="s">
        <v>378</v>
      </c>
      <c r="I39" s="54" t="s">
        <v>379</v>
      </c>
      <c r="J39" s="41">
        <v>2</v>
      </c>
      <c r="K39" s="41">
        <v>2</v>
      </c>
      <c r="L39" s="41">
        <v>4</v>
      </c>
      <c r="M39" s="54" t="s">
        <v>380</v>
      </c>
      <c r="N39" s="41">
        <v>1</v>
      </c>
      <c r="O39" s="41">
        <v>1</v>
      </c>
      <c r="P39" s="41">
        <v>1</v>
      </c>
      <c r="Q39" s="79" t="s">
        <v>180</v>
      </c>
      <c r="R39" s="79" t="s">
        <v>368</v>
      </c>
      <c r="S39" s="79" t="s">
        <v>282</v>
      </c>
    </row>
    <row r="40" spans="1:19" ht="52.95" customHeight="1" x14ac:dyDescent="0.4">
      <c r="A40" s="2">
        <v>35</v>
      </c>
      <c r="B40" s="80" t="s">
        <v>203</v>
      </c>
      <c r="C40" s="85" t="s">
        <v>381</v>
      </c>
      <c r="D40" s="41" t="s">
        <v>193</v>
      </c>
      <c r="E40" s="41" t="s">
        <v>280</v>
      </c>
      <c r="F40" s="41">
        <v>1.4</v>
      </c>
      <c r="G40" s="86" t="s">
        <v>54</v>
      </c>
      <c r="H40" s="57" t="s">
        <v>382</v>
      </c>
      <c r="I40" s="87" t="s">
        <v>383</v>
      </c>
      <c r="J40" s="41">
        <v>2</v>
      </c>
      <c r="K40" s="41">
        <v>2</v>
      </c>
      <c r="L40" s="41">
        <v>4</v>
      </c>
      <c r="M40" s="87" t="s">
        <v>384</v>
      </c>
      <c r="N40" s="41">
        <v>1</v>
      </c>
      <c r="O40" s="41">
        <v>1</v>
      </c>
      <c r="P40" s="41">
        <v>1</v>
      </c>
      <c r="Q40" s="79" t="s">
        <v>180</v>
      </c>
      <c r="R40" s="79" t="s">
        <v>368</v>
      </c>
      <c r="S40" s="79" t="s">
        <v>282</v>
      </c>
    </row>
    <row r="41" spans="1:19" ht="52.95" customHeight="1" x14ac:dyDescent="0.4">
      <c r="A41" s="2">
        <v>36</v>
      </c>
      <c r="B41" s="80" t="s">
        <v>203</v>
      </c>
      <c r="C41" s="85" t="s">
        <v>385</v>
      </c>
      <c r="D41" s="41" t="s">
        <v>386</v>
      </c>
      <c r="E41" s="41" t="s">
        <v>280</v>
      </c>
      <c r="F41" s="41">
        <v>1.4</v>
      </c>
      <c r="G41" s="86" t="s">
        <v>54</v>
      </c>
      <c r="H41" s="57" t="s">
        <v>387</v>
      </c>
      <c r="I41" s="54" t="s">
        <v>388</v>
      </c>
      <c r="J41" s="41">
        <v>2</v>
      </c>
      <c r="K41" s="41">
        <v>2</v>
      </c>
      <c r="L41" s="41">
        <v>4</v>
      </c>
      <c r="M41" s="87" t="s">
        <v>389</v>
      </c>
      <c r="N41" s="41">
        <v>1</v>
      </c>
      <c r="O41" s="41">
        <v>1</v>
      </c>
      <c r="P41" s="41">
        <v>1</v>
      </c>
      <c r="Q41" s="79" t="s">
        <v>180</v>
      </c>
      <c r="R41" s="79" t="s">
        <v>368</v>
      </c>
      <c r="S41" s="79" t="s">
        <v>282</v>
      </c>
    </row>
    <row r="42" spans="1:19" ht="25.2" customHeight="1" x14ac:dyDescent="0.4">
      <c r="A42" s="389" t="s">
        <v>185</v>
      </c>
      <c r="B42" s="390"/>
      <c r="C42" s="391"/>
      <c r="D42" s="398" t="s">
        <v>186</v>
      </c>
      <c r="E42" s="399"/>
      <c r="F42" s="400"/>
      <c r="G42" s="401"/>
      <c r="H42" s="401"/>
      <c r="I42" s="401"/>
      <c r="J42" s="401"/>
      <c r="K42" s="401"/>
      <c r="L42" s="401"/>
      <c r="M42" s="402"/>
      <c r="N42" s="51" t="s">
        <v>187</v>
      </c>
      <c r="O42" s="52"/>
      <c r="P42" s="52"/>
      <c r="Q42" s="52"/>
      <c r="R42" s="52"/>
      <c r="S42" s="53"/>
    </row>
    <row r="43" spans="1:19" ht="25.2" customHeight="1" x14ac:dyDescent="0.4">
      <c r="A43" s="392"/>
      <c r="B43" s="393"/>
      <c r="C43" s="394"/>
      <c r="D43" s="398" t="s">
        <v>188</v>
      </c>
      <c r="E43" s="399"/>
      <c r="F43" s="400"/>
      <c r="G43" s="401"/>
      <c r="H43" s="401"/>
      <c r="I43" s="401"/>
      <c r="J43" s="401"/>
      <c r="K43" s="401"/>
      <c r="L43" s="401"/>
      <c r="M43" s="402"/>
      <c r="N43" s="51" t="s">
        <v>187</v>
      </c>
      <c r="O43" s="52"/>
      <c r="P43" s="52"/>
      <c r="Q43" s="52"/>
      <c r="R43" s="52"/>
      <c r="S43" s="53"/>
    </row>
    <row r="44" spans="1:19" ht="25.2" customHeight="1" x14ac:dyDescent="0.4">
      <c r="A44" s="392"/>
      <c r="B44" s="393"/>
      <c r="C44" s="394"/>
      <c r="D44" s="398" t="s">
        <v>130</v>
      </c>
      <c r="E44" s="399"/>
      <c r="F44" s="400"/>
      <c r="G44" s="401"/>
      <c r="H44" s="401"/>
      <c r="I44" s="401"/>
      <c r="J44" s="401"/>
      <c r="K44" s="401"/>
      <c r="L44" s="401"/>
      <c r="M44" s="402"/>
      <c r="N44" s="51" t="s">
        <v>187</v>
      </c>
      <c r="O44" s="52"/>
      <c r="P44" s="52"/>
      <c r="Q44" s="52"/>
      <c r="R44" s="52"/>
      <c r="S44" s="53"/>
    </row>
    <row r="45" spans="1:19" ht="25.2" customHeight="1" x14ac:dyDescent="0.4">
      <c r="A45" s="392"/>
      <c r="B45" s="393"/>
      <c r="C45" s="394"/>
      <c r="D45" s="398" t="s">
        <v>189</v>
      </c>
      <c r="E45" s="399"/>
      <c r="F45" s="400"/>
      <c r="G45" s="401"/>
      <c r="H45" s="401"/>
      <c r="I45" s="401"/>
      <c r="J45" s="401"/>
      <c r="K45" s="401"/>
      <c r="L45" s="401"/>
      <c r="M45" s="402"/>
      <c r="N45" s="51" t="s">
        <v>187</v>
      </c>
      <c r="O45" s="52"/>
      <c r="P45" s="52"/>
      <c r="Q45" s="52"/>
      <c r="R45" s="52"/>
      <c r="S45" s="53"/>
    </row>
    <row r="46" spans="1:19" ht="25.2" customHeight="1" x14ac:dyDescent="0.4">
      <c r="A46" s="395"/>
      <c r="B46" s="396"/>
      <c r="C46" s="397"/>
      <c r="D46" s="398" t="s">
        <v>190</v>
      </c>
      <c r="E46" s="399"/>
      <c r="F46" s="400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1:S39"/>
  <sheetViews>
    <sheetView showGridLines="0" topLeftCell="A19" zoomScale="85" zoomScaleNormal="85" zoomScaleSheetLayoutView="85" workbookViewId="0">
      <selection activeCell="G10" sqref="G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442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391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61">
        <v>1</v>
      </c>
      <c r="B6" s="387" t="s">
        <v>17</v>
      </c>
      <c r="C6" s="63" t="s">
        <v>240</v>
      </c>
      <c r="D6" s="60" t="s">
        <v>241</v>
      </c>
      <c r="E6" s="59" t="s">
        <v>242</v>
      </c>
      <c r="F6" s="41">
        <v>1.3</v>
      </c>
      <c r="G6" s="57" t="s">
        <v>196</v>
      </c>
      <c r="H6" s="57" t="s">
        <v>229</v>
      </c>
      <c r="I6" s="54" t="s">
        <v>213</v>
      </c>
      <c r="J6" s="41">
        <v>2</v>
      </c>
      <c r="K6" s="41">
        <v>4</v>
      </c>
      <c r="L6" s="41">
        <v>8</v>
      </c>
      <c r="M6" s="54" t="s">
        <v>214</v>
      </c>
      <c r="N6" s="41">
        <v>1</v>
      </c>
      <c r="O6" s="41">
        <v>4</v>
      </c>
      <c r="P6" s="41">
        <v>4</v>
      </c>
      <c r="Q6" s="41" t="s">
        <v>270</v>
      </c>
      <c r="R6" s="41" t="s">
        <v>392</v>
      </c>
      <c r="S6" s="41" t="s">
        <v>271</v>
      </c>
    </row>
    <row r="7" spans="1:19" ht="43.2" x14ac:dyDescent="0.4">
      <c r="A7" s="2">
        <v>2</v>
      </c>
      <c r="B7" s="462"/>
      <c r="C7" s="58" t="s">
        <v>243</v>
      </c>
      <c r="D7" s="59" t="s">
        <v>244</v>
      </c>
      <c r="E7" s="59" t="s">
        <v>191</v>
      </c>
      <c r="F7" s="41">
        <v>4.0999999999999996</v>
      </c>
      <c r="G7" s="57" t="s">
        <v>197</v>
      </c>
      <c r="H7" s="57" t="s">
        <v>230</v>
      </c>
      <c r="I7" s="54" t="s">
        <v>213</v>
      </c>
      <c r="J7" s="41">
        <v>2</v>
      </c>
      <c r="K7" s="41">
        <v>2</v>
      </c>
      <c r="L7" s="41">
        <v>4</v>
      </c>
      <c r="M7" s="54" t="s">
        <v>222</v>
      </c>
      <c r="N7" s="41">
        <v>1</v>
      </c>
      <c r="O7" s="41">
        <v>2</v>
      </c>
      <c r="P7" s="41">
        <v>2</v>
      </c>
      <c r="Q7" s="79"/>
      <c r="R7" s="79"/>
      <c r="S7" s="79"/>
    </row>
    <row r="8" spans="1:19" ht="28.8" x14ac:dyDescent="0.4">
      <c r="A8" s="61">
        <v>3</v>
      </c>
      <c r="B8" s="462"/>
      <c r="C8" s="58"/>
      <c r="D8" s="59" t="s">
        <v>244</v>
      </c>
      <c r="E8" s="59" t="s">
        <v>191</v>
      </c>
      <c r="F8" s="41" t="s">
        <v>204</v>
      </c>
      <c r="G8" s="57" t="s">
        <v>198</v>
      </c>
      <c r="H8" s="57" t="s">
        <v>231</v>
      </c>
      <c r="I8" s="54" t="s">
        <v>213</v>
      </c>
      <c r="J8" s="41">
        <v>2</v>
      </c>
      <c r="K8" s="41">
        <v>2</v>
      </c>
      <c r="L8" s="41">
        <v>4</v>
      </c>
      <c r="M8" s="54" t="s">
        <v>223</v>
      </c>
      <c r="N8" s="41">
        <v>1</v>
      </c>
      <c r="O8" s="41">
        <v>2</v>
      </c>
      <c r="P8" s="41">
        <v>2</v>
      </c>
      <c r="Q8" s="79"/>
      <c r="R8" s="79"/>
      <c r="S8" s="79"/>
    </row>
    <row r="9" spans="1:19" ht="43.2" x14ac:dyDescent="0.4">
      <c r="A9" s="2">
        <v>4</v>
      </c>
      <c r="B9" s="462"/>
      <c r="C9" s="58" t="s">
        <v>192</v>
      </c>
      <c r="D9" s="60" t="s">
        <v>245</v>
      </c>
      <c r="E9" s="59" t="s">
        <v>191</v>
      </c>
      <c r="F9" s="41" t="s">
        <v>205</v>
      </c>
      <c r="G9" s="57" t="s">
        <v>54</v>
      </c>
      <c r="H9" s="57" t="s">
        <v>232</v>
      </c>
      <c r="I9" s="54" t="s">
        <v>176</v>
      </c>
      <c r="J9" s="41">
        <v>1</v>
      </c>
      <c r="K9" s="41">
        <v>2</v>
      </c>
      <c r="L9" s="41">
        <v>2</v>
      </c>
      <c r="M9" s="54" t="s">
        <v>215</v>
      </c>
      <c r="N9" s="41">
        <v>1</v>
      </c>
      <c r="O9" s="41">
        <v>2</v>
      </c>
      <c r="P9" s="41">
        <v>2</v>
      </c>
      <c r="Q9" s="79"/>
      <c r="R9" s="79"/>
      <c r="S9" s="79"/>
    </row>
    <row r="10" spans="1:19" ht="43.2" x14ac:dyDescent="0.4">
      <c r="A10" s="61">
        <v>5</v>
      </c>
      <c r="B10" s="388"/>
      <c r="C10" s="58"/>
      <c r="D10" s="60" t="s">
        <v>245</v>
      </c>
      <c r="E10" s="59" t="s">
        <v>191</v>
      </c>
      <c r="F10" s="41" t="s">
        <v>205</v>
      </c>
      <c r="G10" s="57" t="s">
        <v>198</v>
      </c>
      <c r="H10" s="57" t="s">
        <v>233</v>
      </c>
      <c r="I10" s="54" t="s">
        <v>176</v>
      </c>
      <c r="J10" s="41">
        <v>1</v>
      </c>
      <c r="K10" s="41">
        <v>3</v>
      </c>
      <c r="L10" s="41">
        <v>3</v>
      </c>
      <c r="M10" s="54" t="s">
        <v>216</v>
      </c>
      <c r="N10" s="41">
        <v>1</v>
      </c>
      <c r="O10" s="41">
        <v>3</v>
      </c>
      <c r="P10" s="41">
        <v>3</v>
      </c>
      <c r="Q10" s="79"/>
      <c r="R10" s="79"/>
      <c r="S10" s="79"/>
    </row>
    <row r="11" spans="1:19" ht="43.2" x14ac:dyDescent="0.4">
      <c r="A11" s="2">
        <v>6</v>
      </c>
      <c r="B11" s="387" t="s">
        <v>227</v>
      </c>
      <c r="C11" s="58" t="s">
        <v>246</v>
      </c>
      <c r="D11" s="59" t="s">
        <v>194</v>
      </c>
      <c r="E11" s="59" t="s">
        <v>191</v>
      </c>
      <c r="F11" s="41" t="s">
        <v>205</v>
      </c>
      <c r="G11" s="57" t="s">
        <v>51</v>
      </c>
      <c r="H11" s="57" t="s">
        <v>199</v>
      </c>
      <c r="I11" s="54" t="s">
        <v>258</v>
      </c>
      <c r="J11" s="41">
        <v>1</v>
      </c>
      <c r="K11" s="41">
        <v>3</v>
      </c>
      <c r="L11" s="41">
        <v>3</v>
      </c>
      <c r="M11" s="54" t="s">
        <v>217</v>
      </c>
      <c r="N11" s="41">
        <v>1</v>
      </c>
      <c r="O11" s="41">
        <v>3</v>
      </c>
      <c r="P11" s="41">
        <v>3</v>
      </c>
      <c r="Q11" s="79"/>
      <c r="R11" s="79"/>
      <c r="S11" s="79"/>
    </row>
    <row r="12" spans="1:19" ht="28.8" x14ac:dyDescent="0.4">
      <c r="A12" s="61">
        <v>7</v>
      </c>
      <c r="B12" s="462"/>
      <c r="C12" s="58"/>
      <c r="D12" s="59" t="s">
        <v>194</v>
      </c>
      <c r="E12" s="59" t="s">
        <v>191</v>
      </c>
      <c r="F12" s="41" t="s">
        <v>206</v>
      </c>
      <c r="G12" s="62" t="s">
        <v>196</v>
      </c>
      <c r="H12" s="57" t="s">
        <v>234</v>
      </c>
      <c r="I12" s="54" t="s">
        <v>259</v>
      </c>
      <c r="J12" s="41">
        <v>3</v>
      </c>
      <c r="K12" s="41">
        <v>2</v>
      </c>
      <c r="L12" s="41">
        <v>6</v>
      </c>
      <c r="M12" s="54" t="s">
        <v>219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43.2" x14ac:dyDescent="0.4">
      <c r="A13" s="2">
        <v>8</v>
      </c>
      <c r="B13" s="462"/>
      <c r="C13" s="58" t="s">
        <v>247</v>
      </c>
      <c r="D13" s="59" t="s">
        <v>194</v>
      </c>
      <c r="E13" s="59" t="s">
        <v>191</v>
      </c>
      <c r="F13" s="41" t="s">
        <v>207</v>
      </c>
      <c r="G13" s="57" t="s">
        <v>51</v>
      </c>
      <c r="H13" s="57" t="s">
        <v>199</v>
      </c>
      <c r="I13" s="54" t="s">
        <v>258</v>
      </c>
      <c r="J13" s="41">
        <v>1</v>
      </c>
      <c r="K13" s="41">
        <v>3</v>
      </c>
      <c r="L13" s="41">
        <v>3</v>
      </c>
      <c r="M13" s="54" t="s">
        <v>217</v>
      </c>
      <c r="N13" s="41">
        <v>1</v>
      </c>
      <c r="O13" s="41">
        <v>3</v>
      </c>
      <c r="P13" s="41">
        <v>3</v>
      </c>
      <c r="Q13" s="79"/>
      <c r="R13" s="79"/>
      <c r="S13" s="79"/>
    </row>
    <row r="14" spans="1:19" ht="28.8" x14ac:dyDescent="0.4">
      <c r="A14" s="61">
        <v>9</v>
      </c>
      <c r="B14" s="462"/>
      <c r="C14" s="58"/>
      <c r="D14" s="59" t="s">
        <v>194</v>
      </c>
      <c r="E14" s="59" t="s">
        <v>191</v>
      </c>
      <c r="F14" s="41" t="s">
        <v>204</v>
      </c>
      <c r="G14" s="62" t="s">
        <v>196</v>
      </c>
      <c r="H14" s="57" t="s">
        <v>234</v>
      </c>
      <c r="I14" s="54" t="s">
        <v>259</v>
      </c>
      <c r="J14" s="41">
        <v>3</v>
      </c>
      <c r="K14" s="41">
        <v>2</v>
      </c>
      <c r="L14" s="41">
        <v>6</v>
      </c>
      <c r="M14" s="54" t="s">
        <v>219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43.2" x14ac:dyDescent="0.4">
      <c r="A15" s="2">
        <v>10</v>
      </c>
      <c r="B15" s="462"/>
      <c r="C15" s="387" t="s">
        <v>248</v>
      </c>
      <c r="D15" s="60" t="s">
        <v>245</v>
      </c>
      <c r="E15" s="59" t="s">
        <v>191</v>
      </c>
      <c r="F15" s="41">
        <v>1.1000000000000001</v>
      </c>
      <c r="G15" s="57" t="s">
        <v>51</v>
      </c>
      <c r="H15" s="57" t="s">
        <v>200</v>
      </c>
      <c r="I15" s="54" t="s">
        <v>176</v>
      </c>
      <c r="J15" s="41">
        <v>2</v>
      </c>
      <c r="K15" s="41">
        <v>3</v>
      </c>
      <c r="L15" s="41">
        <v>6</v>
      </c>
      <c r="M15" s="54" t="s">
        <v>224</v>
      </c>
      <c r="N15" s="41">
        <v>1</v>
      </c>
      <c r="O15" s="41">
        <v>3</v>
      </c>
      <c r="P15" s="41">
        <v>3</v>
      </c>
      <c r="Q15" s="79"/>
      <c r="R15" s="79"/>
      <c r="S15" s="79"/>
    </row>
    <row r="16" spans="1:19" ht="57.6" x14ac:dyDescent="0.4">
      <c r="A16" s="61">
        <v>11</v>
      </c>
      <c r="B16" s="462"/>
      <c r="C16" s="462"/>
      <c r="D16" s="60" t="s">
        <v>245</v>
      </c>
      <c r="E16" s="59" t="s">
        <v>191</v>
      </c>
      <c r="F16" s="41">
        <v>4.0999999999999996</v>
      </c>
      <c r="G16" s="62" t="s">
        <v>196</v>
      </c>
      <c r="H16" s="57" t="s">
        <v>235</v>
      </c>
      <c r="I16" s="54" t="s">
        <v>260</v>
      </c>
      <c r="J16" s="41">
        <v>2</v>
      </c>
      <c r="K16" s="41">
        <v>4</v>
      </c>
      <c r="L16" s="41">
        <v>8</v>
      </c>
      <c r="M16" s="54" t="s">
        <v>225</v>
      </c>
      <c r="N16" s="41">
        <v>1</v>
      </c>
      <c r="O16" s="41">
        <v>4</v>
      </c>
      <c r="P16" s="41">
        <v>4</v>
      </c>
      <c r="Q16" s="88"/>
      <c r="R16" s="79"/>
      <c r="S16" s="79"/>
    </row>
    <row r="17" spans="1:19" ht="43.2" x14ac:dyDescent="0.4">
      <c r="A17" s="2">
        <v>12</v>
      </c>
      <c r="B17" s="462"/>
      <c r="C17" s="462"/>
      <c r="D17" s="60" t="s">
        <v>245</v>
      </c>
      <c r="E17" s="59" t="s">
        <v>191</v>
      </c>
      <c r="F17" s="41" t="s">
        <v>208</v>
      </c>
      <c r="G17" s="57" t="s">
        <v>54</v>
      </c>
      <c r="H17" s="57" t="s">
        <v>232</v>
      </c>
      <c r="I17" s="54" t="s">
        <v>176</v>
      </c>
      <c r="J17" s="41">
        <v>1</v>
      </c>
      <c r="K17" s="41">
        <v>2</v>
      </c>
      <c r="L17" s="41">
        <v>2</v>
      </c>
      <c r="M17" s="54" t="s">
        <v>215</v>
      </c>
      <c r="N17" s="41">
        <v>1</v>
      </c>
      <c r="O17" s="41">
        <v>2</v>
      </c>
      <c r="P17" s="41">
        <v>2</v>
      </c>
      <c r="Q17" s="88"/>
      <c r="R17" s="79"/>
      <c r="S17" s="79"/>
    </row>
    <row r="18" spans="1:19" ht="43.2" x14ac:dyDescent="0.4">
      <c r="A18" s="61">
        <v>13</v>
      </c>
      <c r="B18" s="462"/>
      <c r="C18" s="388"/>
      <c r="D18" s="60" t="s">
        <v>245</v>
      </c>
      <c r="E18" s="59" t="s">
        <v>191</v>
      </c>
      <c r="F18" s="41" t="s">
        <v>209</v>
      </c>
      <c r="G18" s="57" t="s">
        <v>198</v>
      </c>
      <c r="H18" s="57" t="s">
        <v>233</v>
      </c>
      <c r="I18" s="54" t="s">
        <v>176</v>
      </c>
      <c r="J18" s="41">
        <v>1</v>
      </c>
      <c r="K18" s="41">
        <v>3</v>
      </c>
      <c r="L18" s="41">
        <v>3</v>
      </c>
      <c r="M18" s="54" t="s">
        <v>216</v>
      </c>
      <c r="N18" s="41">
        <v>1</v>
      </c>
      <c r="O18" s="41">
        <v>3</v>
      </c>
      <c r="P18" s="41">
        <v>3</v>
      </c>
      <c r="Q18" s="88"/>
      <c r="R18" s="79"/>
      <c r="S18" s="79"/>
    </row>
    <row r="19" spans="1:19" ht="43.2" x14ac:dyDescent="0.4">
      <c r="A19" s="2">
        <v>14</v>
      </c>
      <c r="B19" s="462"/>
      <c r="C19" s="58" t="s">
        <v>249</v>
      </c>
      <c r="D19" s="59" t="s">
        <v>194</v>
      </c>
      <c r="E19" s="59" t="s">
        <v>191</v>
      </c>
      <c r="F19" s="41" t="s">
        <v>210</v>
      </c>
      <c r="G19" s="57" t="s">
        <v>51</v>
      </c>
      <c r="H19" s="57" t="s">
        <v>199</v>
      </c>
      <c r="I19" s="54" t="s">
        <v>258</v>
      </c>
      <c r="J19" s="41">
        <v>1</v>
      </c>
      <c r="K19" s="41">
        <v>3</v>
      </c>
      <c r="L19" s="41">
        <v>3</v>
      </c>
      <c r="M19" s="54" t="s">
        <v>217</v>
      </c>
      <c r="N19" s="41">
        <v>1</v>
      </c>
      <c r="O19" s="41">
        <v>3</v>
      </c>
      <c r="P19" s="41">
        <v>3</v>
      </c>
      <c r="Q19" s="88"/>
      <c r="R19" s="79"/>
      <c r="S19" s="79"/>
    </row>
    <row r="20" spans="1:19" ht="28.8" x14ac:dyDescent="0.4">
      <c r="A20" s="61">
        <v>15</v>
      </c>
      <c r="B20" s="462"/>
      <c r="C20" s="58"/>
      <c r="D20" s="59" t="s">
        <v>194</v>
      </c>
      <c r="E20" s="59" t="s">
        <v>191</v>
      </c>
      <c r="F20" s="41" t="s">
        <v>205</v>
      </c>
      <c r="G20" s="62" t="s">
        <v>196</v>
      </c>
      <c r="H20" s="57" t="s">
        <v>234</v>
      </c>
      <c r="I20" s="54" t="s">
        <v>259</v>
      </c>
      <c r="J20" s="41">
        <v>3</v>
      </c>
      <c r="K20" s="41">
        <v>2</v>
      </c>
      <c r="L20" s="41">
        <v>6</v>
      </c>
      <c r="M20" s="54" t="s">
        <v>219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62"/>
      <c r="C21" s="58" t="s">
        <v>250</v>
      </c>
      <c r="D21" s="59" t="s">
        <v>194</v>
      </c>
      <c r="E21" s="59" t="s">
        <v>191</v>
      </c>
      <c r="F21" s="41" t="s">
        <v>205</v>
      </c>
      <c r="G21" s="57" t="s">
        <v>51</v>
      </c>
      <c r="H21" s="57" t="s">
        <v>199</v>
      </c>
      <c r="I21" s="54" t="s">
        <v>258</v>
      </c>
      <c r="J21" s="41">
        <v>1</v>
      </c>
      <c r="K21" s="41">
        <v>3</v>
      </c>
      <c r="L21" s="41">
        <v>3</v>
      </c>
      <c r="M21" s="54" t="s">
        <v>217</v>
      </c>
      <c r="N21" s="41">
        <v>1</v>
      </c>
      <c r="O21" s="41">
        <v>3</v>
      </c>
      <c r="P21" s="41">
        <v>3</v>
      </c>
      <c r="Q21" s="79"/>
      <c r="R21" s="79"/>
      <c r="S21" s="79"/>
    </row>
    <row r="22" spans="1:19" ht="28.8" x14ac:dyDescent="0.4">
      <c r="A22" s="61">
        <v>17</v>
      </c>
      <c r="B22" s="462"/>
      <c r="C22" s="58"/>
      <c r="D22" s="59" t="s">
        <v>194</v>
      </c>
      <c r="E22" s="59" t="s">
        <v>191</v>
      </c>
      <c r="F22" s="41" t="s">
        <v>205</v>
      </c>
      <c r="G22" s="62" t="s">
        <v>196</v>
      </c>
      <c r="H22" s="57" t="s">
        <v>234</v>
      </c>
      <c r="I22" s="54" t="s">
        <v>259</v>
      </c>
      <c r="J22" s="41">
        <v>3</v>
      </c>
      <c r="K22" s="41">
        <v>2</v>
      </c>
      <c r="L22" s="41">
        <v>6</v>
      </c>
      <c r="M22" s="54" t="s">
        <v>219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28.8" x14ac:dyDescent="0.4">
      <c r="A23" s="2">
        <v>18</v>
      </c>
      <c r="B23" s="462"/>
      <c r="C23" s="58"/>
      <c r="D23" s="59" t="s">
        <v>251</v>
      </c>
      <c r="E23" s="59" t="s">
        <v>191</v>
      </c>
      <c r="F23" s="41" t="s">
        <v>206</v>
      </c>
      <c r="G23" s="57" t="s">
        <v>51</v>
      </c>
      <c r="H23" s="57" t="s">
        <v>236</v>
      </c>
      <c r="I23" s="54" t="s">
        <v>213</v>
      </c>
      <c r="J23" s="41">
        <v>1</v>
      </c>
      <c r="K23" s="41">
        <v>3</v>
      </c>
      <c r="L23" s="41">
        <v>3</v>
      </c>
      <c r="M23" s="54" t="s">
        <v>226</v>
      </c>
      <c r="N23" s="41">
        <v>1</v>
      </c>
      <c r="O23" s="41">
        <v>3</v>
      </c>
      <c r="P23" s="41">
        <v>3</v>
      </c>
      <c r="Q23" s="79"/>
      <c r="R23" s="79"/>
      <c r="S23" s="79"/>
    </row>
    <row r="24" spans="1:19" ht="43.2" x14ac:dyDescent="0.4">
      <c r="A24" s="61">
        <v>19</v>
      </c>
      <c r="B24" s="462"/>
      <c r="C24" s="58" t="s">
        <v>252</v>
      </c>
      <c r="D24" s="60" t="s">
        <v>245</v>
      </c>
      <c r="E24" s="59" t="s">
        <v>191</v>
      </c>
      <c r="F24" s="41" t="s">
        <v>207</v>
      </c>
      <c r="G24" s="57" t="s">
        <v>51</v>
      </c>
      <c r="H24" s="57" t="s">
        <v>199</v>
      </c>
      <c r="I24" s="54" t="s">
        <v>258</v>
      </c>
      <c r="J24" s="41">
        <v>1</v>
      </c>
      <c r="K24" s="41">
        <v>3</v>
      </c>
      <c r="L24" s="41">
        <v>3</v>
      </c>
      <c r="M24" s="54" t="s">
        <v>217</v>
      </c>
      <c r="N24" s="41">
        <v>1</v>
      </c>
      <c r="O24" s="41">
        <v>3</v>
      </c>
      <c r="P24" s="41">
        <v>3</v>
      </c>
      <c r="Q24" s="79"/>
      <c r="R24" s="79"/>
      <c r="S24" s="79"/>
    </row>
    <row r="25" spans="1:19" ht="57.6" x14ac:dyDescent="0.4">
      <c r="A25" s="2">
        <v>20</v>
      </c>
      <c r="B25" s="462"/>
      <c r="C25" s="58"/>
      <c r="D25" s="60" t="s">
        <v>245</v>
      </c>
      <c r="E25" s="59" t="s">
        <v>191</v>
      </c>
      <c r="F25" s="41" t="s">
        <v>204</v>
      </c>
      <c r="G25" s="62" t="s">
        <v>196</v>
      </c>
      <c r="H25" s="57" t="s">
        <v>235</v>
      </c>
      <c r="I25" s="54" t="s">
        <v>260</v>
      </c>
      <c r="J25" s="41">
        <v>2</v>
      </c>
      <c r="K25" s="41">
        <v>4</v>
      </c>
      <c r="L25" s="41">
        <v>8</v>
      </c>
      <c r="M25" s="54" t="s">
        <v>225</v>
      </c>
      <c r="N25" s="41">
        <v>2</v>
      </c>
      <c r="O25" s="41">
        <v>4</v>
      </c>
      <c r="P25" s="41">
        <v>8</v>
      </c>
      <c r="Q25" s="88"/>
      <c r="R25" s="79"/>
      <c r="S25" s="79"/>
    </row>
    <row r="26" spans="1:19" ht="43.2" x14ac:dyDescent="0.4">
      <c r="A26" s="61">
        <v>21</v>
      </c>
      <c r="B26" s="462"/>
      <c r="C26" s="58" t="s">
        <v>253</v>
      </c>
      <c r="D26" s="59" t="s">
        <v>194</v>
      </c>
      <c r="E26" s="59" t="s">
        <v>191</v>
      </c>
      <c r="F26" s="41" t="s">
        <v>206</v>
      </c>
      <c r="G26" s="57" t="s">
        <v>51</v>
      </c>
      <c r="H26" s="57" t="s">
        <v>199</v>
      </c>
      <c r="I26" s="54" t="s">
        <v>258</v>
      </c>
      <c r="J26" s="41">
        <v>1</v>
      </c>
      <c r="K26" s="41">
        <v>3</v>
      </c>
      <c r="L26" s="41">
        <v>3</v>
      </c>
      <c r="M26" s="54" t="s">
        <v>217</v>
      </c>
      <c r="N26" s="41">
        <v>1</v>
      </c>
      <c r="O26" s="41">
        <v>3</v>
      </c>
      <c r="P26" s="41">
        <v>3</v>
      </c>
      <c r="Q26" s="79"/>
      <c r="R26" s="79"/>
      <c r="S26" s="79"/>
    </row>
    <row r="27" spans="1:19" ht="28.8" x14ac:dyDescent="0.4">
      <c r="A27" s="2">
        <v>22</v>
      </c>
      <c r="B27" s="388"/>
      <c r="C27" s="58"/>
      <c r="D27" s="59" t="s">
        <v>194</v>
      </c>
      <c r="E27" s="59" t="s">
        <v>191</v>
      </c>
      <c r="F27" s="41" t="s">
        <v>211</v>
      </c>
      <c r="G27" s="62" t="s">
        <v>196</v>
      </c>
      <c r="H27" s="57" t="s">
        <v>234</v>
      </c>
      <c r="I27" s="54" t="s">
        <v>259</v>
      </c>
      <c r="J27" s="41">
        <v>3</v>
      </c>
      <c r="K27" s="41">
        <v>2</v>
      </c>
      <c r="L27" s="41">
        <v>6</v>
      </c>
      <c r="M27" s="54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61">
        <v>23</v>
      </c>
      <c r="B28" s="387" t="s">
        <v>228</v>
      </c>
      <c r="C28" s="58" t="s">
        <v>254</v>
      </c>
      <c r="D28" s="59" t="s">
        <v>194</v>
      </c>
      <c r="E28" s="59" t="s">
        <v>191</v>
      </c>
      <c r="F28" s="41">
        <v>1.1000000000000001</v>
      </c>
      <c r="G28" s="57" t="s">
        <v>51</v>
      </c>
      <c r="H28" s="57" t="s">
        <v>199</v>
      </c>
      <c r="I28" s="54" t="s">
        <v>258</v>
      </c>
      <c r="J28" s="41">
        <v>1</v>
      </c>
      <c r="K28" s="41">
        <v>3</v>
      </c>
      <c r="L28" s="41">
        <v>3</v>
      </c>
      <c r="M28" s="54" t="s">
        <v>217</v>
      </c>
      <c r="N28" s="41">
        <v>1</v>
      </c>
      <c r="O28" s="41">
        <v>3</v>
      </c>
      <c r="P28" s="41">
        <v>3</v>
      </c>
      <c r="Q28" s="79"/>
      <c r="R28" s="79"/>
      <c r="S28" s="79"/>
    </row>
    <row r="29" spans="1:19" ht="28.8" x14ac:dyDescent="0.4">
      <c r="A29" s="2">
        <v>24</v>
      </c>
      <c r="B29" s="462"/>
      <c r="C29" s="58"/>
      <c r="D29" s="59" t="s">
        <v>194</v>
      </c>
      <c r="E29" s="59" t="s">
        <v>191</v>
      </c>
      <c r="F29" s="41" t="s">
        <v>208</v>
      </c>
      <c r="G29" s="62" t="s">
        <v>196</v>
      </c>
      <c r="H29" s="57" t="s">
        <v>234</v>
      </c>
      <c r="I29" s="54" t="s">
        <v>259</v>
      </c>
      <c r="J29" s="41">
        <v>3</v>
      </c>
      <c r="K29" s="41">
        <v>2</v>
      </c>
      <c r="L29" s="41">
        <v>6</v>
      </c>
      <c r="M29" s="54" t="s">
        <v>219</v>
      </c>
      <c r="N29" s="41">
        <v>2</v>
      </c>
      <c r="O29" s="41">
        <v>2</v>
      </c>
      <c r="P29" s="41">
        <v>4</v>
      </c>
      <c r="Q29" s="79"/>
      <c r="R29" s="79"/>
      <c r="S29" s="79"/>
    </row>
    <row r="30" spans="1:19" ht="37.5" customHeight="1" x14ac:dyDescent="0.4">
      <c r="A30" s="61">
        <v>25</v>
      </c>
      <c r="B30" s="462"/>
      <c r="C30" s="63" t="s">
        <v>255</v>
      </c>
      <c r="D30" s="59" t="s">
        <v>193</v>
      </c>
      <c r="E30" s="59" t="s">
        <v>191</v>
      </c>
      <c r="F30" s="41" t="s">
        <v>206</v>
      </c>
      <c r="G30" s="57" t="s">
        <v>57</v>
      </c>
      <c r="H30" s="57" t="s">
        <v>201</v>
      </c>
      <c r="I30" s="54" t="s">
        <v>261</v>
      </c>
      <c r="J30" s="41">
        <v>2</v>
      </c>
      <c r="K30" s="41">
        <v>2</v>
      </c>
      <c r="L30" s="41">
        <v>4</v>
      </c>
      <c r="M30" s="54" t="s">
        <v>220</v>
      </c>
      <c r="N30" s="41">
        <v>2</v>
      </c>
      <c r="O30" s="41">
        <v>1</v>
      </c>
      <c r="P30" s="41">
        <v>2</v>
      </c>
      <c r="Q30" s="79"/>
      <c r="R30" s="79"/>
      <c r="S30" s="79"/>
    </row>
    <row r="31" spans="1:19" ht="37.5" customHeight="1" x14ac:dyDescent="0.4">
      <c r="A31" s="2">
        <v>26</v>
      </c>
      <c r="B31" s="388"/>
      <c r="C31" s="63" t="s">
        <v>256</v>
      </c>
      <c r="D31" s="59" t="s">
        <v>193</v>
      </c>
      <c r="E31" s="59" t="s">
        <v>191</v>
      </c>
      <c r="F31" s="41" t="s">
        <v>212</v>
      </c>
      <c r="G31" s="57" t="s">
        <v>57</v>
      </c>
      <c r="H31" s="57" t="s">
        <v>201</v>
      </c>
      <c r="I31" s="54" t="s">
        <v>261</v>
      </c>
      <c r="J31" s="41">
        <v>2</v>
      </c>
      <c r="K31" s="41">
        <v>2</v>
      </c>
      <c r="L31" s="41">
        <v>4</v>
      </c>
      <c r="M31" s="54" t="s">
        <v>220</v>
      </c>
      <c r="N31" s="41">
        <v>2</v>
      </c>
      <c r="O31" s="41">
        <v>1</v>
      </c>
      <c r="P31" s="41">
        <v>2</v>
      </c>
      <c r="Q31" s="79"/>
      <c r="R31" s="79"/>
      <c r="S31" s="79"/>
    </row>
    <row r="32" spans="1:19" ht="43.2" x14ac:dyDescent="0.4">
      <c r="A32" s="61">
        <v>27</v>
      </c>
      <c r="B32" s="387" t="s">
        <v>203</v>
      </c>
      <c r="C32" s="58" t="s">
        <v>257</v>
      </c>
      <c r="D32" s="59" t="s">
        <v>195</v>
      </c>
      <c r="E32" s="59" t="s">
        <v>191</v>
      </c>
      <c r="F32" s="41">
        <v>4.0999999999999996</v>
      </c>
      <c r="G32" s="57" t="s">
        <v>61</v>
      </c>
      <c r="H32" s="57" t="s">
        <v>237</v>
      </c>
      <c r="I32" s="54" t="s">
        <v>202</v>
      </c>
      <c r="J32" s="41">
        <v>2</v>
      </c>
      <c r="K32" s="41">
        <v>2</v>
      </c>
      <c r="L32" s="41">
        <v>4</v>
      </c>
      <c r="M32" s="54" t="s">
        <v>262</v>
      </c>
      <c r="N32" s="41">
        <v>2</v>
      </c>
      <c r="O32" s="41">
        <v>2</v>
      </c>
      <c r="P32" s="41">
        <v>4</v>
      </c>
      <c r="Q32" s="79"/>
      <c r="R32" s="79"/>
      <c r="S32" s="79"/>
    </row>
    <row r="33" spans="1:19" ht="28.8" x14ac:dyDescent="0.4">
      <c r="A33" s="2">
        <v>28</v>
      </c>
      <c r="B33" s="462"/>
      <c r="C33" s="58"/>
      <c r="D33" s="59" t="s">
        <v>195</v>
      </c>
      <c r="E33" s="59" t="s">
        <v>191</v>
      </c>
      <c r="F33" s="41" t="s">
        <v>208</v>
      </c>
      <c r="G33" s="57" t="s">
        <v>63</v>
      </c>
      <c r="H33" s="57" t="s">
        <v>238</v>
      </c>
      <c r="I33" s="54" t="s">
        <v>263</v>
      </c>
      <c r="J33" s="41">
        <v>2</v>
      </c>
      <c r="K33" s="41">
        <v>2</v>
      </c>
      <c r="L33" s="41">
        <v>4</v>
      </c>
      <c r="M33" s="54" t="s">
        <v>218</v>
      </c>
      <c r="N33" s="41">
        <v>2</v>
      </c>
      <c r="O33" s="41">
        <v>2</v>
      </c>
      <c r="P33" s="41">
        <v>4</v>
      </c>
      <c r="Q33" s="79"/>
      <c r="R33" s="79"/>
      <c r="S33" s="79"/>
    </row>
    <row r="34" spans="1:19" ht="43.2" x14ac:dyDescent="0.4">
      <c r="A34" s="61">
        <v>29</v>
      </c>
      <c r="B34" s="388"/>
      <c r="C34" s="58"/>
      <c r="D34" s="59" t="s">
        <v>195</v>
      </c>
      <c r="E34" s="59" t="s">
        <v>191</v>
      </c>
      <c r="F34" s="41">
        <v>1.2</v>
      </c>
      <c r="G34" s="57" t="s">
        <v>197</v>
      </c>
      <c r="H34" s="57" t="s">
        <v>239</v>
      </c>
      <c r="I34" s="54" t="s">
        <v>202</v>
      </c>
      <c r="J34" s="41">
        <v>2</v>
      </c>
      <c r="K34" s="41">
        <v>2</v>
      </c>
      <c r="L34" s="41">
        <v>4</v>
      </c>
      <c r="M34" s="54" t="s">
        <v>221</v>
      </c>
      <c r="N34" s="41">
        <v>2</v>
      </c>
      <c r="O34" s="41">
        <v>2</v>
      </c>
      <c r="P34" s="41">
        <v>4</v>
      </c>
      <c r="Q34" s="79"/>
      <c r="R34" s="79"/>
      <c r="S34" s="79"/>
    </row>
    <row r="35" spans="1:19" ht="25.2" customHeight="1" x14ac:dyDescent="0.4">
      <c r="A35" s="389" t="s">
        <v>185</v>
      </c>
      <c r="B35" s="390"/>
      <c r="C35" s="391"/>
      <c r="D35" s="398" t="s">
        <v>186</v>
      </c>
      <c r="E35" s="399"/>
      <c r="F35" s="400"/>
      <c r="G35" s="401"/>
      <c r="H35" s="401"/>
      <c r="I35" s="401"/>
      <c r="J35" s="401"/>
      <c r="K35" s="401"/>
      <c r="L35" s="401"/>
      <c r="M35" s="402"/>
      <c r="N35" s="51" t="s">
        <v>187</v>
      </c>
      <c r="O35" s="52"/>
      <c r="P35" s="52"/>
      <c r="Q35" s="52"/>
      <c r="R35" s="52"/>
      <c r="S35" s="53"/>
    </row>
    <row r="36" spans="1:19" ht="25.2" customHeight="1" x14ac:dyDescent="0.4">
      <c r="A36" s="392"/>
      <c r="B36" s="393"/>
      <c r="C36" s="394"/>
      <c r="D36" s="398" t="s">
        <v>188</v>
      </c>
      <c r="E36" s="399"/>
      <c r="F36" s="400"/>
      <c r="G36" s="401"/>
      <c r="H36" s="401"/>
      <c r="I36" s="401"/>
      <c r="J36" s="401"/>
      <c r="K36" s="401"/>
      <c r="L36" s="401"/>
      <c r="M36" s="402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392"/>
      <c r="B37" s="393"/>
      <c r="C37" s="394"/>
      <c r="D37" s="398" t="s">
        <v>130</v>
      </c>
      <c r="E37" s="399"/>
      <c r="F37" s="400"/>
      <c r="G37" s="401"/>
      <c r="H37" s="401"/>
      <c r="I37" s="401"/>
      <c r="J37" s="401"/>
      <c r="K37" s="401"/>
      <c r="L37" s="401"/>
      <c r="M37" s="402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392"/>
      <c r="B38" s="393"/>
      <c r="C38" s="394"/>
      <c r="D38" s="398" t="s">
        <v>189</v>
      </c>
      <c r="E38" s="399"/>
      <c r="F38" s="400"/>
      <c r="G38" s="401"/>
      <c r="H38" s="401"/>
      <c r="I38" s="401"/>
      <c r="J38" s="401"/>
      <c r="K38" s="401"/>
      <c r="L38" s="401"/>
      <c r="M38" s="402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395"/>
      <c r="B39" s="396"/>
      <c r="C39" s="397"/>
      <c r="D39" s="398" t="s">
        <v>190</v>
      </c>
      <c r="E39" s="399"/>
      <c r="F39" s="400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fitToPage="1"/>
  </sheetPr>
  <dimension ref="A1:S31"/>
  <sheetViews>
    <sheetView showGridLines="0" topLeftCell="A10" zoomScale="85" zoomScaleNormal="85" zoomScaleSheetLayoutView="85" workbookViewId="0">
      <selection activeCell="M12" sqref="M1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390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 x14ac:dyDescent="0.4">
      <c r="A6" s="61">
        <v>1</v>
      </c>
      <c r="B6" s="387" t="s">
        <v>17</v>
      </c>
      <c r="C6" s="58" t="s">
        <v>286</v>
      </c>
      <c r="D6" s="59" t="s">
        <v>393</v>
      </c>
      <c r="E6" s="59" t="s">
        <v>191</v>
      </c>
      <c r="F6" s="41">
        <v>1.3</v>
      </c>
      <c r="G6" s="89" t="s">
        <v>196</v>
      </c>
      <c r="H6" s="58" t="s">
        <v>394</v>
      </c>
      <c r="I6" s="54" t="s">
        <v>176</v>
      </c>
      <c r="J6" s="59">
        <v>2</v>
      </c>
      <c r="K6" s="59">
        <v>3</v>
      </c>
      <c r="L6" s="41">
        <v>6</v>
      </c>
      <c r="M6" s="57" t="s">
        <v>395</v>
      </c>
      <c r="N6" s="41">
        <v>2</v>
      </c>
      <c r="O6" s="41">
        <v>2</v>
      </c>
      <c r="P6" s="41">
        <v>4</v>
      </c>
      <c r="Q6" s="41" t="s">
        <v>270</v>
      </c>
      <c r="R6" s="41" t="s">
        <v>392</v>
      </c>
      <c r="S6" s="41" t="s">
        <v>271</v>
      </c>
    </row>
    <row r="7" spans="1:19" ht="43.2" x14ac:dyDescent="0.4">
      <c r="A7" s="2">
        <v>2</v>
      </c>
      <c r="B7" s="462"/>
      <c r="C7" s="58" t="s">
        <v>396</v>
      </c>
      <c r="D7" s="59" t="s">
        <v>244</v>
      </c>
      <c r="E7" s="59" t="s">
        <v>191</v>
      </c>
      <c r="F7" s="41">
        <v>4.0999999999999996</v>
      </c>
      <c r="G7" s="90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397</v>
      </c>
      <c r="N7" s="41">
        <v>2</v>
      </c>
      <c r="O7" s="41">
        <v>2</v>
      </c>
      <c r="P7" s="41">
        <v>4</v>
      </c>
      <c r="Q7" s="79"/>
      <c r="R7" s="79"/>
      <c r="S7" s="79"/>
    </row>
    <row r="8" spans="1:19" ht="28.8" x14ac:dyDescent="0.4">
      <c r="A8" s="61">
        <v>3</v>
      </c>
      <c r="B8" s="388"/>
      <c r="C8" s="58" t="s">
        <v>398</v>
      </c>
      <c r="D8" s="60" t="s">
        <v>399</v>
      </c>
      <c r="E8" s="59" t="s">
        <v>191</v>
      </c>
      <c r="F8" s="41">
        <v>4.2</v>
      </c>
      <c r="G8" s="90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400</v>
      </c>
      <c r="N8" s="41">
        <v>2</v>
      </c>
      <c r="O8" s="41">
        <v>2</v>
      </c>
      <c r="P8" s="41">
        <v>4</v>
      </c>
      <c r="Q8" s="79"/>
      <c r="R8" s="79"/>
      <c r="S8" s="79"/>
    </row>
    <row r="9" spans="1:19" ht="43.2" x14ac:dyDescent="0.4">
      <c r="A9" s="2">
        <v>4</v>
      </c>
      <c r="B9" s="387" t="s">
        <v>401</v>
      </c>
      <c r="C9" s="58" t="s">
        <v>402</v>
      </c>
      <c r="D9" s="60" t="s">
        <v>194</v>
      </c>
      <c r="E9" s="59" t="s">
        <v>191</v>
      </c>
      <c r="F9" s="41">
        <v>1.1000000000000001</v>
      </c>
      <c r="G9" s="89" t="s">
        <v>51</v>
      </c>
      <c r="H9" s="58" t="s">
        <v>199</v>
      </c>
      <c r="I9" s="54" t="s">
        <v>403</v>
      </c>
      <c r="J9" s="59">
        <v>2</v>
      </c>
      <c r="K9" s="59">
        <v>3</v>
      </c>
      <c r="L9" s="41">
        <v>6</v>
      </c>
      <c r="M9" s="57" t="s">
        <v>404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28.8" x14ac:dyDescent="0.4">
      <c r="A10" s="61">
        <v>5</v>
      </c>
      <c r="B10" s="462"/>
      <c r="C10" s="58" t="s">
        <v>405</v>
      </c>
      <c r="D10" s="60" t="s">
        <v>194</v>
      </c>
      <c r="E10" s="59" t="s">
        <v>191</v>
      </c>
      <c r="F10" s="41">
        <v>1.3</v>
      </c>
      <c r="G10" s="89" t="s">
        <v>196</v>
      </c>
      <c r="H10" s="58" t="s">
        <v>406</v>
      </c>
      <c r="I10" s="54" t="s">
        <v>407</v>
      </c>
      <c r="J10" s="59">
        <v>3</v>
      </c>
      <c r="K10" s="59">
        <v>2</v>
      </c>
      <c r="L10" s="41">
        <v>6</v>
      </c>
      <c r="M10" s="57" t="s">
        <v>408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28.8" x14ac:dyDescent="0.4">
      <c r="A11" s="2">
        <v>6</v>
      </c>
      <c r="B11" s="462"/>
      <c r="C11" s="58" t="s">
        <v>298</v>
      </c>
      <c r="D11" s="59" t="s">
        <v>194</v>
      </c>
      <c r="E11" s="59" t="s">
        <v>191</v>
      </c>
      <c r="F11" s="41">
        <v>1.3</v>
      </c>
      <c r="G11" s="89" t="s">
        <v>196</v>
      </c>
      <c r="H11" s="58" t="s">
        <v>406</v>
      </c>
      <c r="I11" s="54" t="s">
        <v>407</v>
      </c>
      <c r="J11" s="59">
        <v>3</v>
      </c>
      <c r="K11" s="59">
        <v>2</v>
      </c>
      <c r="L11" s="41">
        <v>6</v>
      </c>
      <c r="M11" s="57" t="s">
        <v>408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43.2" x14ac:dyDescent="0.4">
      <c r="A12" s="61">
        <v>7</v>
      </c>
      <c r="B12" s="462"/>
      <c r="C12" s="58" t="s">
        <v>409</v>
      </c>
      <c r="D12" s="60" t="s">
        <v>410</v>
      </c>
      <c r="E12" s="59" t="s">
        <v>191</v>
      </c>
      <c r="F12" s="41">
        <v>1.3</v>
      </c>
      <c r="G12" s="89" t="s">
        <v>196</v>
      </c>
      <c r="H12" s="58" t="s">
        <v>411</v>
      </c>
      <c r="I12" s="54" t="s">
        <v>412</v>
      </c>
      <c r="J12" s="59">
        <v>3</v>
      </c>
      <c r="K12" s="59">
        <v>3</v>
      </c>
      <c r="L12" s="41">
        <v>9</v>
      </c>
      <c r="M12" s="57" t="s">
        <v>413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39" customHeight="1" x14ac:dyDescent="0.4">
      <c r="A13" s="2">
        <v>8</v>
      </c>
      <c r="B13" s="462"/>
      <c r="C13" s="58" t="s">
        <v>414</v>
      </c>
      <c r="D13" s="60" t="s">
        <v>193</v>
      </c>
      <c r="E13" s="59" t="s">
        <v>191</v>
      </c>
      <c r="F13" s="41">
        <v>7.1</v>
      </c>
      <c r="G13" s="90" t="s">
        <v>415</v>
      </c>
      <c r="H13" s="58" t="s">
        <v>416</v>
      </c>
      <c r="I13" s="54" t="s">
        <v>202</v>
      </c>
      <c r="J13" s="59">
        <v>2</v>
      </c>
      <c r="K13" s="59">
        <v>2</v>
      </c>
      <c r="L13" s="41">
        <v>4</v>
      </c>
      <c r="M13" s="57" t="s">
        <v>417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43.2" x14ac:dyDescent="0.4">
      <c r="A14" s="61">
        <v>9</v>
      </c>
      <c r="B14" s="462"/>
      <c r="C14" s="58" t="s">
        <v>418</v>
      </c>
      <c r="D14" s="60" t="s">
        <v>194</v>
      </c>
      <c r="E14" s="59" t="s">
        <v>191</v>
      </c>
      <c r="F14" s="41">
        <v>1.1000000000000001</v>
      </c>
      <c r="G14" s="89" t="s">
        <v>51</v>
      </c>
      <c r="H14" s="58" t="s">
        <v>199</v>
      </c>
      <c r="I14" s="54" t="s">
        <v>403</v>
      </c>
      <c r="J14" s="59">
        <v>2</v>
      </c>
      <c r="K14" s="59">
        <v>3</v>
      </c>
      <c r="L14" s="41">
        <v>6</v>
      </c>
      <c r="M14" s="57" t="s">
        <v>404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41.25" customHeight="1" x14ac:dyDescent="0.4">
      <c r="A15" s="2">
        <v>10</v>
      </c>
      <c r="B15" s="462"/>
      <c r="C15" s="58" t="s">
        <v>419</v>
      </c>
      <c r="D15" s="60" t="s">
        <v>194</v>
      </c>
      <c r="E15" s="59" t="s">
        <v>191</v>
      </c>
      <c r="F15" s="41">
        <v>3.4</v>
      </c>
      <c r="G15" s="90" t="s">
        <v>63</v>
      </c>
      <c r="H15" s="58" t="s">
        <v>420</v>
      </c>
      <c r="I15" s="54" t="s">
        <v>202</v>
      </c>
      <c r="J15" s="59">
        <v>2</v>
      </c>
      <c r="K15" s="59">
        <v>3</v>
      </c>
      <c r="L15" s="41">
        <v>6</v>
      </c>
      <c r="M15" s="57" t="s">
        <v>421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43.2" x14ac:dyDescent="0.4">
      <c r="A16" s="61">
        <v>11</v>
      </c>
      <c r="B16" s="462"/>
      <c r="C16" s="58" t="s">
        <v>422</v>
      </c>
      <c r="D16" s="60" t="s">
        <v>194</v>
      </c>
      <c r="E16" s="59" t="s">
        <v>191</v>
      </c>
      <c r="F16" s="41">
        <v>1.1000000000000001</v>
      </c>
      <c r="G16" s="89" t="s">
        <v>51</v>
      </c>
      <c r="H16" s="58" t="s">
        <v>199</v>
      </c>
      <c r="I16" s="54" t="s">
        <v>403</v>
      </c>
      <c r="J16" s="59">
        <v>2</v>
      </c>
      <c r="K16" s="59">
        <v>3</v>
      </c>
      <c r="L16" s="41">
        <v>6</v>
      </c>
      <c r="M16" s="57" t="s">
        <v>404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28.8" x14ac:dyDescent="0.4">
      <c r="A17" s="2">
        <v>12</v>
      </c>
      <c r="B17" s="462"/>
      <c r="C17" s="58" t="s">
        <v>423</v>
      </c>
      <c r="D17" s="60" t="s">
        <v>194</v>
      </c>
      <c r="E17" s="59" t="s">
        <v>191</v>
      </c>
      <c r="F17" s="41">
        <v>1.3</v>
      </c>
      <c r="G17" s="89" t="s">
        <v>196</v>
      </c>
      <c r="H17" s="58" t="s">
        <v>394</v>
      </c>
      <c r="I17" s="54" t="s">
        <v>407</v>
      </c>
      <c r="J17" s="59">
        <v>2</v>
      </c>
      <c r="K17" s="59">
        <v>3</v>
      </c>
      <c r="L17" s="41">
        <v>6</v>
      </c>
      <c r="M17" s="57" t="s">
        <v>408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45" customHeight="1" x14ac:dyDescent="0.4">
      <c r="A18" s="61">
        <v>13</v>
      </c>
      <c r="B18" s="388"/>
      <c r="C18" s="58" t="s">
        <v>424</v>
      </c>
      <c r="D18" s="60" t="s">
        <v>193</v>
      </c>
      <c r="E18" s="59" t="s">
        <v>191</v>
      </c>
      <c r="F18" s="41">
        <v>3.4</v>
      </c>
      <c r="G18" s="90" t="s">
        <v>63</v>
      </c>
      <c r="H18" s="58" t="s">
        <v>420</v>
      </c>
      <c r="I18" s="54" t="s">
        <v>202</v>
      </c>
      <c r="J18" s="59">
        <v>2</v>
      </c>
      <c r="K18" s="59">
        <v>3</v>
      </c>
      <c r="L18" s="41">
        <v>6</v>
      </c>
      <c r="M18" s="57" t="s">
        <v>421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x14ac:dyDescent="0.4">
      <c r="A19" s="2">
        <v>14</v>
      </c>
      <c r="B19" s="387" t="s">
        <v>228</v>
      </c>
      <c r="C19" s="58" t="s">
        <v>425</v>
      </c>
      <c r="D19" s="60" t="s">
        <v>194</v>
      </c>
      <c r="E19" s="59" t="s">
        <v>191</v>
      </c>
      <c r="F19" s="41">
        <v>1.2</v>
      </c>
      <c r="G19" s="90" t="s">
        <v>52</v>
      </c>
      <c r="H19" s="58" t="s">
        <v>426</v>
      </c>
      <c r="I19" s="54" t="s">
        <v>202</v>
      </c>
      <c r="J19" s="59">
        <v>2</v>
      </c>
      <c r="K19" s="59">
        <v>2</v>
      </c>
      <c r="L19" s="41">
        <v>4</v>
      </c>
      <c r="M19" s="57" t="s">
        <v>300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28.8" x14ac:dyDescent="0.4">
      <c r="A20" s="61">
        <v>15</v>
      </c>
      <c r="B20" s="462"/>
      <c r="C20" s="58" t="s">
        <v>427</v>
      </c>
      <c r="D20" s="59" t="s">
        <v>194</v>
      </c>
      <c r="E20" s="59" t="s">
        <v>191</v>
      </c>
      <c r="F20" s="41">
        <v>1.3</v>
      </c>
      <c r="G20" s="89" t="s">
        <v>196</v>
      </c>
      <c r="H20" s="58" t="s">
        <v>406</v>
      </c>
      <c r="I20" s="54" t="s">
        <v>407</v>
      </c>
      <c r="J20" s="59">
        <v>2</v>
      </c>
      <c r="K20" s="59">
        <v>3</v>
      </c>
      <c r="L20" s="41">
        <v>6</v>
      </c>
      <c r="M20" s="57" t="s">
        <v>408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62"/>
      <c r="C21" s="58" t="s">
        <v>428</v>
      </c>
      <c r="D21" s="60" t="s">
        <v>194</v>
      </c>
      <c r="E21" s="59" t="s">
        <v>191</v>
      </c>
      <c r="F21" s="41">
        <v>2.1</v>
      </c>
      <c r="G21" s="90" t="s">
        <v>57</v>
      </c>
      <c r="H21" s="58" t="s">
        <v>201</v>
      </c>
      <c r="I21" s="54" t="s">
        <v>202</v>
      </c>
      <c r="J21" s="59">
        <v>2</v>
      </c>
      <c r="K21" s="59">
        <v>2</v>
      </c>
      <c r="L21" s="41">
        <v>4</v>
      </c>
      <c r="M21" s="57" t="s">
        <v>429</v>
      </c>
      <c r="N21" s="41">
        <v>2</v>
      </c>
      <c r="O21" s="41">
        <v>2</v>
      </c>
      <c r="P21" s="41">
        <v>4</v>
      </c>
      <c r="Q21" s="79"/>
      <c r="R21" s="79"/>
      <c r="S21" s="79"/>
    </row>
    <row r="22" spans="1:19" ht="43.2" x14ac:dyDescent="0.4">
      <c r="A22" s="61">
        <v>17</v>
      </c>
      <c r="B22" s="462"/>
      <c r="C22" s="58" t="s">
        <v>430</v>
      </c>
      <c r="D22" s="59" t="s">
        <v>193</v>
      </c>
      <c r="E22" s="59" t="s">
        <v>191</v>
      </c>
      <c r="F22" s="41">
        <v>2.1</v>
      </c>
      <c r="G22" s="90" t="s">
        <v>57</v>
      </c>
      <c r="H22" s="58" t="s">
        <v>201</v>
      </c>
      <c r="I22" s="54" t="s">
        <v>202</v>
      </c>
      <c r="J22" s="59">
        <v>3</v>
      </c>
      <c r="K22" s="59">
        <v>2</v>
      </c>
      <c r="L22" s="41">
        <v>6</v>
      </c>
      <c r="M22" s="57" t="s">
        <v>429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28.8" x14ac:dyDescent="0.4">
      <c r="A23" s="2">
        <v>18</v>
      </c>
      <c r="B23" s="388"/>
      <c r="C23" s="58" t="s">
        <v>431</v>
      </c>
      <c r="D23" s="59" t="s">
        <v>432</v>
      </c>
      <c r="E23" s="59" t="s">
        <v>191</v>
      </c>
      <c r="F23" s="41">
        <v>1.6</v>
      </c>
      <c r="G23" s="91" t="s">
        <v>56</v>
      </c>
      <c r="H23" s="58" t="s">
        <v>433</v>
      </c>
      <c r="I23" s="54" t="s">
        <v>434</v>
      </c>
      <c r="J23" s="59">
        <v>3</v>
      </c>
      <c r="K23" s="59">
        <v>2</v>
      </c>
      <c r="L23" s="41">
        <v>6</v>
      </c>
      <c r="M23" s="57" t="s">
        <v>435</v>
      </c>
      <c r="N23" s="41">
        <v>2</v>
      </c>
      <c r="O23" s="41">
        <v>2</v>
      </c>
      <c r="P23" s="41">
        <v>4</v>
      </c>
      <c r="Q23" s="79"/>
      <c r="R23" s="79"/>
      <c r="S23" s="79"/>
    </row>
    <row r="24" spans="1:19" ht="43.2" x14ac:dyDescent="0.4">
      <c r="A24" s="61">
        <v>19</v>
      </c>
      <c r="B24" s="387" t="s">
        <v>203</v>
      </c>
      <c r="C24" s="58" t="s">
        <v>436</v>
      </c>
      <c r="D24" s="59" t="s">
        <v>195</v>
      </c>
      <c r="E24" s="59" t="s">
        <v>191</v>
      </c>
      <c r="F24" s="41">
        <v>1.1000000000000001</v>
      </c>
      <c r="G24" s="91" t="s">
        <v>51</v>
      </c>
      <c r="H24" s="58" t="s">
        <v>437</v>
      </c>
      <c r="I24" s="54" t="s">
        <v>202</v>
      </c>
      <c r="J24" s="59">
        <v>2</v>
      </c>
      <c r="K24" s="59">
        <v>2</v>
      </c>
      <c r="L24" s="41">
        <v>4</v>
      </c>
      <c r="M24" s="57" t="s">
        <v>438</v>
      </c>
      <c r="N24" s="41">
        <v>2</v>
      </c>
      <c r="O24" s="41">
        <v>1</v>
      </c>
      <c r="P24" s="41">
        <v>2</v>
      </c>
      <c r="Q24" s="79"/>
      <c r="R24" s="79"/>
      <c r="S24" s="79"/>
    </row>
    <row r="25" spans="1:19" ht="43.2" x14ac:dyDescent="0.4">
      <c r="A25" s="2">
        <v>20</v>
      </c>
      <c r="B25" s="462"/>
      <c r="C25" s="58" t="s">
        <v>439</v>
      </c>
      <c r="D25" s="59" t="s">
        <v>195</v>
      </c>
      <c r="E25" s="59" t="s">
        <v>191</v>
      </c>
      <c r="F25" s="41">
        <v>3.2</v>
      </c>
      <c r="G25" s="91" t="s">
        <v>61</v>
      </c>
      <c r="H25" s="58" t="s">
        <v>440</v>
      </c>
      <c r="I25" s="54" t="s">
        <v>202</v>
      </c>
      <c r="J25" s="59">
        <v>2</v>
      </c>
      <c r="K25" s="59">
        <v>2</v>
      </c>
      <c r="L25" s="41">
        <v>4</v>
      </c>
      <c r="M25" s="57" t="s">
        <v>438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43.2" x14ac:dyDescent="0.4">
      <c r="A26" s="61">
        <v>21</v>
      </c>
      <c r="B26" s="388"/>
      <c r="C26" s="58" t="s">
        <v>441</v>
      </c>
      <c r="D26" s="59" t="s">
        <v>195</v>
      </c>
      <c r="E26" s="59" t="s">
        <v>191</v>
      </c>
      <c r="F26" s="41">
        <v>3.2</v>
      </c>
      <c r="G26" s="91" t="s">
        <v>61</v>
      </c>
      <c r="H26" s="58" t="s">
        <v>440</v>
      </c>
      <c r="I26" s="54" t="s">
        <v>202</v>
      </c>
      <c r="J26" s="59">
        <v>2</v>
      </c>
      <c r="K26" s="59">
        <v>2</v>
      </c>
      <c r="L26" s="41">
        <v>4</v>
      </c>
      <c r="M26" s="57" t="s">
        <v>438</v>
      </c>
      <c r="N26" s="41">
        <v>2</v>
      </c>
      <c r="O26" s="41">
        <v>1</v>
      </c>
      <c r="P26" s="41">
        <v>2</v>
      </c>
      <c r="Q26" s="79"/>
      <c r="R26" s="79"/>
      <c r="S26" s="79"/>
    </row>
    <row r="27" spans="1:19" ht="25.2" customHeight="1" x14ac:dyDescent="0.4">
      <c r="A27" s="389" t="s">
        <v>185</v>
      </c>
      <c r="B27" s="390"/>
      <c r="C27" s="391"/>
      <c r="D27" s="398" t="s">
        <v>186</v>
      </c>
      <c r="E27" s="399"/>
      <c r="F27" s="400"/>
      <c r="G27" s="401"/>
      <c r="H27" s="401"/>
      <c r="I27" s="401"/>
      <c r="J27" s="401"/>
      <c r="K27" s="401"/>
      <c r="L27" s="401"/>
      <c r="M27" s="402"/>
      <c r="N27" s="51" t="s">
        <v>187</v>
      </c>
      <c r="O27" s="52"/>
      <c r="P27" s="52"/>
      <c r="Q27" s="52"/>
      <c r="R27" s="52"/>
      <c r="S27" s="53"/>
    </row>
    <row r="28" spans="1:19" ht="25.2" customHeight="1" x14ac:dyDescent="0.4">
      <c r="A28" s="392"/>
      <c r="B28" s="393"/>
      <c r="C28" s="394"/>
      <c r="D28" s="398" t="s">
        <v>188</v>
      </c>
      <c r="E28" s="399"/>
      <c r="F28" s="400"/>
      <c r="G28" s="401"/>
      <c r="H28" s="401"/>
      <c r="I28" s="401"/>
      <c r="J28" s="401"/>
      <c r="K28" s="401"/>
      <c r="L28" s="401"/>
      <c r="M28" s="402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392"/>
      <c r="B29" s="393"/>
      <c r="C29" s="394"/>
      <c r="D29" s="398" t="s">
        <v>130</v>
      </c>
      <c r="E29" s="399"/>
      <c r="F29" s="400"/>
      <c r="G29" s="401"/>
      <c r="H29" s="401"/>
      <c r="I29" s="401"/>
      <c r="J29" s="401"/>
      <c r="K29" s="401"/>
      <c r="L29" s="401"/>
      <c r="M29" s="402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189</v>
      </c>
      <c r="E30" s="399"/>
      <c r="F30" s="400"/>
      <c r="G30" s="401"/>
      <c r="H30" s="401"/>
      <c r="I30" s="401"/>
      <c r="J30" s="401"/>
      <c r="K30" s="401"/>
      <c r="L30" s="401"/>
      <c r="M30" s="402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395"/>
      <c r="B31" s="396"/>
      <c r="C31" s="397"/>
      <c r="D31" s="398" t="s">
        <v>190</v>
      </c>
      <c r="E31" s="399"/>
      <c r="F31" s="400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fitToPage="1"/>
  </sheetPr>
  <dimension ref="A1:S52"/>
  <sheetViews>
    <sheetView showGridLines="0" topLeftCell="A25" zoomScale="85" zoomScaleNormal="85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493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20.2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4">
      <c r="A6" s="61">
        <v>1</v>
      </c>
      <c r="B6" s="387" t="s">
        <v>17</v>
      </c>
      <c r="C6" s="58" t="s">
        <v>444</v>
      </c>
      <c r="D6" s="59" t="s">
        <v>393</v>
      </c>
      <c r="E6" s="59" t="s">
        <v>191</v>
      </c>
      <c r="F6" s="41">
        <v>1.3</v>
      </c>
      <c r="G6" s="89" t="s">
        <v>196</v>
      </c>
      <c r="H6" s="58" t="s">
        <v>445</v>
      </c>
      <c r="I6" s="54" t="s">
        <v>176</v>
      </c>
      <c r="J6" s="59">
        <v>2</v>
      </c>
      <c r="K6" s="59">
        <v>3</v>
      </c>
      <c r="L6" s="41">
        <v>6</v>
      </c>
      <c r="M6" s="57" t="s">
        <v>395</v>
      </c>
      <c r="N6" s="41">
        <v>2</v>
      </c>
      <c r="O6" s="41">
        <v>2</v>
      </c>
      <c r="P6" s="41">
        <v>4</v>
      </c>
      <c r="Q6" s="41" t="s">
        <v>270</v>
      </c>
      <c r="R6" s="41" t="s">
        <v>392</v>
      </c>
      <c r="S6" s="41" t="s">
        <v>271</v>
      </c>
    </row>
    <row r="7" spans="1:19" ht="43.2" x14ac:dyDescent="0.4">
      <c r="A7" s="2">
        <v>2</v>
      </c>
      <c r="B7" s="462"/>
      <c r="C7" s="58" t="s">
        <v>396</v>
      </c>
      <c r="D7" s="59" t="s">
        <v>244</v>
      </c>
      <c r="E7" s="59" t="s">
        <v>191</v>
      </c>
      <c r="F7" s="41">
        <v>4.0999999999999996</v>
      </c>
      <c r="G7" s="90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397</v>
      </c>
      <c r="N7" s="41">
        <v>1</v>
      </c>
      <c r="O7" s="41">
        <v>3</v>
      </c>
      <c r="P7" s="41">
        <v>3</v>
      </c>
      <c r="Q7" s="79"/>
      <c r="R7" s="79"/>
      <c r="S7" s="79"/>
    </row>
    <row r="8" spans="1:19" ht="28.8" x14ac:dyDescent="0.4">
      <c r="A8" s="61">
        <v>3</v>
      </c>
      <c r="B8" s="388"/>
      <c r="C8" s="58" t="s">
        <v>398</v>
      </c>
      <c r="D8" s="60" t="s">
        <v>194</v>
      </c>
      <c r="E8" s="59" t="s">
        <v>191</v>
      </c>
      <c r="F8" s="41">
        <v>4.2</v>
      </c>
      <c r="G8" s="90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400</v>
      </c>
      <c r="N8" s="41">
        <v>1</v>
      </c>
      <c r="O8" s="41">
        <v>3</v>
      </c>
      <c r="P8" s="41">
        <v>3</v>
      </c>
      <c r="Q8" s="79"/>
      <c r="R8" s="79"/>
      <c r="S8" s="79"/>
    </row>
    <row r="9" spans="1:19" ht="43.2" x14ac:dyDescent="0.4">
      <c r="A9" s="2">
        <v>4</v>
      </c>
      <c r="B9" s="387" t="s">
        <v>227</v>
      </c>
      <c r="C9" s="58" t="s">
        <v>446</v>
      </c>
      <c r="D9" s="59" t="s">
        <v>447</v>
      </c>
      <c r="E9" s="59" t="s">
        <v>191</v>
      </c>
      <c r="F9" s="41">
        <v>1.1000000000000001</v>
      </c>
      <c r="G9" s="89" t="s">
        <v>51</v>
      </c>
      <c r="H9" s="58" t="s">
        <v>199</v>
      </c>
      <c r="I9" s="54" t="s">
        <v>448</v>
      </c>
      <c r="J9" s="59">
        <v>3</v>
      </c>
      <c r="K9" s="59">
        <v>2</v>
      </c>
      <c r="L9" s="41">
        <v>6</v>
      </c>
      <c r="M9" s="57" t="s">
        <v>404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50.25" customHeight="1" x14ac:dyDescent="0.4">
      <c r="A10" s="61">
        <v>5</v>
      </c>
      <c r="B10" s="462"/>
      <c r="C10" s="58" t="s">
        <v>449</v>
      </c>
      <c r="D10" s="60" t="s">
        <v>450</v>
      </c>
      <c r="E10" s="59" t="s">
        <v>191</v>
      </c>
      <c r="F10" s="41">
        <v>1.1000000000000001</v>
      </c>
      <c r="G10" s="89" t="s">
        <v>51</v>
      </c>
      <c r="H10" s="58" t="s">
        <v>451</v>
      </c>
      <c r="I10" s="54" t="s">
        <v>202</v>
      </c>
      <c r="J10" s="59">
        <v>3</v>
      </c>
      <c r="K10" s="59">
        <v>2</v>
      </c>
      <c r="L10" s="41">
        <v>6</v>
      </c>
      <c r="M10" s="57" t="s">
        <v>291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43.2" x14ac:dyDescent="0.4">
      <c r="A11" s="2">
        <v>6</v>
      </c>
      <c r="B11" s="462"/>
      <c r="C11" s="58" t="s">
        <v>452</v>
      </c>
      <c r="D11" s="60" t="s">
        <v>453</v>
      </c>
      <c r="E11" s="59" t="s">
        <v>191</v>
      </c>
      <c r="F11" s="41">
        <v>1.3</v>
      </c>
      <c r="G11" s="89" t="s">
        <v>196</v>
      </c>
      <c r="H11" s="58" t="s">
        <v>454</v>
      </c>
      <c r="I11" s="54" t="s">
        <v>455</v>
      </c>
      <c r="J11" s="59">
        <v>3</v>
      </c>
      <c r="K11" s="59">
        <v>3</v>
      </c>
      <c r="L11" s="41">
        <v>9</v>
      </c>
      <c r="M11" s="54" t="s">
        <v>456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41.25" customHeight="1" x14ac:dyDescent="0.4">
      <c r="A12" s="61">
        <v>7</v>
      </c>
      <c r="B12" s="462"/>
      <c r="C12" s="58"/>
      <c r="D12" s="60" t="s">
        <v>457</v>
      </c>
      <c r="E12" s="59" t="s">
        <v>458</v>
      </c>
      <c r="F12" s="41">
        <v>1.4</v>
      </c>
      <c r="G12" s="89" t="s">
        <v>54</v>
      </c>
      <c r="H12" s="58" t="s">
        <v>459</v>
      </c>
      <c r="I12" s="54" t="s">
        <v>460</v>
      </c>
      <c r="J12" s="59">
        <v>3</v>
      </c>
      <c r="K12" s="59">
        <v>2</v>
      </c>
      <c r="L12" s="41">
        <v>6</v>
      </c>
      <c r="M12" s="54" t="s">
        <v>461</v>
      </c>
      <c r="N12" s="41">
        <v>1</v>
      </c>
      <c r="O12" s="41">
        <v>2</v>
      </c>
      <c r="P12" s="41">
        <v>2</v>
      </c>
      <c r="Q12" s="79"/>
      <c r="R12" s="79"/>
      <c r="S12" s="79"/>
    </row>
    <row r="13" spans="1:19" ht="28.8" x14ac:dyDescent="0.4">
      <c r="A13" s="2">
        <v>8</v>
      </c>
      <c r="B13" s="462"/>
      <c r="C13" s="58"/>
      <c r="D13" s="60" t="s">
        <v>462</v>
      </c>
      <c r="E13" s="59" t="s">
        <v>458</v>
      </c>
      <c r="F13" s="41">
        <v>3.4</v>
      </c>
      <c r="G13" s="89" t="s">
        <v>377</v>
      </c>
      <c r="H13" s="58" t="s">
        <v>463</v>
      </c>
      <c r="I13" s="54" t="s">
        <v>464</v>
      </c>
      <c r="J13" s="59">
        <v>3</v>
      </c>
      <c r="K13" s="59">
        <v>2</v>
      </c>
      <c r="L13" s="41">
        <v>6</v>
      </c>
      <c r="M13" s="54" t="s">
        <v>465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36.75" customHeight="1" x14ac:dyDescent="0.4">
      <c r="A14" s="61">
        <v>9</v>
      </c>
      <c r="B14" s="462"/>
      <c r="C14" s="58"/>
      <c r="D14" s="60" t="s">
        <v>462</v>
      </c>
      <c r="E14" s="59" t="s">
        <v>458</v>
      </c>
      <c r="F14" s="41">
        <v>1.1000000000000001</v>
      </c>
      <c r="G14" s="89" t="s">
        <v>51</v>
      </c>
      <c r="H14" s="58" t="s">
        <v>466</v>
      </c>
      <c r="I14" s="54" t="s">
        <v>202</v>
      </c>
      <c r="J14" s="59">
        <v>3</v>
      </c>
      <c r="K14" s="59">
        <v>2</v>
      </c>
      <c r="L14" s="41">
        <v>6</v>
      </c>
      <c r="M14" s="57" t="s">
        <v>467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28.8" x14ac:dyDescent="0.4">
      <c r="A15" s="2">
        <v>10</v>
      </c>
      <c r="B15" s="462"/>
      <c r="C15" s="58" t="s">
        <v>468</v>
      </c>
      <c r="D15" s="59" t="s">
        <v>447</v>
      </c>
      <c r="E15" s="59" t="s">
        <v>191</v>
      </c>
      <c r="F15" s="41">
        <v>1.3</v>
      </c>
      <c r="G15" s="89" t="s">
        <v>196</v>
      </c>
      <c r="H15" s="58" t="s">
        <v>234</v>
      </c>
      <c r="I15" s="54" t="s">
        <v>464</v>
      </c>
      <c r="J15" s="59">
        <v>3</v>
      </c>
      <c r="K15" s="59">
        <v>2</v>
      </c>
      <c r="L15" s="41">
        <v>6</v>
      </c>
      <c r="M15" s="54" t="s">
        <v>465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43.2" x14ac:dyDescent="0.4">
      <c r="A16" s="61">
        <v>11</v>
      </c>
      <c r="B16" s="462"/>
      <c r="C16" s="58"/>
      <c r="D16" s="59" t="s">
        <v>447</v>
      </c>
      <c r="E16" s="59" t="s">
        <v>191</v>
      </c>
      <c r="F16" s="41">
        <v>1.3</v>
      </c>
      <c r="G16" s="89" t="s">
        <v>196</v>
      </c>
      <c r="H16" s="58" t="s">
        <v>469</v>
      </c>
      <c r="I16" s="54" t="s">
        <v>455</v>
      </c>
      <c r="J16" s="59">
        <v>3</v>
      </c>
      <c r="K16" s="59">
        <v>3</v>
      </c>
      <c r="L16" s="41">
        <v>9</v>
      </c>
      <c r="M16" s="54" t="s">
        <v>456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43.2" x14ac:dyDescent="0.4">
      <c r="A17" s="2">
        <v>12</v>
      </c>
      <c r="B17" s="462"/>
      <c r="C17" s="58" t="s">
        <v>470</v>
      </c>
      <c r="D17" s="60" t="s">
        <v>453</v>
      </c>
      <c r="E17" s="59" t="s">
        <v>191</v>
      </c>
      <c r="F17" s="41">
        <v>1.3</v>
      </c>
      <c r="G17" s="89" t="s">
        <v>196</v>
      </c>
      <c r="H17" s="58" t="s">
        <v>394</v>
      </c>
      <c r="I17" s="54" t="s">
        <v>455</v>
      </c>
      <c r="J17" s="59">
        <v>3</v>
      </c>
      <c r="K17" s="59">
        <v>3</v>
      </c>
      <c r="L17" s="41">
        <v>9</v>
      </c>
      <c r="M17" s="54" t="s">
        <v>456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28.8" x14ac:dyDescent="0.4">
      <c r="A18" s="61">
        <v>13</v>
      </c>
      <c r="B18" s="462"/>
      <c r="C18" s="58"/>
      <c r="D18" s="59" t="s">
        <v>447</v>
      </c>
      <c r="E18" s="59" t="s">
        <v>191</v>
      </c>
      <c r="F18" s="41">
        <v>1.3</v>
      </c>
      <c r="G18" s="89" t="s">
        <v>196</v>
      </c>
      <c r="H18" s="58" t="s">
        <v>234</v>
      </c>
      <c r="I18" s="54" t="s">
        <v>464</v>
      </c>
      <c r="J18" s="59">
        <v>3</v>
      </c>
      <c r="K18" s="59">
        <v>3</v>
      </c>
      <c r="L18" s="41">
        <v>9</v>
      </c>
      <c r="M18" s="54" t="s">
        <v>465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ht="28.8" x14ac:dyDescent="0.4">
      <c r="A19" s="2">
        <v>14</v>
      </c>
      <c r="B19" s="462"/>
      <c r="C19" s="58"/>
      <c r="D19" s="60" t="s">
        <v>457</v>
      </c>
      <c r="E19" s="59" t="s">
        <v>458</v>
      </c>
      <c r="F19" s="41">
        <v>1.4</v>
      </c>
      <c r="G19" s="89" t="s">
        <v>54</v>
      </c>
      <c r="H19" s="58" t="s">
        <v>459</v>
      </c>
      <c r="I19" s="54" t="s">
        <v>460</v>
      </c>
      <c r="J19" s="59">
        <v>2</v>
      </c>
      <c r="K19" s="59">
        <v>2</v>
      </c>
      <c r="L19" s="41">
        <v>4</v>
      </c>
      <c r="M19" s="54" t="s">
        <v>461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28.8" x14ac:dyDescent="0.4">
      <c r="A20" s="61">
        <v>15</v>
      </c>
      <c r="B20" s="462"/>
      <c r="C20" s="58"/>
      <c r="D20" s="60" t="s">
        <v>453</v>
      </c>
      <c r="E20" s="59" t="s">
        <v>458</v>
      </c>
      <c r="F20" s="41">
        <v>4.2</v>
      </c>
      <c r="G20" s="90" t="s">
        <v>471</v>
      </c>
      <c r="H20" s="58" t="s">
        <v>472</v>
      </c>
      <c r="I20" s="54" t="s">
        <v>473</v>
      </c>
      <c r="J20" s="59">
        <v>2</v>
      </c>
      <c r="K20" s="59">
        <v>3</v>
      </c>
      <c r="L20" s="41">
        <v>6</v>
      </c>
      <c r="M20" s="54" t="s">
        <v>474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62"/>
      <c r="C21" s="58" t="s">
        <v>475</v>
      </c>
      <c r="D21" s="60" t="s">
        <v>453</v>
      </c>
      <c r="E21" s="59" t="s">
        <v>191</v>
      </c>
      <c r="F21" s="41">
        <v>1.3</v>
      </c>
      <c r="G21" s="89" t="s">
        <v>196</v>
      </c>
      <c r="H21" s="58" t="s">
        <v>394</v>
      </c>
      <c r="I21" s="54" t="s">
        <v>455</v>
      </c>
      <c r="J21" s="59">
        <v>3</v>
      </c>
      <c r="K21" s="59">
        <v>3</v>
      </c>
      <c r="L21" s="41">
        <v>9</v>
      </c>
      <c r="M21" s="54" t="s">
        <v>456</v>
      </c>
      <c r="N21" s="41">
        <v>2</v>
      </c>
      <c r="O21" s="41">
        <v>2</v>
      </c>
      <c r="P21" s="41">
        <v>4</v>
      </c>
      <c r="Q21" s="79"/>
      <c r="R21" s="79"/>
      <c r="S21" s="79"/>
    </row>
    <row r="22" spans="1:19" ht="28.8" x14ac:dyDescent="0.4">
      <c r="A22" s="61">
        <v>17</v>
      </c>
      <c r="B22" s="462"/>
      <c r="C22" s="58"/>
      <c r="D22" s="59" t="s">
        <v>447</v>
      </c>
      <c r="E22" s="59" t="s">
        <v>191</v>
      </c>
      <c r="F22" s="41">
        <v>1.3</v>
      </c>
      <c r="G22" s="89" t="s">
        <v>196</v>
      </c>
      <c r="H22" s="58" t="s">
        <v>234</v>
      </c>
      <c r="I22" s="54" t="s">
        <v>464</v>
      </c>
      <c r="J22" s="59">
        <v>3</v>
      </c>
      <c r="K22" s="59">
        <v>3</v>
      </c>
      <c r="L22" s="41">
        <v>9</v>
      </c>
      <c r="M22" s="54" t="s">
        <v>465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37.5" customHeight="1" x14ac:dyDescent="0.4">
      <c r="A23" s="2">
        <v>18</v>
      </c>
      <c r="B23" s="462"/>
      <c r="C23" s="58"/>
      <c r="D23" s="60" t="s">
        <v>457</v>
      </c>
      <c r="E23" s="59" t="s">
        <v>458</v>
      </c>
      <c r="F23" s="41">
        <v>1.4</v>
      </c>
      <c r="G23" s="89" t="s">
        <v>54</v>
      </c>
      <c r="H23" s="58" t="s">
        <v>459</v>
      </c>
      <c r="I23" s="54" t="s">
        <v>460</v>
      </c>
      <c r="J23" s="59">
        <v>2</v>
      </c>
      <c r="K23" s="59">
        <v>2</v>
      </c>
      <c r="L23" s="41">
        <v>4</v>
      </c>
      <c r="M23" s="54" t="s">
        <v>461</v>
      </c>
      <c r="N23" s="41">
        <v>2</v>
      </c>
      <c r="O23" s="41">
        <v>1</v>
      </c>
      <c r="P23" s="41">
        <v>2</v>
      </c>
      <c r="Q23" s="79"/>
      <c r="R23" s="79"/>
      <c r="S23" s="79"/>
    </row>
    <row r="24" spans="1:19" ht="37.5" customHeight="1" x14ac:dyDescent="0.4">
      <c r="A24" s="61">
        <v>19</v>
      </c>
      <c r="B24" s="462"/>
      <c r="C24" s="58"/>
      <c r="D24" s="60" t="s">
        <v>453</v>
      </c>
      <c r="E24" s="59" t="s">
        <v>458</v>
      </c>
      <c r="F24" s="41">
        <v>4.2</v>
      </c>
      <c r="G24" s="90" t="s">
        <v>471</v>
      </c>
      <c r="H24" s="58" t="s">
        <v>472</v>
      </c>
      <c r="I24" s="54" t="s">
        <v>473</v>
      </c>
      <c r="J24" s="59">
        <v>2</v>
      </c>
      <c r="K24" s="59">
        <v>3</v>
      </c>
      <c r="L24" s="41">
        <v>6</v>
      </c>
      <c r="M24" s="54" t="s">
        <v>474</v>
      </c>
      <c r="N24" s="41">
        <v>2</v>
      </c>
      <c r="O24" s="41">
        <v>2</v>
      </c>
      <c r="P24" s="41">
        <v>4</v>
      </c>
      <c r="Q24" s="79"/>
      <c r="R24" s="79"/>
      <c r="S24" s="79"/>
    </row>
    <row r="25" spans="1:19" ht="43.2" x14ac:dyDescent="0.4">
      <c r="A25" s="2">
        <v>20</v>
      </c>
      <c r="B25" s="462"/>
      <c r="C25" s="58" t="s">
        <v>476</v>
      </c>
      <c r="D25" s="60" t="s">
        <v>453</v>
      </c>
      <c r="E25" s="59" t="s">
        <v>191</v>
      </c>
      <c r="F25" s="41">
        <v>1.3</v>
      </c>
      <c r="G25" s="89" t="s">
        <v>196</v>
      </c>
      <c r="H25" s="58" t="s">
        <v>394</v>
      </c>
      <c r="I25" s="54" t="s">
        <v>455</v>
      </c>
      <c r="J25" s="59">
        <v>3</v>
      </c>
      <c r="K25" s="59">
        <v>3</v>
      </c>
      <c r="L25" s="41">
        <v>9</v>
      </c>
      <c r="M25" s="54" t="s">
        <v>456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28.8" x14ac:dyDescent="0.4">
      <c r="A26" s="61">
        <v>21</v>
      </c>
      <c r="B26" s="462"/>
      <c r="C26" s="58"/>
      <c r="D26" s="59" t="s">
        <v>447</v>
      </c>
      <c r="E26" s="59" t="s">
        <v>191</v>
      </c>
      <c r="F26" s="41">
        <v>1.3</v>
      </c>
      <c r="G26" s="89" t="s">
        <v>196</v>
      </c>
      <c r="H26" s="58" t="s">
        <v>234</v>
      </c>
      <c r="I26" s="54" t="s">
        <v>464</v>
      </c>
      <c r="J26" s="59">
        <v>3</v>
      </c>
      <c r="K26" s="59">
        <v>3</v>
      </c>
      <c r="L26" s="41">
        <v>9</v>
      </c>
      <c r="M26" s="54" t="s">
        <v>465</v>
      </c>
      <c r="N26" s="41">
        <v>2</v>
      </c>
      <c r="O26" s="41">
        <v>2</v>
      </c>
      <c r="P26" s="41">
        <v>4</v>
      </c>
      <c r="Q26" s="79"/>
      <c r="R26" s="79"/>
      <c r="S26" s="79"/>
    </row>
    <row r="27" spans="1:19" ht="36.75" customHeight="1" x14ac:dyDescent="0.4">
      <c r="A27" s="2">
        <v>22</v>
      </c>
      <c r="B27" s="462"/>
      <c r="C27" s="58"/>
      <c r="D27" s="60" t="s">
        <v>457</v>
      </c>
      <c r="E27" s="59" t="s">
        <v>458</v>
      </c>
      <c r="F27" s="41">
        <v>1.4</v>
      </c>
      <c r="G27" s="89" t="s">
        <v>54</v>
      </c>
      <c r="H27" s="58" t="s">
        <v>459</v>
      </c>
      <c r="I27" s="54" t="s">
        <v>460</v>
      </c>
      <c r="J27" s="59">
        <v>2</v>
      </c>
      <c r="K27" s="59">
        <v>2</v>
      </c>
      <c r="L27" s="41">
        <v>4</v>
      </c>
      <c r="M27" s="54" t="s">
        <v>461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61">
        <v>23</v>
      </c>
      <c r="B28" s="462"/>
      <c r="C28" s="58"/>
      <c r="D28" s="60" t="s">
        <v>453</v>
      </c>
      <c r="E28" s="59" t="s">
        <v>458</v>
      </c>
      <c r="F28" s="41">
        <v>4.2</v>
      </c>
      <c r="G28" s="90" t="s">
        <v>471</v>
      </c>
      <c r="H28" s="58" t="s">
        <v>472</v>
      </c>
      <c r="I28" s="54" t="s">
        <v>473</v>
      </c>
      <c r="J28" s="59">
        <v>2</v>
      </c>
      <c r="K28" s="59">
        <v>3</v>
      </c>
      <c r="L28" s="41">
        <v>6</v>
      </c>
      <c r="M28" s="54" t="s">
        <v>474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462"/>
      <c r="C29" s="58" t="s">
        <v>477</v>
      </c>
      <c r="D29" s="60" t="s">
        <v>453</v>
      </c>
      <c r="E29" s="59" t="s">
        <v>191</v>
      </c>
      <c r="F29" s="41">
        <v>1.3</v>
      </c>
      <c r="G29" s="89" t="s">
        <v>196</v>
      </c>
      <c r="H29" s="58" t="s">
        <v>394</v>
      </c>
      <c r="I29" s="54" t="s">
        <v>455</v>
      </c>
      <c r="J29" s="59">
        <v>3</v>
      </c>
      <c r="K29" s="59">
        <v>3</v>
      </c>
      <c r="L29" s="41">
        <v>9</v>
      </c>
      <c r="M29" s="54" t="s">
        <v>456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61">
        <v>25</v>
      </c>
      <c r="B30" s="462"/>
      <c r="C30" s="58"/>
      <c r="D30" s="59" t="s">
        <v>447</v>
      </c>
      <c r="E30" s="59" t="s">
        <v>191</v>
      </c>
      <c r="F30" s="41">
        <v>1.3</v>
      </c>
      <c r="G30" s="89" t="s">
        <v>196</v>
      </c>
      <c r="H30" s="58" t="s">
        <v>234</v>
      </c>
      <c r="I30" s="54" t="s">
        <v>464</v>
      </c>
      <c r="J30" s="59">
        <v>3</v>
      </c>
      <c r="K30" s="59">
        <v>3</v>
      </c>
      <c r="L30" s="41">
        <v>9</v>
      </c>
      <c r="M30" s="54" t="s">
        <v>465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462"/>
      <c r="C31" s="58"/>
      <c r="D31" s="60" t="s">
        <v>457</v>
      </c>
      <c r="E31" s="59" t="s">
        <v>458</v>
      </c>
      <c r="F31" s="41">
        <v>1.4</v>
      </c>
      <c r="G31" s="89" t="s">
        <v>54</v>
      </c>
      <c r="H31" s="58" t="s">
        <v>459</v>
      </c>
      <c r="I31" s="54" t="s">
        <v>460</v>
      </c>
      <c r="J31" s="59">
        <v>2</v>
      </c>
      <c r="K31" s="59">
        <v>2</v>
      </c>
      <c r="L31" s="41">
        <v>4</v>
      </c>
      <c r="M31" s="54" t="s">
        <v>461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61">
        <v>27</v>
      </c>
      <c r="B32" s="462"/>
      <c r="C32" s="58"/>
      <c r="D32" s="60" t="s">
        <v>453</v>
      </c>
      <c r="E32" s="59" t="s">
        <v>458</v>
      </c>
      <c r="F32" s="41">
        <v>4.2</v>
      </c>
      <c r="G32" s="90" t="s">
        <v>471</v>
      </c>
      <c r="H32" s="58" t="s">
        <v>472</v>
      </c>
      <c r="I32" s="54" t="s">
        <v>473</v>
      </c>
      <c r="J32" s="59">
        <v>2</v>
      </c>
      <c r="K32" s="59">
        <v>3</v>
      </c>
      <c r="L32" s="41">
        <v>6</v>
      </c>
      <c r="M32" s="54" t="s">
        <v>474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462"/>
      <c r="C33" s="58" t="s">
        <v>478</v>
      </c>
      <c r="D33" s="60" t="s">
        <v>453</v>
      </c>
      <c r="E33" s="59" t="s">
        <v>191</v>
      </c>
      <c r="F33" s="41">
        <v>1.3</v>
      </c>
      <c r="G33" s="89" t="s">
        <v>196</v>
      </c>
      <c r="H33" s="58" t="s">
        <v>394</v>
      </c>
      <c r="I33" s="54" t="s">
        <v>455</v>
      </c>
      <c r="J33" s="59">
        <v>3</v>
      </c>
      <c r="K33" s="59">
        <v>3</v>
      </c>
      <c r="L33" s="41">
        <v>9</v>
      </c>
      <c r="M33" s="54" t="s">
        <v>456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61">
        <v>29</v>
      </c>
      <c r="B34" s="462"/>
      <c r="C34" s="58"/>
      <c r="D34" s="59" t="s">
        <v>447</v>
      </c>
      <c r="E34" s="59" t="s">
        <v>191</v>
      </c>
      <c r="F34" s="41">
        <v>1.3</v>
      </c>
      <c r="G34" s="89" t="s">
        <v>196</v>
      </c>
      <c r="H34" s="58" t="s">
        <v>234</v>
      </c>
      <c r="I34" s="54" t="s">
        <v>464</v>
      </c>
      <c r="J34" s="59">
        <v>3</v>
      </c>
      <c r="K34" s="59">
        <v>3</v>
      </c>
      <c r="L34" s="41">
        <v>9</v>
      </c>
      <c r="M34" s="54" t="s">
        <v>465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462"/>
      <c r="C35" s="58"/>
      <c r="D35" s="60" t="s">
        <v>457</v>
      </c>
      <c r="E35" s="59" t="s">
        <v>458</v>
      </c>
      <c r="F35" s="41">
        <v>1.4</v>
      </c>
      <c r="G35" s="89" t="s">
        <v>54</v>
      </c>
      <c r="H35" s="58" t="s">
        <v>459</v>
      </c>
      <c r="I35" s="54" t="s">
        <v>460</v>
      </c>
      <c r="J35" s="59">
        <v>2</v>
      </c>
      <c r="K35" s="59">
        <v>2</v>
      </c>
      <c r="L35" s="41">
        <v>4</v>
      </c>
      <c r="M35" s="54" t="s">
        <v>461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61">
        <v>31</v>
      </c>
      <c r="B36" s="462"/>
      <c r="C36" s="58"/>
      <c r="D36" s="60" t="s">
        <v>453</v>
      </c>
      <c r="E36" s="59" t="s">
        <v>458</v>
      </c>
      <c r="F36" s="41">
        <v>4.2</v>
      </c>
      <c r="G36" s="90" t="s">
        <v>471</v>
      </c>
      <c r="H36" s="58" t="s">
        <v>472</v>
      </c>
      <c r="I36" s="54" t="s">
        <v>473</v>
      </c>
      <c r="J36" s="59">
        <v>2</v>
      </c>
      <c r="K36" s="59">
        <v>3</v>
      </c>
      <c r="L36" s="41">
        <v>6</v>
      </c>
      <c r="M36" s="54" t="s">
        <v>474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462"/>
      <c r="C37" s="58" t="s">
        <v>479</v>
      </c>
      <c r="D37" s="60" t="s">
        <v>453</v>
      </c>
      <c r="E37" s="59" t="s">
        <v>191</v>
      </c>
      <c r="F37" s="41">
        <v>1.3</v>
      </c>
      <c r="G37" s="89" t="s">
        <v>196</v>
      </c>
      <c r="H37" s="58" t="s">
        <v>394</v>
      </c>
      <c r="I37" s="54" t="s">
        <v>455</v>
      </c>
      <c r="J37" s="59">
        <v>3</v>
      </c>
      <c r="K37" s="59">
        <v>3</v>
      </c>
      <c r="L37" s="41">
        <v>9</v>
      </c>
      <c r="M37" s="54" t="s">
        <v>456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61">
        <v>33</v>
      </c>
      <c r="B38" s="462"/>
      <c r="C38" s="58"/>
      <c r="D38" s="59" t="s">
        <v>447</v>
      </c>
      <c r="E38" s="59" t="s">
        <v>191</v>
      </c>
      <c r="F38" s="41">
        <v>1.3</v>
      </c>
      <c r="G38" s="89" t="s">
        <v>196</v>
      </c>
      <c r="H38" s="58" t="s">
        <v>234</v>
      </c>
      <c r="I38" s="54" t="s">
        <v>464</v>
      </c>
      <c r="J38" s="59">
        <v>3</v>
      </c>
      <c r="K38" s="59">
        <v>3</v>
      </c>
      <c r="L38" s="41">
        <v>9</v>
      </c>
      <c r="M38" s="54" t="s">
        <v>465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462"/>
      <c r="C39" s="58"/>
      <c r="D39" s="60" t="s">
        <v>457</v>
      </c>
      <c r="E39" s="59" t="s">
        <v>458</v>
      </c>
      <c r="F39" s="41">
        <v>1.4</v>
      </c>
      <c r="G39" s="89" t="s">
        <v>54</v>
      </c>
      <c r="H39" s="58" t="s">
        <v>459</v>
      </c>
      <c r="I39" s="54" t="s">
        <v>460</v>
      </c>
      <c r="J39" s="59">
        <v>2</v>
      </c>
      <c r="K39" s="59">
        <v>2</v>
      </c>
      <c r="L39" s="41">
        <v>4</v>
      </c>
      <c r="M39" s="54" t="s">
        <v>461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61">
        <v>35</v>
      </c>
      <c r="B40" s="388"/>
      <c r="C40" s="58"/>
      <c r="D40" s="60" t="s">
        <v>453</v>
      </c>
      <c r="E40" s="59" t="s">
        <v>458</v>
      </c>
      <c r="F40" s="41">
        <v>4.2</v>
      </c>
      <c r="G40" s="90" t="s">
        <v>471</v>
      </c>
      <c r="H40" s="58" t="s">
        <v>472</v>
      </c>
      <c r="I40" s="54" t="s">
        <v>473</v>
      </c>
      <c r="J40" s="59">
        <v>2</v>
      </c>
      <c r="K40" s="59">
        <v>3</v>
      </c>
      <c r="L40" s="41">
        <v>6</v>
      </c>
      <c r="M40" s="54" t="s">
        <v>474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387" t="s">
        <v>228</v>
      </c>
      <c r="C41" s="58" t="s">
        <v>480</v>
      </c>
      <c r="D41" s="59" t="s">
        <v>193</v>
      </c>
      <c r="E41" s="59" t="s">
        <v>191</v>
      </c>
      <c r="F41" s="41">
        <v>2.1</v>
      </c>
      <c r="G41" s="90" t="s">
        <v>57</v>
      </c>
      <c r="H41" s="58" t="s">
        <v>201</v>
      </c>
      <c r="I41" s="54" t="s">
        <v>202</v>
      </c>
      <c r="J41" s="59">
        <v>2</v>
      </c>
      <c r="K41" s="59">
        <v>2</v>
      </c>
      <c r="L41" s="41">
        <v>4</v>
      </c>
      <c r="M41" s="57" t="s">
        <v>429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61">
        <v>37</v>
      </c>
      <c r="B42" s="462"/>
      <c r="C42" s="58" t="s">
        <v>481</v>
      </c>
      <c r="D42" s="59" t="s">
        <v>193</v>
      </c>
      <c r="E42" s="59" t="s">
        <v>191</v>
      </c>
      <c r="F42" s="41">
        <v>1.2</v>
      </c>
      <c r="G42" s="90" t="s">
        <v>52</v>
      </c>
      <c r="H42" s="58" t="s">
        <v>482</v>
      </c>
      <c r="I42" s="54" t="s">
        <v>483</v>
      </c>
      <c r="J42" s="59">
        <v>2</v>
      </c>
      <c r="K42" s="59">
        <v>2</v>
      </c>
      <c r="L42" s="41">
        <v>4</v>
      </c>
      <c r="M42" s="57" t="s">
        <v>300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388"/>
      <c r="C43" s="58" t="s">
        <v>484</v>
      </c>
      <c r="D43" s="59" t="s">
        <v>193</v>
      </c>
      <c r="E43" s="59" t="s">
        <v>191</v>
      </c>
      <c r="F43" s="41">
        <v>2.1</v>
      </c>
      <c r="G43" s="90" t="s">
        <v>57</v>
      </c>
      <c r="H43" s="58" t="s">
        <v>201</v>
      </c>
      <c r="I43" s="54" t="s">
        <v>202</v>
      </c>
      <c r="J43" s="59">
        <v>2</v>
      </c>
      <c r="K43" s="59">
        <v>2</v>
      </c>
      <c r="L43" s="41">
        <v>4</v>
      </c>
      <c r="M43" s="57" t="s">
        <v>429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61">
        <v>39</v>
      </c>
      <c r="B44" s="462" t="s">
        <v>203</v>
      </c>
      <c r="C44" s="58" t="s">
        <v>485</v>
      </c>
      <c r="D44" s="59" t="s">
        <v>195</v>
      </c>
      <c r="E44" s="59" t="s">
        <v>191</v>
      </c>
      <c r="F44" s="41">
        <v>3.2</v>
      </c>
      <c r="G44" s="91" t="s">
        <v>61</v>
      </c>
      <c r="H44" s="58" t="s">
        <v>440</v>
      </c>
      <c r="I44" s="54" t="s">
        <v>486</v>
      </c>
      <c r="J44" s="59">
        <v>2</v>
      </c>
      <c r="K44" s="59">
        <v>2</v>
      </c>
      <c r="L44" s="41">
        <v>4</v>
      </c>
      <c r="M44" s="57" t="s">
        <v>487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462"/>
      <c r="C45" s="58" t="s">
        <v>488</v>
      </c>
      <c r="D45" s="59" t="s">
        <v>195</v>
      </c>
      <c r="E45" s="59" t="s">
        <v>191</v>
      </c>
      <c r="F45" s="41">
        <v>1.1000000000000001</v>
      </c>
      <c r="G45" s="91" t="s">
        <v>51</v>
      </c>
      <c r="H45" s="58" t="s">
        <v>437</v>
      </c>
      <c r="I45" s="54" t="s">
        <v>202</v>
      </c>
      <c r="J45" s="59">
        <v>2</v>
      </c>
      <c r="K45" s="59">
        <v>2</v>
      </c>
      <c r="L45" s="41">
        <v>4</v>
      </c>
      <c r="M45" s="57" t="s">
        <v>489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61">
        <v>41</v>
      </c>
      <c r="B46" s="462"/>
      <c r="C46" s="58" t="s">
        <v>490</v>
      </c>
      <c r="D46" s="59" t="s">
        <v>195</v>
      </c>
      <c r="E46" s="59" t="s">
        <v>191</v>
      </c>
      <c r="F46" s="41">
        <v>3.2</v>
      </c>
      <c r="G46" s="91" t="s">
        <v>61</v>
      </c>
      <c r="H46" s="58" t="s">
        <v>440</v>
      </c>
      <c r="I46" s="54" t="s">
        <v>202</v>
      </c>
      <c r="J46" s="59">
        <v>2</v>
      </c>
      <c r="K46" s="59">
        <v>2</v>
      </c>
      <c r="L46" s="41">
        <v>4</v>
      </c>
      <c r="M46" s="57" t="s">
        <v>489</v>
      </c>
      <c r="N46" s="41">
        <v>2</v>
      </c>
      <c r="O46" s="41">
        <v>2</v>
      </c>
      <c r="P46" s="41">
        <v>4</v>
      </c>
      <c r="Q46" s="79"/>
      <c r="R46" s="79"/>
      <c r="S46" s="79"/>
    </row>
    <row r="47" spans="1:19" ht="43.2" x14ac:dyDescent="0.4">
      <c r="A47" s="2">
        <v>42</v>
      </c>
      <c r="B47" s="388"/>
      <c r="C47" s="58"/>
      <c r="D47" s="59" t="s">
        <v>195</v>
      </c>
      <c r="E47" s="59" t="s">
        <v>191</v>
      </c>
      <c r="F47" s="41">
        <v>1.5</v>
      </c>
      <c r="G47" s="91" t="s">
        <v>55</v>
      </c>
      <c r="H47" s="58" t="s">
        <v>491</v>
      </c>
      <c r="I47" s="54" t="s">
        <v>202</v>
      </c>
      <c r="J47" s="59">
        <v>2</v>
      </c>
      <c r="K47" s="59">
        <v>2</v>
      </c>
      <c r="L47" s="41">
        <v>4</v>
      </c>
      <c r="M47" s="57" t="s">
        <v>492</v>
      </c>
      <c r="N47" s="41">
        <v>2</v>
      </c>
      <c r="O47" s="41">
        <v>2</v>
      </c>
      <c r="P47" s="41">
        <v>4</v>
      </c>
      <c r="Q47" s="79"/>
      <c r="R47" s="79"/>
      <c r="S47" s="79"/>
    </row>
    <row r="48" spans="1:19" ht="25.2" customHeight="1" x14ac:dyDescent="0.4">
      <c r="A48" s="389" t="s">
        <v>185</v>
      </c>
      <c r="B48" s="390"/>
      <c r="C48" s="394"/>
      <c r="D48" s="398" t="s">
        <v>186</v>
      </c>
      <c r="E48" s="399"/>
      <c r="F48" s="400"/>
      <c r="G48" s="401"/>
      <c r="H48" s="401"/>
      <c r="I48" s="401"/>
      <c r="J48" s="401"/>
      <c r="K48" s="401"/>
      <c r="L48" s="401"/>
      <c r="M48" s="402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392"/>
      <c r="B49" s="393"/>
      <c r="C49" s="394"/>
      <c r="D49" s="398" t="s">
        <v>188</v>
      </c>
      <c r="E49" s="399"/>
      <c r="F49" s="400"/>
      <c r="G49" s="401"/>
      <c r="H49" s="401"/>
      <c r="I49" s="401"/>
      <c r="J49" s="401"/>
      <c r="K49" s="401"/>
      <c r="L49" s="401"/>
      <c r="M49" s="402"/>
      <c r="N49" s="51" t="s">
        <v>187</v>
      </c>
      <c r="O49" s="52"/>
      <c r="P49" s="52"/>
      <c r="Q49" s="52"/>
      <c r="R49" s="52"/>
      <c r="S49" s="53"/>
    </row>
    <row r="50" spans="1:19" ht="25.2" customHeight="1" x14ac:dyDescent="0.4">
      <c r="A50" s="392"/>
      <c r="B50" s="393"/>
      <c r="C50" s="394"/>
      <c r="D50" s="398" t="s">
        <v>130</v>
      </c>
      <c r="E50" s="399"/>
      <c r="F50" s="400"/>
      <c r="G50" s="401"/>
      <c r="H50" s="401"/>
      <c r="I50" s="401"/>
      <c r="J50" s="401"/>
      <c r="K50" s="401"/>
      <c r="L50" s="401"/>
      <c r="M50" s="402"/>
      <c r="N50" s="51" t="s">
        <v>187</v>
      </c>
      <c r="O50" s="52"/>
      <c r="P50" s="52"/>
      <c r="Q50" s="52"/>
      <c r="R50" s="52"/>
      <c r="S50" s="53"/>
    </row>
    <row r="51" spans="1:19" ht="25.2" customHeight="1" x14ac:dyDescent="0.4">
      <c r="A51" s="392"/>
      <c r="B51" s="393"/>
      <c r="C51" s="394"/>
      <c r="D51" s="398" t="s">
        <v>189</v>
      </c>
      <c r="E51" s="399"/>
      <c r="F51" s="400"/>
      <c r="G51" s="401"/>
      <c r="H51" s="401"/>
      <c r="I51" s="401"/>
      <c r="J51" s="401"/>
      <c r="K51" s="401"/>
      <c r="L51" s="401"/>
      <c r="M51" s="402"/>
      <c r="N51" s="51" t="s">
        <v>187</v>
      </c>
      <c r="O51" s="52"/>
      <c r="P51" s="52"/>
      <c r="Q51" s="52"/>
      <c r="R51" s="52"/>
      <c r="S51" s="53"/>
    </row>
    <row r="52" spans="1:19" ht="25.2" customHeight="1" x14ac:dyDescent="0.4">
      <c r="A52" s="395"/>
      <c r="B52" s="396"/>
      <c r="C52" s="397"/>
      <c r="D52" s="398" t="s">
        <v>190</v>
      </c>
      <c r="E52" s="399"/>
      <c r="F52" s="400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612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61">
        <v>1</v>
      </c>
      <c r="B6" s="387" t="s">
        <v>494</v>
      </c>
      <c r="C6" s="58" t="s">
        <v>495</v>
      </c>
      <c r="D6" s="60" t="s">
        <v>496</v>
      </c>
      <c r="E6" s="59" t="s">
        <v>458</v>
      </c>
      <c r="F6" s="41">
        <v>1.3</v>
      </c>
      <c r="G6" s="54" t="s">
        <v>497</v>
      </c>
      <c r="H6" s="54" t="s">
        <v>498</v>
      </c>
      <c r="I6" s="54" t="s">
        <v>213</v>
      </c>
      <c r="J6" s="41">
        <v>1</v>
      </c>
      <c r="K6" s="41">
        <v>3</v>
      </c>
      <c r="L6" s="41">
        <f>J6*K6</f>
        <v>3</v>
      </c>
      <c r="M6" s="54" t="s">
        <v>214</v>
      </c>
      <c r="N6" s="41">
        <v>1</v>
      </c>
      <c r="O6" s="41">
        <v>2</v>
      </c>
      <c r="P6" s="41">
        <f>N6*O6</f>
        <v>2</v>
      </c>
      <c r="Q6" s="41" t="s">
        <v>270</v>
      </c>
      <c r="R6" s="41" t="s">
        <v>613</v>
      </c>
      <c r="S6" s="41" t="s">
        <v>614</v>
      </c>
    </row>
    <row r="7" spans="1:19" x14ac:dyDescent="0.4">
      <c r="A7" s="2">
        <v>2</v>
      </c>
      <c r="B7" s="462"/>
      <c r="C7" s="58"/>
      <c r="D7" s="60" t="s">
        <v>496</v>
      </c>
      <c r="E7" s="59" t="s">
        <v>458</v>
      </c>
      <c r="F7" s="41">
        <v>4.0999999999999996</v>
      </c>
      <c r="G7" s="54" t="s">
        <v>499</v>
      </c>
      <c r="H7" s="54" t="s">
        <v>500</v>
      </c>
      <c r="I7" s="54" t="s">
        <v>501</v>
      </c>
      <c r="J7" s="41">
        <v>2</v>
      </c>
      <c r="K7" s="41">
        <v>2</v>
      </c>
      <c r="L7" s="41">
        <f t="shared" ref="L7:L70" si="0">J7*K7</f>
        <v>4</v>
      </c>
      <c r="M7" s="54" t="s">
        <v>501</v>
      </c>
      <c r="N7" s="41">
        <v>1</v>
      </c>
      <c r="O7" s="41">
        <v>1</v>
      </c>
      <c r="P7" s="41">
        <f t="shared" ref="P7:P70" si="1">N7*O7</f>
        <v>1</v>
      </c>
      <c r="Q7" s="79"/>
      <c r="R7" s="79"/>
      <c r="S7" s="79"/>
    </row>
    <row r="8" spans="1:19" x14ac:dyDescent="0.4">
      <c r="A8" s="61">
        <v>3</v>
      </c>
      <c r="B8" s="388"/>
      <c r="C8" s="58"/>
      <c r="D8" s="60" t="s">
        <v>496</v>
      </c>
      <c r="E8" s="59" t="s">
        <v>458</v>
      </c>
      <c r="F8" s="41" t="s">
        <v>204</v>
      </c>
      <c r="G8" s="54" t="s">
        <v>502</v>
      </c>
      <c r="H8" s="54" t="s">
        <v>503</v>
      </c>
      <c r="I8" s="54" t="s">
        <v>501</v>
      </c>
      <c r="J8" s="41">
        <v>1</v>
      </c>
      <c r="K8" s="41">
        <v>3</v>
      </c>
      <c r="L8" s="41">
        <f t="shared" si="0"/>
        <v>3</v>
      </c>
      <c r="M8" s="54" t="s">
        <v>501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28.8" x14ac:dyDescent="0.4">
      <c r="A9" s="2">
        <v>4</v>
      </c>
      <c r="B9" s="387" t="s">
        <v>504</v>
      </c>
      <c r="C9" s="58" t="s">
        <v>505</v>
      </c>
      <c r="D9" s="60" t="s">
        <v>506</v>
      </c>
      <c r="E9" s="59" t="s">
        <v>458</v>
      </c>
      <c r="F9" s="41" t="s">
        <v>205</v>
      </c>
      <c r="G9" s="54" t="s">
        <v>497</v>
      </c>
      <c r="H9" s="54" t="s">
        <v>507</v>
      </c>
      <c r="I9" s="54" t="s">
        <v>323</v>
      </c>
      <c r="J9" s="41">
        <v>1</v>
      </c>
      <c r="K9" s="41">
        <v>4</v>
      </c>
      <c r="L9" s="41">
        <f t="shared" si="0"/>
        <v>4</v>
      </c>
      <c r="M9" s="54" t="s">
        <v>215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28.8" x14ac:dyDescent="0.4">
      <c r="A10" s="61">
        <v>5</v>
      </c>
      <c r="B10" s="462"/>
      <c r="C10" s="58"/>
      <c r="D10" s="60" t="s">
        <v>506</v>
      </c>
      <c r="E10" s="59" t="s">
        <v>458</v>
      </c>
      <c r="F10" s="41" t="s">
        <v>205</v>
      </c>
      <c r="G10" s="54" t="s">
        <v>497</v>
      </c>
      <c r="H10" s="54" t="s">
        <v>508</v>
      </c>
      <c r="I10" s="54" t="s">
        <v>323</v>
      </c>
      <c r="J10" s="41">
        <v>2</v>
      </c>
      <c r="K10" s="41">
        <v>3</v>
      </c>
      <c r="L10" s="41">
        <f t="shared" si="0"/>
        <v>6</v>
      </c>
      <c r="M10" s="54" t="s">
        <v>216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43.2" x14ac:dyDescent="0.4">
      <c r="A11" s="2">
        <v>6</v>
      </c>
      <c r="B11" s="462"/>
      <c r="C11" s="58"/>
      <c r="D11" s="60" t="s">
        <v>506</v>
      </c>
      <c r="E11" s="59" t="s">
        <v>458</v>
      </c>
      <c r="F11" s="41" t="s">
        <v>205</v>
      </c>
      <c r="G11" s="54" t="s">
        <v>497</v>
      </c>
      <c r="H11" s="54" t="s">
        <v>509</v>
      </c>
      <c r="I11" s="54" t="s">
        <v>323</v>
      </c>
      <c r="J11" s="41">
        <v>2</v>
      </c>
      <c r="K11" s="41">
        <v>4</v>
      </c>
      <c r="L11" s="41">
        <f t="shared" si="0"/>
        <v>8</v>
      </c>
      <c r="M11" s="54" t="s">
        <v>217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43.2" x14ac:dyDescent="0.4">
      <c r="A12" s="61">
        <v>7</v>
      </c>
      <c r="B12" s="462"/>
      <c r="C12" s="58"/>
      <c r="D12" s="60" t="s">
        <v>506</v>
      </c>
      <c r="E12" s="59" t="s">
        <v>458</v>
      </c>
      <c r="F12" s="41" t="s">
        <v>206</v>
      </c>
      <c r="G12" s="54" t="s">
        <v>510</v>
      </c>
      <c r="H12" s="54" t="s">
        <v>511</v>
      </c>
      <c r="I12" s="54" t="s">
        <v>501</v>
      </c>
      <c r="J12" s="41">
        <v>2</v>
      </c>
      <c r="K12" s="41">
        <v>3</v>
      </c>
      <c r="L12" s="41">
        <f t="shared" si="0"/>
        <v>6</v>
      </c>
      <c r="M12" s="54" t="s">
        <v>218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28.8" x14ac:dyDescent="0.4">
      <c r="A13" s="2">
        <v>8</v>
      </c>
      <c r="B13" s="462"/>
      <c r="C13" s="58"/>
      <c r="D13" s="60" t="s">
        <v>506</v>
      </c>
      <c r="E13" s="59" t="s">
        <v>458</v>
      </c>
      <c r="F13" s="41" t="s">
        <v>207</v>
      </c>
      <c r="G13" s="54" t="s">
        <v>512</v>
      </c>
      <c r="H13" s="54" t="s">
        <v>459</v>
      </c>
      <c r="I13" s="54" t="s">
        <v>213</v>
      </c>
      <c r="J13" s="41">
        <v>3</v>
      </c>
      <c r="K13" s="41">
        <v>3</v>
      </c>
      <c r="L13" s="41">
        <f t="shared" si="0"/>
        <v>9</v>
      </c>
      <c r="M13" s="54" t="s">
        <v>513</v>
      </c>
      <c r="N13" s="41">
        <v>2</v>
      </c>
      <c r="O13" s="41">
        <v>2</v>
      </c>
      <c r="P13" s="41">
        <f t="shared" si="1"/>
        <v>4</v>
      </c>
      <c r="Q13" s="79"/>
      <c r="R13" s="79"/>
      <c r="S13" s="79"/>
    </row>
    <row r="14" spans="1:19" ht="28.8" x14ac:dyDescent="0.4">
      <c r="A14" s="61">
        <v>9</v>
      </c>
      <c r="B14" s="462"/>
      <c r="C14" s="58"/>
      <c r="D14" s="59" t="s">
        <v>506</v>
      </c>
      <c r="E14" s="59" t="s">
        <v>458</v>
      </c>
      <c r="F14" s="41" t="s">
        <v>204</v>
      </c>
      <c r="G14" s="54" t="s">
        <v>502</v>
      </c>
      <c r="H14" s="54" t="s">
        <v>472</v>
      </c>
      <c r="I14" s="54" t="s">
        <v>213</v>
      </c>
      <c r="J14" s="41">
        <v>3</v>
      </c>
      <c r="K14" s="41">
        <v>2</v>
      </c>
      <c r="L14" s="41">
        <f t="shared" si="0"/>
        <v>6</v>
      </c>
      <c r="M14" s="54" t="s">
        <v>473</v>
      </c>
      <c r="N14" s="41">
        <v>2</v>
      </c>
      <c r="O14" s="41">
        <v>1</v>
      </c>
      <c r="P14" s="41">
        <f t="shared" si="1"/>
        <v>2</v>
      </c>
      <c r="Q14" s="88"/>
      <c r="R14" s="79"/>
      <c r="S14" s="79"/>
    </row>
    <row r="15" spans="1:19" x14ac:dyDescent="0.4">
      <c r="A15" s="2">
        <v>10</v>
      </c>
      <c r="B15" s="462"/>
      <c r="C15" s="58" t="s">
        <v>514</v>
      </c>
      <c r="D15" s="60" t="s">
        <v>515</v>
      </c>
      <c r="E15" s="59" t="s">
        <v>458</v>
      </c>
      <c r="F15" s="41">
        <v>1.1000000000000001</v>
      </c>
      <c r="G15" s="54" t="s">
        <v>516</v>
      </c>
      <c r="H15" s="54" t="s">
        <v>517</v>
      </c>
      <c r="I15" s="54" t="s">
        <v>213</v>
      </c>
      <c r="J15" s="41">
        <v>3</v>
      </c>
      <c r="K15" s="41">
        <v>2</v>
      </c>
      <c r="L15" s="41">
        <f t="shared" si="0"/>
        <v>6</v>
      </c>
      <c r="M15" s="54" t="s">
        <v>518</v>
      </c>
      <c r="N15" s="41">
        <v>2</v>
      </c>
      <c r="O15" s="41">
        <v>1</v>
      </c>
      <c r="P15" s="41">
        <f t="shared" si="1"/>
        <v>2</v>
      </c>
      <c r="Q15" s="79"/>
      <c r="R15" s="79"/>
      <c r="S15" s="79"/>
    </row>
    <row r="16" spans="1:19" ht="28.8" x14ac:dyDescent="0.4">
      <c r="A16" s="61">
        <v>11</v>
      </c>
      <c r="B16" s="462"/>
      <c r="C16" s="58"/>
      <c r="D16" s="60" t="s">
        <v>515</v>
      </c>
      <c r="E16" s="59" t="s">
        <v>458</v>
      </c>
      <c r="F16" s="41">
        <v>4.0999999999999996</v>
      </c>
      <c r="G16" s="54" t="s">
        <v>499</v>
      </c>
      <c r="H16" s="54" t="s">
        <v>519</v>
      </c>
      <c r="I16" s="54" t="s">
        <v>213</v>
      </c>
      <c r="J16" s="41">
        <v>3</v>
      </c>
      <c r="K16" s="41">
        <v>2</v>
      </c>
      <c r="L16" s="41">
        <f t="shared" si="0"/>
        <v>6</v>
      </c>
      <c r="M16" s="54" t="s">
        <v>520</v>
      </c>
      <c r="N16" s="41">
        <v>2</v>
      </c>
      <c r="O16" s="41">
        <v>1</v>
      </c>
      <c r="P16" s="41">
        <f t="shared" si="1"/>
        <v>2</v>
      </c>
      <c r="Q16" s="88"/>
      <c r="R16" s="79"/>
      <c r="S16" s="79"/>
    </row>
    <row r="17" spans="1:19" ht="28.8" x14ac:dyDescent="0.4">
      <c r="A17" s="2">
        <v>12</v>
      </c>
      <c r="B17" s="462"/>
      <c r="C17" s="58"/>
      <c r="D17" s="60" t="s">
        <v>515</v>
      </c>
      <c r="E17" s="59" t="s">
        <v>458</v>
      </c>
      <c r="F17" s="41" t="s">
        <v>208</v>
      </c>
      <c r="G17" s="54" t="s">
        <v>521</v>
      </c>
      <c r="H17" s="54" t="s">
        <v>522</v>
      </c>
      <c r="I17" s="54" t="s">
        <v>213</v>
      </c>
      <c r="J17" s="41">
        <v>3</v>
      </c>
      <c r="K17" s="41">
        <v>1</v>
      </c>
      <c r="L17" s="41">
        <f t="shared" si="0"/>
        <v>3</v>
      </c>
      <c r="M17" s="54" t="s">
        <v>523</v>
      </c>
      <c r="N17" s="41">
        <v>2</v>
      </c>
      <c r="O17" s="41">
        <v>1</v>
      </c>
      <c r="P17" s="41">
        <f t="shared" si="1"/>
        <v>2</v>
      </c>
      <c r="Q17" s="88"/>
      <c r="R17" s="79"/>
      <c r="S17" s="79"/>
    </row>
    <row r="18" spans="1:19" ht="28.8" x14ac:dyDescent="0.4">
      <c r="A18" s="61">
        <v>13</v>
      </c>
      <c r="B18" s="462"/>
      <c r="C18" s="58"/>
      <c r="D18" s="59" t="s">
        <v>515</v>
      </c>
      <c r="E18" s="59" t="s">
        <v>458</v>
      </c>
      <c r="F18" s="41" t="s">
        <v>209</v>
      </c>
      <c r="G18" s="54" t="s">
        <v>524</v>
      </c>
      <c r="H18" s="54" t="s">
        <v>525</v>
      </c>
      <c r="I18" s="54" t="s">
        <v>213</v>
      </c>
      <c r="J18" s="41">
        <v>3</v>
      </c>
      <c r="K18" s="41">
        <v>2</v>
      </c>
      <c r="L18" s="41">
        <f t="shared" si="0"/>
        <v>6</v>
      </c>
      <c r="M18" s="54" t="s">
        <v>526</v>
      </c>
      <c r="N18" s="41">
        <v>2</v>
      </c>
      <c r="O18" s="41">
        <v>1</v>
      </c>
      <c r="P18" s="41">
        <f t="shared" si="1"/>
        <v>2</v>
      </c>
      <c r="Q18" s="88"/>
      <c r="R18" s="79"/>
      <c r="S18" s="79"/>
    </row>
    <row r="19" spans="1:19" ht="57.6" x14ac:dyDescent="0.4">
      <c r="A19" s="2">
        <v>14</v>
      </c>
      <c r="B19" s="462"/>
      <c r="C19" s="58" t="s">
        <v>527</v>
      </c>
      <c r="D19" s="60" t="s">
        <v>528</v>
      </c>
      <c r="E19" s="59" t="s">
        <v>529</v>
      </c>
      <c r="F19" s="41" t="s">
        <v>210</v>
      </c>
      <c r="G19" s="54" t="s">
        <v>530</v>
      </c>
      <c r="H19" s="54" t="s">
        <v>531</v>
      </c>
      <c r="I19" s="54" t="s">
        <v>213</v>
      </c>
      <c r="J19" s="41">
        <v>1</v>
      </c>
      <c r="K19" s="41">
        <v>4</v>
      </c>
      <c r="L19" s="41">
        <f t="shared" si="0"/>
        <v>4</v>
      </c>
      <c r="M19" s="54" t="s">
        <v>532</v>
      </c>
      <c r="N19" s="41">
        <v>1</v>
      </c>
      <c r="O19" s="41">
        <v>2</v>
      </c>
      <c r="P19" s="41">
        <f t="shared" si="1"/>
        <v>2</v>
      </c>
      <c r="Q19" s="88"/>
      <c r="R19" s="79"/>
      <c r="S19" s="79"/>
    </row>
    <row r="20" spans="1:19" ht="28.8" x14ac:dyDescent="0.4">
      <c r="A20" s="61">
        <v>15</v>
      </c>
      <c r="B20" s="462"/>
      <c r="C20" s="58" t="s">
        <v>533</v>
      </c>
      <c r="D20" s="60" t="s">
        <v>506</v>
      </c>
      <c r="E20" s="59" t="s">
        <v>458</v>
      </c>
      <c r="F20" s="41" t="s">
        <v>205</v>
      </c>
      <c r="G20" s="54" t="s">
        <v>497</v>
      </c>
      <c r="H20" s="54" t="s">
        <v>534</v>
      </c>
      <c r="I20" s="54" t="s">
        <v>323</v>
      </c>
      <c r="J20" s="41">
        <v>1</v>
      </c>
      <c r="K20" s="41">
        <v>4</v>
      </c>
      <c r="L20" s="41">
        <f t="shared" si="0"/>
        <v>4</v>
      </c>
      <c r="M20" s="54" t="s">
        <v>219</v>
      </c>
      <c r="N20" s="41">
        <v>1</v>
      </c>
      <c r="O20" s="41">
        <v>2</v>
      </c>
      <c r="P20" s="41">
        <f t="shared" si="1"/>
        <v>2</v>
      </c>
      <c r="Q20" s="79"/>
      <c r="R20" s="79"/>
      <c r="S20" s="79"/>
    </row>
    <row r="21" spans="1:19" ht="43.2" x14ac:dyDescent="0.4">
      <c r="A21" s="2">
        <v>16</v>
      </c>
      <c r="B21" s="462"/>
      <c r="C21" s="58"/>
      <c r="D21" s="60" t="s">
        <v>506</v>
      </c>
      <c r="E21" s="59" t="s">
        <v>458</v>
      </c>
      <c r="F21" s="41" t="s">
        <v>205</v>
      </c>
      <c r="G21" s="54" t="s">
        <v>497</v>
      </c>
      <c r="H21" s="54" t="s">
        <v>508</v>
      </c>
      <c r="I21" s="54" t="s">
        <v>323</v>
      </c>
      <c r="J21" s="41">
        <v>2</v>
      </c>
      <c r="K21" s="41">
        <v>2</v>
      </c>
      <c r="L21" s="41">
        <f t="shared" si="0"/>
        <v>4</v>
      </c>
      <c r="M21" s="54" t="s">
        <v>217</v>
      </c>
      <c r="N21" s="41">
        <v>1</v>
      </c>
      <c r="O21" s="41">
        <v>1</v>
      </c>
      <c r="P21" s="41">
        <f t="shared" si="1"/>
        <v>1</v>
      </c>
      <c r="Q21" s="79"/>
      <c r="R21" s="79"/>
      <c r="S21" s="79"/>
    </row>
    <row r="22" spans="1:19" ht="28.8" x14ac:dyDescent="0.4">
      <c r="A22" s="61">
        <v>17</v>
      </c>
      <c r="B22" s="462"/>
      <c r="C22" s="58"/>
      <c r="D22" s="59" t="s">
        <v>506</v>
      </c>
      <c r="E22" s="59" t="s">
        <v>458</v>
      </c>
      <c r="F22" s="41" t="s">
        <v>205</v>
      </c>
      <c r="G22" s="54" t="s">
        <v>497</v>
      </c>
      <c r="H22" s="54" t="s">
        <v>535</v>
      </c>
      <c r="I22" s="54" t="s">
        <v>323</v>
      </c>
      <c r="J22" s="41">
        <v>2</v>
      </c>
      <c r="K22" s="41">
        <v>4</v>
      </c>
      <c r="L22" s="41">
        <f t="shared" si="0"/>
        <v>8</v>
      </c>
      <c r="M22" s="54" t="s">
        <v>219</v>
      </c>
      <c r="N22" s="41">
        <v>1</v>
      </c>
      <c r="O22" s="41">
        <v>2</v>
      </c>
      <c r="P22" s="41">
        <f t="shared" si="1"/>
        <v>2</v>
      </c>
      <c r="Q22" s="79"/>
      <c r="R22" s="79"/>
      <c r="S22" s="79"/>
    </row>
    <row r="23" spans="1:19" ht="43.2" x14ac:dyDescent="0.4">
      <c r="A23" s="2">
        <v>18</v>
      </c>
      <c r="B23" s="462"/>
      <c r="C23" s="58"/>
      <c r="D23" s="59" t="s">
        <v>506</v>
      </c>
      <c r="E23" s="59" t="s">
        <v>458</v>
      </c>
      <c r="F23" s="41" t="s">
        <v>206</v>
      </c>
      <c r="G23" s="54" t="s">
        <v>510</v>
      </c>
      <c r="H23" s="54" t="s">
        <v>511</v>
      </c>
      <c r="I23" s="54" t="s">
        <v>501</v>
      </c>
      <c r="J23" s="41">
        <v>2</v>
      </c>
      <c r="K23" s="41">
        <v>3</v>
      </c>
      <c r="L23" s="41">
        <f t="shared" si="0"/>
        <v>6</v>
      </c>
      <c r="M23" s="54" t="s">
        <v>218</v>
      </c>
      <c r="N23" s="41">
        <v>1</v>
      </c>
      <c r="O23" s="41">
        <v>2</v>
      </c>
      <c r="P23" s="41">
        <f t="shared" si="1"/>
        <v>2</v>
      </c>
      <c r="Q23" s="79"/>
      <c r="R23" s="79"/>
      <c r="S23" s="79"/>
    </row>
    <row r="24" spans="1:19" ht="28.8" x14ac:dyDescent="0.4">
      <c r="A24" s="61">
        <v>19</v>
      </c>
      <c r="B24" s="462"/>
      <c r="C24" s="58"/>
      <c r="D24" s="59" t="s">
        <v>506</v>
      </c>
      <c r="E24" s="59" t="s">
        <v>458</v>
      </c>
      <c r="F24" s="41" t="s">
        <v>207</v>
      </c>
      <c r="G24" s="54" t="s">
        <v>512</v>
      </c>
      <c r="H24" s="54" t="s">
        <v>459</v>
      </c>
      <c r="I24" s="54" t="s">
        <v>213</v>
      </c>
      <c r="J24" s="41">
        <v>3</v>
      </c>
      <c r="K24" s="41">
        <v>3</v>
      </c>
      <c r="L24" s="41">
        <f t="shared" si="0"/>
        <v>9</v>
      </c>
      <c r="M24" s="54" t="s">
        <v>513</v>
      </c>
      <c r="N24" s="41">
        <v>2</v>
      </c>
      <c r="O24" s="41">
        <v>2</v>
      </c>
      <c r="P24" s="41">
        <f t="shared" si="1"/>
        <v>4</v>
      </c>
      <c r="Q24" s="79"/>
      <c r="R24" s="79"/>
      <c r="S24" s="79"/>
    </row>
    <row r="25" spans="1:19" ht="28.8" x14ac:dyDescent="0.4">
      <c r="A25" s="2">
        <v>20</v>
      </c>
      <c r="B25" s="462"/>
      <c r="C25" s="58"/>
      <c r="D25" s="60" t="s">
        <v>506</v>
      </c>
      <c r="E25" s="59" t="s">
        <v>458</v>
      </c>
      <c r="F25" s="41" t="s">
        <v>204</v>
      </c>
      <c r="G25" s="54" t="s">
        <v>502</v>
      </c>
      <c r="H25" s="54" t="s">
        <v>472</v>
      </c>
      <c r="I25" s="54" t="s">
        <v>213</v>
      </c>
      <c r="J25" s="41">
        <v>3</v>
      </c>
      <c r="K25" s="41">
        <v>2</v>
      </c>
      <c r="L25" s="41">
        <f t="shared" si="0"/>
        <v>6</v>
      </c>
      <c r="M25" s="54" t="s">
        <v>473</v>
      </c>
      <c r="N25" s="41">
        <v>2</v>
      </c>
      <c r="O25" s="41">
        <v>1</v>
      </c>
      <c r="P25" s="41">
        <f t="shared" si="1"/>
        <v>2</v>
      </c>
      <c r="Q25" s="88"/>
      <c r="R25" s="79"/>
      <c r="S25" s="79"/>
    </row>
    <row r="26" spans="1:19" ht="28.8" x14ac:dyDescent="0.4">
      <c r="A26" s="61">
        <v>21</v>
      </c>
      <c r="B26" s="462"/>
      <c r="C26" s="58" t="s">
        <v>536</v>
      </c>
      <c r="D26" s="60" t="s">
        <v>537</v>
      </c>
      <c r="E26" s="59" t="s">
        <v>458</v>
      </c>
      <c r="F26" s="41" t="s">
        <v>206</v>
      </c>
      <c r="G26" s="54" t="s">
        <v>510</v>
      </c>
      <c r="H26" s="54" t="s">
        <v>538</v>
      </c>
      <c r="I26" s="54" t="s">
        <v>213</v>
      </c>
      <c r="J26" s="41">
        <v>4</v>
      </c>
      <c r="K26" s="41">
        <v>2</v>
      </c>
      <c r="L26" s="41">
        <f t="shared" si="0"/>
        <v>8</v>
      </c>
      <c r="M26" s="54" t="s">
        <v>539</v>
      </c>
      <c r="N26" s="41">
        <v>3</v>
      </c>
      <c r="O26" s="41">
        <v>1</v>
      </c>
      <c r="P26" s="41">
        <f t="shared" si="1"/>
        <v>3</v>
      </c>
      <c r="Q26" s="79"/>
      <c r="R26" s="79"/>
      <c r="S26" s="79"/>
    </row>
    <row r="27" spans="1:19" ht="28.8" x14ac:dyDescent="0.4">
      <c r="A27" s="2">
        <v>22</v>
      </c>
      <c r="B27" s="388"/>
      <c r="C27" s="58"/>
      <c r="D27" s="60" t="s">
        <v>528</v>
      </c>
      <c r="E27" s="59" t="s">
        <v>458</v>
      </c>
      <c r="F27" s="41" t="s">
        <v>211</v>
      </c>
      <c r="G27" s="54" t="s">
        <v>540</v>
      </c>
      <c r="H27" s="54" t="s">
        <v>541</v>
      </c>
      <c r="I27" s="54" t="s">
        <v>213</v>
      </c>
      <c r="J27" s="41">
        <v>3</v>
      </c>
      <c r="K27" s="41">
        <v>2</v>
      </c>
      <c r="L27" s="41">
        <f t="shared" si="0"/>
        <v>6</v>
      </c>
      <c r="M27" s="54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61">
        <v>23</v>
      </c>
      <c r="B28" s="387" t="s">
        <v>542</v>
      </c>
      <c r="C28" s="58" t="s">
        <v>543</v>
      </c>
      <c r="D28" s="59" t="s">
        <v>544</v>
      </c>
      <c r="E28" s="59" t="s">
        <v>458</v>
      </c>
      <c r="F28" s="41">
        <v>1.1000000000000001</v>
      </c>
      <c r="G28" s="54" t="s">
        <v>516</v>
      </c>
      <c r="H28" s="54" t="s">
        <v>545</v>
      </c>
      <c r="I28" s="54" t="s">
        <v>213</v>
      </c>
      <c r="J28" s="41">
        <v>3</v>
      </c>
      <c r="K28" s="41">
        <v>2</v>
      </c>
      <c r="L28" s="41">
        <f t="shared" si="0"/>
        <v>6</v>
      </c>
      <c r="M28" s="54" t="s">
        <v>546</v>
      </c>
      <c r="N28" s="41">
        <v>2</v>
      </c>
      <c r="O28" s="41">
        <v>1</v>
      </c>
      <c r="P28" s="41">
        <f t="shared" si="1"/>
        <v>2</v>
      </c>
      <c r="Q28" s="79"/>
      <c r="R28" s="79"/>
      <c r="S28" s="79"/>
    </row>
    <row r="29" spans="1:19" ht="28.8" x14ac:dyDescent="0.4">
      <c r="A29" s="2">
        <v>24</v>
      </c>
      <c r="B29" s="462"/>
      <c r="C29" s="58"/>
      <c r="D29" s="59" t="s">
        <v>544</v>
      </c>
      <c r="E29" s="59" t="s">
        <v>458</v>
      </c>
      <c r="F29" s="41" t="s">
        <v>208</v>
      </c>
      <c r="G29" s="54" t="s">
        <v>521</v>
      </c>
      <c r="H29" s="54" t="s">
        <v>547</v>
      </c>
      <c r="I29" s="54" t="s">
        <v>213</v>
      </c>
      <c r="J29" s="41">
        <v>3</v>
      </c>
      <c r="K29" s="41">
        <v>1</v>
      </c>
      <c r="L29" s="41">
        <f t="shared" si="0"/>
        <v>3</v>
      </c>
      <c r="M29" s="54" t="s">
        <v>523</v>
      </c>
      <c r="N29" s="41">
        <v>2</v>
      </c>
      <c r="O29" s="41">
        <v>1</v>
      </c>
      <c r="P29" s="41">
        <f t="shared" si="1"/>
        <v>2</v>
      </c>
      <c r="Q29" s="79"/>
      <c r="R29" s="79"/>
      <c r="S29" s="79"/>
    </row>
    <row r="30" spans="1:19" ht="28.8" x14ac:dyDescent="0.4">
      <c r="A30" s="61">
        <v>25</v>
      </c>
      <c r="B30" s="462"/>
      <c r="C30" s="58"/>
      <c r="D30" s="59" t="s">
        <v>537</v>
      </c>
      <c r="E30" s="59" t="s">
        <v>458</v>
      </c>
      <c r="F30" s="41" t="s">
        <v>206</v>
      </c>
      <c r="G30" s="54" t="s">
        <v>510</v>
      </c>
      <c r="H30" s="54" t="s">
        <v>538</v>
      </c>
      <c r="I30" s="54" t="s">
        <v>213</v>
      </c>
      <c r="J30" s="41">
        <v>3</v>
      </c>
      <c r="K30" s="41">
        <v>2</v>
      </c>
      <c r="L30" s="41">
        <f t="shared" si="0"/>
        <v>6</v>
      </c>
      <c r="M30" s="54" t="s">
        <v>539</v>
      </c>
      <c r="N30" s="41">
        <v>2</v>
      </c>
      <c r="O30" s="41">
        <v>1</v>
      </c>
      <c r="P30" s="41">
        <f t="shared" si="1"/>
        <v>2</v>
      </c>
      <c r="Q30" s="79"/>
      <c r="R30" s="79"/>
      <c r="S30" s="79"/>
    </row>
    <row r="31" spans="1:19" ht="43.2" x14ac:dyDescent="0.4">
      <c r="A31" s="2">
        <v>26</v>
      </c>
      <c r="B31" s="462"/>
      <c r="C31" s="58"/>
      <c r="D31" s="59" t="s">
        <v>548</v>
      </c>
      <c r="E31" s="59" t="s">
        <v>458</v>
      </c>
      <c r="F31" s="41" t="s">
        <v>212</v>
      </c>
      <c r="G31" s="54" t="s">
        <v>549</v>
      </c>
      <c r="H31" s="54" t="s">
        <v>550</v>
      </c>
      <c r="I31" s="54" t="s">
        <v>213</v>
      </c>
      <c r="J31" s="41">
        <v>3</v>
      </c>
      <c r="K31" s="41">
        <v>3</v>
      </c>
      <c r="L31" s="41">
        <f t="shared" si="0"/>
        <v>9</v>
      </c>
      <c r="M31" s="54" t="s">
        <v>220</v>
      </c>
      <c r="N31" s="41">
        <v>2</v>
      </c>
      <c r="O31" s="41">
        <v>2</v>
      </c>
      <c r="P31" s="41">
        <f t="shared" si="1"/>
        <v>4</v>
      </c>
      <c r="Q31" s="79"/>
      <c r="R31" s="79"/>
      <c r="S31" s="79"/>
    </row>
    <row r="32" spans="1:19" ht="28.8" x14ac:dyDescent="0.4">
      <c r="A32" s="61">
        <v>27</v>
      </c>
      <c r="B32" s="462"/>
      <c r="C32" s="58"/>
      <c r="D32" s="59" t="s">
        <v>515</v>
      </c>
      <c r="E32" s="59" t="s">
        <v>458</v>
      </c>
      <c r="F32" s="41">
        <v>4.0999999999999996</v>
      </c>
      <c r="G32" s="54" t="s">
        <v>499</v>
      </c>
      <c r="H32" s="54" t="s">
        <v>551</v>
      </c>
      <c r="I32" s="54" t="s">
        <v>213</v>
      </c>
      <c r="J32" s="41">
        <v>3</v>
      </c>
      <c r="K32" s="41">
        <v>2</v>
      </c>
      <c r="L32" s="41">
        <f t="shared" si="0"/>
        <v>6</v>
      </c>
      <c r="M32" s="54" t="s">
        <v>520</v>
      </c>
      <c r="N32" s="41">
        <v>2</v>
      </c>
      <c r="O32" s="41">
        <v>1</v>
      </c>
      <c r="P32" s="41">
        <f t="shared" si="1"/>
        <v>2</v>
      </c>
      <c r="Q32" s="79"/>
      <c r="R32" s="79"/>
      <c r="S32" s="79"/>
    </row>
    <row r="33" spans="1:19" ht="28.8" x14ac:dyDescent="0.4">
      <c r="A33" s="2">
        <v>28</v>
      </c>
      <c r="B33" s="462"/>
      <c r="C33" s="58"/>
      <c r="D33" s="60" t="s">
        <v>515</v>
      </c>
      <c r="E33" s="59" t="s">
        <v>458</v>
      </c>
      <c r="F33" s="41" t="s">
        <v>208</v>
      </c>
      <c r="G33" s="54" t="s">
        <v>521</v>
      </c>
      <c r="H33" s="54" t="s">
        <v>552</v>
      </c>
      <c r="I33" s="54" t="s">
        <v>213</v>
      </c>
      <c r="J33" s="41">
        <v>3</v>
      </c>
      <c r="K33" s="41">
        <v>1</v>
      </c>
      <c r="L33" s="41">
        <f t="shared" si="0"/>
        <v>3</v>
      </c>
      <c r="M33" s="54" t="s">
        <v>523</v>
      </c>
      <c r="N33" s="41">
        <v>2</v>
      </c>
      <c r="O33" s="41">
        <v>1</v>
      </c>
      <c r="P33" s="41">
        <f t="shared" si="1"/>
        <v>2</v>
      </c>
      <c r="Q33" s="79"/>
      <c r="R33" s="79"/>
      <c r="S33" s="79"/>
    </row>
    <row r="34" spans="1:19" ht="43.2" x14ac:dyDescent="0.4">
      <c r="A34" s="61">
        <v>29</v>
      </c>
      <c r="B34" s="462"/>
      <c r="C34" s="58" t="s">
        <v>553</v>
      </c>
      <c r="D34" s="60" t="s">
        <v>554</v>
      </c>
      <c r="E34" s="59" t="s">
        <v>458</v>
      </c>
      <c r="F34" s="41">
        <v>1.2</v>
      </c>
      <c r="G34" s="54" t="s">
        <v>555</v>
      </c>
      <c r="H34" s="54" t="s">
        <v>556</v>
      </c>
      <c r="I34" s="54" t="s">
        <v>213</v>
      </c>
      <c r="J34" s="41">
        <v>3</v>
      </c>
      <c r="K34" s="41">
        <v>1</v>
      </c>
      <c r="L34" s="41">
        <f t="shared" si="0"/>
        <v>3</v>
      </c>
      <c r="M34" s="54" t="s">
        <v>221</v>
      </c>
      <c r="N34" s="41">
        <v>2</v>
      </c>
      <c r="O34" s="41">
        <v>1</v>
      </c>
      <c r="P34" s="41">
        <f t="shared" si="1"/>
        <v>2</v>
      </c>
      <c r="Q34" s="79"/>
      <c r="R34" s="79"/>
      <c r="S34" s="79"/>
    </row>
    <row r="35" spans="1:19" ht="43.2" x14ac:dyDescent="0.4">
      <c r="A35" s="2">
        <v>30</v>
      </c>
      <c r="B35" s="388"/>
      <c r="C35" s="58"/>
      <c r="D35" s="60" t="s">
        <v>548</v>
      </c>
      <c r="E35" s="59" t="s">
        <v>458</v>
      </c>
      <c r="F35" s="41" t="s">
        <v>212</v>
      </c>
      <c r="G35" s="54" t="s">
        <v>549</v>
      </c>
      <c r="H35" s="54" t="s">
        <v>550</v>
      </c>
      <c r="I35" s="54" t="s">
        <v>213</v>
      </c>
      <c r="J35" s="41">
        <v>3</v>
      </c>
      <c r="K35" s="41">
        <v>3</v>
      </c>
      <c r="L35" s="41">
        <f t="shared" si="0"/>
        <v>9</v>
      </c>
      <c r="M35" s="54" t="s">
        <v>214</v>
      </c>
      <c r="N35" s="41">
        <v>2</v>
      </c>
      <c r="O35" s="41">
        <v>2</v>
      </c>
      <c r="P35" s="41">
        <f t="shared" si="1"/>
        <v>4</v>
      </c>
      <c r="Q35" s="88"/>
      <c r="R35" s="79"/>
      <c r="S35" s="79"/>
    </row>
    <row r="36" spans="1:19" ht="43.2" x14ac:dyDescent="0.4">
      <c r="A36" s="61">
        <v>31</v>
      </c>
      <c r="B36" s="387" t="s">
        <v>504</v>
      </c>
      <c r="C36" s="58" t="s">
        <v>557</v>
      </c>
      <c r="D36" s="59" t="s">
        <v>506</v>
      </c>
      <c r="E36" s="59" t="s">
        <v>458</v>
      </c>
      <c r="F36" s="41" t="s">
        <v>205</v>
      </c>
      <c r="G36" s="54" t="s">
        <v>497</v>
      </c>
      <c r="H36" s="54" t="s">
        <v>507</v>
      </c>
      <c r="I36" s="54" t="s">
        <v>323</v>
      </c>
      <c r="J36" s="41">
        <v>1</v>
      </c>
      <c r="K36" s="41">
        <v>4</v>
      </c>
      <c r="L36" s="41">
        <f t="shared" si="0"/>
        <v>4</v>
      </c>
      <c r="M36" s="54" t="s">
        <v>222</v>
      </c>
      <c r="N36" s="41">
        <v>1</v>
      </c>
      <c r="O36" s="41">
        <v>2</v>
      </c>
      <c r="P36" s="41">
        <f t="shared" si="1"/>
        <v>2</v>
      </c>
      <c r="Q36" s="79"/>
      <c r="R36" s="79"/>
      <c r="S36" s="79"/>
    </row>
    <row r="37" spans="1:19" ht="28.8" x14ac:dyDescent="0.4">
      <c r="A37" s="2">
        <v>32</v>
      </c>
      <c r="B37" s="462"/>
      <c r="C37" s="58"/>
      <c r="D37" s="60" t="s">
        <v>506</v>
      </c>
      <c r="E37" s="59" t="s">
        <v>458</v>
      </c>
      <c r="F37" s="41" t="s">
        <v>205</v>
      </c>
      <c r="G37" s="54" t="s">
        <v>497</v>
      </c>
      <c r="H37" s="54" t="s">
        <v>508</v>
      </c>
      <c r="I37" s="54" t="s">
        <v>323</v>
      </c>
      <c r="J37" s="41">
        <v>2</v>
      </c>
      <c r="K37" s="41">
        <v>2</v>
      </c>
      <c r="L37" s="41">
        <f t="shared" si="0"/>
        <v>4</v>
      </c>
      <c r="M37" s="54" t="s">
        <v>223</v>
      </c>
      <c r="N37" s="41">
        <v>1</v>
      </c>
      <c r="O37" s="41">
        <v>1</v>
      </c>
      <c r="P37" s="41">
        <f t="shared" si="1"/>
        <v>1</v>
      </c>
      <c r="Q37" s="88"/>
      <c r="R37" s="79"/>
      <c r="S37" s="79"/>
    </row>
    <row r="38" spans="1:19" ht="28.8" x14ac:dyDescent="0.4">
      <c r="A38" s="61">
        <v>33</v>
      </c>
      <c r="B38" s="462"/>
      <c r="C38" s="58"/>
      <c r="D38" s="60" t="s">
        <v>506</v>
      </c>
      <c r="E38" s="59" t="s">
        <v>458</v>
      </c>
      <c r="F38" s="41" t="s">
        <v>205</v>
      </c>
      <c r="G38" s="54" t="s">
        <v>497</v>
      </c>
      <c r="H38" s="54" t="s">
        <v>509</v>
      </c>
      <c r="I38" s="54" t="s">
        <v>323</v>
      </c>
      <c r="J38" s="41">
        <v>2</v>
      </c>
      <c r="K38" s="41">
        <v>4</v>
      </c>
      <c r="L38" s="41">
        <f t="shared" si="0"/>
        <v>8</v>
      </c>
      <c r="M38" s="54" t="s">
        <v>215</v>
      </c>
      <c r="N38" s="41">
        <v>1</v>
      </c>
      <c r="O38" s="41">
        <v>2</v>
      </c>
      <c r="P38" s="41">
        <f t="shared" si="1"/>
        <v>2</v>
      </c>
      <c r="Q38" s="88"/>
      <c r="R38" s="79"/>
      <c r="S38" s="79"/>
    </row>
    <row r="39" spans="1:19" ht="43.2" x14ac:dyDescent="0.4">
      <c r="A39" s="2">
        <v>34</v>
      </c>
      <c r="B39" s="462"/>
      <c r="C39" s="58"/>
      <c r="D39" s="60" t="s">
        <v>506</v>
      </c>
      <c r="E39" s="59" t="s">
        <v>458</v>
      </c>
      <c r="F39" s="41" t="s">
        <v>207</v>
      </c>
      <c r="G39" s="54" t="s">
        <v>512</v>
      </c>
      <c r="H39" s="54" t="s">
        <v>511</v>
      </c>
      <c r="I39" s="54" t="s">
        <v>213</v>
      </c>
      <c r="J39" s="41">
        <v>2</v>
      </c>
      <c r="K39" s="41">
        <v>3</v>
      </c>
      <c r="L39" s="41">
        <f t="shared" si="0"/>
        <v>6</v>
      </c>
      <c r="M39" s="54" t="s">
        <v>513</v>
      </c>
      <c r="N39" s="41">
        <v>1</v>
      </c>
      <c r="O39" s="41">
        <v>2</v>
      </c>
      <c r="P39" s="41">
        <f t="shared" si="1"/>
        <v>2</v>
      </c>
      <c r="Q39" s="88"/>
      <c r="R39" s="79"/>
      <c r="S39" s="79"/>
    </row>
    <row r="40" spans="1:19" ht="43.2" x14ac:dyDescent="0.4">
      <c r="A40" s="61">
        <v>35</v>
      </c>
      <c r="B40" s="462"/>
      <c r="C40" s="58"/>
      <c r="D40" s="59" t="s">
        <v>506</v>
      </c>
      <c r="E40" s="59" t="s">
        <v>458</v>
      </c>
      <c r="F40" s="41" t="s">
        <v>206</v>
      </c>
      <c r="G40" s="54" t="s">
        <v>510</v>
      </c>
      <c r="H40" s="54" t="s">
        <v>459</v>
      </c>
      <c r="I40" s="54" t="s">
        <v>213</v>
      </c>
      <c r="J40" s="41">
        <v>3</v>
      </c>
      <c r="K40" s="41">
        <v>3</v>
      </c>
      <c r="L40" s="41">
        <f t="shared" si="0"/>
        <v>9</v>
      </c>
      <c r="M40" s="54" t="s">
        <v>217</v>
      </c>
      <c r="N40" s="41">
        <v>2</v>
      </c>
      <c r="O40" s="41">
        <v>2</v>
      </c>
      <c r="P40" s="41">
        <f t="shared" si="1"/>
        <v>4</v>
      </c>
      <c r="Q40" s="88"/>
      <c r="R40" s="79"/>
      <c r="S40" s="79"/>
    </row>
    <row r="41" spans="1:19" ht="28.8" x14ac:dyDescent="0.4">
      <c r="A41" s="2">
        <v>36</v>
      </c>
      <c r="B41" s="462"/>
      <c r="C41" s="58"/>
      <c r="D41" s="59" t="s">
        <v>506</v>
      </c>
      <c r="E41" s="59" t="s">
        <v>458</v>
      </c>
      <c r="F41" s="41" t="s">
        <v>204</v>
      </c>
      <c r="G41" s="54" t="s">
        <v>502</v>
      </c>
      <c r="H41" s="54" t="s">
        <v>472</v>
      </c>
      <c r="I41" s="54" t="s">
        <v>213</v>
      </c>
      <c r="J41" s="41">
        <v>2</v>
      </c>
      <c r="K41" s="41">
        <v>3</v>
      </c>
      <c r="L41" s="41">
        <f t="shared" si="0"/>
        <v>6</v>
      </c>
      <c r="M41" s="54" t="s">
        <v>473</v>
      </c>
      <c r="N41" s="41">
        <v>1</v>
      </c>
      <c r="O41" s="41">
        <v>2</v>
      </c>
      <c r="P41" s="41">
        <f t="shared" si="1"/>
        <v>2</v>
      </c>
      <c r="Q41" s="79"/>
      <c r="R41" s="79"/>
      <c r="S41" s="79"/>
    </row>
    <row r="42" spans="1:19" ht="28.8" x14ac:dyDescent="0.4">
      <c r="A42" s="61">
        <v>37</v>
      </c>
      <c r="B42" s="462"/>
      <c r="C42" s="58"/>
      <c r="D42" s="59" t="s">
        <v>515</v>
      </c>
      <c r="E42" s="59" t="s">
        <v>458</v>
      </c>
      <c r="F42" s="41">
        <v>4.0999999999999996</v>
      </c>
      <c r="G42" s="54" t="s">
        <v>499</v>
      </c>
      <c r="H42" s="54" t="s">
        <v>558</v>
      </c>
      <c r="I42" s="54" t="s">
        <v>213</v>
      </c>
      <c r="J42" s="41">
        <v>3</v>
      </c>
      <c r="K42" s="41">
        <v>2</v>
      </c>
      <c r="L42" s="41">
        <f t="shared" si="0"/>
        <v>6</v>
      </c>
      <c r="M42" s="54" t="s">
        <v>520</v>
      </c>
      <c r="N42" s="41">
        <v>2</v>
      </c>
      <c r="O42" s="41">
        <v>1</v>
      </c>
      <c r="P42" s="41">
        <f t="shared" si="1"/>
        <v>2</v>
      </c>
      <c r="Q42" s="79"/>
      <c r="R42" s="79"/>
      <c r="S42" s="79"/>
    </row>
    <row r="43" spans="1:19" ht="28.8" x14ac:dyDescent="0.4">
      <c r="A43" s="2">
        <v>38</v>
      </c>
      <c r="B43" s="462"/>
      <c r="C43" s="58"/>
      <c r="D43" s="60" t="s">
        <v>515</v>
      </c>
      <c r="E43" s="59" t="s">
        <v>458</v>
      </c>
      <c r="F43" s="41" t="s">
        <v>208</v>
      </c>
      <c r="G43" s="54" t="s">
        <v>521</v>
      </c>
      <c r="H43" s="54" t="s">
        <v>522</v>
      </c>
      <c r="I43" s="54" t="s">
        <v>213</v>
      </c>
      <c r="J43" s="41">
        <v>3</v>
      </c>
      <c r="K43" s="41">
        <v>1</v>
      </c>
      <c r="L43" s="41">
        <f t="shared" si="0"/>
        <v>3</v>
      </c>
      <c r="M43" s="54" t="s">
        <v>523</v>
      </c>
      <c r="N43" s="41">
        <v>2</v>
      </c>
      <c r="O43" s="41">
        <v>1</v>
      </c>
      <c r="P43" s="41">
        <f t="shared" si="1"/>
        <v>2</v>
      </c>
      <c r="Q43" s="79"/>
      <c r="R43" s="79"/>
      <c r="S43" s="79"/>
    </row>
    <row r="44" spans="1:19" ht="43.2" x14ac:dyDescent="0.4">
      <c r="A44" s="61">
        <v>39</v>
      </c>
      <c r="B44" s="462"/>
      <c r="C44" s="58" t="s">
        <v>559</v>
      </c>
      <c r="D44" s="60" t="s">
        <v>506</v>
      </c>
      <c r="E44" s="59" t="s">
        <v>458</v>
      </c>
      <c r="F44" s="41" t="s">
        <v>205</v>
      </c>
      <c r="G44" s="54" t="s">
        <v>497</v>
      </c>
      <c r="H44" s="54" t="s">
        <v>507</v>
      </c>
      <c r="I44" s="54" t="s">
        <v>323</v>
      </c>
      <c r="J44" s="41">
        <v>2</v>
      </c>
      <c r="K44" s="41">
        <v>4</v>
      </c>
      <c r="L44" s="41">
        <f t="shared" si="0"/>
        <v>8</v>
      </c>
      <c r="M44" s="54" t="s">
        <v>224</v>
      </c>
      <c r="N44" s="41">
        <v>1</v>
      </c>
      <c r="O44" s="41">
        <v>2</v>
      </c>
      <c r="P44" s="41">
        <f t="shared" si="1"/>
        <v>2</v>
      </c>
      <c r="Q44" s="79"/>
      <c r="R44" s="79"/>
      <c r="S44" s="79"/>
    </row>
    <row r="45" spans="1:19" ht="57.6" x14ac:dyDescent="0.4">
      <c r="A45" s="2">
        <v>40</v>
      </c>
      <c r="B45" s="462"/>
      <c r="C45" s="58"/>
      <c r="D45" s="60" t="s">
        <v>506</v>
      </c>
      <c r="E45" s="59" t="s">
        <v>458</v>
      </c>
      <c r="F45" s="41" t="s">
        <v>205</v>
      </c>
      <c r="G45" s="54" t="s">
        <v>497</v>
      </c>
      <c r="H45" s="54" t="s">
        <v>508</v>
      </c>
      <c r="I45" s="54" t="s">
        <v>323</v>
      </c>
      <c r="J45" s="41">
        <v>2</v>
      </c>
      <c r="K45" s="41">
        <v>4</v>
      </c>
      <c r="L45" s="41">
        <f t="shared" si="0"/>
        <v>8</v>
      </c>
      <c r="M45" s="54" t="s">
        <v>225</v>
      </c>
      <c r="N45" s="41">
        <v>1</v>
      </c>
      <c r="O45" s="41">
        <v>2</v>
      </c>
      <c r="P45" s="41">
        <f t="shared" si="1"/>
        <v>2</v>
      </c>
      <c r="Q45" s="79"/>
      <c r="R45" s="79"/>
      <c r="S45" s="79"/>
    </row>
    <row r="46" spans="1:19" ht="28.8" x14ac:dyDescent="0.4">
      <c r="A46" s="61">
        <v>41</v>
      </c>
      <c r="B46" s="462"/>
      <c r="C46" s="58"/>
      <c r="D46" s="59" t="s">
        <v>506</v>
      </c>
      <c r="E46" s="59" t="s">
        <v>458</v>
      </c>
      <c r="F46" s="41" t="s">
        <v>205</v>
      </c>
      <c r="G46" s="54" t="s">
        <v>497</v>
      </c>
      <c r="H46" s="54" t="s">
        <v>509</v>
      </c>
      <c r="I46" s="54" t="s">
        <v>323</v>
      </c>
      <c r="J46" s="41">
        <v>2</v>
      </c>
      <c r="K46" s="41">
        <v>4</v>
      </c>
      <c r="L46" s="41">
        <f t="shared" si="0"/>
        <v>8</v>
      </c>
      <c r="M46" s="54" t="s">
        <v>215</v>
      </c>
      <c r="N46" s="41">
        <v>1</v>
      </c>
      <c r="O46" s="41">
        <v>2</v>
      </c>
      <c r="P46" s="41">
        <f t="shared" si="1"/>
        <v>2</v>
      </c>
      <c r="Q46" s="88"/>
      <c r="R46" s="79"/>
      <c r="S46" s="79"/>
    </row>
    <row r="47" spans="1:19" ht="43.2" x14ac:dyDescent="0.4">
      <c r="A47" s="2">
        <v>42</v>
      </c>
      <c r="B47" s="462"/>
      <c r="C47" s="58"/>
      <c r="D47" s="59" t="s">
        <v>506</v>
      </c>
      <c r="E47" s="59" t="s">
        <v>458</v>
      </c>
      <c r="F47" s="41" t="s">
        <v>206</v>
      </c>
      <c r="G47" s="54" t="s">
        <v>510</v>
      </c>
      <c r="H47" s="54" t="s">
        <v>511</v>
      </c>
      <c r="I47" s="54" t="s">
        <v>501</v>
      </c>
      <c r="J47" s="41">
        <v>3</v>
      </c>
      <c r="K47" s="41">
        <v>2</v>
      </c>
      <c r="L47" s="41">
        <f t="shared" si="0"/>
        <v>6</v>
      </c>
      <c r="M47" s="54" t="s">
        <v>218</v>
      </c>
      <c r="N47" s="41">
        <v>2</v>
      </c>
      <c r="O47" s="41">
        <v>1</v>
      </c>
      <c r="P47" s="41">
        <f t="shared" si="1"/>
        <v>2</v>
      </c>
      <c r="Q47" s="79"/>
      <c r="R47" s="79"/>
      <c r="S47" s="79"/>
    </row>
    <row r="48" spans="1:19" ht="28.8" x14ac:dyDescent="0.4">
      <c r="A48" s="61">
        <v>43</v>
      </c>
      <c r="B48" s="462"/>
      <c r="C48" s="58"/>
      <c r="D48" s="59" t="s">
        <v>506</v>
      </c>
      <c r="E48" s="59" t="s">
        <v>458</v>
      </c>
      <c r="F48" s="41" t="s">
        <v>207</v>
      </c>
      <c r="G48" s="54" t="s">
        <v>512</v>
      </c>
      <c r="H48" s="54" t="s">
        <v>459</v>
      </c>
      <c r="I48" s="54" t="s">
        <v>213</v>
      </c>
      <c r="J48" s="41">
        <v>3</v>
      </c>
      <c r="K48" s="41">
        <v>2</v>
      </c>
      <c r="L48" s="41">
        <f t="shared" si="0"/>
        <v>6</v>
      </c>
      <c r="M48" s="54" t="s">
        <v>560</v>
      </c>
      <c r="N48" s="41">
        <v>2</v>
      </c>
      <c r="O48" s="41">
        <v>1</v>
      </c>
      <c r="P48" s="41">
        <f t="shared" si="1"/>
        <v>2</v>
      </c>
      <c r="Q48" s="88"/>
      <c r="R48" s="79"/>
      <c r="S48" s="79"/>
    </row>
    <row r="49" spans="1:19" ht="28.8" x14ac:dyDescent="0.4">
      <c r="A49" s="2">
        <v>44</v>
      </c>
      <c r="B49" s="462"/>
      <c r="C49" s="58"/>
      <c r="D49" s="59" t="s">
        <v>506</v>
      </c>
      <c r="E49" s="59" t="s">
        <v>458</v>
      </c>
      <c r="F49" s="41" t="s">
        <v>204</v>
      </c>
      <c r="G49" s="54" t="s">
        <v>502</v>
      </c>
      <c r="H49" s="54" t="s">
        <v>472</v>
      </c>
      <c r="I49" s="54" t="s">
        <v>213</v>
      </c>
      <c r="J49" s="41">
        <v>3</v>
      </c>
      <c r="K49" s="41">
        <v>2</v>
      </c>
      <c r="L49" s="41">
        <f t="shared" si="0"/>
        <v>6</v>
      </c>
      <c r="M49" s="54" t="s">
        <v>473</v>
      </c>
      <c r="N49" s="41">
        <v>2</v>
      </c>
      <c r="O49" s="41">
        <v>1</v>
      </c>
      <c r="P49" s="41">
        <f t="shared" si="1"/>
        <v>2</v>
      </c>
      <c r="Q49" s="88"/>
      <c r="R49" s="79"/>
      <c r="S49" s="79"/>
    </row>
    <row r="50" spans="1:19" ht="28.8" x14ac:dyDescent="0.4">
      <c r="A50" s="61">
        <v>45</v>
      </c>
      <c r="B50" s="462"/>
      <c r="C50" s="58"/>
      <c r="D50" s="59" t="s">
        <v>544</v>
      </c>
      <c r="E50" s="59" t="s">
        <v>458</v>
      </c>
      <c r="F50" s="41">
        <v>1.1000000000000001</v>
      </c>
      <c r="G50" s="54" t="s">
        <v>516</v>
      </c>
      <c r="H50" s="54" t="s">
        <v>561</v>
      </c>
      <c r="I50" s="54" t="s">
        <v>213</v>
      </c>
      <c r="J50" s="41">
        <v>3</v>
      </c>
      <c r="K50" s="41">
        <v>1</v>
      </c>
      <c r="L50" s="41">
        <f t="shared" si="0"/>
        <v>3</v>
      </c>
      <c r="M50" s="54" t="s">
        <v>546</v>
      </c>
      <c r="N50" s="41">
        <v>2</v>
      </c>
      <c r="O50" s="41">
        <v>1</v>
      </c>
      <c r="P50" s="41">
        <f t="shared" si="1"/>
        <v>2</v>
      </c>
      <c r="Q50" s="88"/>
      <c r="R50" s="79"/>
      <c r="S50" s="79"/>
    </row>
    <row r="51" spans="1:19" ht="28.8" x14ac:dyDescent="0.4">
      <c r="A51" s="2">
        <v>46</v>
      </c>
      <c r="B51" s="388"/>
      <c r="C51" s="58"/>
      <c r="D51" s="60" t="s">
        <v>544</v>
      </c>
      <c r="E51" s="59" t="s">
        <v>458</v>
      </c>
      <c r="F51" s="41" t="s">
        <v>208</v>
      </c>
      <c r="G51" s="54" t="s">
        <v>521</v>
      </c>
      <c r="H51" s="54" t="s">
        <v>562</v>
      </c>
      <c r="I51" s="54" t="s">
        <v>213</v>
      </c>
      <c r="J51" s="41">
        <v>3</v>
      </c>
      <c r="K51" s="41">
        <v>1</v>
      </c>
      <c r="L51" s="41">
        <f t="shared" si="0"/>
        <v>3</v>
      </c>
      <c r="M51" s="54" t="s">
        <v>523</v>
      </c>
      <c r="N51" s="41">
        <v>2</v>
      </c>
      <c r="O51" s="41">
        <v>1</v>
      </c>
      <c r="P51" s="41">
        <f t="shared" si="1"/>
        <v>2</v>
      </c>
      <c r="Q51" s="88"/>
      <c r="R51" s="79"/>
      <c r="S51" s="79"/>
    </row>
    <row r="52" spans="1:19" ht="28.8" x14ac:dyDescent="0.4">
      <c r="A52" s="61">
        <v>47</v>
      </c>
      <c r="B52" s="387" t="s">
        <v>563</v>
      </c>
      <c r="C52" s="58" t="s">
        <v>564</v>
      </c>
      <c r="D52" s="60" t="s">
        <v>506</v>
      </c>
      <c r="E52" s="59" t="s">
        <v>458</v>
      </c>
      <c r="F52" s="41" t="s">
        <v>205</v>
      </c>
      <c r="G52" s="54" t="s">
        <v>497</v>
      </c>
      <c r="H52" s="54" t="s">
        <v>507</v>
      </c>
      <c r="I52" s="54" t="s">
        <v>323</v>
      </c>
      <c r="J52" s="41">
        <v>2</v>
      </c>
      <c r="K52" s="41">
        <v>4</v>
      </c>
      <c r="L52" s="41">
        <f t="shared" si="0"/>
        <v>8</v>
      </c>
      <c r="M52" s="54" t="s">
        <v>226</v>
      </c>
      <c r="N52" s="41">
        <v>1</v>
      </c>
      <c r="O52" s="41">
        <v>2</v>
      </c>
      <c r="P52" s="41">
        <f t="shared" si="1"/>
        <v>2</v>
      </c>
      <c r="Q52" s="88"/>
      <c r="R52" s="79"/>
      <c r="S52" s="79"/>
    </row>
    <row r="53" spans="1:19" ht="43.2" x14ac:dyDescent="0.4">
      <c r="A53" s="2">
        <v>48</v>
      </c>
      <c r="B53" s="462"/>
      <c r="C53" s="58"/>
      <c r="D53" s="60" t="s">
        <v>506</v>
      </c>
      <c r="E53" s="59" t="s">
        <v>458</v>
      </c>
      <c r="F53" s="41" t="s">
        <v>205</v>
      </c>
      <c r="G53" s="54" t="s">
        <v>497</v>
      </c>
      <c r="H53" s="54" t="s">
        <v>508</v>
      </c>
      <c r="I53" s="54" t="s">
        <v>323</v>
      </c>
      <c r="J53" s="41">
        <v>2</v>
      </c>
      <c r="K53" s="41">
        <v>4</v>
      </c>
      <c r="L53" s="41">
        <f t="shared" si="0"/>
        <v>8</v>
      </c>
      <c r="M53" s="54" t="s">
        <v>217</v>
      </c>
      <c r="N53" s="41">
        <v>1</v>
      </c>
      <c r="O53" s="41">
        <v>2</v>
      </c>
      <c r="P53" s="41">
        <f t="shared" si="1"/>
        <v>2</v>
      </c>
      <c r="Q53" s="88"/>
      <c r="R53" s="79"/>
      <c r="S53" s="79"/>
    </row>
    <row r="54" spans="1:19" ht="57.6" x14ac:dyDescent="0.4">
      <c r="A54" s="61">
        <v>49</v>
      </c>
      <c r="B54" s="462"/>
      <c r="C54" s="58"/>
      <c r="D54" s="59" t="s">
        <v>506</v>
      </c>
      <c r="E54" s="59" t="s">
        <v>458</v>
      </c>
      <c r="F54" s="41" t="s">
        <v>205</v>
      </c>
      <c r="G54" s="54" t="s">
        <v>497</v>
      </c>
      <c r="H54" s="54" t="s">
        <v>509</v>
      </c>
      <c r="I54" s="54" t="s">
        <v>323</v>
      </c>
      <c r="J54" s="41">
        <v>2</v>
      </c>
      <c r="K54" s="41">
        <v>4</v>
      </c>
      <c r="L54" s="41">
        <f t="shared" si="0"/>
        <v>8</v>
      </c>
      <c r="M54" s="54" t="s">
        <v>225</v>
      </c>
      <c r="N54" s="41">
        <v>1</v>
      </c>
      <c r="O54" s="41">
        <v>2</v>
      </c>
      <c r="P54" s="41">
        <f t="shared" si="1"/>
        <v>2</v>
      </c>
      <c r="Q54" s="79"/>
      <c r="R54" s="79"/>
      <c r="S54" s="79"/>
    </row>
    <row r="55" spans="1:19" ht="43.2" x14ac:dyDescent="0.4">
      <c r="A55" s="2">
        <v>50</v>
      </c>
      <c r="B55" s="462"/>
      <c r="C55" s="58"/>
      <c r="D55" s="60" t="s">
        <v>506</v>
      </c>
      <c r="E55" s="59" t="s">
        <v>458</v>
      </c>
      <c r="F55" s="41" t="s">
        <v>207</v>
      </c>
      <c r="G55" s="54" t="s">
        <v>512</v>
      </c>
      <c r="H55" s="54" t="s">
        <v>511</v>
      </c>
      <c r="I55" s="54" t="s">
        <v>213</v>
      </c>
      <c r="J55" s="41">
        <v>3</v>
      </c>
      <c r="K55" s="41">
        <v>2</v>
      </c>
      <c r="L55" s="41">
        <f t="shared" si="0"/>
        <v>6</v>
      </c>
      <c r="M55" s="54" t="s">
        <v>513</v>
      </c>
      <c r="N55" s="41">
        <v>2</v>
      </c>
      <c r="O55" s="41">
        <v>1</v>
      </c>
      <c r="P55" s="41">
        <f t="shared" si="1"/>
        <v>2</v>
      </c>
      <c r="Q55" s="79"/>
      <c r="R55" s="79"/>
      <c r="S55" s="79"/>
    </row>
    <row r="56" spans="1:19" ht="28.8" x14ac:dyDescent="0.4">
      <c r="A56" s="61">
        <v>51</v>
      </c>
      <c r="B56" s="462"/>
      <c r="C56" s="58"/>
      <c r="D56" s="60" t="s">
        <v>506</v>
      </c>
      <c r="E56" s="59" t="s">
        <v>458</v>
      </c>
      <c r="F56" s="41" t="s">
        <v>206</v>
      </c>
      <c r="G56" s="54" t="s">
        <v>510</v>
      </c>
      <c r="H56" s="54" t="s">
        <v>459</v>
      </c>
      <c r="I56" s="54" t="s">
        <v>501</v>
      </c>
      <c r="J56" s="41">
        <v>3</v>
      </c>
      <c r="K56" s="41">
        <v>2</v>
      </c>
      <c r="L56" s="41">
        <f t="shared" si="0"/>
        <v>6</v>
      </c>
      <c r="M56" s="54" t="s">
        <v>218</v>
      </c>
      <c r="N56" s="41">
        <v>2</v>
      </c>
      <c r="O56" s="41">
        <v>1</v>
      </c>
      <c r="P56" s="41">
        <f t="shared" si="1"/>
        <v>2</v>
      </c>
      <c r="Q56" s="79"/>
      <c r="R56" s="79"/>
      <c r="S56" s="79"/>
    </row>
    <row r="57" spans="1:19" ht="28.8" x14ac:dyDescent="0.4">
      <c r="A57" s="2">
        <v>52</v>
      </c>
      <c r="B57" s="462"/>
      <c r="C57" s="58"/>
      <c r="D57" s="60" t="s">
        <v>506</v>
      </c>
      <c r="E57" s="59" t="s">
        <v>458</v>
      </c>
      <c r="F57" s="41" t="s">
        <v>204</v>
      </c>
      <c r="G57" s="54" t="s">
        <v>502</v>
      </c>
      <c r="H57" s="54" t="s">
        <v>472</v>
      </c>
      <c r="I57" s="54" t="s">
        <v>213</v>
      </c>
      <c r="J57" s="41">
        <v>3</v>
      </c>
      <c r="K57" s="41">
        <v>2</v>
      </c>
      <c r="L57" s="41">
        <f t="shared" si="0"/>
        <v>6</v>
      </c>
      <c r="M57" s="54" t="s">
        <v>473</v>
      </c>
      <c r="N57" s="41">
        <v>2</v>
      </c>
      <c r="O57" s="41">
        <v>1</v>
      </c>
      <c r="P57" s="41">
        <f t="shared" si="1"/>
        <v>2</v>
      </c>
      <c r="Q57" s="79"/>
      <c r="R57" s="79"/>
      <c r="S57" s="79"/>
    </row>
    <row r="58" spans="1:19" ht="57.6" x14ac:dyDescent="0.4">
      <c r="A58" s="61">
        <v>53</v>
      </c>
      <c r="B58" s="462"/>
      <c r="C58" s="58"/>
      <c r="D58" s="59" t="s">
        <v>548</v>
      </c>
      <c r="E58" s="59" t="s">
        <v>458</v>
      </c>
      <c r="F58" s="41" t="s">
        <v>212</v>
      </c>
      <c r="G58" s="54" t="s">
        <v>549</v>
      </c>
      <c r="H58" s="54" t="s">
        <v>565</v>
      </c>
      <c r="I58" s="54" t="s">
        <v>213</v>
      </c>
      <c r="J58" s="41">
        <v>2</v>
      </c>
      <c r="K58" s="41">
        <v>3</v>
      </c>
      <c r="L58" s="41">
        <f t="shared" si="0"/>
        <v>6</v>
      </c>
      <c r="M58" s="54" t="s">
        <v>566</v>
      </c>
      <c r="N58" s="41">
        <v>1</v>
      </c>
      <c r="O58" s="41">
        <v>2</v>
      </c>
      <c r="P58" s="41">
        <f t="shared" si="1"/>
        <v>2</v>
      </c>
      <c r="Q58" s="79"/>
      <c r="R58" s="79"/>
      <c r="S58" s="79"/>
    </row>
    <row r="59" spans="1:19" ht="43.2" x14ac:dyDescent="0.4">
      <c r="A59" s="2">
        <v>54</v>
      </c>
      <c r="B59" s="462"/>
      <c r="C59" s="58"/>
      <c r="D59" s="59" t="s">
        <v>496</v>
      </c>
      <c r="E59" s="59" t="s">
        <v>458</v>
      </c>
      <c r="F59" s="41" t="s">
        <v>205</v>
      </c>
      <c r="G59" s="54" t="s">
        <v>497</v>
      </c>
      <c r="H59" s="54" t="s">
        <v>498</v>
      </c>
      <c r="I59" s="54" t="s">
        <v>213</v>
      </c>
      <c r="J59" s="41">
        <v>1</v>
      </c>
      <c r="K59" s="41">
        <v>3</v>
      </c>
      <c r="L59" s="41">
        <f t="shared" si="0"/>
        <v>3</v>
      </c>
      <c r="M59" s="54" t="s">
        <v>567</v>
      </c>
      <c r="N59" s="41">
        <v>1</v>
      </c>
      <c r="O59" s="41">
        <v>2</v>
      </c>
      <c r="P59" s="41">
        <f t="shared" si="1"/>
        <v>2</v>
      </c>
      <c r="Q59" s="88"/>
      <c r="R59" s="79"/>
      <c r="S59" s="79"/>
    </row>
    <row r="60" spans="1:19" x14ac:dyDescent="0.4">
      <c r="A60" s="61">
        <v>55</v>
      </c>
      <c r="B60" s="462"/>
      <c r="C60" s="58"/>
      <c r="D60" s="59" t="s">
        <v>496</v>
      </c>
      <c r="E60" s="59" t="s">
        <v>458</v>
      </c>
      <c r="F60" s="41">
        <v>4.0999999999999996</v>
      </c>
      <c r="G60" s="54" t="s">
        <v>499</v>
      </c>
      <c r="H60" s="54" t="s">
        <v>500</v>
      </c>
      <c r="I60" s="54" t="s">
        <v>501</v>
      </c>
      <c r="J60" s="41">
        <v>2</v>
      </c>
      <c r="K60" s="41">
        <v>2</v>
      </c>
      <c r="L60" s="41">
        <f t="shared" si="0"/>
        <v>4</v>
      </c>
      <c r="M60" s="54" t="s">
        <v>568</v>
      </c>
      <c r="N60" s="41">
        <v>1</v>
      </c>
      <c r="O60" s="41">
        <v>1</v>
      </c>
      <c r="P60" s="41">
        <f t="shared" si="1"/>
        <v>1</v>
      </c>
      <c r="Q60" s="79"/>
      <c r="R60" s="79"/>
      <c r="S60" s="79"/>
    </row>
    <row r="61" spans="1:19" x14ac:dyDescent="0.4">
      <c r="A61" s="2">
        <v>56</v>
      </c>
      <c r="B61" s="388"/>
      <c r="C61" s="58"/>
      <c r="D61" s="59" t="s">
        <v>496</v>
      </c>
      <c r="E61" s="59" t="s">
        <v>458</v>
      </c>
      <c r="F61" s="41" t="s">
        <v>204</v>
      </c>
      <c r="G61" s="54" t="s">
        <v>502</v>
      </c>
      <c r="H61" s="54" t="s">
        <v>503</v>
      </c>
      <c r="I61" s="54" t="s">
        <v>501</v>
      </c>
      <c r="J61" s="41">
        <v>1</v>
      </c>
      <c r="K61" s="41">
        <v>3</v>
      </c>
      <c r="L61" s="41">
        <f t="shared" si="0"/>
        <v>3</v>
      </c>
      <c r="M61" s="54" t="s">
        <v>473</v>
      </c>
      <c r="N61" s="41">
        <v>1</v>
      </c>
      <c r="O61" s="41">
        <v>2</v>
      </c>
      <c r="P61" s="41">
        <f t="shared" si="1"/>
        <v>2</v>
      </c>
      <c r="Q61" s="88"/>
      <c r="R61" s="79"/>
      <c r="S61" s="79"/>
    </row>
    <row r="62" spans="1:19" ht="28.8" x14ac:dyDescent="0.4">
      <c r="A62" s="61">
        <v>57</v>
      </c>
      <c r="B62" s="387" t="s">
        <v>504</v>
      </c>
      <c r="C62" s="58" t="s">
        <v>569</v>
      </c>
      <c r="D62" s="60" t="s">
        <v>506</v>
      </c>
      <c r="E62" s="59" t="s">
        <v>458</v>
      </c>
      <c r="F62" s="41" t="s">
        <v>205</v>
      </c>
      <c r="G62" s="54" t="s">
        <v>497</v>
      </c>
      <c r="H62" s="54" t="s">
        <v>507</v>
      </c>
      <c r="I62" s="54" t="s">
        <v>323</v>
      </c>
      <c r="J62" s="41">
        <v>2</v>
      </c>
      <c r="K62" s="41">
        <v>4</v>
      </c>
      <c r="L62" s="41">
        <f t="shared" si="0"/>
        <v>8</v>
      </c>
      <c r="M62" s="54" t="s">
        <v>218</v>
      </c>
      <c r="N62" s="41">
        <v>1</v>
      </c>
      <c r="O62" s="41">
        <v>2</v>
      </c>
      <c r="P62" s="41">
        <f t="shared" si="1"/>
        <v>2</v>
      </c>
      <c r="Q62" s="88"/>
      <c r="R62" s="79"/>
      <c r="S62" s="79"/>
    </row>
    <row r="63" spans="1:19" ht="43.2" x14ac:dyDescent="0.4">
      <c r="A63" s="2">
        <v>58</v>
      </c>
      <c r="B63" s="462"/>
      <c r="C63" s="58"/>
      <c r="D63" s="60" t="s">
        <v>506</v>
      </c>
      <c r="E63" s="59" t="s">
        <v>458</v>
      </c>
      <c r="F63" s="41" t="s">
        <v>205</v>
      </c>
      <c r="G63" s="54" t="s">
        <v>497</v>
      </c>
      <c r="H63" s="54" t="s">
        <v>508</v>
      </c>
      <c r="I63" s="54" t="s">
        <v>323</v>
      </c>
      <c r="J63" s="41">
        <v>2</v>
      </c>
      <c r="K63" s="41">
        <v>4</v>
      </c>
      <c r="L63" s="41">
        <f t="shared" si="0"/>
        <v>8</v>
      </c>
      <c r="M63" s="54" t="s">
        <v>221</v>
      </c>
      <c r="N63" s="41">
        <v>1</v>
      </c>
      <c r="O63" s="41">
        <v>2</v>
      </c>
      <c r="P63" s="41">
        <f t="shared" si="1"/>
        <v>2</v>
      </c>
      <c r="Q63" s="88"/>
      <c r="R63" s="79"/>
      <c r="S63" s="79"/>
    </row>
    <row r="64" spans="1:19" ht="28.8" x14ac:dyDescent="0.4">
      <c r="A64" s="61">
        <v>59</v>
      </c>
      <c r="B64" s="462"/>
      <c r="C64" s="58"/>
      <c r="D64" s="60" t="s">
        <v>506</v>
      </c>
      <c r="E64" s="59" t="s">
        <v>458</v>
      </c>
      <c r="F64" s="41" t="s">
        <v>205</v>
      </c>
      <c r="G64" s="54" t="s">
        <v>497</v>
      </c>
      <c r="H64" s="54" t="s">
        <v>509</v>
      </c>
      <c r="I64" s="54" t="s">
        <v>323</v>
      </c>
      <c r="J64" s="41">
        <v>2</v>
      </c>
      <c r="K64" s="41">
        <v>4</v>
      </c>
      <c r="L64" s="41">
        <f t="shared" si="0"/>
        <v>8</v>
      </c>
      <c r="M64" s="54" t="s">
        <v>214</v>
      </c>
      <c r="N64" s="41">
        <v>1</v>
      </c>
      <c r="O64" s="41">
        <v>2</v>
      </c>
      <c r="P64" s="41">
        <f t="shared" si="1"/>
        <v>2</v>
      </c>
      <c r="Q64" s="88"/>
      <c r="R64" s="79"/>
      <c r="S64" s="79"/>
    </row>
    <row r="65" spans="1:19" ht="43.2" x14ac:dyDescent="0.4">
      <c r="A65" s="2">
        <v>60</v>
      </c>
      <c r="B65" s="462"/>
      <c r="C65" s="58"/>
      <c r="D65" s="59" t="s">
        <v>506</v>
      </c>
      <c r="E65" s="59" t="s">
        <v>458</v>
      </c>
      <c r="F65" s="41" t="s">
        <v>207</v>
      </c>
      <c r="G65" s="54" t="s">
        <v>512</v>
      </c>
      <c r="H65" s="54" t="s">
        <v>511</v>
      </c>
      <c r="I65" s="54" t="s">
        <v>213</v>
      </c>
      <c r="J65" s="41">
        <v>3</v>
      </c>
      <c r="K65" s="41">
        <v>2</v>
      </c>
      <c r="L65" s="41">
        <f t="shared" si="0"/>
        <v>6</v>
      </c>
      <c r="M65" s="54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61">
        <v>61</v>
      </c>
      <c r="B66" s="462"/>
      <c r="C66" s="58"/>
      <c r="D66" s="60" t="s">
        <v>506</v>
      </c>
      <c r="E66" s="59" t="s">
        <v>458</v>
      </c>
      <c r="F66" s="41" t="s">
        <v>206</v>
      </c>
      <c r="G66" s="54" t="s">
        <v>510</v>
      </c>
      <c r="H66" s="54" t="s">
        <v>459</v>
      </c>
      <c r="I66" s="54" t="s">
        <v>501</v>
      </c>
      <c r="J66" s="41">
        <v>3</v>
      </c>
      <c r="K66" s="41">
        <v>2</v>
      </c>
      <c r="L66" s="41">
        <f t="shared" si="0"/>
        <v>6</v>
      </c>
      <c r="M66" s="54" t="s">
        <v>218</v>
      </c>
      <c r="N66" s="41">
        <v>2</v>
      </c>
      <c r="O66" s="41">
        <v>1</v>
      </c>
      <c r="P66" s="41">
        <f t="shared" si="1"/>
        <v>2</v>
      </c>
      <c r="Q66" s="79"/>
      <c r="R66" s="79"/>
      <c r="S66" s="79"/>
    </row>
    <row r="67" spans="1:19" ht="28.8" x14ac:dyDescent="0.4">
      <c r="A67" s="2">
        <v>62</v>
      </c>
      <c r="B67" s="462"/>
      <c r="C67" s="58"/>
      <c r="D67" s="60" t="s">
        <v>506</v>
      </c>
      <c r="E67" s="59" t="s">
        <v>458</v>
      </c>
      <c r="F67" s="41" t="s">
        <v>204</v>
      </c>
      <c r="G67" s="54" t="s">
        <v>502</v>
      </c>
      <c r="H67" s="54" t="s">
        <v>472</v>
      </c>
      <c r="I67" s="54" t="s">
        <v>213</v>
      </c>
      <c r="J67" s="41">
        <v>3</v>
      </c>
      <c r="K67" s="41">
        <v>2</v>
      </c>
      <c r="L67" s="41">
        <f t="shared" si="0"/>
        <v>6</v>
      </c>
      <c r="M67" s="54" t="s">
        <v>473</v>
      </c>
      <c r="N67" s="41">
        <v>2</v>
      </c>
      <c r="O67" s="41">
        <v>1</v>
      </c>
      <c r="P67" s="41">
        <f t="shared" si="1"/>
        <v>2</v>
      </c>
      <c r="Q67" s="79"/>
      <c r="R67" s="79"/>
      <c r="S67" s="79"/>
    </row>
    <row r="68" spans="1:19" ht="28.8" x14ac:dyDescent="0.4">
      <c r="A68" s="61">
        <v>63</v>
      </c>
      <c r="B68" s="462"/>
      <c r="C68" s="58"/>
      <c r="D68" s="60" t="s">
        <v>570</v>
      </c>
      <c r="E68" s="59" t="s">
        <v>458</v>
      </c>
      <c r="F68" s="41">
        <v>4.0999999999999996</v>
      </c>
      <c r="G68" s="54" t="s">
        <v>499</v>
      </c>
      <c r="H68" s="54" t="s">
        <v>519</v>
      </c>
      <c r="I68" s="54" t="s">
        <v>213</v>
      </c>
      <c r="J68" s="41">
        <v>3</v>
      </c>
      <c r="K68" s="41">
        <v>2</v>
      </c>
      <c r="L68" s="41">
        <f t="shared" si="0"/>
        <v>6</v>
      </c>
      <c r="M68" s="54" t="s">
        <v>571</v>
      </c>
      <c r="N68" s="41">
        <v>2</v>
      </c>
      <c r="O68" s="41">
        <v>1</v>
      </c>
      <c r="P68" s="41">
        <f t="shared" si="1"/>
        <v>2</v>
      </c>
      <c r="Q68" s="79"/>
      <c r="R68" s="79"/>
      <c r="S68" s="79"/>
    </row>
    <row r="69" spans="1:19" ht="57.6" x14ac:dyDescent="0.4">
      <c r="A69" s="2">
        <v>64</v>
      </c>
      <c r="B69" s="462"/>
      <c r="C69" s="58" t="s">
        <v>572</v>
      </c>
      <c r="D69" s="59" t="s">
        <v>548</v>
      </c>
      <c r="E69" s="59" t="s">
        <v>458</v>
      </c>
      <c r="F69" s="41" t="s">
        <v>212</v>
      </c>
      <c r="G69" s="54" t="s">
        <v>549</v>
      </c>
      <c r="H69" s="54" t="s">
        <v>550</v>
      </c>
      <c r="I69" s="54" t="s">
        <v>213</v>
      </c>
      <c r="J69" s="41">
        <v>2</v>
      </c>
      <c r="K69" s="41">
        <v>3</v>
      </c>
      <c r="L69" s="41">
        <f t="shared" si="0"/>
        <v>6</v>
      </c>
      <c r="M69" s="54" t="s">
        <v>566</v>
      </c>
      <c r="N69" s="41">
        <v>1</v>
      </c>
      <c r="O69" s="41">
        <v>2</v>
      </c>
      <c r="P69" s="41">
        <f t="shared" si="1"/>
        <v>2</v>
      </c>
      <c r="Q69" s="79"/>
      <c r="R69" s="79"/>
      <c r="S69" s="79"/>
    </row>
    <row r="70" spans="1:19" ht="28.8" x14ac:dyDescent="0.4">
      <c r="A70" s="61">
        <v>65</v>
      </c>
      <c r="B70" s="462"/>
      <c r="C70" s="58"/>
      <c r="D70" s="59" t="s">
        <v>506</v>
      </c>
      <c r="E70" s="59" t="s">
        <v>458</v>
      </c>
      <c r="F70" s="41" t="s">
        <v>205</v>
      </c>
      <c r="G70" s="54" t="s">
        <v>497</v>
      </c>
      <c r="H70" s="54" t="s">
        <v>507</v>
      </c>
      <c r="I70" s="54" t="s">
        <v>323</v>
      </c>
      <c r="J70" s="41">
        <v>2</v>
      </c>
      <c r="K70" s="41">
        <v>4</v>
      </c>
      <c r="L70" s="41">
        <f t="shared" si="0"/>
        <v>8</v>
      </c>
      <c r="M70" s="54" t="s">
        <v>219</v>
      </c>
      <c r="N70" s="41">
        <v>1</v>
      </c>
      <c r="O70" s="41">
        <v>2</v>
      </c>
      <c r="P70" s="41">
        <f t="shared" si="1"/>
        <v>2</v>
      </c>
      <c r="Q70" s="79"/>
      <c r="R70" s="79"/>
      <c r="S70" s="79"/>
    </row>
    <row r="71" spans="1:19" ht="43.2" x14ac:dyDescent="0.4">
      <c r="A71" s="2">
        <v>66</v>
      </c>
      <c r="B71" s="462"/>
      <c r="C71" s="58"/>
      <c r="D71" s="59" t="s">
        <v>506</v>
      </c>
      <c r="E71" s="59" t="s">
        <v>458</v>
      </c>
      <c r="F71" s="41" t="s">
        <v>205</v>
      </c>
      <c r="G71" s="54" t="s">
        <v>497</v>
      </c>
      <c r="H71" s="54" t="s">
        <v>508</v>
      </c>
      <c r="I71" s="54" t="s">
        <v>323</v>
      </c>
      <c r="J71" s="41">
        <v>2</v>
      </c>
      <c r="K71" s="41">
        <v>4</v>
      </c>
      <c r="L71" s="41">
        <f t="shared" ref="L71:L115" si="2">J71*K71</f>
        <v>8</v>
      </c>
      <c r="M71" s="54" t="s">
        <v>217</v>
      </c>
      <c r="N71" s="41">
        <v>1</v>
      </c>
      <c r="O71" s="41">
        <v>2</v>
      </c>
      <c r="P71" s="41">
        <f t="shared" ref="P71:P115" si="3">N71*O71</f>
        <v>2</v>
      </c>
      <c r="Q71" s="79"/>
      <c r="R71" s="79"/>
      <c r="S71" s="79"/>
    </row>
    <row r="72" spans="1:19" ht="28.8" x14ac:dyDescent="0.4">
      <c r="A72" s="61">
        <v>67</v>
      </c>
      <c r="B72" s="462"/>
      <c r="C72" s="58"/>
      <c r="D72" s="60" t="s">
        <v>506</v>
      </c>
      <c r="E72" s="59" t="s">
        <v>458</v>
      </c>
      <c r="F72" s="41" t="s">
        <v>205</v>
      </c>
      <c r="G72" s="54" t="s">
        <v>497</v>
      </c>
      <c r="H72" s="54" t="s">
        <v>509</v>
      </c>
      <c r="I72" s="54" t="s">
        <v>323</v>
      </c>
      <c r="J72" s="41">
        <v>2</v>
      </c>
      <c r="K72" s="41">
        <v>4</v>
      </c>
      <c r="L72" s="41">
        <f t="shared" si="2"/>
        <v>8</v>
      </c>
      <c r="M72" s="54" t="s">
        <v>219</v>
      </c>
      <c r="N72" s="41">
        <v>1</v>
      </c>
      <c r="O72" s="41">
        <v>2</v>
      </c>
      <c r="P72" s="41">
        <f t="shared" si="3"/>
        <v>2</v>
      </c>
      <c r="Q72" s="79"/>
      <c r="R72" s="79"/>
      <c r="S72" s="79"/>
    </row>
    <row r="73" spans="1:19" ht="43.2" x14ac:dyDescent="0.4">
      <c r="A73" s="2">
        <v>68</v>
      </c>
      <c r="B73" s="462"/>
      <c r="C73" s="58"/>
      <c r="D73" s="60" t="s">
        <v>506</v>
      </c>
      <c r="E73" s="59" t="s">
        <v>458</v>
      </c>
      <c r="F73" s="41" t="s">
        <v>207</v>
      </c>
      <c r="G73" s="54" t="s">
        <v>512</v>
      </c>
      <c r="H73" s="54" t="s">
        <v>511</v>
      </c>
      <c r="I73" s="54" t="s">
        <v>213</v>
      </c>
      <c r="J73" s="41">
        <v>3</v>
      </c>
      <c r="K73" s="41">
        <v>2</v>
      </c>
      <c r="L73" s="41">
        <f t="shared" si="2"/>
        <v>6</v>
      </c>
      <c r="M73" s="54" t="s">
        <v>513</v>
      </c>
      <c r="N73" s="41">
        <v>2</v>
      </c>
      <c r="O73" s="41">
        <v>1</v>
      </c>
      <c r="P73" s="41">
        <f t="shared" si="3"/>
        <v>2</v>
      </c>
      <c r="Q73" s="88"/>
      <c r="R73" s="79"/>
      <c r="S73" s="79"/>
    </row>
    <row r="74" spans="1:19" ht="28.8" x14ac:dyDescent="0.4">
      <c r="A74" s="61">
        <v>69</v>
      </c>
      <c r="B74" s="462"/>
      <c r="C74" s="58"/>
      <c r="D74" s="60" t="s">
        <v>506</v>
      </c>
      <c r="E74" s="59" t="s">
        <v>458</v>
      </c>
      <c r="F74" s="41" t="s">
        <v>206</v>
      </c>
      <c r="G74" s="54" t="s">
        <v>510</v>
      </c>
      <c r="H74" s="54" t="s">
        <v>459</v>
      </c>
      <c r="I74" s="54" t="s">
        <v>501</v>
      </c>
      <c r="J74" s="41">
        <v>3</v>
      </c>
      <c r="K74" s="41">
        <v>2</v>
      </c>
      <c r="L74" s="41">
        <f t="shared" si="2"/>
        <v>6</v>
      </c>
      <c r="M74" s="54" t="s">
        <v>218</v>
      </c>
      <c r="N74" s="41">
        <v>2</v>
      </c>
      <c r="O74" s="41">
        <v>1</v>
      </c>
      <c r="P74" s="41">
        <f t="shared" si="3"/>
        <v>2</v>
      </c>
      <c r="Q74" s="79"/>
      <c r="R74" s="79"/>
      <c r="S74" s="79"/>
    </row>
    <row r="75" spans="1:19" ht="28.8" x14ac:dyDescent="0.4">
      <c r="A75" s="2">
        <v>70</v>
      </c>
      <c r="B75" s="462"/>
      <c r="C75" s="58"/>
      <c r="D75" s="59" t="s">
        <v>506</v>
      </c>
      <c r="E75" s="59" t="s">
        <v>458</v>
      </c>
      <c r="F75" s="41" t="s">
        <v>204</v>
      </c>
      <c r="G75" s="54" t="s">
        <v>502</v>
      </c>
      <c r="H75" s="54" t="s">
        <v>472</v>
      </c>
      <c r="I75" s="54" t="s">
        <v>213</v>
      </c>
      <c r="J75" s="41">
        <v>3</v>
      </c>
      <c r="K75" s="41">
        <v>2</v>
      </c>
      <c r="L75" s="41">
        <f t="shared" si="2"/>
        <v>6</v>
      </c>
      <c r="M75" s="54" t="s">
        <v>473</v>
      </c>
      <c r="N75" s="41">
        <v>2</v>
      </c>
      <c r="O75" s="41">
        <v>1</v>
      </c>
      <c r="P75" s="41">
        <f t="shared" si="3"/>
        <v>2</v>
      </c>
      <c r="Q75" s="88"/>
      <c r="R75" s="79"/>
      <c r="S75" s="79"/>
    </row>
    <row r="76" spans="1:19" ht="28.8" x14ac:dyDescent="0.4">
      <c r="A76" s="61">
        <v>71</v>
      </c>
      <c r="B76" s="462"/>
      <c r="C76" s="58"/>
      <c r="D76" s="59" t="s">
        <v>506</v>
      </c>
      <c r="E76" s="59" t="s">
        <v>458</v>
      </c>
      <c r="F76" s="41" t="s">
        <v>209</v>
      </c>
      <c r="G76" s="54" t="s">
        <v>524</v>
      </c>
      <c r="H76" s="54" t="s">
        <v>573</v>
      </c>
      <c r="I76" s="54" t="s">
        <v>213</v>
      </c>
      <c r="J76" s="41">
        <v>3</v>
      </c>
      <c r="K76" s="41">
        <v>4</v>
      </c>
      <c r="L76" s="41">
        <f t="shared" si="2"/>
        <v>12</v>
      </c>
      <c r="M76" s="54" t="s">
        <v>526</v>
      </c>
      <c r="N76" s="41">
        <v>2</v>
      </c>
      <c r="O76" s="41">
        <v>2</v>
      </c>
      <c r="P76" s="41">
        <f t="shared" si="3"/>
        <v>4</v>
      </c>
      <c r="Q76" s="88"/>
      <c r="R76" s="79"/>
      <c r="S76" s="79"/>
    </row>
    <row r="77" spans="1:19" ht="28.8" x14ac:dyDescent="0.4">
      <c r="A77" s="2">
        <v>72</v>
      </c>
      <c r="B77" s="462"/>
      <c r="C77" s="58"/>
      <c r="D77" s="59" t="s">
        <v>506</v>
      </c>
      <c r="E77" s="59" t="s">
        <v>458</v>
      </c>
      <c r="F77" s="41" t="s">
        <v>205</v>
      </c>
      <c r="G77" s="54" t="s">
        <v>497</v>
      </c>
      <c r="H77" s="54" t="s">
        <v>574</v>
      </c>
      <c r="I77" s="54" t="s">
        <v>323</v>
      </c>
      <c r="J77" s="41">
        <v>2</v>
      </c>
      <c r="K77" s="41">
        <v>3</v>
      </c>
      <c r="L77" s="41">
        <f t="shared" si="2"/>
        <v>6</v>
      </c>
      <c r="M77" s="54" t="s">
        <v>575</v>
      </c>
      <c r="N77" s="41">
        <v>1</v>
      </c>
      <c r="O77" s="41">
        <v>2</v>
      </c>
      <c r="P77" s="41">
        <f t="shared" si="3"/>
        <v>2</v>
      </c>
      <c r="Q77" s="88"/>
      <c r="R77" s="79"/>
      <c r="S77" s="79"/>
    </row>
    <row r="78" spans="1:19" ht="28.8" x14ac:dyDescent="0.4">
      <c r="A78" s="61">
        <v>73</v>
      </c>
      <c r="B78" s="462"/>
      <c r="C78" s="58"/>
      <c r="D78" s="59" t="s">
        <v>515</v>
      </c>
      <c r="E78" s="59" t="s">
        <v>458</v>
      </c>
      <c r="F78" s="41" t="s">
        <v>576</v>
      </c>
      <c r="G78" s="54" t="s">
        <v>577</v>
      </c>
      <c r="H78" s="54" t="s">
        <v>463</v>
      </c>
      <c r="I78" s="54" t="s">
        <v>213</v>
      </c>
      <c r="J78" s="41">
        <v>2</v>
      </c>
      <c r="K78" s="41">
        <v>2</v>
      </c>
      <c r="L78" s="41">
        <f t="shared" si="2"/>
        <v>4</v>
      </c>
      <c r="M78" s="54" t="s">
        <v>219</v>
      </c>
      <c r="N78" s="41">
        <v>1</v>
      </c>
      <c r="O78" s="41">
        <v>1</v>
      </c>
      <c r="P78" s="41">
        <f t="shared" si="3"/>
        <v>1</v>
      </c>
      <c r="Q78" s="88"/>
      <c r="R78" s="79"/>
      <c r="S78" s="79"/>
    </row>
    <row r="79" spans="1:19" ht="28.8" x14ac:dyDescent="0.4">
      <c r="A79" s="2">
        <v>74</v>
      </c>
      <c r="B79" s="462"/>
      <c r="C79" s="58"/>
      <c r="D79" s="59" t="s">
        <v>515</v>
      </c>
      <c r="E79" s="59" t="s">
        <v>458</v>
      </c>
      <c r="F79" s="41">
        <v>4.0999999999999996</v>
      </c>
      <c r="G79" s="54" t="s">
        <v>499</v>
      </c>
      <c r="H79" s="54" t="s">
        <v>578</v>
      </c>
      <c r="I79" s="54" t="s">
        <v>213</v>
      </c>
      <c r="J79" s="41">
        <v>2</v>
      </c>
      <c r="K79" s="41">
        <v>3</v>
      </c>
      <c r="L79" s="41">
        <f t="shared" si="2"/>
        <v>6</v>
      </c>
      <c r="M79" s="54" t="s">
        <v>571</v>
      </c>
      <c r="N79" s="41">
        <v>1</v>
      </c>
      <c r="O79" s="41">
        <v>2</v>
      </c>
      <c r="P79" s="41">
        <f t="shared" si="3"/>
        <v>2</v>
      </c>
      <c r="Q79" s="79"/>
      <c r="R79" s="79"/>
      <c r="S79" s="79"/>
    </row>
    <row r="80" spans="1:19" ht="28.8" x14ac:dyDescent="0.4">
      <c r="A80" s="61">
        <v>75</v>
      </c>
      <c r="B80" s="462"/>
      <c r="C80" s="58"/>
      <c r="D80" s="60" t="s">
        <v>515</v>
      </c>
      <c r="E80" s="59" t="s">
        <v>458</v>
      </c>
      <c r="F80" s="41" t="s">
        <v>208</v>
      </c>
      <c r="G80" s="54" t="s">
        <v>521</v>
      </c>
      <c r="H80" s="54" t="s">
        <v>552</v>
      </c>
      <c r="I80" s="54" t="s">
        <v>213</v>
      </c>
      <c r="J80" s="41">
        <v>3</v>
      </c>
      <c r="K80" s="41">
        <v>1</v>
      </c>
      <c r="L80" s="41">
        <f t="shared" si="2"/>
        <v>3</v>
      </c>
      <c r="M80" s="54" t="s">
        <v>523</v>
      </c>
      <c r="N80" s="41">
        <v>2</v>
      </c>
      <c r="O80" s="41">
        <v>1</v>
      </c>
      <c r="P80" s="41">
        <f t="shared" si="3"/>
        <v>2</v>
      </c>
      <c r="Q80" s="79"/>
      <c r="R80" s="79"/>
      <c r="S80" s="79"/>
    </row>
    <row r="81" spans="1:19" ht="28.8" x14ac:dyDescent="0.4">
      <c r="A81" s="2">
        <v>76</v>
      </c>
      <c r="B81" s="462"/>
      <c r="C81" s="58" t="s">
        <v>579</v>
      </c>
      <c r="D81" s="60" t="s">
        <v>506</v>
      </c>
      <c r="E81" s="59" t="s">
        <v>458</v>
      </c>
      <c r="F81" s="41" t="s">
        <v>205</v>
      </c>
      <c r="G81" s="54" t="s">
        <v>497</v>
      </c>
      <c r="H81" s="54" t="s">
        <v>507</v>
      </c>
      <c r="I81" s="54" t="s">
        <v>323</v>
      </c>
      <c r="J81" s="41">
        <v>2</v>
      </c>
      <c r="K81" s="41">
        <v>4</v>
      </c>
      <c r="L81" s="41">
        <f t="shared" si="2"/>
        <v>8</v>
      </c>
      <c r="M81" s="54" t="s">
        <v>226</v>
      </c>
      <c r="N81" s="41">
        <v>1</v>
      </c>
      <c r="O81" s="41">
        <v>2</v>
      </c>
      <c r="P81" s="41">
        <f t="shared" si="3"/>
        <v>2</v>
      </c>
      <c r="Q81" s="79"/>
      <c r="R81" s="79"/>
      <c r="S81" s="79"/>
    </row>
    <row r="82" spans="1:19" ht="43.2" x14ac:dyDescent="0.4">
      <c r="A82" s="61">
        <v>77</v>
      </c>
      <c r="B82" s="462"/>
      <c r="C82" s="58"/>
      <c r="D82" s="60" t="s">
        <v>506</v>
      </c>
      <c r="E82" s="59" t="s">
        <v>458</v>
      </c>
      <c r="F82" s="41" t="s">
        <v>205</v>
      </c>
      <c r="G82" s="54" t="s">
        <v>497</v>
      </c>
      <c r="H82" s="54" t="s">
        <v>508</v>
      </c>
      <c r="I82" s="54" t="s">
        <v>323</v>
      </c>
      <c r="J82" s="41">
        <v>2</v>
      </c>
      <c r="K82" s="41">
        <v>4</v>
      </c>
      <c r="L82" s="41">
        <f t="shared" si="2"/>
        <v>8</v>
      </c>
      <c r="M82" s="54" t="s">
        <v>217</v>
      </c>
      <c r="N82" s="41">
        <v>1</v>
      </c>
      <c r="O82" s="41">
        <v>2</v>
      </c>
      <c r="P82" s="41">
        <f t="shared" si="3"/>
        <v>2</v>
      </c>
      <c r="Q82" s="79"/>
      <c r="R82" s="79"/>
      <c r="S82" s="79"/>
    </row>
    <row r="83" spans="1:19" ht="57.6" x14ac:dyDescent="0.4">
      <c r="A83" s="2">
        <v>78</v>
      </c>
      <c r="B83" s="462"/>
      <c r="C83" s="58"/>
      <c r="D83" s="59" t="s">
        <v>506</v>
      </c>
      <c r="E83" s="59" t="s">
        <v>458</v>
      </c>
      <c r="F83" s="41" t="s">
        <v>205</v>
      </c>
      <c r="G83" s="54" t="s">
        <v>497</v>
      </c>
      <c r="H83" s="54" t="s">
        <v>580</v>
      </c>
      <c r="I83" s="54" t="s">
        <v>323</v>
      </c>
      <c r="J83" s="41">
        <v>2</v>
      </c>
      <c r="K83" s="41">
        <v>4</v>
      </c>
      <c r="L83" s="41">
        <f t="shared" si="2"/>
        <v>8</v>
      </c>
      <c r="M83" s="54" t="s">
        <v>225</v>
      </c>
      <c r="N83" s="41">
        <v>1</v>
      </c>
      <c r="O83" s="41">
        <v>2</v>
      </c>
      <c r="P83" s="41">
        <f t="shared" si="3"/>
        <v>2</v>
      </c>
      <c r="Q83" s="79"/>
      <c r="R83" s="79"/>
      <c r="S83" s="79"/>
    </row>
    <row r="84" spans="1:19" ht="28.8" x14ac:dyDescent="0.4">
      <c r="A84" s="61">
        <v>79</v>
      </c>
      <c r="B84" s="462"/>
      <c r="C84" s="58"/>
      <c r="D84" s="60" t="s">
        <v>506</v>
      </c>
      <c r="E84" s="59" t="s">
        <v>458</v>
      </c>
      <c r="F84" s="41" t="s">
        <v>207</v>
      </c>
      <c r="G84" s="54" t="s">
        <v>512</v>
      </c>
      <c r="H84" s="54" t="s">
        <v>459</v>
      </c>
      <c r="I84" s="54" t="s">
        <v>213</v>
      </c>
      <c r="J84" s="41">
        <v>3</v>
      </c>
      <c r="K84" s="41">
        <v>2</v>
      </c>
      <c r="L84" s="41">
        <f t="shared" si="2"/>
        <v>6</v>
      </c>
      <c r="M84" s="54" t="s">
        <v>513</v>
      </c>
      <c r="N84" s="41">
        <v>2</v>
      </c>
      <c r="O84" s="41">
        <v>1</v>
      </c>
      <c r="P84" s="41">
        <f t="shared" si="3"/>
        <v>2</v>
      </c>
      <c r="Q84" s="88"/>
      <c r="R84" s="79"/>
      <c r="S84" s="79"/>
    </row>
    <row r="85" spans="1:19" ht="43.2" x14ac:dyDescent="0.4">
      <c r="A85" s="2">
        <v>80</v>
      </c>
      <c r="B85" s="462"/>
      <c r="C85" s="58"/>
      <c r="D85" s="60" t="s">
        <v>506</v>
      </c>
      <c r="E85" s="59" t="s">
        <v>458</v>
      </c>
      <c r="F85" s="41" t="s">
        <v>206</v>
      </c>
      <c r="G85" s="54" t="s">
        <v>510</v>
      </c>
      <c r="H85" s="54" t="s">
        <v>511</v>
      </c>
      <c r="I85" s="54" t="s">
        <v>501</v>
      </c>
      <c r="J85" s="41">
        <v>3</v>
      </c>
      <c r="K85" s="41">
        <v>2</v>
      </c>
      <c r="L85" s="41">
        <f t="shared" si="2"/>
        <v>6</v>
      </c>
      <c r="M85" s="54" t="s">
        <v>218</v>
      </c>
      <c r="N85" s="41">
        <v>2</v>
      </c>
      <c r="O85" s="41">
        <v>1</v>
      </c>
      <c r="P85" s="41">
        <f t="shared" si="3"/>
        <v>2</v>
      </c>
      <c r="Q85" s="79"/>
      <c r="R85" s="79"/>
      <c r="S85" s="79"/>
    </row>
    <row r="86" spans="1:19" ht="28.8" x14ac:dyDescent="0.4">
      <c r="A86" s="61">
        <v>81</v>
      </c>
      <c r="B86" s="462"/>
      <c r="C86" s="58"/>
      <c r="D86" s="60" t="s">
        <v>506</v>
      </c>
      <c r="E86" s="59" t="s">
        <v>458</v>
      </c>
      <c r="F86" s="41" t="s">
        <v>204</v>
      </c>
      <c r="G86" s="54" t="s">
        <v>502</v>
      </c>
      <c r="H86" s="54" t="s">
        <v>581</v>
      </c>
      <c r="I86" s="54" t="s">
        <v>213</v>
      </c>
      <c r="J86" s="41">
        <v>3</v>
      </c>
      <c r="K86" s="41">
        <v>2</v>
      </c>
      <c r="L86" s="41">
        <f t="shared" si="2"/>
        <v>6</v>
      </c>
      <c r="M86" s="54" t="s">
        <v>473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462"/>
      <c r="C87" s="58"/>
      <c r="D87" s="59" t="s">
        <v>506</v>
      </c>
      <c r="E87" s="59" t="s">
        <v>458</v>
      </c>
      <c r="F87" s="41" t="s">
        <v>205</v>
      </c>
      <c r="G87" s="54" t="s">
        <v>497</v>
      </c>
      <c r="H87" s="54" t="s">
        <v>582</v>
      </c>
      <c r="I87" s="54" t="s">
        <v>323</v>
      </c>
      <c r="J87" s="41">
        <v>2</v>
      </c>
      <c r="K87" s="41">
        <v>3</v>
      </c>
      <c r="L87" s="41">
        <f t="shared" si="2"/>
        <v>6</v>
      </c>
      <c r="M87" s="54" t="s">
        <v>219</v>
      </c>
      <c r="N87" s="41">
        <v>1</v>
      </c>
      <c r="O87" s="41">
        <v>2</v>
      </c>
      <c r="P87" s="41">
        <f t="shared" si="3"/>
        <v>2</v>
      </c>
      <c r="Q87" s="79"/>
      <c r="R87" s="79"/>
      <c r="S87" s="79"/>
    </row>
    <row r="88" spans="1:19" x14ac:dyDescent="0.4">
      <c r="A88" s="61">
        <v>83</v>
      </c>
      <c r="B88" s="462"/>
      <c r="C88" s="58"/>
      <c r="D88" s="59" t="s">
        <v>515</v>
      </c>
      <c r="E88" s="59" t="s">
        <v>458</v>
      </c>
      <c r="F88" s="41" t="s">
        <v>576</v>
      </c>
      <c r="G88" s="54" t="s">
        <v>577</v>
      </c>
      <c r="H88" s="54" t="s">
        <v>463</v>
      </c>
      <c r="I88" s="54" t="s">
        <v>213</v>
      </c>
      <c r="J88" s="41">
        <v>2</v>
      </c>
      <c r="K88" s="41">
        <v>2</v>
      </c>
      <c r="L88" s="41">
        <f t="shared" si="2"/>
        <v>4</v>
      </c>
      <c r="M88" s="54" t="s">
        <v>220</v>
      </c>
      <c r="N88" s="41">
        <v>1</v>
      </c>
      <c r="O88" s="41">
        <v>1</v>
      </c>
      <c r="P88" s="41">
        <f t="shared" si="3"/>
        <v>1</v>
      </c>
      <c r="Q88" s="79"/>
      <c r="R88" s="79"/>
      <c r="S88" s="79"/>
    </row>
    <row r="89" spans="1:19" ht="28.8" x14ac:dyDescent="0.4">
      <c r="A89" s="2">
        <v>84</v>
      </c>
      <c r="B89" s="462"/>
      <c r="C89" s="58"/>
      <c r="D89" s="59" t="s">
        <v>515</v>
      </c>
      <c r="E89" s="59" t="s">
        <v>458</v>
      </c>
      <c r="F89" s="41">
        <v>4.0999999999999996</v>
      </c>
      <c r="G89" s="54" t="s">
        <v>499</v>
      </c>
      <c r="H89" s="54" t="s">
        <v>583</v>
      </c>
      <c r="I89" s="54" t="s">
        <v>213</v>
      </c>
      <c r="J89" s="41">
        <v>2</v>
      </c>
      <c r="K89" s="41">
        <v>4</v>
      </c>
      <c r="L89" s="41">
        <f t="shared" si="2"/>
        <v>8</v>
      </c>
      <c r="M89" s="54" t="s">
        <v>571</v>
      </c>
      <c r="N89" s="41">
        <v>1</v>
      </c>
      <c r="O89" s="41">
        <v>3</v>
      </c>
      <c r="P89" s="41">
        <f t="shared" si="3"/>
        <v>3</v>
      </c>
      <c r="Q89" s="79"/>
      <c r="R89" s="79"/>
      <c r="S89" s="79"/>
    </row>
    <row r="90" spans="1:19" ht="28.8" x14ac:dyDescent="0.4">
      <c r="A90" s="61">
        <v>85</v>
      </c>
      <c r="B90" s="462"/>
      <c r="C90" s="58"/>
      <c r="D90" s="59" t="s">
        <v>515</v>
      </c>
      <c r="E90" s="59" t="s">
        <v>458</v>
      </c>
      <c r="F90" s="41" t="s">
        <v>208</v>
      </c>
      <c r="G90" s="54" t="s">
        <v>521</v>
      </c>
      <c r="H90" s="54" t="s">
        <v>552</v>
      </c>
      <c r="I90" s="54" t="s">
        <v>213</v>
      </c>
      <c r="J90" s="41">
        <v>3</v>
      </c>
      <c r="K90" s="41">
        <v>1</v>
      </c>
      <c r="L90" s="41">
        <f t="shared" si="2"/>
        <v>3</v>
      </c>
      <c r="M90" s="54" t="s">
        <v>523</v>
      </c>
      <c r="N90" s="41">
        <v>2</v>
      </c>
      <c r="O90" s="41">
        <v>1</v>
      </c>
      <c r="P90" s="41">
        <f t="shared" si="3"/>
        <v>2</v>
      </c>
      <c r="Q90" s="79"/>
      <c r="R90" s="79"/>
      <c r="S90" s="79"/>
    </row>
    <row r="91" spans="1:19" ht="28.8" x14ac:dyDescent="0.4">
      <c r="A91" s="2">
        <v>86</v>
      </c>
      <c r="B91" s="462"/>
      <c r="C91" s="58" t="s">
        <v>584</v>
      </c>
      <c r="D91" s="60" t="s">
        <v>506</v>
      </c>
      <c r="E91" s="59" t="s">
        <v>458</v>
      </c>
      <c r="F91" s="41" t="s">
        <v>205</v>
      </c>
      <c r="G91" s="54" t="s">
        <v>497</v>
      </c>
      <c r="H91" s="54" t="s">
        <v>534</v>
      </c>
      <c r="I91" s="54" t="s">
        <v>323</v>
      </c>
      <c r="J91" s="41">
        <v>2</v>
      </c>
      <c r="K91" s="41">
        <v>4</v>
      </c>
      <c r="L91" s="41">
        <f t="shared" si="2"/>
        <v>8</v>
      </c>
      <c r="M91" s="54" t="s">
        <v>218</v>
      </c>
      <c r="N91" s="41">
        <v>1</v>
      </c>
      <c r="O91" s="41">
        <v>2</v>
      </c>
      <c r="P91" s="41">
        <f t="shared" si="3"/>
        <v>2</v>
      </c>
      <c r="Q91" s="79"/>
      <c r="R91" s="79"/>
      <c r="S91" s="79"/>
    </row>
    <row r="92" spans="1:19" ht="43.2" x14ac:dyDescent="0.4">
      <c r="A92" s="61">
        <v>87</v>
      </c>
      <c r="B92" s="462"/>
      <c r="C92" s="58"/>
      <c r="D92" s="60" t="s">
        <v>506</v>
      </c>
      <c r="E92" s="59" t="s">
        <v>458</v>
      </c>
      <c r="F92" s="41" t="s">
        <v>205</v>
      </c>
      <c r="G92" s="54" t="s">
        <v>497</v>
      </c>
      <c r="H92" s="54" t="s">
        <v>508</v>
      </c>
      <c r="I92" s="54" t="s">
        <v>323</v>
      </c>
      <c r="J92" s="41">
        <v>2</v>
      </c>
      <c r="K92" s="41">
        <v>4</v>
      </c>
      <c r="L92" s="41">
        <f t="shared" si="2"/>
        <v>8</v>
      </c>
      <c r="M92" s="54" t="s">
        <v>221</v>
      </c>
      <c r="N92" s="41">
        <v>1</v>
      </c>
      <c r="O92" s="41">
        <v>2</v>
      </c>
      <c r="P92" s="41">
        <f t="shared" si="3"/>
        <v>2</v>
      </c>
      <c r="Q92" s="79"/>
      <c r="R92" s="79"/>
      <c r="S92" s="79"/>
    </row>
    <row r="93" spans="1:19" ht="28.8" x14ac:dyDescent="0.4">
      <c r="A93" s="2">
        <v>88</v>
      </c>
      <c r="B93" s="462"/>
      <c r="C93" s="58"/>
      <c r="D93" s="60" t="s">
        <v>506</v>
      </c>
      <c r="E93" s="59" t="s">
        <v>458</v>
      </c>
      <c r="F93" s="41" t="s">
        <v>205</v>
      </c>
      <c r="G93" s="54" t="s">
        <v>497</v>
      </c>
      <c r="H93" s="54" t="s">
        <v>580</v>
      </c>
      <c r="I93" s="54" t="s">
        <v>323</v>
      </c>
      <c r="J93" s="41">
        <v>2</v>
      </c>
      <c r="K93" s="41">
        <v>4</v>
      </c>
      <c r="L93" s="41">
        <f t="shared" si="2"/>
        <v>8</v>
      </c>
      <c r="M93" s="54" t="s">
        <v>214</v>
      </c>
      <c r="N93" s="41">
        <v>1</v>
      </c>
      <c r="O93" s="41">
        <v>2</v>
      </c>
      <c r="P93" s="41">
        <f t="shared" si="3"/>
        <v>2</v>
      </c>
      <c r="Q93" s="79"/>
      <c r="R93" s="79"/>
      <c r="S93" s="79"/>
    </row>
    <row r="94" spans="1:19" ht="28.8" x14ac:dyDescent="0.4">
      <c r="A94" s="61">
        <v>89</v>
      </c>
      <c r="B94" s="462"/>
      <c r="C94" s="58"/>
      <c r="D94" s="59" t="s">
        <v>506</v>
      </c>
      <c r="E94" s="59" t="s">
        <v>458</v>
      </c>
      <c r="F94" s="41" t="s">
        <v>207</v>
      </c>
      <c r="G94" s="54" t="s">
        <v>512</v>
      </c>
      <c r="H94" s="54" t="s">
        <v>459</v>
      </c>
      <c r="I94" s="54" t="s">
        <v>213</v>
      </c>
      <c r="J94" s="41">
        <v>3</v>
      </c>
      <c r="K94" s="41">
        <v>2</v>
      </c>
      <c r="L94" s="41">
        <f t="shared" si="2"/>
        <v>6</v>
      </c>
      <c r="M94" s="54" t="s">
        <v>513</v>
      </c>
      <c r="N94" s="41">
        <v>2</v>
      </c>
      <c r="O94" s="41">
        <v>1</v>
      </c>
      <c r="P94" s="41">
        <f t="shared" si="3"/>
        <v>2</v>
      </c>
      <c r="Q94" s="88"/>
      <c r="R94" s="79"/>
      <c r="S94" s="79"/>
    </row>
    <row r="95" spans="1:19" ht="43.2" x14ac:dyDescent="0.4">
      <c r="A95" s="2">
        <v>90</v>
      </c>
      <c r="B95" s="462"/>
      <c r="C95" s="58"/>
      <c r="D95" s="60" t="s">
        <v>506</v>
      </c>
      <c r="E95" s="59" t="s">
        <v>458</v>
      </c>
      <c r="F95" s="41" t="s">
        <v>206</v>
      </c>
      <c r="G95" s="54" t="s">
        <v>510</v>
      </c>
      <c r="H95" s="54" t="s">
        <v>511</v>
      </c>
      <c r="I95" s="54" t="s">
        <v>501</v>
      </c>
      <c r="J95" s="41">
        <v>3</v>
      </c>
      <c r="K95" s="41">
        <v>2</v>
      </c>
      <c r="L95" s="41">
        <f t="shared" si="2"/>
        <v>6</v>
      </c>
      <c r="M95" s="54" t="s">
        <v>218</v>
      </c>
      <c r="N95" s="41">
        <v>2</v>
      </c>
      <c r="O95" s="41">
        <v>1</v>
      </c>
      <c r="P95" s="41">
        <f t="shared" si="3"/>
        <v>2</v>
      </c>
      <c r="Q95" s="79"/>
      <c r="R95" s="79"/>
      <c r="S95" s="79"/>
    </row>
    <row r="96" spans="1:19" ht="28.8" x14ac:dyDescent="0.4">
      <c r="A96" s="61">
        <v>91</v>
      </c>
      <c r="B96" s="462"/>
      <c r="C96" s="58"/>
      <c r="D96" s="60" t="s">
        <v>506</v>
      </c>
      <c r="E96" s="59" t="s">
        <v>458</v>
      </c>
      <c r="F96" s="41" t="s">
        <v>204</v>
      </c>
      <c r="G96" s="54" t="s">
        <v>502</v>
      </c>
      <c r="H96" s="54" t="s">
        <v>581</v>
      </c>
      <c r="I96" s="54" t="s">
        <v>213</v>
      </c>
      <c r="J96" s="41">
        <v>3</v>
      </c>
      <c r="K96" s="41">
        <v>2</v>
      </c>
      <c r="L96" s="41">
        <f t="shared" si="2"/>
        <v>6</v>
      </c>
      <c r="M96" s="54" t="s">
        <v>473</v>
      </c>
      <c r="N96" s="41">
        <v>2</v>
      </c>
      <c r="O96" s="41">
        <v>1</v>
      </c>
      <c r="P96" s="41">
        <f t="shared" si="3"/>
        <v>2</v>
      </c>
      <c r="Q96" s="88"/>
      <c r="R96" s="79"/>
      <c r="S96" s="79"/>
    </row>
    <row r="97" spans="1:19" ht="28.8" x14ac:dyDescent="0.4">
      <c r="A97" s="2">
        <v>92</v>
      </c>
      <c r="B97" s="462"/>
      <c r="C97" s="58"/>
      <c r="D97" s="60" t="s">
        <v>506</v>
      </c>
      <c r="E97" s="59" t="s">
        <v>458</v>
      </c>
      <c r="F97" s="41" t="s">
        <v>205</v>
      </c>
      <c r="G97" s="54" t="s">
        <v>497</v>
      </c>
      <c r="H97" s="54" t="s">
        <v>582</v>
      </c>
      <c r="I97" s="54" t="s">
        <v>323</v>
      </c>
      <c r="J97" s="41">
        <v>2</v>
      </c>
      <c r="K97" s="41">
        <v>3</v>
      </c>
      <c r="L97" s="41">
        <f t="shared" si="2"/>
        <v>6</v>
      </c>
      <c r="M97" s="54" t="s">
        <v>219</v>
      </c>
      <c r="N97" s="41">
        <v>1</v>
      </c>
      <c r="O97" s="41">
        <v>2</v>
      </c>
      <c r="P97" s="41">
        <f t="shared" si="3"/>
        <v>2</v>
      </c>
      <c r="Q97" s="88"/>
      <c r="R97" s="79"/>
      <c r="S97" s="79"/>
    </row>
    <row r="98" spans="1:19" ht="28.8" x14ac:dyDescent="0.4">
      <c r="A98" s="61">
        <v>93</v>
      </c>
      <c r="B98" s="462"/>
      <c r="C98" s="58"/>
      <c r="D98" s="59" t="s">
        <v>515</v>
      </c>
      <c r="E98" s="59" t="s">
        <v>458</v>
      </c>
      <c r="F98" s="41" t="s">
        <v>576</v>
      </c>
      <c r="G98" s="54" t="s">
        <v>577</v>
      </c>
      <c r="H98" s="54" t="s">
        <v>463</v>
      </c>
      <c r="I98" s="54" t="s">
        <v>213</v>
      </c>
      <c r="J98" s="41">
        <v>2</v>
      </c>
      <c r="K98" s="41">
        <v>2</v>
      </c>
      <c r="L98" s="41">
        <f t="shared" si="2"/>
        <v>4</v>
      </c>
      <c r="M98" s="54" t="s">
        <v>585</v>
      </c>
      <c r="N98" s="41">
        <v>1</v>
      </c>
      <c r="O98" s="41">
        <v>1</v>
      </c>
      <c r="P98" s="41">
        <f t="shared" si="3"/>
        <v>1</v>
      </c>
      <c r="Q98" s="88"/>
      <c r="R98" s="79"/>
      <c r="S98" s="79"/>
    </row>
    <row r="99" spans="1:19" ht="28.8" x14ac:dyDescent="0.4">
      <c r="A99" s="2">
        <v>94</v>
      </c>
      <c r="B99" s="462"/>
      <c r="C99" s="58"/>
      <c r="D99" s="59" t="s">
        <v>515</v>
      </c>
      <c r="E99" s="59" t="s">
        <v>458</v>
      </c>
      <c r="F99" s="41" t="s">
        <v>208</v>
      </c>
      <c r="G99" s="54" t="s">
        <v>521</v>
      </c>
      <c r="H99" s="54" t="s">
        <v>552</v>
      </c>
      <c r="I99" s="54" t="s">
        <v>213</v>
      </c>
      <c r="J99" s="41">
        <v>3</v>
      </c>
      <c r="K99" s="41">
        <v>1</v>
      </c>
      <c r="L99" s="41">
        <f t="shared" si="2"/>
        <v>3</v>
      </c>
      <c r="M99" s="54" t="s">
        <v>523</v>
      </c>
      <c r="N99" s="41">
        <v>2</v>
      </c>
      <c r="O99" s="41">
        <v>1</v>
      </c>
      <c r="P99" s="41">
        <f t="shared" si="3"/>
        <v>2</v>
      </c>
      <c r="Q99" s="88"/>
      <c r="R99" s="79"/>
      <c r="S99" s="79"/>
    </row>
    <row r="100" spans="1:19" ht="43.2" x14ac:dyDescent="0.4">
      <c r="A100" s="61">
        <v>95</v>
      </c>
      <c r="B100" s="462"/>
      <c r="C100" s="58"/>
      <c r="D100" s="59" t="s">
        <v>528</v>
      </c>
      <c r="E100" s="59" t="s">
        <v>458</v>
      </c>
      <c r="F100" s="41" t="s">
        <v>211</v>
      </c>
      <c r="G100" s="54" t="s">
        <v>540</v>
      </c>
      <c r="H100" s="54" t="s">
        <v>541</v>
      </c>
      <c r="I100" s="54" t="s">
        <v>213</v>
      </c>
      <c r="J100" s="41">
        <v>3</v>
      </c>
      <c r="K100" s="41">
        <v>4</v>
      </c>
      <c r="L100" s="41">
        <f t="shared" si="2"/>
        <v>12</v>
      </c>
      <c r="M100" s="54" t="s">
        <v>586</v>
      </c>
      <c r="N100" s="41">
        <v>2</v>
      </c>
      <c r="O100" s="41">
        <v>2</v>
      </c>
      <c r="P100" s="41">
        <f t="shared" si="3"/>
        <v>4</v>
      </c>
      <c r="Q100" s="79"/>
      <c r="R100" s="79"/>
      <c r="S100" s="79"/>
    </row>
    <row r="101" spans="1:19" ht="28.8" x14ac:dyDescent="0.4">
      <c r="A101" s="2">
        <v>96</v>
      </c>
      <c r="B101" s="462"/>
      <c r="C101" s="58"/>
      <c r="D101" s="60" t="s">
        <v>528</v>
      </c>
      <c r="E101" s="59" t="s">
        <v>458</v>
      </c>
      <c r="F101" s="41" t="s">
        <v>204</v>
      </c>
      <c r="G101" s="54" t="s">
        <v>502</v>
      </c>
      <c r="H101" s="54" t="s">
        <v>587</v>
      </c>
      <c r="I101" s="54" t="s">
        <v>213</v>
      </c>
      <c r="J101" s="41">
        <v>3</v>
      </c>
      <c r="K101" s="41">
        <v>1</v>
      </c>
      <c r="L101" s="41">
        <f t="shared" si="2"/>
        <v>3</v>
      </c>
      <c r="M101" s="54" t="s">
        <v>473</v>
      </c>
      <c r="N101" s="41">
        <v>2</v>
      </c>
      <c r="O101" s="41">
        <v>1</v>
      </c>
      <c r="P101" s="41">
        <f t="shared" si="3"/>
        <v>2</v>
      </c>
      <c r="Q101" s="79"/>
      <c r="R101" s="79"/>
      <c r="S101" s="79"/>
    </row>
    <row r="102" spans="1:19" ht="28.8" x14ac:dyDescent="0.4">
      <c r="A102" s="61">
        <v>97</v>
      </c>
      <c r="B102" s="462"/>
      <c r="C102" s="58"/>
      <c r="D102" s="60" t="s">
        <v>537</v>
      </c>
      <c r="E102" s="59" t="s">
        <v>458</v>
      </c>
      <c r="F102" s="41" t="s">
        <v>206</v>
      </c>
      <c r="G102" s="54" t="s">
        <v>510</v>
      </c>
      <c r="H102" s="54" t="s">
        <v>538</v>
      </c>
      <c r="I102" s="54" t="s">
        <v>213</v>
      </c>
      <c r="J102" s="41">
        <v>4</v>
      </c>
      <c r="K102" s="41">
        <v>2</v>
      </c>
      <c r="L102" s="41">
        <f t="shared" si="2"/>
        <v>8</v>
      </c>
      <c r="M102" s="54" t="s">
        <v>539</v>
      </c>
      <c r="N102" s="41">
        <v>3</v>
      </c>
      <c r="O102" s="41">
        <v>1</v>
      </c>
      <c r="P102" s="41">
        <f t="shared" si="3"/>
        <v>3</v>
      </c>
      <c r="Q102" s="79"/>
      <c r="R102" s="79"/>
      <c r="S102" s="79"/>
    </row>
    <row r="103" spans="1:19" ht="43.2" x14ac:dyDescent="0.4">
      <c r="A103" s="2">
        <v>98</v>
      </c>
      <c r="B103" s="462"/>
      <c r="C103" s="58" t="s">
        <v>588</v>
      </c>
      <c r="D103" s="60" t="s">
        <v>528</v>
      </c>
      <c r="E103" s="59" t="s">
        <v>458</v>
      </c>
      <c r="F103" s="41" t="s">
        <v>211</v>
      </c>
      <c r="G103" s="54" t="s">
        <v>540</v>
      </c>
      <c r="H103" s="54" t="s">
        <v>541</v>
      </c>
      <c r="I103" s="54" t="s">
        <v>213</v>
      </c>
      <c r="J103" s="41">
        <v>3</v>
      </c>
      <c r="K103" s="41">
        <v>4</v>
      </c>
      <c r="L103" s="41">
        <f t="shared" si="2"/>
        <v>12</v>
      </c>
      <c r="M103" s="54" t="s">
        <v>586</v>
      </c>
      <c r="N103" s="41">
        <v>2</v>
      </c>
      <c r="O103" s="41">
        <v>2</v>
      </c>
      <c r="P103" s="41">
        <f t="shared" si="3"/>
        <v>4</v>
      </c>
      <c r="Q103" s="79"/>
      <c r="R103" s="79"/>
      <c r="S103" s="79"/>
    </row>
    <row r="104" spans="1:19" ht="28.8" x14ac:dyDescent="0.4">
      <c r="A104" s="61">
        <v>99</v>
      </c>
      <c r="B104" s="462"/>
      <c r="C104" s="58"/>
      <c r="D104" s="59" t="s">
        <v>528</v>
      </c>
      <c r="E104" s="59" t="s">
        <v>458</v>
      </c>
      <c r="F104" s="41" t="s">
        <v>204</v>
      </c>
      <c r="G104" s="54" t="s">
        <v>502</v>
      </c>
      <c r="H104" s="54" t="s">
        <v>587</v>
      </c>
      <c r="I104" s="54" t="s">
        <v>213</v>
      </c>
      <c r="J104" s="41">
        <v>3</v>
      </c>
      <c r="K104" s="41">
        <v>1</v>
      </c>
      <c r="L104" s="41">
        <f t="shared" si="2"/>
        <v>3</v>
      </c>
      <c r="M104" s="54" t="s">
        <v>473</v>
      </c>
      <c r="N104" s="41">
        <v>2</v>
      </c>
      <c r="O104" s="41">
        <v>1</v>
      </c>
      <c r="P104" s="41">
        <f t="shared" si="3"/>
        <v>2</v>
      </c>
      <c r="Q104" s="79"/>
      <c r="R104" s="79"/>
      <c r="S104" s="79"/>
    </row>
    <row r="105" spans="1:19" ht="28.8" x14ac:dyDescent="0.4">
      <c r="A105" s="2">
        <v>100</v>
      </c>
      <c r="B105" s="462"/>
      <c r="C105" s="58"/>
      <c r="D105" s="59" t="s">
        <v>589</v>
      </c>
      <c r="E105" s="59" t="s">
        <v>458</v>
      </c>
      <c r="F105" s="41" t="s">
        <v>206</v>
      </c>
      <c r="G105" s="54" t="s">
        <v>510</v>
      </c>
      <c r="H105" s="54" t="s">
        <v>590</v>
      </c>
      <c r="I105" s="54" t="s">
        <v>213</v>
      </c>
      <c r="J105" s="41">
        <v>3</v>
      </c>
      <c r="K105" s="41">
        <v>3</v>
      </c>
      <c r="L105" s="41">
        <f t="shared" si="2"/>
        <v>9</v>
      </c>
      <c r="M105" s="54" t="s">
        <v>591</v>
      </c>
      <c r="N105" s="41">
        <v>2</v>
      </c>
      <c r="O105" s="41">
        <v>2</v>
      </c>
      <c r="P105" s="41">
        <f t="shared" si="3"/>
        <v>4</v>
      </c>
      <c r="Q105" s="88"/>
      <c r="R105" s="79"/>
      <c r="S105" s="79"/>
    </row>
    <row r="106" spans="1:19" ht="28.8" x14ac:dyDescent="0.4">
      <c r="A106" s="61">
        <v>101</v>
      </c>
      <c r="B106" s="462"/>
      <c r="C106" s="58"/>
      <c r="D106" s="59" t="s">
        <v>589</v>
      </c>
      <c r="E106" s="59" t="s">
        <v>458</v>
      </c>
      <c r="F106" s="41" t="s">
        <v>206</v>
      </c>
      <c r="G106" s="54" t="s">
        <v>510</v>
      </c>
      <c r="H106" s="54" t="s">
        <v>592</v>
      </c>
      <c r="I106" s="54" t="s">
        <v>213</v>
      </c>
      <c r="J106" s="41">
        <v>2</v>
      </c>
      <c r="K106" s="41">
        <v>4</v>
      </c>
      <c r="L106" s="41">
        <f t="shared" si="2"/>
        <v>8</v>
      </c>
      <c r="M106" s="54" t="s">
        <v>593</v>
      </c>
      <c r="N106" s="41">
        <v>1</v>
      </c>
      <c r="O106" s="41">
        <v>2</v>
      </c>
      <c r="P106" s="41">
        <f t="shared" si="3"/>
        <v>2</v>
      </c>
      <c r="Q106" s="79"/>
      <c r="R106" s="79"/>
      <c r="S106" s="79"/>
    </row>
    <row r="107" spans="1:19" ht="28.8" x14ac:dyDescent="0.4">
      <c r="A107" s="2">
        <v>102</v>
      </c>
      <c r="B107" s="462"/>
      <c r="C107" s="58"/>
      <c r="D107" s="59" t="s">
        <v>589</v>
      </c>
      <c r="E107" s="59" t="s">
        <v>458</v>
      </c>
      <c r="F107" s="41" t="s">
        <v>206</v>
      </c>
      <c r="G107" s="54" t="s">
        <v>510</v>
      </c>
      <c r="H107" s="54" t="s">
        <v>594</v>
      </c>
      <c r="I107" s="54" t="s">
        <v>213</v>
      </c>
      <c r="J107" s="41">
        <v>4</v>
      </c>
      <c r="K107" s="41">
        <v>4</v>
      </c>
      <c r="L107" s="41">
        <f t="shared" si="2"/>
        <v>16</v>
      </c>
      <c r="M107" s="54" t="s">
        <v>595</v>
      </c>
      <c r="N107" s="41">
        <v>3</v>
      </c>
      <c r="O107" s="41">
        <v>2</v>
      </c>
      <c r="P107" s="41">
        <f t="shared" si="3"/>
        <v>6</v>
      </c>
      <c r="Q107" s="88"/>
      <c r="R107" s="79"/>
      <c r="S107" s="79"/>
    </row>
    <row r="108" spans="1:19" ht="43.2" x14ac:dyDescent="0.4">
      <c r="A108" s="61">
        <v>103</v>
      </c>
      <c r="B108" s="462"/>
      <c r="C108" s="58"/>
      <c r="D108" s="59" t="s">
        <v>589</v>
      </c>
      <c r="E108" s="59" t="s">
        <v>458</v>
      </c>
      <c r="F108" s="41" t="s">
        <v>206</v>
      </c>
      <c r="G108" s="54" t="s">
        <v>510</v>
      </c>
      <c r="H108" s="54" t="s">
        <v>596</v>
      </c>
      <c r="I108" s="54" t="s">
        <v>213</v>
      </c>
      <c r="J108" s="41">
        <v>3</v>
      </c>
      <c r="K108" s="41">
        <v>2</v>
      </c>
      <c r="L108" s="41">
        <f t="shared" si="2"/>
        <v>6</v>
      </c>
      <c r="M108" s="54" t="s">
        <v>597</v>
      </c>
      <c r="N108" s="41">
        <v>2</v>
      </c>
      <c r="O108" s="41">
        <v>1</v>
      </c>
      <c r="P108" s="41">
        <f t="shared" si="3"/>
        <v>2</v>
      </c>
      <c r="Q108" s="88"/>
      <c r="R108" s="79"/>
      <c r="S108" s="79"/>
    </row>
    <row r="109" spans="1:19" ht="28.8" x14ac:dyDescent="0.4">
      <c r="A109" s="2">
        <v>104</v>
      </c>
      <c r="B109" s="388"/>
      <c r="C109" s="58"/>
      <c r="D109" s="60" t="s">
        <v>589</v>
      </c>
      <c r="E109" s="59" t="s">
        <v>458</v>
      </c>
      <c r="F109" s="41" t="s">
        <v>206</v>
      </c>
      <c r="G109" s="54" t="s">
        <v>510</v>
      </c>
      <c r="H109" s="54" t="s">
        <v>598</v>
      </c>
      <c r="I109" s="54" t="s">
        <v>213</v>
      </c>
      <c r="J109" s="41">
        <v>3</v>
      </c>
      <c r="K109" s="41">
        <v>3</v>
      </c>
      <c r="L109" s="41">
        <f t="shared" si="2"/>
        <v>9</v>
      </c>
      <c r="M109" s="54" t="s">
        <v>599</v>
      </c>
      <c r="N109" s="41">
        <v>2</v>
      </c>
      <c r="O109" s="41">
        <v>2</v>
      </c>
      <c r="P109" s="41">
        <f t="shared" si="3"/>
        <v>4</v>
      </c>
      <c r="Q109" s="88"/>
      <c r="R109" s="79"/>
      <c r="S109" s="79"/>
    </row>
    <row r="110" spans="1:19" ht="28.8" x14ac:dyDescent="0.4">
      <c r="A110" s="61">
        <v>105</v>
      </c>
      <c r="B110" s="387" t="s">
        <v>203</v>
      </c>
      <c r="C110" s="58" t="s">
        <v>600</v>
      </c>
      <c r="D110" s="60" t="s">
        <v>601</v>
      </c>
      <c r="E110" s="59" t="s">
        <v>458</v>
      </c>
      <c r="F110" s="41" t="s">
        <v>207</v>
      </c>
      <c r="G110" s="54" t="s">
        <v>512</v>
      </c>
      <c r="H110" s="54" t="s">
        <v>602</v>
      </c>
      <c r="I110" s="54" t="s">
        <v>213</v>
      </c>
      <c r="J110" s="41">
        <v>3</v>
      </c>
      <c r="K110" s="41">
        <v>3</v>
      </c>
      <c r="L110" s="41">
        <f t="shared" si="2"/>
        <v>9</v>
      </c>
      <c r="M110" s="54" t="s">
        <v>513</v>
      </c>
      <c r="N110" s="41">
        <v>2</v>
      </c>
      <c r="O110" s="41">
        <v>2</v>
      </c>
      <c r="P110" s="41">
        <f t="shared" si="3"/>
        <v>4</v>
      </c>
      <c r="Q110" s="88"/>
      <c r="R110" s="79"/>
      <c r="S110" s="79"/>
    </row>
    <row r="111" spans="1:19" ht="43.2" x14ac:dyDescent="0.4">
      <c r="A111" s="2">
        <v>106</v>
      </c>
      <c r="B111" s="462"/>
      <c r="C111" s="58"/>
      <c r="D111" s="60" t="s">
        <v>570</v>
      </c>
      <c r="E111" s="59" t="s">
        <v>458</v>
      </c>
      <c r="F111" s="41" t="s">
        <v>603</v>
      </c>
      <c r="G111" s="54" t="s">
        <v>604</v>
      </c>
      <c r="H111" s="54" t="s">
        <v>605</v>
      </c>
      <c r="I111" s="54" t="s">
        <v>213</v>
      </c>
      <c r="J111" s="41">
        <v>4</v>
      </c>
      <c r="K111" s="41">
        <v>2</v>
      </c>
      <c r="L111" s="41">
        <f t="shared" si="2"/>
        <v>8</v>
      </c>
      <c r="M111" s="54" t="s">
        <v>217</v>
      </c>
      <c r="N111" s="41">
        <v>3</v>
      </c>
      <c r="O111" s="41">
        <v>1</v>
      </c>
      <c r="P111" s="41">
        <f t="shared" si="3"/>
        <v>3</v>
      </c>
      <c r="Q111" s="88"/>
      <c r="R111" s="79"/>
      <c r="S111" s="79"/>
    </row>
    <row r="112" spans="1:19" ht="28.8" x14ac:dyDescent="0.4">
      <c r="A112" s="61">
        <v>107</v>
      </c>
      <c r="B112" s="462"/>
      <c r="C112" s="58"/>
      <c r="D112" s="59" t="s">
        <v>570</v>
      </c>
      <c r="E112" s="59" t="s">
        <v>458</v>
      </c>
      <c r="F112" s="41" t="s">
        <v>206</v>
      </c>
      <c r="G112" s="54" t="s">
        <v>510</v>
      </c>
      <c r="H112" s="54" t="s">
        <v>606</v>
      </c>
      <c r="I112" s="54" t="s">
        <v>213</v>
      </c>
      <c r="J112" s="41">
        <v>3</v>
      </c>
      <c r="K112" s="41">
        <v>2</v>
      </c>
      <c r="L112" s="41">
        <f t="shared" si="2"/>
        <v>6</v>
      </c>
      <c r="M112" s="54" t="s">
        <v>607</v>
      </c>
      <c r="N112" s="41">
        <v>2</v>
      </c>
      <c r="O112" s="41">
        <v>1</v>
      </c>
      <c r="P112" s="41">
        <f t="shared" si="3"/>
        <v>2</v>
      </c>
      <c r="Q112" s="88"/>
      <c r="R112" s="79"/>
      <c r="S112" s="79"/>
    </row>
    <row r="113" spans="1:19" ht="28.8" x14ac:dyDescent="0.4">
      <c r="A113" s="2">
        <v>108</v>
      </c>
      <c r="B113" s="462"/>
      <c r="C113" s="58" t="s">
        <v>608</v>
      </c>
      <c r="D113" s="60" t="s">
        <v>570</v>
      </c>
      <c r="E113" s="59" t="s">
        <v>458</v>
      </c>
      <c r="F113" s="41" t="s">
        <v>603</v>
      </c>
      <c r="G113" s="54" t="s">
        <v>604</v>
      </c>
      <c r="H113" s="54" t="s">
        <v>605</v>
      </c>
      <c r="I113" s="54" t="s">
        <v>213</v>
      </c>
      <c r="J113" s="41">
        <v>4</v>
      </c>
      <c r="K113" s="41">
        <v>2</v>
      </c>
      <c r="L113" s="41">
        <f t="shared" si="2"/>
        <v>8</v>
      </c>
      <c r="M113" s="54" t="s">
        <v>609</v>
      </c>
      <c r="N113" s="41">
        <v>3</v>
      </c>
      <c r="O113" s="41">
        <v>1</v>
      </c>
      <c r="P113" s="41">
        <f t="shared" si="3"/>
        <v>3</v>
      </c>
      <c r="Q113" s="79"/>
      <c r="R113" s="79"/>
      <c r="S113" s="79"/>
    </row>
    <row r="114" spans="1:19" ht="28.8" x14ac:dyDescent="0.4">
      <c r="A114" s="61">
        <v>109</v>
      </c>
      <c r="B114" s="462"/>
      <c r="C114" s="58"/>
      <c r="D114" s="60" t="s">
        <v>570</v>
      </c>
      <c r="E114" s="59" t="s">
        <v>458</v>
      </c>
      <c r="F114" s="41" t="s">
        <v>212</v>
      </c>
      <c r="G114" s="54" t="s">
        <v>549</v>
      </c>
      <c r="H114" s="54" t="s">
        <v>606</v>
      </c>
      <c r="I114" s="54" t="s">
        <v>213</v>
      </c>
      <c r="J114" s="41">
        <v>3</v>
      </c>
      <c r="K114" s="41">
        <v>2</v>
      </c>
      <c r="L114" s="41">
        <f t="shared" si="2"/>
        <v>6</v>
      </c>
      <c r="M114" s="54" t="s">
        <v>607</v>
      </c>
      <c r="N114" s="41">
        <v>2</v>
      </c>
      <c r="O114" s="41">
        <v>1</v>
      </c>
      <c r="P114" s="41">
        <f t="shared" si="3"/>
        <v>2</v>
      </c>
      <c r="Q114" s="79"/>
      <c r="R114" s="79"/>
      <c r="S114" s="79"/>
    </row>
    <row r="115" spans="1:19" ht="28.8" x14ac:dyDescent="0.4">
      <c r="A115" s="2">
        <v>110</v>
      </c>
      <c r="B115" s="388"/>
      <c r="C115" s="58"/>
      <c r="D115" s="60" t="s">
        <v>570</v>
      </c>
      <c r="E115" s="59" t="s">
        <v>458</v>
      </c>
      <c r="F115" s="41" t="s">
        <v>205</v>
      </c>
      <c r="G115" s="54" t="s">
        <v>497</v>
      </c>
      <c r="H115" s="54" t="s">
        <v>610</v>
      </c>
      <c r="I115" s="54" t="s">
        <v>323</v>
      </c>
      <c r="J115" s="41">
        <v>3</v>
      </c>
      <c r="K115" s="41">
        <v>3</v>
      </c>
      <c r="L115" s="41">
        <f t="shared" si="2"/>
        <v>9</v>
      </c>
      <c r="M115" s="54" t="s">
        <v>611</v>
      </c>
      <c r="N115" s="41">
        <v>2</v>
      </c>
      <c r="O115" s="41">
        <v>2</v>
      </c>
      <c r="P115" s="41">
        <f t="shared" si="3"/>
        <v>4</v>
      </c>
      <c r="Q115" s="79"/>
      <c r="R115" s="79"/>
      <c r="S115" s="79"/>
    </row>
    <row r="116" spans="1:19" ht="25.2" customHeight="1" x14ac:dyDescent="0.4">
      <c r="A116" s="389" t="s">
        <v>185</v>
      </c>
      <c r="B116" s="390"/>
      <c r="C116" s="391"/>
      <c r="D116" s="398" t="s">
        <v>186</v>
      </c>
      <c r="E116" s="399"/>
      <c r="F116" s="400"/>
      <c r="G116" s="401"/>
      <c r="H116" s="401"/>
      <c r="I116" s="401"/>
      <c r="J116" s="401"/>
      <c r="K116" s="401"/>
      <c r="L116" s="401"/>
      <c r="M116" s="402"/>
      <c r="N116" s="51" t="s">
        <v>187</v>
      </c>
      <c r="O116" s="52"/>
      <c r="P116" s="52"/>
      <c r="Q116" s="52"/>
      <c r="R116" s="52"/>
      <c r="S116" s="53"/>
    </row>
    <row r="117" spans="1:19" ht="25.2" customHeight="1" x14ac:dyDescent="0.4">
      <c r="A117" s="392"/>
      <c r="B117" s="393"/>
      <c r="C117" s="394"/>
      <c r="D117" s="398" t="s">
        <v>188</v>
      </c>
      <c r="E117" s="399"/>
      <c r="F117" s="400"/>
      <c r="G117" s="401"/>
      <c r="H117" s="401"/>
      <c r="I117" s="401"/>
      <c r="J117" s="401"/>
      <c r="K117" s="401"/>
      <c r="L117" s="401"/>
      <c r="M117" s="402"/>
      <c r="N117" s="51" t="s">
        <v>187</v>
      </c>
      <c r="O117" s="52"/>
      <c r="P117" s="52"/>
      <c r="Q117" s="52"/>
      <c r="R117" s="52"/>
      <c r="S117" s="53"/>
    </row>
    <row r="118" spans="1:19" ht="25.2" customHeight="1" x14ac:dyDescent="0.4">
      <c r="A118" s="392"/>
      <c r="B118" s="393"/>
      <c r="C118" s="394"/>
      <c r="D118" s="398" t="s">
        <v>130</v>
      </c>
      <c r="E118" s="399"/>
      <c r="F118" s="400"/>
      <c r="G118" s="401"/>
      <c r="H118" s="401"/>
      <c r="I118" s="401"/>
      <c r="J118" s="401"/>
      <c r="K118" s="401"/>
      <c r="L118" s="401"/>
      <c r="M118" s="402"/>
      <c r="N118" s="51" t="s">
        <v>187</v>
      </c>
      <c r="O118" s="52"/>
      <c r="P118" s="52"/>
      <c r="Q118" s="52"/>
      <c r="R118" s="52"/>
      <c r="S118" s="53"/>
    </row>
    <row r="119" spans="1:19" ht="25.2" customHeight="1" x14ac:dyDescent="0.4">
      <c r="A119" s="392"/>
      <c r="B119" s="393"/>
      <c r="C119" s="394"/>
      <c r="D119" s="398" t="s">
        <v>189</v>
      </c>
      <c r="E119" s="399"/>
      <c r="F119" s="400"/>
      <c r="G119" s="401"/>
      <c r="H119" s="401"/>
      <c r="I119" s="401"/>
      <c r="J119" s="401"/>
      <c r="K119" s="401"/>
      <c r="L119" s="401"/>
      <c r="M119" s="402"/>
      <c r="N119" s="51" t="s">
        <v>187</v>
      </c>
      <c r="O119" s="52"/>
      <c r="P119" s="52"/>
      <c r="Q119" s="52"/>
      <c r="R119" s="52"/>
      <c r="S119" s="53"/>
    </row>
    <row r="120" spans="1:19" ht="25.2" customHeight="1" x14ac:dyDescent="0.4">
      <c r="A120" s="395"/>
      <c r="B120" s="396"/>
      <c r="C120" s="397"/>
      <c r="D120" s="398" t="s">
        <v>190</v>
      </c>
      <c r="E120" s="399"/>
      <c r="F120" s="400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S6" activeCellId="1" sqref="Q6:S6 O6:S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676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463" t="s">
        <v>17</v>
      </c>
      <c r="C6" s="58" t="s">
        <v>675</v>
      </c>
      <c r="D6" s="59" t="s">
        <v>393</v>
      </c>
      <c r="E6" s="59" t="s">
        <v>191</v>
      </c>
      <c r="F6" s="41">
        <v>1.3</v>
      </c>
      <c r="G6" s="89" t="s">
        <v>196</v>
      </c>
      <c r="H6" s="58" t="s">
        <v>445</v>
      </c>
      <c r="I6" s="54" t="s">
        <v>176</v>
      </c>
      <c r="J6" s="59">
        <v>2</v>
      </c>
      <c r="K6" s="59">
        <v>3</v>
      </c>
      <c r="L6" s="41">
        <v>6</v>
      </c>
      <c r="M6" s="57" t="s">
        <v>395</v>
      </c>
      <c r="N6" s="41">
        <v>2</v>
      </c>
      <c r="O6" s="41">
        <v>2</v>
      </c>
      <c r="P6" s="41">
        <v>4</v>
      </c>
      <c r="Q6" s="41" t="s">
        <v>270</v>
      </c>
      <c r="R6" s="41" t="s">
        <v>677</v>
      </c>
      <c r="S6" s="41" t="s">
        <v>271</v>
      </c>
    </row>
    <row r="7" spans="1:19" ht="52.95" customHeight="1" x14ac:dyDescent="0.4">
      <c r="A7" s="2">
        <v>2</v>
      </c>
      <c r="B7" s="463"/>
      <c r="C7" s="58" t="s">
        <v>674</v>
      </c>
      <c r="D7" s="60" t="s">
        <v>673</v>
      </c>
      <c r="E7" s="59" t="s">
        <v>191</v>
      </c>
      <c r="F7" s="41">
        <v>4.0999999999999996</v>
      </c>
      <c r="G7" s="90" t="s">
        <v>197</v>
      </c>
      <c r="H7" s="58" t="s">
        <v>672</v>
      </c>
      <c r="I7" s="54" t="s">
        <v>176</v>
      </c>
      <c r="J7" s="59">
        <v>2</v>
      </c>
      <c r="K7" s="59">
        <v>3</v>
      </c>
      <c r="L7" s="41">
        <v>6</v>
      </c>
      <c r="M7" s="57" t="s">
        <v>397</v>
      </c>
      <c r="N7" s="41">
        <v>1</v>
      </c>
      <c r="O7" s="41">
        <v>3</v>
      </c>
      <c r="P7" s="41">
        <v>3</v>
      </c>
      <c r="Q7" s="79"/>
      <c r="R7" s="79"/>
      <c r="S7" s="79"/>
    </row>
    <row r="8" spans="1:19" ht="52.95" customHeight="1" x14ac:dyDescent="0.4">
      <c r="A8" s="61">
        <v>3</v>
      </c>
      <c r="B8" s="463"/>
      <c r="C8" s="58" t="s">
        <v>192</v>
      </c>
      <c r="D8" s="60" t="s">
        <v>654</v>
      </c>
      <c r="E8" s="59" t="s">
        <v>191</v>
      </c>
      <c r="F8" s="41">
        <v>4.2</v>
      </c>
      <c r="G8" s="90" t="s">
        <v>198</v>
      </c>
      <c r="H8" s="58" t="s">
        <v>671</v>
      </c>
      <c r="I8" s="54" t="s">
        <v>176</v>
      </c>
      <c r="J8" s="59">
        <v>2</v>
      </c>
      <c r="K8" s="59">
        <v>3</v>
      </c>
      <c r="L8" s="41">
        <v>6</v>
      </c>
      <c r="M8" s="57" t="s">
        <v>400</v>
      </c>
      <c r="N8" s="41">
        <v>1</v>
      </c>
      <c r="O8" s="41">
        <v>3</v>
      </c>
      <c r="P8" s="41">
        <v>3</v>
      </c>
      <c r="Q8" s="79"/>
      <c r="R8" s="79"/>
      <c r="S8" s="79"/>
    </row>
    <row r="9" spans="1:19" ht="52.95" customHeight="1" x14ac:dyDescent="0.4">
      <c r="A9" s="2">
        <v>4</v>
      </c>
      <c r="B9" s="463" t="s">
        <v>670</v>
      </c>
      <c r="C9" s="58" t="s">
        <v>669</v>
      </c>
      <c r="D9" s="59" t="s">
        <v>634</v>
      </c>
      <c r="E9" s="59" t="s">
        <v>668</v>
      </c>
      <c r="F9" s="41">
        <v>1.1000000000000001</v>
      </c>
      <c r="G9" s="89" t="s">
        <v>51</v>
      </c>
      <c r="H9" s="58" t="s">
        <v>667</v>
      </c>
      <c r="I9" s="54" t="s">
        <v>666</v>
      </c>
      <c r="J9" s="59">
        <v>3</v>
      </c>
      <c r="K9" s="59">
        <v>2</v>
      </c>
      <c r="L9" s="41">
        <v>6</v>
      </c>
      <c r="M9" s="57" t="s">
        <v>291</v>
      </c>
      <c r="N9" s="41">
        <v>2</v>
      </c>
      <c r="O9" s="41">
        <v>1</v>
      </c>
      <c r="P9" s="41">
        <v>2</v>
      </c>
      <c r="Q9" s="79"/>
      <c r="R9" s="79"/>
      <c r="S9" s="79"/>
    </row>
    <row r="10" spans="1:19" ht="52.95" customHeight="1" x14ac:dyDescent="0.4">
      <c r="A10" s="61">
        <v>5</v>
      </c>
      <c r="B10" s="463"/>
      <c r="C10" s="58" t="s">
        <v>665</v>
      </c>
      <c r="D10" s="60" t="s">
        <v>654</v>
      </c>
      <c r="E10" s="59" t="s">
        <v>191</v>
      </c>
      <c r="F10" s="41">
        <v>1.3</v>
      </c>
      <c r="G10" s="89" t="s">
        <v>196</v>
      </c>
      <c r="H10" s="58" t="s">
        <v>664</v>
      </c>
      <c r="I10" s="54" t="s">
        <v>176</v>
      </c>
      <c r="J10" s="59">
        <v>3</v>
      </c>
      <c r="K10" s="59">
        <v>3</v>
      </c>
      <c r="L10" s="41">
        <v>9</v>
      </c>
      <c r="M10" s="57" t="s">
        <v>395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52.95" customHeight="1" x14ac:dyDescent="0.4">
      <c r="A11" s="2">
        <v>6</v>
      </c>
      <c r="B11" s="463"/>
      <c r="C11" s="58" t="s">
        <v>663</v>
      </c>
      <c r="D11" s="59" t="s">
        <v>660</v>
      </c>
      <c r="E11" s="59" t="s">
        <v>191</v>
      </c>
      <c r="F11" s="41">
        <v>3.3</v>
      </c>
      <c r="G11" s="89" t="s">
        <v>659</v>
      </c>
      <c r="H11" s="58" t="s">
        <v>662</v>
      </c>
      <c r="I11" s="54" t="s">
        <v>657</v>
      </c>
      <c r="J11" s="59">
        <v>2</v>
      </c>
      <c r="K11" s="59">
        <v>3</v>
      </c>
      <c r="L11" s="41">
        <v>6</v>
      </c>
      <c r="M11" s="57" t="s">
        <v>656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52.95" customHeight="1" x14ac:dyDescent="0.4">
      <c r="A12" s="61">
        <v>7</v>
      </c>
      <c r="B12" s="463"/>
      <c r="C12" s="58" t="s">
        <v>661</v>
      </c>
      <c r="D12" s="59" t="s">
        <v>660</v>
      </c>
      <c r="E12" s="59" t="s">
        <v>191</v>
      </c>
      <c r="F12" s="41">
        <v>3.3</v>
      </c>
      <c r="G12" s="89" t="s">
        <v>659</v>
      </c>
      <c r="H12" s="58" t="s">
        <v>658</v>
      </c>
      <c r="I12" s="54" t="s">
        <v>657</v>
      </c>
      <c r="J12" s="59">
        <v>2</v>
      </c>
      <c r="K12" s="59">
        <v>3</v>
      </c>
      <c r="L12" s="41">
        <v>6</v>
      </c>
      <c r="M12" s="57" t="s">
        <v>656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52.95" customHeight="1" x14ac:dyDescent="0.4">
      <c r="A13" s="2">
        <v>8</v>
      </c>
      <c r="B13" s="463"/>
      <c r="C13" s="58" t="s">
        <v>655</v>
      </c>
      <c r="D13" s="60" t="s">
        <v>654</v>
      </c>
      <c r="E13" s="59" t="s">
        <v>191</v>
      </c>
      <c r="F13" s="41">
        <v>1.3</v>
      </c>
      <c r="G13" s="89" t="s">
        <v>196</v>
      </c>
      <c r="H13" s="58" t="s">
        <v>445</v>
      </c>
      <c r="I13" s="54" t="s">
        <v>653</v>
      </c>
      <c r="J13" s="59">
        <v>2</v>
      </c>
      <c r="K13" s="59">
        <v>3</v>
      </c>
      <c r="L13" s="41">
        <v>6</v>
      </c>
      <c r="M13" s="57" t="s">
        <v>652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52.95" customHeight="1" x14ac:dyDescent="0.4">
      <c r="A14" s="61">
        <v>9</v>
      </c>
      <c r="B14" s="463" t="s">
        <v>651</v>
      </c>
      <c r="C14" s="58" t="s">
        <v>650</v>
      </c>
      <c r="D14" s="60" t="s">
        <v>649</v>
      </c>
      <c r="E14" s="59" t="s">
        <v>191</v>
      </c>
      <c r="F14" s="41">
        <v>1.1000000000000001</v>
      </c>
      <c r="G14" s="89" t="s">
        <v>51</v>
      </c>
      <c r="H14" s="58" t="s">
        <v>638</v>
      </c>
      <c r="I14" s="54" t="s">
        <v>202</v>
      </c>
      <c r="J14" s="59">
        <v>2</v>
      </c>
      <c r="K14" s="59">
        <v>2</v>
      </c>
      <c r="L14" s="41">
        <v>4</v>
      </c>
      <c r="M14" s="57" t="s">
        <v>291</v>
      </c>
      <c r="N14" s="41">
        <v>2</v>
      </c>
      <c r="O14" s="41">
        <v>1</v>
      </c>
      <c r="P14" s="41">
        <v>2</v>
      </c>
      <c r="Q14" s="88"/>
      <c r="R14" s="79"/>
      <c r="S14" s="79"/>
    </row>
    <row r="15" spans="1:19" ht="52.95" customHeight="1" x14ac:dyDescent="0.4">
      <c r="A15" s="2">
        <v>10</v>
      </c>
      <c r="B15" s="463"/>
      <c r="C15" s="58" t="s">
        <v>648</v>
      </c>
      <c r="D15" s="60" t="s">
        <v>644</v>
      </c>
      <c r="E15" s="59" t="s">
        <v>191</v>
      </c>
      <c r="F15" s="41">
        <v>7.1</v>
      </c>
      <c r="G15" s="90" t="s">
        <v>415</v>
      </c>
      <c r="H15" s="58" t="s">
        <v>647</v>
      </c>
      <c r="I15" s="54" t="s">
        <v>202</v>
      </c>
      <c r="J15" s="59">
        <v>2</v>
      </c>
      <c r="K15" s="59">
        <v>2</v>
      </c>
      <c r="L15" s="41">
        <v>4</v>
      </c>
      <c r="M15" s="57" t="s">
        <v>646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52.95" customHeight="1" x14ac:dyDescent="0.4">
      <c r="A16" s="61">
        <v>11</v>
      </c>
      <c r="B16" s="463"/>
      <c r="C16" s="58" t="s">
        <v>645</v>
      </c>
      <c r="D16" s="60" t="s">
        <v>644</v>
      </c>
      <c r="E16" s="59" t="s">
        <v>191</v>
      </c>
      <c r="F16" s="41">
        <v>1.3</v>
      </c>
      <c r="G16" s="89" t="s">
        <v>196</v>
      </c>
      <c r="H16" s="58" t="s">
        <v>445</v>
      </c>
      <c r="I16" s="54" t="s">
        <v>176</v>
      </c>
      <c r="J16" s="59">
        <v>2</v>
      </c>
      <c r="K16" s="59">
        <v>3</v>
      </c>
      <c r="L16" s="41">
        <v>6</v>
      </c>
      <c r="M16" s="57" t="s">
        <v>395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52.95" customHeight="1" x14ac:dyDescent="0.4">
      <c r="A17" s="2">
        <v>12</v>
      </c>
      <c r="B17" s="463"/>
      <c r="C17" s="58" t="s">
        <v>643</v>
      </c>
      <c r="D17" s="60" t="s">
        <v>193</v>
      </c>
      <c r="E17" s="59" t="s">
        <v>191</v>
      </c>
      <c r="F17" s="41">
        <v>3.4</v>
      </c>
      <c r="G17" s="90" t="s">
        <v>63</v>
      </c>
      <c r="H17" s="58" t="s">
        <v>641</v>
      </c>
      <c r="I17" s="54" t="s">
        <v>202</v>
      </c>
      <c r="J17" s="59">
        <v>2</v>
      </c>
      <c r="K17" s="59">
        <v>2</v>
      </c>
      <c r="L17" s="41">
        <v>4</v>
      </c>
      <c r="M17" s="57" t="s">
        <v>421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52.95" customHeight="1" x14ac:dyDescent="0.4">
      <c r="A18" s="61">
        <v>13</v>
      </c>
      <c r="B18" s="463"/>
      <c r="C18" s="58" t="s">
        <v>642</v>
      </c>
      <c r="D18" s="60" t="s">
        <v>193</v>
      </c>
      <c r="E18" s="59" t="s">
        <v>191</v>
      </c>
      <c r="F18" s="41">
        <v>3.4</v>
      </c>
      <c r="G18" s="90" t="s">
        <v>63</v>
      </c>
      <c r="H18" s="58" t="s">
        <v>641</v>
      </c>
      <c r="I18" s="54" t="s">
        <v>202</v>
      </c>
      <c r="J18" s="59">
        <v>2</v>
      </c>
      <c r="K18" s="59">
        <v>2</v>
      </c>
      <c r="L18" s="41">
        <v>4</v>
      </c>
      <c r="M18" s="57" t="s">
        <v>421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ht="52.95" customHeight="1" x14ac:dyDescent="0.4">
      <c r="A19" s="2">
        <v>14</v>
      </c>
      <c r="B19" s="463"/>
      <c r="C19" s="58" t="s">
        <v>640</v>
      </c>
      <c r="D19" s="60" t="s">
        <v>639</v>
      </c>
      <c r="E19" s="59" t="s">
        <v>191</v>
      </c>
      <c r="F19" s="41">
        <v>1.1000000000000001</v>
      </c>
      <c r="G19" s="89" t="s">
        <v>51</v>
      </c>
      <c r="H19" s="58" t="s">
        <v>638</v>
      </c>
      <c r="I19" s="54" t="s">
        <v>202</v>
      </c>
      <c r="J19" s="59">
        <v>2</v>
      </c>
      <c r="K19" s="59">
        <v>2</v>
      </c>
      <c r="L19" s="41">
        <v>4</v>
      </c>
      <c r="M19" s="57" t="s">
        <v>291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52.95" customHeight="1" x14ac:dyDescent="0.4">
      <c r="A20" s="61">
        <v>15</v>
      </c>
      <c r="B20" s="463" t="s">
        <v>637</v>
      </c>
      <c r="C20" s="58" t="s">
        <v>636</v>
      </c>
      <c r="D20" s="59" t="s">
        <v>194</v>
      </c>
      <c r="E20" s="59" t="s">
        <v>191</v>
      </c>
      <c r="F20" s="41">
        <v>1.1000000000000001</v>
      </c>
      <c r="G20" s="89" t="s">
        <v>51</v>
      </c>
      <c r="H20" s="58" t="s">
        <v>199</v>
      </c>
      <c r="I20" s="54" t="s">
        <v>448</v>
      </c>
      <c r="J20" s="59">
        <v>2</v>
      </c>
      <c r="K20" s="59">
        <v>3</v>
      </c>
      <c r="L20" s="41">
        <v>6</v>
      </c>
      <c r="M20" s="57" t="s">
        <v>404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52.95" customHeight="1" x14ac:dyDescent="0.4">
      <c r="A21" s="2">
        <v>16</v>
      </c>
      <c r="B21" s="463"/>
      <c r="C21" s="58" t="s">
        <v>635</v>
      </c>
      <c r="D21" s="59" t="s">
        <v>634</v>
      </c>
      <c r="E21" s="59" t="s">
        <v>191</v>
      </c>
      <c r="F21" s="41">
        <v>5.5</v>
      </c>
      <c r="G21" s="89" t="s">
        <v>78</v>
      </c>
      <c r="H21" s="58" t="s">
        <v>633</v>
      </c>
      <c r="I21" s="54" t="s">
        <v>202</v>
      </c>
      <c r="J21" s="59">
        <v>2</v>
      </c>
      <c r="K21" s="59">
        <v>2</v>
      </c>
      <c r="L21" s="41">
        <v>4</v>
      </c>
      <c r="M21" s="57" t="s">
        <v>632</v>
      </c>
      <c r="N21" s="41">
        <v>2</v>
      </c>
      <c r="O21" s="41">
        <v>1</v>
      </c>
      <c r="P21" s="41">
        <v>2</v>
      </c>
      <c r="Q21" s="79"/>
      <c r="R21" s="79"/>
      <c r="S21" s="79"/>
    </row>
    <row r="22" spans="1:19" ht="52.95" customHeight="1" x14ac:dyDescent="0.4">
      <c r="A22" s="61">
        <v>17</v>
      </c>
      <c r="B22" s="463"/>
      <c r="C22" s="58" t="s">
        <v>631</v>
      </c>
      <c r="D22" s="59" t="s">
        <v>393</v>
      </c>
      <c r="E22" s="59" t="s">
        <v>191</v>
      </c>
      <c r="F22" s="41">
        <v>1.3</v>
      </c>
      <c r="G22" s="89" t="s">
        <v>196</v>
      </c>
      <c r="H22" s="58" t="s">
        <v>630</v>
      </c>
      <c r="I22" s="54" t="s">
        <v>176</v>
      </c>
      <c r="J22" s="59">
        <v>2</v>
      </c>
      <c r="K22" s="59">
        <v>3</v>
      </c>
      <c r="L22" s="41">
        <v>6</v>
      </c>
      <c r="M22" s="57" t="s">
        <v>627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52.95" customHeight="1" x14ac:dyDescent="0.4">
      <c r="A23" s="2">
        <v>18</v>
      </c>
      <c r="B23" s="463"/>
      <c r="C23" s="58" t="s">
        <v>629</v>
      </c>
      <c r="D23" s="60" t="s">
        <v>628</v>
      </c>
      <c r="E23" s="59" t="s">
        <v>191</v>
      </c>
      <c r="F23" s="41">
        <v>1.1000000000000001</v>
      </c>
      <c r="G23" s="89" t="s">
        <v>51</v>
      </c>
      <c r="H23" s="58" t="s">
        <v>200</v>
      </c>
      <c r="I23" s="54" t="s">
        <v>176</v>
      </c>
      <c r="J23" s="59">
        <v>2</v>
      </c>
      <c r="K23" s="59">
        <v>3</v>
      </c>
      <c r="L23" s="41">
        <v>6</v>
      </c>
      <c r="M23" s="57" t="s">
        <v>627</v>
      </c>
      <c r="N23" s="41">
        <v>2</v>
      </c>
      <c r="O23" s="41">
        <v>2</v>
      </c>
      <c r="P23" s="41">
        <v>4</v>
      </c>
      <c r="Q23" s="79"/>
      <c r="R23" s="79"/>
      <c r="S23" s="79"/>
    </row>
    <row r="24" spans="1:19" ht="52.95" customHeight="1" x14ac:dyDescent="0.4">
      <c r="A24" s="61">
        <v>19</v>
      </c>
      <c r="B24" s="463" t="s">
        <v>626</v>
      </c>
      <c r="C24" s="58" t="s">
        <v>625</v>
      </c>
      <c r="D24" s="59" t="s">
        <v>193</v>
      </c>
      <c r="E24" s="59" t="s">
        <v>191</v>
      </c>
      <c r="F24" s="41">
        <v>2.1</v>
      </c>
      <c r="G24" s="90" t="s">
        <v>57</v>
      </c>
      <c r="H24" s="58" t="s">
        <v>201</v>
      </c>
      <c r="I24" s="54" t="s">
        <v>202</v>
      </c>
      <c r="J24" s="59">
        <v>2</v>
      </c>
      <c r="K24" s="59">
        <v>2</v>
      </c>
      <c r="L24" s="41">
        <v>4</v>
      </c>
      <c r="M24" s="57" t="s">
        <v>429</v>
      </c>
      <c r="N24" s="41">
        <v>2</v>
      </c>
      <c r="O24" s="41">
        <v>1</v>
      </c>
      <c r="P24" s="41">
        <v>2</v>
      </c>
      <c r="Q24" s="79"/>
      <c r="R24" s="79"/>
      <c r="S24" s="79"/>
    </row>
    <row r="25" spans="1:19" ht="52.95" customHeight="1" x14ac:dyDescent="0.4">
      <c r="A25" s="2">
        <v>20</v>
      </c>
      <c r="B25" s="463"/>
      <c r="C25" s="58" t="s">
        <v>624</v>
      </c>
      <c r="D25" s="59" t="s">
        <v>193</v>
      </c>
      <c r="E25" s="59" t="s">
        <v>191</v>
      </c>
      <c r="F25" s="41">
        <v>1.2</v>
      </c>
      <c r="G25" s="58" t="s">
        <v>623</v>
      </c>
      <c r="H25" s="58" t="s">
        <v>482</v>
      </c>
      <c r="I25" s="54" t="s">
        <v>483</v>
      </c>
      <c r="J25" s="59">
        <v>2</v>
      </c>
      <c r="K25" s="59">
        <v>2</v>
      </c>
      <c r="L25" s="41">
        <v>4</v>
      </c>
      <c r="M25" s="57" t="s">
        <v>300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52.95" customHeight="1" x14ac:dyDescent="0.4">
      <c r="A26" s="61">
        <v>21</v>
      </c>
      <c r="B26" s="463"/>
      <c r="C26" s="58" t="s">
        <v>622</v>
      </c>
      <c r="D26" s="59" t="s">
        <v>193</v>
      </c>
      <c r="E26" s="59" t="s">
        <v>191</v>
      </c>
      <c r="F26" s="41">
        <v>2.1</v>
      </c>
      <c r="G26" s="90" t="s">
        <v>57</v>
      </c>
      <c r="H26" s="58" t="s">
        <v>201</v>
      </c>
      <c r="I26" s="54" t="s">
        <v>202</v>
      </c>
      <c r="J26" s="59">
        <v>2</v>
      </c>
      <c r="K26" s="59">
        <v>2</v>
      </c>
      <c r="L26" s="41">
        <v>4</v>
      </c>
      <c r="M26" s="57" t="s">
        <v>429</v>
      </c>
      <c r="N26" s="41">
        <v>2</v>
      </c>
      <c r="O26" s="41">
        <v>1</v>
      </c>
      <c r="P26" s="41">
        <v>2</v>
      </c>
      <c r="Q26" s="79"/>
      <c r="R26" s="79"/>
      <c r="S26" s="79"/>
    </row>
    <row r="27" spans="1:19" ht="52.95" customHeight="1" x14ac:dyDescent="0.4">
      <c r="A27" s="2">
        <v>22</v>
      </c>
      <c r="B27" s="463" t="s">
        <v>621</v>
      </c>
      <c r="C27" s="58" t="s">
        <v>620</v>
      </c>
      <c r="D27" s="59" t="s">
        <v>195</v>
      </c>
      <c r="E27" s="59" t="s">
        <v>191</v>
      </c>
      <c r="F27" s="41">
        <v>3.2</v>
      </c>
      <c r="G27" s="91" t="s">
        <v>61</v>
      </c>
      <c r="H27" s="58" t="s">
        <v>440</v>
      </c>
      <c r="I27" s="54" t="s">
        <v>486</v>
      </c>
      <c r="J27" s="59">
        <v>2</v>
      </c>
      <c r="K27" s="59">
        <v>2</v>
      </c>
      <c r="L27" s="41">
        <v>4</v>
      </c>
      <c r="M27" s="57" t="s">
        <v>619</v>
      </c>
      <c r="N27" s="41">
        <v>2</v>
      </c>
      <c r="O27" s="41">
        <v>2</v>
      </c>
      <c r="P27" s="41">
        <v>4</v>
      </c>
      <c r="Q27" s="88"/>
      <c r="R27" s="79"/>
      <c r="S27" s="79"/>
    </row>
    <row r="28" spans="1:19" ht="52.95" customHeight="1" x14ac:dyDescent="0.4">
      <c r="A28" s="61">
        <v>23</v>
      </c>
      <c r="B28" s="463"/>
      <c r="C28" s="58" t="s">
        <v>618</v>
      </c>
      <c r="D28" s="59" t="s">
        <v>195</v>
      </c>
      <c r="E28" s="59" t="s">
        <v>191</v>
      </c>
      <c r="F28" s="41">
        <v>1.1000000000000001</v>
      </c>
      <c r="G28" s="91" t="s">
        <v>51</v>
      </c>
      <c r="H28" s="58" t="s">
        <v>437</v>
      </c>
      <c r="I28" s="54" t="s">
        <v>202</v>
      </c>
      <c r="J28" s="59">
        <v>2</v>
      </c>
      <c r="K28" s="59">
        <v>2</v>
      </c>
      <c r="L28" s="41">
        <v>4</v>
      </c>
      <c r="M28" s="57" t="s">
        <v>438</v>
      </c>
      <c r="N28" s="41">
        <v>2</v>
      </c>
      <c r="O28" s="41">
        <v>2</v>
      </c>
      <c r="P28" s="41">
        <v>4</v>
      </c>
      <c r="Q28" s="88"/>
      <c r="R28" s="79"/>
      <c r="S28" s="79"/>
    </row>
    <row r="29" spans="1:19" ht="52.95" customHeight="1" x14ac:dyDescent="0.4">
      <c r="A29" s="2">
        <v>24</v>
      </c>
      <c r="B29" s="463"/>
      <c r="C29" s="58" t="s">
        <v>617</v>
      </c>
      <c r="D29" s="59" t="s">
        <v>195</v>
      </c>
      <c r="E29" s="59" t="s">
        <v>191</v>
      </c>
      <c r="F29" s="41">
        <v>3.2</v>
      </c>
      <c r="G29" s="91" t="s">
        <v>61</v>
      </c>
      <c r="H29" s="58" t="s">
        <v>440</v>
      </c>
      <c r="I29" s="54" t="s">
        <v>202</v>
      </c>
      <c r="J29" s="59">
        <v>2</v>
      </c>
      <c r="K29" s="59">
        <v>2</v>
      </c>
      <c r="L29" s="41">
        <v>4</v>
      </c>
      <c r="M29" s="57" t="s">
        <v>438</v>
      </c>
      <c r="N29" s="41">
        <v>2</v>
      </c>
      <c r="O29" s="41">
        <v>2</v>
      </c>
      <c r="P29" s="41">
        <v>4</v>
      </c>
      <c r="Q29" s="88"/>
      <c r="R29" s="79"/>
      <c r="S29" s="79"/>
    </row>
    <row r="30" spans="1:19" ht="52.95" customHeight="1" x14ac:dyDescent="0.4">
      <c r="A30" s="61">
        <v>25</v>
      </c>
      <c r="B30" s="463"/>
      <c r="C30" s="58" t="s">
        <v>616</v>
      </c>
      <c r="D30" s="59" t="s">
        <v>195</v>
      </c>
      <c r="E30" s="59" t="s">
        <v>191</v>
      </c>
      <c r="F30" s="41">
        <v>1.5</v>
      </c>
      <c r="G30" s="92" t="s">
        <v>615</v>
      </c>
      <c r="H30" s="58" t="s">
        <v>491</v>
      </c>
      <c r="I30" s="54" t="s">
        <v>202</v>
      </c>
      <c r="J30" s="59">
        <v>2</v>
      </c>
      <c r="K30" s="59">
        <v>2</v>
      </c>
      <c r="L30" s="41">
        <v>4</v>
      </c>
      <c r="M30" s="57" t="s">
        <v>492</v>
      </c>
      <c r="N30" s="41">
        <v>2</v>
      </c>
      <c r="O30" s="41">
        <v>2</v>
      </c>
      <c r="P30" s="41">
        <v>4</v>
      </c>
      <c r="Q30" s="88"/>
      <c r="R30" s="79"/>
      <c r="S30" s="79"/>
    </row>
    <row r="31" spans="1:19" ht="25.2" customHeight="1" x14ac:dyDescent="0.4">
      <c r="A31" s="389" t="s">
        <v>185</v>
      </c>
      <c r="B31" s="390"/>
      <c r="C31" s="391"/>
      <c r="D31" s="398" t="s">
        <v>186</v>
      </c>
      <c r="E31" s="399"/>
      <c r="F31" s="400"/>
      <c r="G31" s="401"/>
      <c r="H31" s="401"/>
      <c r="I31" s="401"/>
      <c r="J31" s="401"/>
      <c r="K31" s="401"/>
      <c r="L31" s="401"/>
      <c r="M31" s="402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188</v>
      </c>
      <c r="E32" s="399"/>
      <c r="F32" s="400"/>
      <c r="G32" s="401"/>
      <c r="H32" s="401"/>
      <c r="I32" s="401"/>
      <c r="J32" s="401"/>
      <c r="K32" s="401"/>
      <c r="L32" s="401"/>
      <c r="M32" s="402"/>
      <c r="N32" s="51" t="s">
        <v>187</v>
      </c>
      <c r="O32" s="52"/>
      <c r="P32" s="52"/>
      <c r="Q32" s="52"/>
      <c r="R32" s="52"/>
      <c r="S32" s="53"/>
    </row>
    <row r="33" spans="1:19" ht="25.2" customHeight="1" x14ac:dyDescent="0.4">
      <c r="A33" s="392"/>
      <c r="B33" s="393"/>
      <c r="C33" s="394"/>
      <c r="D33" s="398" t="s">
        <v>130</v>
      </c>
      <c r="E33" s="399"/>
      <c r="F33" s="400"/>
      <c r="G33" s="401"/>
      <c r="H33" s="401"/>
      <c r="I33" s="401"/>
      <c r="J33" s="401"/>
      <c r="K33" s="401"/>
      <c r="L33" s="401"/>
      <c r="M33" s="402"/>
      <c r="N33" s="51" t="s">
        <v>187</v>
      </c>
      <c r="O33" s="52"/>
      <c r="P33" s="52"/>
      <c r="Q33" s="52"/>
      <c r="R33" s="52"/>
      <c r="S33" s="53"/>
    </row>
    <row r="34" spans="1:19" ht="25.2" customHeight="1" x14ac:dyDescent="0.4">
      <c r="A34" s="392"/>
      <c r="B34" s="393"/>
      <c r="C34" s="394"/>
      <c r="D34" s="398" t="s">
        <v>189</v>
      </c>
      <c r="E34" s="399"/>
      <c r="F34" s="400"/>
      <c r="G34" s="401"/>
      <c r="H34" s="401"/>
      <c r="I34" s="401"/>
      <c r="J34" s="401"/>
      <c r="K34" s="401"/>
      <c r="L34" s="401"/>
      <c r="M34" s="402"/>
      <c r="N34" s="51" t="s">
        <v>187</v>
      </c>
      <c r="O34" s="52"/>
      <c r="P34" s="52"/>
      <c r="Q34" s="52"/>
      <c r="R34" s="52"/>
      <c r="S34" s="53"/>
    </row>
    <row r="35" spans="1:19" ht="25.2" customHeight="1" x14ac:dyDescent="0.4">
      <c r="A35" s="395"/>
      <c r="B35" s="396"/>
      <c r="C35" s="397"/>
      <c r="D35" s="398" t="s">
        <v>190</v>
      </c>
      <c r="E35" s="399"/>
      <c r="F35" s="400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714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58" t="s">
        <v>17</v>
      </c>
      <c r="C6" s="93" t="s">
        <v>678</v>
      </c>
      <c r="D6" s="94" t="s">
        <v>393</v>
      </c>
      <c r="E6" s="94" t="s">
        <v>191</v>
      </c>
      <c r="F6" s="41">
        <v>1.3</v>
      </c>
      <c r="G6" s="94" t="s">
        <v>196</v>
      </c>
      <c r="H6" s="95" t="s">
        <v>679</v>
      </c>
      <c r="I6" s="54" t="s">
        <v>176</v>
      </c>
      <c r="J6" s="41">
        <v>4</v>
      </c>
      <c r="K6" s="41">
        <v>4</v>
      </c>
      <c r="L6" s="41">
        <v>16</v>
      </c>
      <c r="M6" s="57" t="s">
        <v>680</v>
      </c>
      <c r="N6" s="41">
        <v>1</v>
      </c>
      <c r="O6" s="41">
        <v>3</v>
      </c>
      <c r="P6" s="41">
        <v>3</v>
      </c>
      <c r="Q6" s="41" t="s">
        <v>270</v>
      </c>
      <c r="R6" s="41" t="s">
        <v>677</v>
      </c>
      <c r="S6" s="41" t="s">
        <v>271</v>
      </c>
    </row>
    <row r="7" spans="1:19" ht="52.95" customHeight="1" x14ac:dyDescent="0.4">
      <c r="A7" s="2">
        <v>2</v>
      </c>
      <c r="B7" s="58" t="s">
        <v>17</v>
      </c>
      <c r="C7" s="93" t="s">
        <v>681</v>
      </c>
      <c r="D7" s="94" t="s">
        <v>393</v>
      </c>
      <c r="E7" s="94" t="s">
        <v>191</v>
      </c>
      <c r="F7" s="41">
        <v>1.4</v>
      </c>
      <c r="G7" s="94" t="s">
        <v>682</v>
      </c>
      <c r="H7" s="95" t="s">
        <v>683</v>
      </c>
      <c r="I7" s="54" t="s">
        <v>176</v>
      </c>
      <c r="J7" s="41">
        <v>2</v>
      </c>
      <c r="K7" s="41">
        <v>2</v>
      </c>
      <c r="L7" s="41">
        <v>4</v>
      </c>
      <c r="M7" s="57" t="s">
        <v>684</v>
      </c>
      <c r="N7" s="41">
        <v>1</v>
      </c>
      <c r="O7" s="41">
        <v>2</v>
      </c>
      <c r="P7" s="41">
        <v>2</v>
      </c>
      <c r="Q7" s="79"/>
      <c r="R7" s="79"/>
      <c r="S7" s="79"/>
    </row>
    <row r="8" spans="1:19" ht="52.95" customHeight="1" x14ac:dyDescent="0.4">
      <c r="A8" s="61">
        <v>3</v>
      </c>
      <c r="B8" s="58" t="s">
        <v>17</v>
      </c>
      <c r="C8" s="93" t="s">
        <v>685</v>
      </c>
      <c r="D8" s="96" t="s">
        <v>686</v>
      </c>
      <c r="E8" s="96" t="s">
        <v>191</v>
      </c>
      <c r="F8" s="41">
        <v>7.1</v>
      </c>
      <c r="G8" s="96" t="s">
        <v>415</v>
      </c>
      <c r="H8" s="95" t="s">
        <v>687</v>
      </c>
      <c r="I8" s="54" t="s">
        <v>688</v>
      </c>
      <c r="J8" s="41">
        <v>3</v>
      </c>
      <c r="K8" s="41">
        <v>2</v>
      </c>
      <c r="L8" s="41">
        <v>6</v>
      </c>
      <c r="M8" s="57" t="s">
        <v>689</v>
      </c>
      <c r="N8" s="41">
        <v>1</v>
      </c>
      <c r="O8" s="41">
        <v>2</v>
      </c>
      <c r="P8" s="41">
        <v>2</v>
      </c>
      <c r="Q8" s="79"/>
      <c r="R8" s="79"/>
      <c r="S8" s="79"/>
    </row>
    <row r="9" spans="1:19" ht="52.95" customHeight="1" x14ac:dyDescent="0.4">
      <c r="A9" s="2">
        <v>4</v>
      </c>
      <c r="B9" s="58" t="s">
        <v>227</v>
      </c>
      <c r="C9" s="93" t="s">
        <v>690</v>
      </c>
      <c r="D9" s="94" t="s">
        <v>691</v>
      </c>
      <c r="E9" s="94" t="s">
        <v>191</v>
      </c>
      <c r="F9" s="41">
        <v>5.5</v>
      </c>
      <c r="G9" s="94" t="s">
        <v>78</v>
      </c>
      <c r="H9" s="95" t="s">
        <v>692</v>
      </c>
      <c r="I9" s="54" t="s">
        <v>296</v>
      </c>
      <c r="J9" s="41">
        <v>3</v>
      </c>
      <c r="K9" s="41">
        <v>2</v>
      </c>
      <c r="L9" s="41">
        <v>6</v>
      </c>
      <c r="M9" s="57" t="s">
        <v>693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52.95" customHeight="1" x14ac:dyDescent="0.4">
      <c r="A10" s="61">
        <v>5</v>
      </c>
      <c r="B10" s="58" t="s">
        <v>227</v>
      </c>
      <c r="C10" s="93" t="s">
        <v>694</v>
      </c>
      <c r="D10" s="94" t="s">
        <v>695</v>
      </c>
      <c r="E10" s="94" t="s">
        <v>191</v>
      </c>
      <c r="F10" s="41">
        <v>1.5</v>
      </c>
      <c r="G10" s="94" t="s">
        <v>696</v>
      </c>
      <c r="H10" s="95" t="s">
        <v>697</v>
      </c>
      <c r="I10" s="54" t="s">
        <v>698</v>
      </c>
      <c r="J10" s="41">
        <v>2</v>
      </c>
      <c r="K10" s="41">
        <v>2</v>
      </c>
      <c r="L10" s="41">
        <v>4</v>
      </c>
      <c r="M10" s="57" t="s">
        <v>699</v>
      </c>
      <c r="N10" s="41">
        <v>1</v>
      </c>
      <c r="O10" s="41">
        <v>3</v>
      </c>
      <c r="P10" s="41">
        <v>3</v>
      </c>
      <c r="Q10" s="79"/>
      <c r="R10" s="79"/>
      <c r="S10" s="79"/>
    </row>
    <row r="11" spans="1:19" ht="52.95" customHeight="1" x14ac:dyDescent="0.4">
      <c r="A11" s="2">
        <v>6</v>
      </c>
      <c r="B11" s="58" t="s">
        <v>228</v>
      </c>
      <c r="C11" s="93" t="s">
        <v>700</v>
      </c>
      <c r="D11" s="94" t="s">
        <v>193</v>
      </c>
      <c r="E11" s="94" t="s">
        <v>191</v>
      </c>
      <c r="F11" s="41">
        <v>2.1</v>
      </c>
      <c r="G11" s="94" t="s">
        <v>701</v>
      </c>
      <c r="H11" s="95" t="s">
        <v>702</v>
      </c>
      <c r="I11" s="54" t="s">
        <v>296</v>
      </c>
      <c r="J11" s="41">
        <v>2</v>
      </c>
      <c r="K11" s="41">
        <v>3</v>
      </c>
      <c r="L11" s="41">
        <v>6</v>
      </c>
      <c r="M11" s="57" t="s">
        <v>703</v>
      </c>
      <c r="N11" s="41">
        <v>1</v>
      </c>
      <c r="O11" s="41">
        <v>3</v>
      </c>
      <c r="P11" s="41">
        <v>3</v>
      </c>
      <c r="Q11" s="79"/>
      <c r="R11" s="79"/>
      <c r="S11" s="79"/>
    </row>
    <row r="12" spans="1:19" ht="52.95" customHeight="1" x14ac:dyDescent="0.4">
      <c r="A12" s="61">
        <v>7</v>
      </c>
      <c r="B12" s="58" t="s">
        <v>228</v>
      </c>
      <c r="C12" s="93" t="s">
        <v>704</v>
      </c>
      <c r="D12" s="94" t="s">
        <v>691</v>
      </c>
      <c r="E12" s="96" t="s">
        <v>191</v>
      </c>
      <c r="F12" s="41">
        <v>5.5</v>
      </c>
      <c r="G12" s="74" t="s">
        <v>78</v>
      </c>
      <c r="H12" s="95" t="s">
        <v>692</v>
      </c>
      <c r="I12" s="54" t="s">
        <v>296</v>
      </c>
      <c r="J12" s="41">
        <v>3</v>
      </c>
      <c r="K12" s="41">
        <v>2</v>
      </c>
      <c r="L12" s="41">
        <v>6</v>
      </c>
      <c r="M12" s="57" t="s">
        <v>693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52.95" customHeight="1" x14ac:dyDescent="0.4">
      <c r="A13" s="2">
        <v>8</v>
      </c>
      <c r="B13" s="58" t="s">
        <v>203</v>
      </c>
      <c r="C13" s="93" t="s">
        <v>705</v>
      </c>
      <c r="D13" s="94" t="s">
        <v>706</v>
      </c>
      <c r="E13" s="94" t="s">
        <v>191</v>
      </c>
      <c r="F13" s="41">
        <v>1.1000000000000001</v>
      </c>
      <c r="G13" s="94" t="s">
        <v>707</v>
      </c>
      <c r="H13" s="95" t="s">
        <v>708</v>
      </c>
      <c r="I13" s="54" t="s">
        <v>709</v>
      </c>
      <c r="J13" s="41">
        <v>2</v>
      </c>
      <c r="K13" s="41">
        <v>3</v>
      </c>
      <c r="L13" s="41">
        <v>6</v>
      </c>
      <c r="M13" s="57" t="s">
        <v>710</v>
      </c>
      <c r="N13" s="41">
        <v>1</v>
      </c>
      <c r="O13" s="41">
        <v>1</v>
      </c>
      <c r="P13" s="41">
        <v>1</v>
      </c>
      <c r="Q13" s="79"/>
      <c r="R13" s="79"/>
      <c r="S13" s="79"/>
    </row>
    <row r="14" spans="1:19" ht="52.95" customHeight="1" x14ac:dyDescent="0.4">
      <c r="A14" s="61">
        <v>9</v>
      </c>
      <c r="B14" s="58" t="s">
        <v>203</v>
      </c>
      <c r="C14" s="93" t="s">
        <v>711</v>
      </c>
      <c r="D14" s="94" t="s">
        <v>706</v>
      </c>
      <c r="E14" s="94" t="s">
        <v>191</v>
      </c>
      <c r="F14" s="41">
        <v>1.4</v>
      </c>
      <c r="G14" s="94" t="s">
        <v>682</v>
      </c>
      <c r="H14" s="95" t="s">
        <v>712</v>
      </c>
      <c r="I14" s="54" t="s">
        <v>709</v>
      </c>
      <c r="J14" s="41">
        <v>2</v>
      </c>
      <c r="K14" s="41">
        <v>3</v>
      </c>
      <c r="L14" s="41">
        <v>6</v>
      </c>
      <c r="M14" s="57" t="s">
        <v>713</v>
      </c>
      <c r="N14" s="41">
        <v>1</v>
      </c>
      <c r="O14" s="41">
        <v>3</v>
      </c>
      <c r="P14" s="41">
        <v>3</v>
      </c>
      <c r="Q14" s="88"/>
      <c r="R14" s="79"/>
      <c r="S14" s="79"/>
    </row>
    <row r="15" spans="1:19" ht="25.2" customHeight="1" x14ac:dyDescent="0.4">
      <c r="A15" s="389" t="s">
        <v>185</v>
      </c>
      <c r="B15" s="390"/>
      <c r="C15" s="391"/>
      <c r="D15" s="398" t="s">
        <v>186</v>
      </c>
      <c r="E15" s="399"/>
      <c r="F15" s="400"/>
      <c r="G15" s="401"/>
      <c r="H15" s="401"/>
      <c r="I15" s="401"/>
      <c r="J15" s="401"/>
      <c r="K15" s="401"/>
      <c r="L15" s="401"/>
      <c r="M15" s="402"/>
      <c r="N15" s="51" t="s">
        <v>187</v>
      </c>
      <c r="O15" s="52"/>
      <c r="P15" s="52"/>
      <c r="Q15" s="52"/>
      <c r="R15" s="52"/>
      <c r="S15" s="53"/>
    </row>
    <row r="16" spans="1:19" ht="25.2" customHeight="1" x14ac:dyDescent="0.4">
      <c r="A16" s="392"/>
      <c r="B16" s="393"/>
      <c r="C16" s="394"/>
      <c r="D16" s="398" t="s">
        <v>188</v>
      </c>
      <c r="E16" s="399"/>
      <c r="F16" s="400"/>
      <c r="G16" s="401"/>
      <c r="H16" s="401"/>
      <c r="I16" s="401"/>
      <c r="J16" s="401"/>
      <c r="K16" s="401"/>
      <c r="L16" s="401"/>
      <c r="M16" s="402"/>
      <c r="N16" s="51" t="s">
        <v>187</v>
      </c>
      <c r="O16" s="52"/>
      <c r="P16" s="52"/>
      <c r="Q16" s="52"/>
      <c r="R16" s="52"/>
      <c r="S16" s="53"/>
    </row>
    <row r="17" spans="1:19" ht="25.2" customHeight="1" x14ac:dyDescent="0.4">
      <c r="A17" s="392"/>
      <c r="B17" s="393"/>
      <c r="C17" s="394"/>
      <c r="D17" s="398" t="s">
        <v>130</v>
      </c>
      <c r="E17" s="399"/>
      <c r="F17" s="400"/>
      <c r="G17" s="401"/>
      <c r="H17" s="401"/>
      <c r="I17" s="401"/>
      <c r="J17" s="401"/>
      <c r="K17" s="401"/>
      <c r="L17" s="401"/>
      <c r="M17" s="402"/>
      <c r="N17" s="51" t="s">
        <v>187</v>
      </c>
      <c r="O17" s="52"/>
      <c r="P17" s="52"/>
      <c r="Q17" s="52"/>
      <c r="R17" s="52"/>
      <c r="S17" s="53"/>
    </row>
    <row r="18" spans="1:19" ht="25.2" customHeight="1" x14ac:dyDescent="0.4">
      <c r="A18" s="392"/>
      <c r="B18" s="393"/>
      <c r="C18" s="394"/>
      <c r="D18" s="398" t="s">
        <v>189</v>
      </c>
      <c r="E18" s="399"/>
      <c r="F18" s="400"/>
      <c r="G18" s="401"/>
      <c r="H18" s="401"/>
      <c r="I18" s="401"/>
      <c r="J18" s="401"/>
      <c r="K18" s="401"/>
      <c r="L18" s="401"/>
      <c r="M18" s="402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395"/>
      <c r="B19" s="396"/>
      <c r="C19" s="397"/>
      <c r="D19" s="398" t="s">
        <v>190</v>
      </c>
      <c r="E19" s="399"/>
      <c r="F19" s="400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S33"/>
  <sheetViews>
    <sheetView showGridLines="0" view="pageBreakPreview" topLeftCell="A10" zoomScale="85" zoomScaleNormal="70" zoomScaleSheetLayoutView="85" workbookViewId="0">
      <selection activeCell="C17" sqref="C17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945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715</v>
      </c>
      <c r="D6" s="41" t="s">
        <v>496</v>
      </c>
      <c r="E6" s="41" t="s">
        <v>280</v>
      </c>
      <c r="F6" s="41">
        <v>1.3</v>
      </c>
      <c r="G6" s="86" t="s">
        <v>716</v>
      </c>
      <c r="H6" s="57" t="s">
        <v>717</v>
      </c>
      <c r="I6" s="54" t="s">
        <v>718</v>
      </c>
      <c r="J6" s="41">
        <v>2</v>
      </c>
      <c r="K6" s="41">
        <v>3</v>
      </c>
      <c r="L6" s="41">
        <f t="shared" ref="L6:L21" si="0">J6*K6</f>
        <v>6</v>
      </c>
      <c r="M6" s="87" t="s">
        <v>719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948</v>
      </c>
      <c r="S6" s="41" t="s">
        <v>271</v>
      </c>
    </row>
    <row r="7" spans="1:19" ht="52.95" customHeight="1" x14ac:dyDescent="0.4">
      <c r="A7" s="2">
        <v>2</v>
      </c>
      <c r="B7" s="80" t="s">
        <v>17</v>
      </c>
      <c r="C7" s="85" t="s">
        <v>720</v>
      </c>
      <c r="D7" s="41" t="s">
        <v>721</v>
      </c>
      <c r="E7" s="41" t="s">
        <v>280</v>
      </c>
      <c r="F7" s="41">
        <v>1.3</v>
      </c>
      <c r="G7" s="87" t="s">
        <v>716</v>
      </c>
      <c r="H7" s="101" t="s">
        <v>722</v>
      </c>
      <c r="I7" s="54" t="s">
        <v>718</v>
      </c>
      <c r="J7" s="41">
        <v>2</v>
      </c>
      <c r="K7" s="41">
        <v>3</v>
      </c>
      <c r="L7" s="41">
        <f t="shared" si="0"/>
        <v>6</v>
      </c>
      <c r="M7" s="87" t="s">
        <v>723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724</v>
      </c>
      <c r="D8" s="41" t="s">
        <v>280</v>
      </c>
      <c r="E8" s="41" t="s">
        <v>280</v>
      </c>
      <c r="F8" s="41">
        <v>4.0999999999999996</v>
      </c>
      <c r="G8" s="87" t="s">
        <v>725</v>
      </c>
      <c r="H8" s="101" t="s">
        <v>726</v>
      </c>
      <c r="I8" s="54" t="s">
        <v>727</v>
      </c>
      <c r="J8" s="41">
        <v>2</v>
      </c>
      <c r="K8" s="41">
        <v>2</v>
      </c>
      <c r="L8" s="41">
        <f t="shared" si="0"/>
        <v>4</v>
      </c>
      <c r="M8" s="87" t="s">
        <v>728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729</v>
      </c>
      <c r="D9" s="41" t="s">
        <v>280</v>
      </c>
      <c r="E9" s="41" t="s">
        <v>280</v>
      </c>
      <c r="F9" s="41">
        <v>4.2</v>
      </c>
      <c r="G9" s="87" t="s">
        <v>725</v>
      </c>
      <c r="H9" s="101" t="s">
        <v>730</v>
      </c>
      <c r="I9" s="54" t="s">
        <v>727</v>
      </c>
      <c r="J9" s="41">
        <v>2</v>
      </c>
      <c r="K9" s="41">
        <v>2</v>
      </c>
      <c r="L9" s="41">
        <f t="shared" si="0"/>
        <v>4</v>
      </c>
      <c r="M9" s="87" t="s">
        <v>731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732</v>
      </c>
      <c r="D10" s="41" t="s">
        <v>570</v>
      </c>
      <c r="E10" s="41" t="s">
        <v>280</v>
      </c>
      <c r="F10" s="41">
        <v>3.4</v>
      </c>
      <c r="G10" s="87" t="s">
        <v>733</v>
      </c>
      <c r="H10" s="101" t="s">
        <v>734</v>
      </c>
      <c r="I10" s="54" t="s">
        <v>735</v>
      </c>
      <c r="J10" s="41">
        <v>3</v>
      </c>
      <c r="K10" s="41">
        <v>1</v>
      </c>
      <c r="L10" s="41">
        <f t="shared" si="0"/>
        <v>3</v>
      </c>
      <c r="M10" s="87" t="s">
        <v>736</v>
      </c>
      <c r="N10" s="76">
        <v>1</v>
      </c>
      <c r="O10" s="76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737</v>
      </c>
      <c r="D11" s="41" t="s">
        <v>738</v>
      </c>
      <c r="E11" s="41" t="s">
        <v>280</v>
      </c>
      <c r="F11" s="41">
        <v>1.3</v>
      </c>
      <c r="G11" s="87" t="s">
        <v>716</v>
      </c>
      <c r="H11" s="101" t="s">
        <v>739</v>
      </c>
      <c r="I11" s="54" t="s">
        <v>735</v>
      </c>
      <c r="J11" s="41">
        <v>2</v>
      </c>
      <c r="K11" s="41">
        <v>3</v>
      </c>
      <c r="L11" s="41">
        <f t="shared" si="0"/>
        <v>6</v>
      </c>
      <c r="M11" s="87" t="s">
        <v>740</v>
      </c>
      <c r="N11" s="76">
        <v>2</v>
      </c>
      <c r="O11" s="76">
        <v>1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741</v>
      </c>
      <c r="D12" s="41" t="s">
        <v>570</v>
      </c>
      <c r="E12" s="41" t="s">
        <v>280</v>
      </c>
      <c r="F12" s="41">
        <v>7.3</v>
      </c>
      <c r="G12" s="87" t="s">
        <v>742</v>
      </c>
      <c r="H12" s="101" t="s">
        <v>743</v>
      </c>
      <c r="I12" s="54" t="s">
        <v>735</v>
      </c>
      <c r="J12" s="41">
        <v>3</v>
      </c>
      <c r="K12" s="41">
        <v>1</v>
      </c>
      <c r="L12" s="41">
        <f t="shared" si="0"/>
        <v>3</v>
      </c>
      <c r="M12" s="87" t="s">
        <v>744</v>
      </c>
      <c r="N12" s="76">
        <v>2</v>
      </c>
      <c r="O12" s="76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745</v>
      </c>
      <c r="D13" s="41" t="s">
        <v>570</v>
      </c>
      <c r="E13" s="41" t="s">
        <v>280</v>
      </c>
      <c r="F13" s="41">
        <v>3.4</v>
      </c>
      <c r="G13" s="87" t="s">
        <v>733</v>
      </c>
      <c r="H13" s="101" t="s">
        <v>746</v>
      </c>
      <c r="I13" s="54" t="s">
        <v>735</v>
      </c>
      <c r="J13" s="41">
        <v>2</v>
      </c>
      <c r="K13" s="41">
        <v>2</v>
      </c>
      <c r="L13" s="41">
        <f t="shared" si="0"/>
        <v>4</v>
      </c>
      <c r="M13" s="87" t="s">
        <v>747</v>
      </c>
      <c r="N13" s="76">
        <v>1</v>
      </c>
      <c r="O13" s="76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748</v>
      </c>
      <c r="D14" s="41" t="s">
        <v>749</v>
      </c>
      <c r="E14" s="41" t="s">
        <v>280</v>
      </c>
      <c r="F14" s="41">
        <v>1.3</v>
      </c>
      <c r="G14" s="87" t="s">
        <v>716</v>
      </c>
      <c r="H14" s="101" t="s">
        <v>750</v>
      </c>
      <c r="I14" s="54" t="s">
        <v>751</v>
      </c>
      <c r="J14" s="41">
        <v>2</v>
      </c>
      <c r="K14" s="41">
        <v>2</v>
      </c>
      <c r="L14" s="41">
        <f t="shared" si="0"/>
        <v>4</v>
      </c>
      <c r="M14" s="87" t="s">
        <v>752</v>
      </c>
      <c r="N14" s="82">
        <v>1</v>
      </c>
      <c r="O14" s="82">
        <v>3</v>
      </c>
      <c r="P14" s="41">
        <f t="shared" si="1"/>
        <v>3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753</v>
      </c>
      <c r="D15" s="41" t="s">
        <v>754</v>
      </c>
      <c r="E15" s="41" t="s">
        <v>280</v>
      </c>
      <c r="F15" s="41">
        <v>1.1000000000000001</v>
      </c>
      <c r="G15" s="87" t="s">
        <v>716</v>
      </c>
      <c r="H15" s="101" t="s">
        <v>755</v>
      </c>
      <c r="I15" s="54" t="s">
        <v>735</v>
      </c>
      <c r="J15" s="41">
        <v>3</v>
      </c>
      <c r="K15" s="41">
        <v>1</v>
      </c>
      <c r="L15" s="41">
        <f t="shared" si="0"/>
        <v>3</v>
      </c>
      <c r="M15" s="87" t="s">
        <v>756</v>
      </c>
      <c r="N15" s="76">
        <v>2</v>
      </c>
      <c r="O15" s="76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757</v>
      </c>
      <c r="D16" s="41" t="s">
        <v>754</v>
      </c>
      <c r="E16" s="41" t="s">
        <v>280</v>
      </c>
      <c r="F16" s="41">
        <v>5.5</v>
      </c>
      <c r="G16" s="87" t="s">
        <v>758</v>
      </c>
      <c r="H16" s="101" t="s">
        <v>759</v>
      </c>
      <c r="I16" s="54" t="s">
        <v>760</v>
      </c>
      <c r="J16" s="41">
        <v>3</v>
      </c>
      <c r="K16" s="41">
        <v>1</v>
      </c>
      <c r="L16" s="41">
        <f t="shared" si="0"/>
        <v>3</v>
      </c>
      <c r="M16" s="87" t="s">
        <v>761</v>
      </c>
      <c r="N16" s="82">
        <v>2</v>
      </c>
      <c r="O16" s="82">
        <v>1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762</v>
      </c>
      <c r="D17" s="41" t="s">
        <v>749</v>
      </c>
      <c r="E17" s="41" t="s">
        <v>280</v>
      </c>
      <c r="F17" s="41">
        <v>1.3</v>
      </c>
      <c r="G17" s="87" t="s">
        <v>716</v>
      </c>
      <c r="H17" s="101" t="s">
        <v>750</v>
      </c>
      <c r="I17" s="54" t="s">
        <v>751</v>
      </c>
      <c r="J17" s="41">
        <v>2</v>
      </c>
      <c r="K17" s="41">
        <v>2</v>
      </c>
      <c r="L17" s="41">
        <f t="shared" si="0"/>
        <v>4</v>
      </c>
      <c r="M17" s="87" t="s">
        <v>752</v>
      </c>
      <c r="N17" s="82">
        <v>1</v>
      </c>
      <c r="O17" s="82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763</v>
      </c>
      <c r="D18" s="41" t="s">
        <v>570</v>
      </c>
      <c r="E18" s="41" t="s">
        <v>280</v>
      </c>
      <c r="F18" s="41">
        <v>7.2</v>
      </c>
      <c r="G18" s="86" t="s">
        <v>742</v>
      </c>
      <c r="H18" s="101" t="s">
        <v>764</v>
      </c>
      <c r="I18" s="54" t="s">
        <v>765</v>
      </c>
      <c r="J18" s="41">
        <v>3</v>
      </c>
      <c r="K18" s="41">
        <v>1</v>
      </c>
      <c r="L18" s="41">
        <f t="shared" si="0"/>
        <v>3</v>
      </c>
      <c r="M18" s="86" t="s">
        <v>766</v>
      </c>
      <c r="N18" s="82">
        <v>2</v>
      </c>
      <c r="O18" s="82">
        <v>1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767</v>
      </c>
      <c r="D19" s="41" t="s">
        <v>570</v>
      </c>
      <c r="E19" s="41" t="s">
        <v>280</v>
      </c>
      <c r="F19" s="2">
        <v>3.4</v>
      </c>
      <c r="G19" s="97" t="s">
        <v>733</v>
      </c>
      <c r="H19" s="101" t="s">
        <v>768</v>
      </c>
      <c r="I19" s="98" t="s">
        <v>735</v>
      </c>
      <c r="J19" s="2">
        <v>3</v>
      </c>
      <c r="K19" s="41">
        <v>1</v>
      </c>
      <c r="L19" s="41">
        <f t="shared" si="0"/>
        <v>3</v>
      </c>
      <c r="M19" s="86" t="s">
        <v>769</v>
      </c>
      <c r="N19" s="82">
        <v>2</v>
      </c>
      <c r="O19" s="82">
        <v>1</v>
      </c>
      <c r="P19" s="41">
        <f t="shared" si="1"/>
        <v>2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770</v>
      </c>
      <c r="D20" s="41" t="s">
        <v>570</v>
      </c>
      <c r="E20" s="41" t="s">
        <v>280</v>
      </c>
      <c r="F20" s="41">
        <v>3.2</v>
      </c>
      <c r="G20" s="86" t="s">
        <v>733</v>
      </c>
      <c r="H20" s="101" t="s">
        <v>771</v>
      </c>
      <c r="I20" s="54" t="s">
        <v>735</v>
      </c>
      <c r="J20" s="41">
        <v>3</v>
      </c>
      <c r="K20" s="41">
        <v>1</v>
      </c>
      <c r="L20" s="41">
        <f t="shared" si="0"/>
        <v>3</v>
      </c>
      <c r="M20" s="86" t="s">
        <v>772</v>
      </c>
      <c r="N20" s="82">
        <v>2</v>
      </c>
      <c r="O20" s="82">
        <v>1</v>
      </c>
      <c r="P20" s="41">
        <f t="shared" si="1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1081</v>
      </c>
      <c r="D21" s="41" t="s">
        <v>280</v>
      </c>
      <c r="E21" s="41" t="s">
        <v>280</v>
      </c>
      <c r="F21" s="41">
        <v>3.3</v>
      </c>
      <c r="G21" s="87" t="s">
        <v>733</v>
      </c>
      <c r="H21" s="101" t="s">
        <v>774</v>
      </c>
      <c r="I21" s="54" t="s">
        <v>775</v>
      </c>
      <c r="J21" s="41">
        <v>3</v>
      </c>
      <c r="K21" s="41">
        <v>1</v>
      </c>
      <c r="L21" s="41">
        <f t="shared" si="0"/>
        <v>3</v>
      </c>
      <c r="M21" s="87" t="s">
        <v>776</v>
      </c>
      <c r="N21" s="82">
        <v>2</v>
      </c>
      <c r="O21" s="82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104">
        <v>17</v>
      </c>
      <c r="B22" s="80" t="s">
        <v>227</v>
      </c>
      <c r="C22" s="85" t="s">
        <v>777</v>
      </c>
      <c r="D22" s="41" t="s">
        <v>280</v>
      </c>
      <c r="E22" s="41" t="s">
        <v>280</v>
      </c>
      <c r="F22" s="41">
        <v>1.5</v>
      </c>
      <c r="G22" s="86" t="s">
        <v>716</v>
      </c>
      <c r="H22" s="57" t="s">
        <v>778</v>
      </c>
      <c r="I22" s="54" t="s">
        <v>735</v>
      </c>
      <c r="J22" s="41">
        <v>2</v>
      </c>
      <c r="K22" s="41">
        <v>2</v>
      </c>
      <c r="L22" s="41">
        <f>J22*K22</f>
        <v>4</v>
      </c>
      <c r="M22" s="86" t="s">
        <v>779</v>
      </c>
      <c r="N22" s="61">
        <v>2</v>
      </c>
      <c r="O22" s="61">
        <v>1</v>
      </c>
      <c r="P22" s="41">
        <f>N22*O22</f>
        <v>2</v>
      </c>
      <c r="Q22" s="88"/>
      <c r="R22" s="79"/>
      <c r="S22" s="79"/>
    </row>
    <row r="23" spans="1:19" ht="52.95" customHeight="1" x14ac:dyDescent="0.4">
      <c r="A23" s="104">
        <v>18</v>
      </c>
      <c r="B23" s="80" t="s">
        <v>563</v>
      </c>
      <c r="C23" s="113" t="s">
        <v>1066</v>
      </c>
      <c r="D23" s="113" t="s">
        <v>570</v>
      </c>
      <c r="E23" s="113" t="s">
        <v>1034</v>
      </c>
      <c r="F23" s="113">
        <v>3.4</v>
      </c>
      <c r="G23" s="113" t="s">
        <v>377</v>
      </c>
      <c r="H23" s="113" t="s">
        <v>1044</v>
      </c>
      <c r="I23" s="112" t="s">
        <v>1082</v>
      </c>
      <c r="J23" s="2">
        <v>2</v>
      </c>
      <c r="K23" s="2">
        <v>1</v>
      </c>
      <c r="L23" s="110">
        <f t="shared" ref="L23:L27" si="2">J23*K23</f>
        <v>2</v>
      </c>
      <c r="M23" s="74" t="s">
        <v>1084</v>
      </c>
      <c r="N23" s="2">
        <v>2</v>
      </c>
      <c r="O23" s="2">
        <v>1</v>
      </c>
      <c r="P23" s="110">
        <f t="shared" ref="P23:P27" si="3">N23*O23</f>
        <v>2</v>
      </c>
      <c r="Q23" s="41"/>
      <c r="R23" s="41"/>
      <c r="S23" s="41"/>
    </row>
    <row r="24" spans="1:19" ht="52.95" customHeight="1" x14ac:dyDescent="0.4">
      <c r="A24" s="104">
        <v>19</v>
      </c>
      <c r="B24" s="80"/>
      <c r="C24" s="113" t="s">
        <v>1067</v>
      </c>
      <c r="D24" s="113" t="s">
        <v>570</v>
      </c>
      <c r="E24" s="113" t="s">
        <v>1034</v>
      </c>
      <c r="F24" s="113">
        <v>3.4</v>
      </c>
      <c r="G24" s="113" t="s">
        <v>377</v>
      </c>
      <c r="H24" s="113" t="s">
        <v>1044</v>
      </c>
      <c r="I24" s="112" t="s">
        <v>1082</v>
      </c>
      <c r="J24" s="2">
        <v>2</v>
      </c>
      <c r="K24" s="2">
        <v>1</v>
      </c>
      <c r="L24" s="110">
        <f t="shared" si="2"/>
        <v>2</v>
      </c>
      <c r="M24" s="74" t="s">
        <v>1084</v>
      </c>
      <c r="N24" s="2">
        <v>2</v>
      </c>
      <c r="O24" s="2">
        <v>1</v>
      </c>
      <c r="P24" s="110">
        <f t="shared" si="3"/>
        <v>2</v>
      </c>
      <c r="Q24" s="41"/>
      <c r="R24" s="41"/>
      <c r="S24" s="41"/>
    </row>
    <row r="25" spans="1:19" ht="52.95" customHeight="1" x14ac:dyDescent="0.4">
      <c r="A25" s="104">
        <v>20</v>
      </c>
      <c r="B25" s="80"/>
      <c r="C25" s="113" t="s">
        <v>1068</v>
      </c>
      <c r="D25" s="113" t="s">
        <v>570</v>
      </c>
      <c r="E25" s="113" t="s">
        <v>1034</v>
      </c>
      <c r="F25" s="113">
        <v>2.1</v>
      </c>
      <c r="G25" s="113" t="s">
        <v>701</v>
      </c>
      <c r="H25" s="113" t="s">
        <v>1059</v>
      </c>
      <c r="I25" s="112" t="s">
        <v>1069</v>
      </c>
      <c r="J25" s="2">
        <v>2</v>
      </c>
      <c r="K25" s="2">
        <v>1</v>
      </c>
      <c r="L25" s="110">
        <f t="shared" si="2"/>
        <v>2</v>
      </c>
      <c r="M25" s="112" t="s">
        <v>1083</v>
      </c>
      <c r="N25" s="2">
        <v>2</v>
      </c>
      <c r="O25" s="2">
        <v>1</v>
      </c>
      <c r="P25" s="110">
        <f t="shared" si="3"/>
        <v>2</v>
      </c>
      <c r="Q25" s="41"/>
      <c r="R25" s="41"/>
      <c r="S25" s="41"/>
    </row>
    <row r="26" spans="1:19" ht="52.95" customHeight="1" x14ac:dyDescent="0.4">
      <c r="A26" s="104">
        <v>21</v>
      </c>
      <c r="B26" s="80" t="s">
        <v>203</v>
      </c>
      <c r="C26" s="113" t="s">
        <v>1070</v>
      </c>
      <c r="D26" s="113" t="s">
        <v>570</v>
      </c>
      <c r="E26" s="113" t="s">
        <v>1034</v>
      </c>
      <c r="F26" s="113">
        <v>1.4</v>
      </c>
      <c r="G26" s="113" t="s">
        <v>682</v>
      </c>
      <c r="H26" s="113" t="s">
        <v>1062</v>
      </c>
      <c r="I26" s="112" t="s">
        <v>1086</v>
      </c>
      <c r="J26" s="2">
        <v>2</v>
      </c>
      <c r="K26" s="2">
        <v>1</v>
      </c>
      <c r="L26" s="110">
        <f t="shared" si="2"/>
        <v>2</v>
      </c>
      <c r="M26" s="74" t="s">
        <v>1087</v>
      </c>
      <c r="N26" s="2">
        <v>1</v>
      </c>
      <c r="O26" s="2">
        <v>1</v>
      </c>
      <c r="P26" s="110">
        <f t="shared" si="3"/>
        <v>1</v>
      </c>
      <c r="Q26" s="41"/>
      <c r="R26" s="41"/>
      <c r="S26" s="41"/>
    </row>
    <row r="27" spans="1:19" ht="52.95" customHeight="1" x14ac:dyDescent="0.4">
      <c r="A27" s="104">
        <v>22</v>
      </c>
      <c r="B27" s="80"/>
      <c r="C27" s="113" t="s">
        <v>1063</v>
      </c>
      <c r="D27" s="113" t="s">
        <v>1064</v>
      </c>
      <c r="E27" s="113" t="s">
        <v>1034</v>
      </c>
      <c r="F27" s="113">
        <v>1.4</v>
      </c>
      <c r="G27" s="113" t="s">
        <v>682</v>
      </c>
      <c r="H27" s="113" t="s">
        <v>1065</v>
      </c>
      <c r="I27" s="112" t="s">
        <v>1086</v>
      </c>
      <c r="J27" s="2">
        <v>2</v>
      </c>
      <c r="K27" s="2">
        <v>1</v>
      </c>
      <c r="L27" s="110">
        <f t="shared" si="2"/>
        <v>2</v>
      </c>
      <c r="M27" s="74" t="s">
        <v>1087</v>
      </c>
      <c r="N27" s="2">
        <v>1</v>
      </c>
      <c r="O27" s="2">
        <v>1</v>
      </c>
      <c r="P27" s="110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389" t="s">
        <v>185</v>
      </c>
      <c r="B29" s="390"/>
      <c r="C29" s="391"/>
      <c r="D29" s="398" t="s">
        <v>186</v>
      </c>
      <c r="E29" s="399"/>
      <c r="F29" s="400"/>
      <c r="G29" s="401"/>
      <c r="H29" s="401"/>
      <c r="I29" s="401"/>
      <c r="J29" s="401"/>
      <c r="K29" s="401"/>
      <c r="L29" s="401"/>
      <c r="M29" s="402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188</v>
      </c>
      <c r="E30" s="399"/>
      <c r="F30" s="400"/>
      <c r="G30" s="401"/>
      <c r="H30" s="401"/>
      <c r="I30" s="401"/>
      <c r="J30" s="401"/>
      <c r="K30" s="401"/>
      <c r="L30" s="401"/>
      <c r="M30" s="402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130</v>
      </c>
      <c r="E31" s="399"/>
      <c r="F31" s="400"/>
      <c r="G31" s="401"/>
      <c r="H31" s="401"/>
      <c r="I31" s="401"/>
      <c r="J31" s="401"/>
      <c r="K31" s="401"/>
      <c r="L31" s="401"/>
      <c r="M31" s="402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189</v>
      </c>
      <c r="E32" s="399"/>
      <c r="F32" s="400"/>
      <c r="G32" s="401"/>
      <c r="H32" s="401"/>
      <c r="I32" s="401"/>
      <c r="J32" s="401"/>
      <c r="K32" s="401"/>
      <c r="L32" s="401"/>
      <c r="M32" s="402"/>
      <c r="N32" s="51" t="s">
        <v>187</v>
      </c>
      <c r="O32" s="52"/>
      <c r="P32" s="52"/>
      <c r="Q32" s="52"/>
      <c r="R32" s="52"/>
      <c r="S32" s="53"/>
    </row>
    <row r="33" spans="1:19" ht="25.2" customHeight="1" x14ac:dyDescent="0.4">
      <c r="A33" s="395"/>
      <c r="B33" s="396"/>
      <c r="C33" s="39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946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926</v>
      </c>
      <c r="D6" s="41" t="s">
        <v>496</v>
      </c>
      <c r="E6" s="41" t="s">
        <v>458</v>
      </c>
      <c r="F6" s="41">
        <v>1.3</v>
      </c>
      <c r="G6" s="86" t="s">
        <v>716</v>
      </c>
      <c r="H6" s="101" t="s">
        <v>717</v>
      </c>
      <c r="I6" s="54" t="s">
        <v>718</v>
      </c>
      <c r="J6" s="78">
        <v>2</v>
      </c>
      <c r="K6" s="78">
        <v>3</v>
      </c>
      <c r="L6" s="41">
        <f t="shared" ref="L6:L21" si="0">J6*K6</f>
        <v>6</v>
      </c>
      <c r="M6" s="87" t="s">
        <v>719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948</v>
      </c>
      <c r="S6" s="41" t="s">
        <v>271</v>
      </c>
    </row>
    <row r="7" spans="1:19" ht="52.95" customHeight="1" x14ac:dyDescent="0.4">
      <c r="A7" s="2">
        <v>2</v>
      </c>
      <c r="B7" s="80" t="s">
        <v>17</v>
      </c>
      <c r="C7" s="85" t="s">
        <v>927</v>
      </c>
      <c r="D7" s="41" t="s">
        <v>721</v>
      </c>
      <c r="E7" s="41" t="s">
        <v>458</v>
      </c>
      <c r="F7" s="41">
        <v>1.3</v>
      </c>
      <c r="G7" s="87" t="s">
        <v>716</v>
      </c>
      <c r="H7" s="101" t="s">
        <v>722</v>
      </c>
      <c r="I7" s="54" t="s">
        <v>718</v>
      </c>
      <c r="J7" s="78">
        <v>2</v>
      </c>
      <c r="K7" s="78">
        <v>3</v>
      </c>
      <c r="L7" s="41">
        <f t="shared" si="0"/>
        <v>6</v>
      </c>
      <c r="M7" s="87" t="s">
        <v>723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928</v>
      </c>
      <c r="D8" s="41" t="s">
        <v>458</v>
      </c>
      <c r="E8" s="41" t="s">
        <v>458</v>
      </c>
      <c r="F8" s="41">
        <v>4.0999999999999996</v>
      </c>
      <c r="G8" s="87" t="s">
        <v>725</v>
      </c>
      <c r="H8" s="101" t="s">
        <v>726</v>
      </c>
      <c r="I8" s="54" t="s">
        <v>727</v>
      </c>
      <c r="J8" s="81">
        <v>2</v>
      </c>
      <c r="K8" s="81">
        <v>2</v>
      </c>
      <c r="L8" s="41">
        <f t="shared" si="0"/>
        <v>4</v>
      </c>
      <c r="M8" s="87" t="s">
        <v>728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929</v>
      </c>
      <c r="D9" s="41" t="s">
        <v>458</v>
      </c>
      <c r="E9" s="41" t="s">
        <v>458</v>
      </c>
      <c r="F9" s="41">
        <v>4.2</v>
      </c>
      <c r="G9" s="87" t="s">
        <v>725</v>
      </c>
      <c r="H9" s="101" t="s">
        <v>730</v>
      </c>
      <c r="I9" s="54" t="s">
        <v>727</v>
      </c>
      <c r="J9" s="81">
        <v>2</v>
      </c>
      <c r="K9" s="81">
        <v>2</v>
      </c>
      <c r="L9" s="41">
        <f t="shared" si="0"/>
        <v>4</v>
      </c>
      <c r="M9" s="87" t="s">
        <v>731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930</v>
      </c>
      <c r="D10" s="41" t="s">
        <v>458</v>
      </c>
      <c r="E10" s="41" t="s">
        <v>458</v>
      </c>
      <c r="F10" s="41">
        <v>1.4</v>
      </c>
      <c r="G10" s="87" t="s">
        <v>716</v>
      </c>
      <c r="H10" s="101" t="s">
        <v>931</v>
      </c>
      <c r="I10" s="54" t="s">
        <v>735</v>
      </c>
      <c r="J10" s="81">
        <v>2</v>
      </c>
      <c r="K10" s="81">
        <v>2</v>
      </c>
      <c r="L10" s="41">
        <f t="shared" si="0"/>
        <v>4</v>
      </c>
      <c r="M10" s="87" t="s">
        <v>932</v>
      </c>
      <c r="N10" s="76">
        <v>2</v>
      </c>
      <c r="O10" s="76">
        <v>1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933</v>
      </c>
      <c r="D11" s="41" t="s">
        <v>570</v>
      </c>
      <c r="E11" s="41" t="s">
        <v>458</v>
      </c>
      <c r="F11" s="41">
        <v>3.4</v>
      </c>
      <c r="G11" s="87" t="s">
        <v>733</v>
      </c>
      <c r="H11" s="101" t="s">
        <v>734</v>
      </c>
      <c r="I11" s="54" t="s">
        <v>735</v>
      </c>
      <c r="J11" s="81">
        <v>3</v>
      </c>
      <c r="K11" s="81">
        <v>1</v>
      </c>
      <c r="L11" s="41">
        <f t="shared" si="0"/>
        <v>3</v>
      </c>
      <c r="M11" s="87" t="s">
        <v>736</v>
      </c>
      <c r="N11" s="76">
        <v>1</v>
      </c>
      <c r="O11" s="76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934</v>
      </c>
      <c r="D12" s="41" t="s">
        <v>738</v>
      </c>
      <c r="E12" s="41" t="s">
        <v>458</v>
      </c>
      <c r="F12" s="41">
        <v>1.3</v>
      </c>
      <c r="G12" s="87" t="s">
        <v>716</v>
      </c>
      <c r="H12" s="101" t="s">
        <v>739</v>
      </c>
      <c r="I12" s="54" t="s">
        <v>735</v>
      </c>
      <c r="J12" s="81">
        <v>2</v>
      </c>
      <c r="K12" s="81">
        <v>3</v>
      </c>
      <c r="L12" s="41">
        <f t="shared" si="0"/>
        <v>6</v>
      </c>
      <c r="M12" s="87" t="s">
        <v>740</v>
      </c>
      <c r="N12" s="76">
        <v>2</v>
      </c>
      <c r="O12" s="76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935</v>
      </c>
      <c r="D13" s="41" t="s">
        <v>570</v>
      </c>
      <c r="E13" s="41" t="s">
        <v>458</v>
      </c>
      <c r="F13" s="41">
        <v>7.3</v>
      </c>
      <c r="G13" s="87" t="s">
        <v>742</v>
      </c>
      <c r="H13" s="101" t="s">
        <v>743</v>
      </c>
      <c r="I13" s="54" t="s">
        <v>735</v>
      </c>
      <c r="J13" s="81">
        <v>3</v>
      </c>
      <c r="K13" s="81">
        <v>1</v>
      </c>
      <c r="L13" s="41">
        <f t="shared" si="0"/>
        <v>3</v>
      </c>
      <c r="M13" s="87" t="s">
        <v>744</v>
      </c>
      <c r="N13" s="76">
        <v>2</v>
      </c>
      <c r="O13" s="76">
        <v>1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936</v>
      </c>
      <c r="D14" s="41" t="s">
        <v>754</v>
      </c>
      <c r="E14" s="41" t="s">
        <v>458</v>
      </c>
      <c r="F14" s="41">
        <v>1.1000000000000001</v>
      </c>
      <c r="G14" s="87" t="s">
        <v>716</v>
      </c>
      <c r="H14" s="101" t="s">
        <v>937</v>
      </c>
      <c r="I14" s="54" t="s">
        <v>735</v>
      </c>
      <c r="J14" s="81">
        <v>3</v>
      </c>
      <c r="K14" s="81">
        <v>1</v>
      </c>
      <c r="L14" s="41">
        <f t="shared" si="0"/>
        <v>3</v>
      </c>
      <c r="M14" s="87" t="s">
        <v>756</v>
      </c>
      <c r="N14" s="76">
        <v>2</v>
      </c>
      <c r="O14" s="76">
        <v>1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938</v>
      </c>
      <c r="D15" s="41" t="s">
        <v>754</v>
      </c>
      <c r="E15" s="41" t="s">
        <v>458</v>
      </c>
      <c r="F15" s="41">
        <v>5.5</v>
      </c>
      <c r="G15" s="87" t="s">
        <v>758</v>
      </c>
      <c r="H15" s="101" t="s">
        <v>759</v>
      </c>
      <c r="I15" s="54" t="s">
        <v>760</v>
      </c>
      <c r="J15" s="83">
        <v>3</v>
      </c>
      <c r="K15" s="83">
        <v>1</v>
      </c>
      <c r="L15" s="41">
        <f t="shared" si="0"/>
        <v>3</v>
      </c>
      <c r="M15" s="87" t="s">
        <v>761</v>
      </c>
      <c r="N15" s="82">
        <v>2</v>
      </c>
      <c r="O15" s="82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939</v>
      </c>
      <c r="D16" s="41" t="s">
        <v>749</v>
      </c>
      <c r="E16" s="41" t="s">
        <v>458</v>
      </c>
      <c r="F16" s="41">
        <v>1.3</v>
      </c>
      <c r="G16" s="87" t="s">
        <v>716</v>
      </c>
      <c r="H16" s="101" t="s">
        <v>750</v>
      </c>
      <c r="I16" s="54" t="s">
        <v>751</v>
      </c>
      <c r="J16" s="83">
        <v>2</v>
      </c>
      <c r="K16" s="83">
        <v>2</v>
      </c>
      <c r="L16" s="41">
        <f t="shared" si="0"/>
        <v>4</v>
      </c>
      <c r="M16" s="87" t="s">
        <v>752</v>
      </c>
      <c r="N16" s="82">
        <v>1</v>
      </c>
      <c r="O16" s="82">
        <v>2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940</v>
      </c>
      <c r="D17" s="41" t="s">
        <v>570</v>
      </c>
      <c r="E17" s="41" t="s">
        <v>941</v>
      </c>
      <c r="F17" s="41">
        <v>5.4</v>
      </c>
      <c r="G17" s="87" t="s">
        <v>758</v>
      </c>
      <c r="H17" s="101" t="s">
        <v>942</v>
      </c>
      <c r="I17" s="54" t="s">
        <v>943</v>
      </c>
      <c r="J17" s="83">
        <v>3</v>
      </c>
      <c r="K17" s="83">
        <v>1</v>
      </c>
      <c r="L17" s="41">
        <f t="shared" si="0"/>
        <v>3</v>
      </c>
      <c r="M17" s="87" t="s">
        <v>944</v>
      </c>
      <c r="N17" s="82">
        <v>2</v>
      </c>
      <c r="O17" s="82">
        <v>1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767</v>
      </c>
      <c r="D18" s="41" t="s">
        <v>570</v>
      </c>
      <c r="E18" s="41" t="s">
        <v>458</v>
      </c>
      <c r="F18" s="41">
        <v>3.4</v>
      </c>
      <c r="G18" s="86" t="s">
        <v>733</v>
      </c>
      <c r="H18" s="101" t="s">
        <v>768</v>
      </c>
      <c r="I18" s="54" t="s">
        <v>735</v>
      </c>
      <c r="J18" s="83">
        <v>3</v>
      </c>
      <c r="K18" s="83">
        <v>1</v>
      </c>
      <c r="L18" s="41">
        <f t="shared" si="0"/>
        <v>3</v>
      </c>
      <c r="M18" s="86" t="s">
        <v>769</v>
      </c>
      <c r="N18" s="82">
        <v>2</v>
      </c>
      <c r="O18" s="82">
        <v>1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770</v>
      </c>
      <c r="D19" s="41" t="s">
        <v>570</v>
      </c>
      <c r="E19" s="41" t="s">
        <v>458</v>
      </c>
      <c r="F19" s="2">
        <v>3.2</v>
      </c>
      <c r="G19" s="97" t="s">
        <v>733</v>
      </c>
      <c r="H19" s="101" t="s">
        <v>771</v>
      </c>
      <c r="I19" s="98" t="s">
        <v>735</v>
      </c>
      <c r="J19" s="83">
        <v>3</v>
      </c>
      <c r="K19" s="83">
        <v>1</v>
      </c>
      <c r="L19" s="41">
        <f t="shared" si="0"/>
        <v>3</v>
      </c>
      <c r="M19" s="86" t="s">
        <v>772</v>
      </c>
      <c r="N19" s="82">
        <v>2</v>
      </c>
      <c r="O19" s="82">
        <v>1</v>
      </c>
      <c r="P19" s="41">
        <f t="shared" si="1"/>
        <v>2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773</v>
      </c>
      <c r="D20" s="41" t="s">
        <v>458</v>
      </c>
      <c r="E20" s="41" t="s">
        <v>925</v>
      </c>
      <c r="F20" s="41">
        <v>3.3</v>
      </c>
      <c r="G20" s="86" t="s">
        <v>733</v>
      </c>
      <c r="H20" s="101" t="s">
        <v>774</v>
      </c>
      <c r="I20" s="54" t="s">
        <v>775</v>
      </c>
      <c r="J20" s="83">
        <v>3</v>
      </c>
      <c r="K20" s="83">
        <v>1</v>
      </c>
      <c r="L20" s="41">
        <f t="shared" si="0"/>
        <v>3</v>
      </c>
      <c r="M20" s="86" t="s">
        <v>776</v>
      </c>
      <c r="N20" s="82">
        <v>2</v>
      </c>
      <c r="O20" s="82">
        <v>1</v>
      </c>
      <c r="P20" s="41">
        <f t="shared" si="1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777</v>
      </c>
      <c r="D21" s="41" t="s">
        <v>458</v>
      </c>
      <c r="E21" s="41" t="s">
        <v>458</v>
      </c>
      <c r="F21" s="41">
        <v>1.5</v>
      </c>
      <c r="G21" s="87" t="s">
        <v>716</v>
      </c>
      <c r="H21" s="101" t="s">
        <v>778</v>
      </c>
      <c r="I21" s="54" t="s">
        <v>735</v>
      </c>
      <c r="J21" s="83">
        <v>2</v>
      </c>
      <c r="K21" s="83">
        <v>2</v>
      </c>
      <c r="L21" s="41">
        <f t="shared" si="0"/>
        <v>4</v>
      </c>
      <c r="M21" s="87" t="s">
        <v>779</v>
      </c>
      <c r="N21" s="82">
        <v>2</v>
      </c>
      <c r="O21" s="82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228</v>
      </c>
      <c r="C22" s="85" t="s">
        <v>1682</v>
      </c>
      <c r="D22" s="41" t="s">
        <v>193</v>
      </c>
      <c r="E22" s="41" t="s">
        <v>280</v>
      </c>
      <c r="F22" s="41">
        <v>1.3</v>
      </c>
      <c r="G22" s="86" t="s">
        <v>53</v>
      </c>
      <c r="H22" s="62" t="s">
        <v>1683</v>
      </c>
      <c r="I22" s="54" t="s">
        <v>1684</v>
      </c>
      <c r="J22" s="41">
        <v>4</v>
      </c>
      <c r="K22" s="41">
        <v>4</v>
      </c>
      <c r="L22" s="41">
        <v>16</v>
      </c>
      <c r="M22" s="54" t="s">
        <v>1685</v>
      </c>
      <c r="N22" s="41">
        <v>2</v>
      </c>
      <c r="O22" s="41">
        <v>2</v>
      </c>
      <c r="P22" s="41">
        <v>4</v>
      </c>
      <c r="Q22" s="79" t="s">
        <v>180</v>
      </c>
      <c r="R22" s="79" t="s">
        <v>1686</v>
      </c>
      <c r="S22" s="79" t="s">
        <v>282</v>
      </c>
    </row>
    <row r="23" spans="1:19" ht="52.95" customHeight="1" x14ac:dyDescent="0.4">
      <c r="A23" s="2">
        <v>18</v>
      </c>
      <c r="B23" s="80" t="s">
        <v>228</v>
      </c>
      <c r="C23" s="85" t="s">
        <v>1658</v>
      </c>
      <c r="D23" s="41" t="s">
        <v>376</v>
      </c>
      <c r="E23" s="41" t="s">
        <v>280</v>
      </c>
      <c r="F23" s="41">
        <v>3.4</v>
      </c>
      <c r="G23" s="86" t="s">
        <v>377</v>
      </c>
      <c r="H23" s="62" t="s">
        <v>378</v>
      </c>
      <c r="I23" s="54" t="s">
        <v>1687</v>
      </c>
      <c r="J23" s="41">
        <v>2</v>
      </c>
      <c r="K23" s="41">
        <v>2</v>
      </c>
      <c r="L23" s="41">
        <v>4</v>
      </c>
      <c r="M23" s="54" t="s">
        <v>1688</v>
      </c>
      <c r="N23" s="41">
        <v>1</v>
      </c>
      <c r="O23" s="41">
        <v>1</v>
      </c>
      <c r="P23" s="41">
        <v>1</v>
      </c>
      <c r="Q23" s="79"/>
      <c r="R23" s="79"/>
      <c r="S23" s="79"/>
    </row>
    <row r="24" spans="1:19" ht="52.95" customHeight="1" x14ac:dyDescent="0.4">
      <c r="A24" s="2">
        <v>19</v>
      </c>
      <c r="B24" s="80" t="s">
        <v>203</v>
      </c>
      <c r="C24" s="85" t="s">
        <v>1689</v>
      </c>
      <c r="D24" s="41" t="s">
        <v>193</v>
      </c>
      <c r="E24" s="41" t="s">
        <v>280</v>
      </c>
      <c r="F24" s="41">
        <v>1.4</v>
      </c>
      <c r="G24" s="86" t="s">
        <v>54</v>
      </c>
      <c r="H24" s="62" t="s">
        <v>382</v>
      </c>
      <c r="I24" s="87" t="s">
        <v>383</v>
      </c>
      <c r="J24" s="41">
        <v>2</v>
      </c>
      <c r="K24" s="41">
        <v>2</v>
      </c>
      <c r="L24" s="41">
        <v>4</v>
      </c>
      <c r="M24" s="87" t="s">
        <v>384</v>
      </c>
      <c r="N24" s="41">
        <v>1</v>
      </c>
      <c r="O24" s="41">
        <v>1</v>
      </c>
      <c r="P24" s="41">
        <v>1</v>
      </c>
      <c r="Q24" s="79"/>
      <c r="R24" s="79"/>
      <c r="S24" s="79"/>
    </row>
    <row r="25" spans="1:19" ht="52.95" customHeight="1" x14ac:dyDescent="0.4">
      <c r="A25" s="2">
        <v>20</v>
      </c>
      <c r="B25" s="80" t="s">
        <v>203</v>
      </c>
      <c r="C25" s="85" t="s">
        <v>385</v>
      </c>
      <c r="D25" s="41" t="s">
        <v>386</v>
      </c>
      <c r="E25" s="41" t="s">
        <v>280</v>
      </c>
      <c r="F25" s="41">
        <v>1.4</v>
      </c>
      <c r="G25" s="86" t="s">
        <v>54</v>
      </c>
      <c r="H25" s="62" t="s">
        <v>387</v>
      </c>
      <c r="I25" s="54" t="s">
        <v>388</v>
      </c>
      <c r="J25" s="41">
        <v>2</v>
      </c>
      <c r="K25" s="41">
        <v>2</v>
      </c>
      <c r="L25" s="41">
        <v>4</v>
      </c>
      <c r="M25" s="87" t="s">
        <v>1690</v>
      </c>
      <c r="N25" s="41">
        <v>1</v>
      </c>
      <c r="O25" s="41">
        <v>1</v>
      </c>
      <c r="P25" s="41">
        <v>1</v>
      </c>
      <c r="Q25" s="79"/>
      <c r="R25" s="79"/>
      <c r="S25" s="79"/>
    </row>
    <row r="26" spans="1:19" ht="25.2" customHeight="1" x14ac:dyDescent="0.4">
      <c r="A26" s="389" t="s">
        <v>185</v>
      </c>
      <c r="B26" s="390"/>
      <c r="C26" s="391"/>
      <c r="D26" s="398" t="s">
        <v>186</v>
      </c>
      <c r="E26" s="399"/>
      <c r="F26" s="400"/>
      <c r="G26" s="401"/>
      <c r="H26" s="401"/>
      <c r="I26" s="401"/>
      <c r="J26" s="401"/>
      <c r="K26" s="401"/>
      <c r="L26" s="401"/>
      <c r="M26" s="402"/>
      <c r="N26" s="51" t="s">
        <v>187</v>
      </c>
      <c r="O26" s="52"/>
      <c r="P26" s="52"/>
      <c r="Q26" s="52"/>
      <c r="R26" s="52"/>
      <c r="S26" s="53"/>
    </row>
    <row r="27" spans="1:19" ht="25.2" customHeight="1" x14ac:dyDescent="0.4">
      <c r="A27" s="392"/>
      <c r="B27" s="393"/>
      <c r="C27" s="394"/>
      <c r="D27" s="398" t="s">
        <v>188</v>
      </c>
      <c r="E27" s="399"/>
      <c r="F27" s="400"/>
      <c r="G27" s="401"/>
      <c r="H27" s="401"/>
      <c r="I27" s="401"/>
      <c r="J27" s="401"/>
      <c r="K27" s="401"/>
      <c r="L27" s="401"/>
      <c r="M27" s="402"/>
      <c r="N27" s="51" t="s">
        <v>187</v>
      </c>
      <c r="O27" s="52"/>
      <c r="P27" s="52"/>
      <c r="Q27" s="52"/>
      <c r="R27" s="52"/>
      <c r="S27" s="53"/>
    </row>
    <row r="28" spans="1:19" ht="25.2" customHeight="1" x14ac:dyDescent="0.4">
      <c r="A28" s="392"/>
      <c r="B28" s="393"/>
      <c r="C28" s="394"/>
      <c r="D28" s="398" t="s">
        <v>130</v>
      </c>
      <c r="E28" s="399"/>
      <c r="F28" s="400"/>
      <c r="G28" s="401"/>
      <c r="H28" s="401"/>
      <c r="I28" s="401"/>
      <c r="J28" s="401"/>
      <c r="K28" s="401"/>
      <c r="L28" s="401"/>
      <c r="M28" s="402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392"/>
      <c r="B29" s="393"/>
      <c r="C29" s="394"/>
      <c r="D29" s="398" t="s">
        <v>189</v>
      </c>
      <c r="E29" s="399"/>
      <c r="F29" s="400"/>
      <c r="G29" s="401"/>
      <c r="H29" s="401"/>
      <c r="I29" s="401"/>
      <c r="J29" s="401"/>
      <c r="K29" s="401"/>
      <c r="L29" s="401"/>
      <c r="M29" s="402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395"/>
      <c r="B30" s="396"/>
      <c r="C30" s="397"/>
      <c r="D30" s="398" t="s">
        <v>190</v>
      </c>
      <c r="E30" s="399"/>
      <c r="F30" s="400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S38"/>
  <sheetViews>
    <sheetView showGridLines="0" view="pageBreakPreview" topLeftCell="C19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947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780</v>
      </c>
      <c r="D6" s="41" t="s">
        <v>496</v>
      </c>
      <c r="E6" s="41" t="s">
        <v>458</v>
      </c>
      <c r="F6" s="41">
        <v>1.3</v>
      </c>
      <c r="G6" s="86" t="s">
        <v>716</v>
      </c>
      <c r="H6" s="101" t="s">
        <v>781</v>
      </c>
      <c r="I6" s="77" t="s">
        <v>176</v>
      </c>
      <c r="J6" s="81">
        <v>2</v>
      </c>
      <c r="K6" s="81">
        <v>3</v>
      </c>
      <c r="L6" s="41">
        <f t="shared" ref="L6:L21" si="0">J6*K6</f>
        <v>6</v>
      </c>
      <c r="M6" s="77" t="s">
        <v>177</v>
      </c>
      <c r="N6" s="99">
        <v>1</v>
      </c>
      <c r="O6" s="99">
        <v>3</v>
      </c>
      <c r="P6" s="41">
        <f t="shared" ref="P6:P21" si="1">N6*O6</f>
        <v>3</v>
      </c>
      <c r="Q6" s="41" t="s">
        <v>270</v>
      </c>
      <c r="R6" s="41" t="s">
        <v>948</v>
      </c>
      <c r="S6" s="41" t="s">
        <v>271</v>
      </c>
    </row>
    <row r="7" spans="1:19" ht="52.95" customHeight="1" x14ac:dyDescent="0.4">
      <c r="A7" s="2">
        <v>2</v>
      </c>
      <c r="B7" s="80" t="s">
        <v>17</v>
      </c>
      <c r="C7" s="85" t="s">
        <v>782</v>
      </c>
      <c r="D7" s="41" t="s">
        <v>721</v>
      </c>
      <c r="E7" s="41" t="s">
        <v>458</v>
      </c>
      <c r="F7" s="41">
        <v>1.3</v>
      </c>
      <c r="G7" s="87" t="s">
        <v>716</v>
      </c>
      <c r="H7" s="101" t="s">
        <v>783</v>
      </c>
      <c r="I7" s="77" t="s">
        <v>176</v>
      </c>
      <c r="J7" s="81">
        <v>2</v>
      </c>
      <c r="K7" s="81">
        <v>3</v>
      </c>
      <c r="L7" s="41">
        <f t="shared" si="0"/>
        <v>6</v>
      </c>
      <c r="M7" s="77" t="s">
        <v>784</v>
      </c>
      <c r="N7" s="99">
        <v>2</v>
      </c>
      <c r="O7" s="99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785</v>
      </c>
      <c r="D8" s="41" t="s">
        <v>458</v>
      </c>
      <c r="E8" s="41" t="s">
        <v>458</v>
      </c>
      <c r="F8" s="41">
        <v>4.0999999999999996</v>
      </c>
      <c r="G8" s="87" t="s">
        <v>725</v>
      </c>
      <c r="H8" s="101" t="s">
        <v>786</v>
      </c>
      <c r="I8" s="77" t="s">
        <v>787</v>
      </c>
      <c r="J8" s="81">
        <v>2</v>
      </c>
      <c r="K8" s="81">
        <v>2</v>
      </c>
      <c r="L8" s="41">
        <f t="shared" si="0"/>
        <v>4</v>
      </c>
      <c r="M8" s="77" t="s">
        <v>788</v>
      </c>
      <c r="N8" s="99">
        <v>2</v>
      </c>
      <c r="O8" s="99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789</v>
      </c>
      <c r="D9" s="41" t="s">
        <v>458</v>
      </c>
      <c r="E9" s="41" t="s">
        <v>458</v>
      </c>
      <c r="F9" s="41">
        <v>4.2</v>
      </c>
      <c r="G9" s="87" t="s">
        <v>725</v>
      </c>
      <c r="H9" s="101" t="s">
        <v>790</v>
      </c>
      <c r="I9" s="77" t="s">
        <v>787</v>
      </c>
      <c r="J9" s="81">
        <v>2</v>
      </c>
      <c r="K9" s="81">
        <v>2</v>
      </c>
      <c r="L9" s="41">
        <f t="shared" si="0"/>
        <v>4</v>
      </c>
      <c r="M9" s="77" t="s">
        <v>791</v>
      </c>
      <c r="N9" s="99">
        <v>2</v>
      </c>
      <c r="O9" s="99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792</v>
      </c>
      <c r="D10" s="41" t="s">
        <v>570</v>
      </c>
      <c r="E10" s="41" t="s">
        <v>793</v>
      </c>
      <c r="F10" s="41">
        <v>5.4</v>
      </c>
      <c r="G10" s="87" t="s">
        <v>758</v>
      </c>
      <c r="H10" s="101" t="s">
        <v>794</v>
      </c>
      <c r="I10" s="77" t="s">
        <v>795</v>
      </c>
      <c r="J10" s="81">
        <v>2</v>
      </c>
      <c r="K10" s="81">
        <v>2</v>
      </c>
      <c r="L10" s="41">
        <f t="shared" si="0"/>
        <v>4</v>
      </c>
      <c r="M10" s="77" t="s">
        <v>796</v>
      </c>
      <c r="N10" s="99">
        <v>1</v>
      </c>
      <c r="O10" s="99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797</v>
      </c>
      <c r="D11" s="41" t="s">
        <v>570</v>
      </c>
      <c r="E11" s="41" t="s">
        <v>793</v>
      </c>
      <c r="F11" s="41">
        <v>5.5</v>
      </c>
      <c r="G11" s="87" t="s">
        <v>758</v>
      </c>
      <c r="H11" s="101" t="s">
        <v>798</v>
      </c>
      <c r="I11" s="77" t="s">
        <v>795</v>
      </c>
      <c r="J11" s="81">
        <v>2</v>
      </c>
      <c r="K11" s="81">
        <v>2</v>
      </c>
      <c r="L11" s="41">
        <f t="shared" si="0"/>
        <v>4</v>
      </c>
      <c r="M11" s="77" t="s">
        <v>796</v>
      </c>
      <c r="N11" s="99">
        <v>1</v>
      </c>
      <c r="O11" s="99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799</v>
      </c>
      <c r="D12" s="41" t="s">
        <v>800</v>
      </c>
      <c r="E12" s="41" t="s">
        <v>458</v>
      </c>
      <c r="F12" s="41">
        <v>3.4</v>
      </c>
      <c r="G12" s="87" t="s">
        <v>733</v>
      </c>
      <c r="H12" s="101" t="s">
        <v>801</v>
      </c>
      <c r="I12" s="77" t="s">
        <v>802</v>
      </c>
      <c r="J12" s="81">
        <v>3</v>
      </c>
      <c r="K12" s="81">
        <v>2</v>
      </c>
      <c r="L12" s="41">
        <f t="shared" si="0"/>
        <v>6</v>
      </c>
      <c r="M12" s="77" t="s">
        <v>803</v>
      </c>
      <c r="N12" s="99">
        <v>2</v>
      </c>
      <c r="O12" s="99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804</v>
      </c>
      <c r="D13" s="41" t="s">
        <v>570</v>
      </c>
      <c r="E13" s="41" t="s">
        <v>458</v>
      </c>
      <c r="F13" s="41">
        <v>7.1</v>
      </c>
      <c r="G13" s="87" t="s">
        <v>742</v>
      </c>
      <c r="H13" s="101" t="s">
        <v>805</v>
      </c>
      <c r="I13" s="77" t="s">
        <v>176</v>
      </c>
      <c r="J13" s="81">
        <v>3</v>
      </c>
      <c r="K13" s="81">
        <v>2</v>
      </c>
      <c r="L13" s="41">
        <f t="shared" si="0"/>
        <v>6</v>
      </c>
      <c r="M13" s="77" t="s">
        <v>806</v>
      </c>
      <c r="N13" s="99">
        <v>2</v>
      </c>
      <c r="O13" s="99">
        <v>1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807</v>
      </c>
      <c r="D14" s="41" t="s">
        <v>808</v>
      </c>
      <c r="E14" s="41" t="s">
        <v>458</v>
      </c>
      <c r="F14" s="41">
        <v>1.3</v>
      </c>
      <c r="G14" s="87" t="s">
        <v>716</v>
      </c>
      <c r="H14" s="101" t="s">
        <v>809</v>
      </c>
      <c r="I14" s="77" t="s">
        <v>810</v>
      </c>
      <c r="J14" s="81">
        <v>2</v>
      </c>
      <c r="K14" s="81">
        <v>3</v>
      </c>
      <c r="L14" s="41">
        <f t="shared" si="0"/>
        <v>6</v>
      </c>
      <c r="M14" s="77" t="s">
        <v>811</v>
      </c>
      <c r="N14" s="99">
        <v>1</v>
      </c>
      <c r="O14" s="99">
        <v>3</v>
      </c>
      <c r="P14" s="41">
        <f t="shared" si="1"/>
        <v>3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812</v>
      </c>
      <c r="D15" s="41" t="s">
        <v>570</v>
      </c>
      <c r="E15" s="41" t="s">
        <v>458</v>
      </c>
      <c r="F15" s="41">
        <v>3.4</v>
      </c>
      <c r="G15" s="87" t="s">
        <v>733</v>
      </c>
      <c r="H15" s="101" t="s">
        <v>813</v>
      </c>
      <c r="I15" s="77" t="s">
        <v>810</v>
      </c>
      <c r="J15" s="81">
        <v>2</v>
      </c>
      <c r="K15" s="81">
        <v>3</v>
      </c>
      <c r="L15" s="41">
        <f t="shared" si="0"/>
        <v>6</v>
      </c>
      <c r="M15" s="77" t="s">
        <v>814</v>
      </c>
      <c r="N15" s="99">
        <v>1</v>
      </c>
      <c r="O15" s="99">
        <v>2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815</v>
      </c>
      <c r="D16" s="41" t="s">
        <v>808</v>
      </c>
      <c r="E16" s="41" t="s">
        <v>458</v>
      </c>
      <c r="F16" s="41">
        <v>1.1000000000000001</v>
      </c>
      <c r="G16" s="87" t="s">
        <v>716</v>
      </c>
      <c r="H16" s="101" t="s">
        <v>816</v>
      </c>
      <c r="I16" s="77" t="s">
        <v>810</v>
      </c>
      <c r="J16" s="81">
        <v>2</v>
      </c>
      <c r="K16" s="81">
        <v>3</v>
      </c>
      <c r="L16" s="41">
        <f t="shared" si="0"/>
        <v>6</v>
      </c>
      <c r="M16" s="77" t="s">
        <v>817</v>
      </c>
      <c r="N16" s="99">
        <v>1</v>
      </c>
      <c r="O16" s="99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818</v>
      </c>
      <c r="D17" s="41" t="s">
        <v>808</v>
      </c>
      <c r="E17" s="41" t="s">
        <v>458</v>
      </c>
      <c r="F17" s="41">
        <v>1.5</v>
      </c>
      <c r="G17" s="87" t="s">
        <v>716</v>
      </c>
      <c r="H17" s="101" t="s">
        <v>819</v>
      </c>
      <c r="I17" s="77" t="s">
        <v>810</v>
      </c>
      <c r="J17" s="81">
        <v>2</v>
      </c>
      <c r="K17" s="81">
        <v>3</v>
      </c>
      <c r="L17" s="41">
        <f t="shared" si="0"/>
        <v>6</v>
      </c>
      <c r="M17" s="77" t="s">
        <v>820</v>
      </c>
      <c r="N17" s="99">
        <v>1</v>
      </c>
      <c r="O17" s="99">
        <v>3</v>
      </c>
      <c r="P17" s="41">
        <f t="shared" si="1"/>
        <v>3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821</v>
      </c>
      <c r="D18" s="41" t="s">
        <v>808</v>
      </c>
      <c r="E18" s="41" t="s">
        <v>458</v>
      </c>
      <c r="F18" s="41">
        <v>1.2</v>
      </c>
      <c r="G18" s="86" t="s">
        <v>716</v>
      </c>
      <c r="H18" s="101" t="s">
        <v>822</v>
      </c>
      <c r="I18" s="77" t="s">
        <v>810</v>
      </c>
      <c r="J18" s="81">
        <v>2</v>
      </c>
      <c r="K18" s="81">
        <v>3</v>
      </c>
      <c r="L18" s="41">
        <f t="shared" si="0"/>
        <v>6</v>
      </c>
      <c r="M18" s="77" t="s">
        <v>823</v>
      </c>
      <c r="N18" s="99">
        <v>1</v>
      </c>
      <c r="O18" s="99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824</v>
      </c>
      <c r="D19" s="41" t="s">
        <v>808</v>
      </c>
      <c r="E19" s="41" t="s">
        <v>458</v>
      </c>
      <c r="F19" s="2">
        <v>1.3</v>
      </c>
      <c r="G19" s="97" t="s">
        <v>716</v>
      </c>
      <c r="H19" s="101" t="s">
        <v>825</v>
      </c>
      <c r="I19" s="77" t="s">
        <v>810</v>
      </c>
      <c r="J19" s="81">
        <v>2</v>
      </c>
      <c r="K19" s="81">
        <v>3</v>
      </c>
      <c r="L19" s="41">
        <f t="shared" si="0"/>
        <v>6</v>
      </c>
      <c r="M19" s="77" t="s">
        <v>826</v>
      </c>
      <c r="N19" s="99">
        <v>2</v>
      </c>
      <c r="O19" s="99">
        <v>2</v>
      </c>
      <c r="P19" s="41">
        <f t="shared" si="1"/>
        <v>4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827</v>
      </c>
      <c r="D20" s="41" t="s">
        <v>808</v>
      </c>
      <c r="E20" s="41" t="s">
        <v>458</v>
      </c>
      <c r="F20" s="41">
        <v>1.4</v>
      </c>
      <c r="G20" s="86" t="s">
        <v>725</v>
      </c>
      <c r="H20" s="101" t="s">
        <v>828</v>
      </c>
      <c r="I20" s="100" t="s">
        <v>810</v>
      </c>
      <c r="J20" s="81">
        <v>2</v>
      </c>
      <c r="K20" s="81">
        <v>3</v>
      </c>
      <c r="L20" s="41">
        <f t="shared" si="0"/>
        <v>6</v>
      </c>
      <c r="M20" s="77" t="s">
        <v>829</v>
      </c>
      <c r="N20" s="99">
        <v>2</v>
      </c>
      <c r="O20" s="99">
        <v>2</v>
      </c>
      <c r="P20" s="41">
        <f t="shared" si="1"/>
        <v>4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830</v>
      </c>
      <c r="D21" s="41" t="s">
        <v>570</v>
      </c>
      <c r="E21" s="41" t="s">
        <v>458</v>
      </c>
      <c r="F21" s="41">
        <v>7.2</v>
      </c>
      <c r="G21" s="87" t="s">
        <v>742</v>
      </c>
      <c r="H21" s="101" t="s">
        <v>831</v>
      </c>
      <c r="I21" s="77" t="s">
        <v>832</v>
      </c>
      <c r="J21" s="81">
        <v>3</v>
      </c>
      <c r="K21" s="81">
        <v>1</v>
      </c>
      <c r="L21" s="41">
        <f t="shared" si="0"/>
        <v>3</v>
      </c>
      <c r="M21" s="77" t="s">
        <v>833</v>
      </c>
      <c r="N21" s="99">
        <v>2</v>
      </c>
      <c r="O21" s="99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227</v>
      </c>
      <c r="C22" s="85" t="s">
        <v>834</v>
      </c>
      <c r="D22" s="41" t="s">
        <v>570</v>
      </c>
      <c r="E22" s="41" t="s">
        <v>458</v>
      </c>
      <c r="F22" s="41">
        <v>3.4</v>
      </c>
      <c r="G22" s="86" t="s">
        <v>733</v>
      </c>
      <c r="H22" s="101" t="s">
        <v>813</v>
      </c>
      <c r="I22" s="77" t="s">
        <v>810</v>
      </c>
      <c r="J22" s="81">
        <v>2</v>
      </c>
      <c r="K22" s="81">
        <v>3</v>
      </c>
      <c r="L22" s="41">
        <f>J22*K22</f>
        <v>6</v>
      </c>
      <c r="M22" s="77" t="s">
        <v>814</v>
      </c>
      <c r="N22" s="99">
        <v>1</v>
      </c>
      <c r="O22" s="99">
        <v>2</v>
      </c>
      <c r="P22" s="41">
        <f>N22*O22</f>
        <v>2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227</v>
      </c>
      <c r="C23" s="85" t="s">
        <v>835</v>
      </c>
      <c r="D23" s="41" t="s">
        <v>808</v>
      </c>
      <c r="E23" s="41" t="s">
        <v>458</v>
      </c>
      <c r="F23" s="41">
        <v>1.5</v>
      </c>
      <c r="G23" s="86" t="s">
        <v>716</v>
      </c>
      <c r="H23" s="101" t="s">
        <v>836</v>
      </c>
      <c r="I23" s="77" t="s">
        <v>810</v>
      </c>
      <c r="J23" s="81">
        <v>2</v>
      </c>
      <c r="K23" s="81">
        <v>3</v>
      </c>
      <c r="L23" s="41">
        <f t="shared" ref="L23:L29" si="2">J23*K23</f>
        <v>6</v>
      </c>
      <c r="M23" s="77" t="s">
        <v>820</v>
      </c>
      <c r="N23" s="99">
        <v>1</v>
      </c>
      <c r="O23" s="99">
        <v>3</v>
      </c>
      <c r="P23" s="41"/>
      <c r="Q23" s="88"/>
      <c r="R23" s="79"/>
      <c r="S23" s="79"/>
    </row>
    <row r="24" spans="1:19" ht="52.95" customHeight="1" x14ac:dyDescent="0.4">
      <c r="A24" s="2">
        <v>19</v>
      </c>
      <c r="B24" s="80" t="s">
        <v>227</v>
      </c>
      <c r="C24" s="85" t="s">
        <v>837</v>
      </c>
      <c r="D24" s="41" t="s">
        <v>838</v>
      </c>
      <c r="E24" s="41" t="s">
        <v>458</v>
      </c>
      <c r="F24" s="41">
        <v>1.3</v>
      </c>
      <c r="G24" s="86" t="s">
        <v>716</v>
      </c>
      <c r="H24" s="101" t="s">
        <v>809</v>
      </c>
      <c r="I24" s="77" t="s">
        <v>839</v>
      </c>
      <c r="J24" s="81">
        <v>2</v>
      </c>
      <c r="K24" s="81">
        <v>3</v>
      </c>
      <c r="L24" s="41">
        <f t="shared" si="2"/>
        <v>6</v>
      </c>
      <c r="M24" s="77" t="s">
        <v>840</v>
      </c>
      <c r="N24" s="99">
        <v>1</v>
      </c>
      <c r="O24" s="99">
        <v>3</v>
      </c>
      <c r="P24" s="41"/>
      <c r="Q24" s="88"/>
      <c r="R24" s="79"/>
      <c r="S24" s="79"/>
    </row>
    <row r="25" spans="1:19" ht="52.95" customHeight="1" x14ac:dyDescent="0.4">
      <c r="A25" s="2">
        <v>20</v>
      </c>
      <c r="B25" s="80" t="s">
        <v>227</v>
      </c>
      <c r="C25" s="85" t="s">
        <v>841</v>
      </c>
      <c r="D25" s="41" t="s">
        <v>838</v>
      </c>
      <c r="E25" s="41" t="s">
        <v>458</v>
      </c>
      <c r="F25" s="41">
        <v>1.2</v>
      </c>
      <c r="G25" s="86" t="s">
        <v>716</v>
      </c>
      <c r="H25" s="101" t="s">
        <v>842</v>
      </c>
      <c r="I25" s="77" t="s">
        <v>810</v>
      </c>
      <c r="J25" s="81">
        <v>2</v>
      </c>
      <c r="K25" s="81">
        <v>3</v>
      </c>
      <c r="L25" s="41">
        <f t="shared" si="2"/>
        <v>6</v>
      </c>
      <c r="M25" s="77" t="s">
        <v>823</v>
      </c>
      <c r="N25" s="99">
        <v>1</v>
      </c>
      <c r="O25" s="99">
        <v>3</v>
      </c>
      <c r="P25" s="41"/>
      <c r="Q25" s="88"/>
      <c r="R25" s="79"/>
      <c r="S25" s="79"/>
    </row>
    <row r="26" spans="1:19" ht="52.95" customHeight="1" x14ac:dyDescent="0.4">
      <c r="A26" s="2">
        <v>21</v>
      </c>
      <c r="B26" s="80" t="s">
        <v>227</v>
      </c>
      <c r="C26" s="85" t="s">
        <v>843</v>
      </c>
      <c r="D26" s="41" t="s">
        <v>570</v>
      </c>
      <c r="E26" s="41" t="s">
        <v>458</v>
      </c>
      <c r="F26" s="41">
        <v>7.5</v>
      </c>
      <c r="G26" s="86" t="s">
        <v>742</v>
      </c>
      <c r="H26" s="101" t="s">
        <v>844</v>
      </c>
      <c r="I26" s="77" t="s">
        <v>176</v>
      </c>
      <c r="J26" s="81">
        <v>2</v>
      </c>
      <c r="K26" s="81">
        <v>2</v>
      </c>
      <c r="L26" s="41">
        <f t="shared" si="2"/>
        <v>4</v>
      </c>
      <c r="M26" s="77" t="s">
        <v>806</v>
      </c>
      <c r="N26" s="99">
        <v>1</v>
      </c>
      <c r="O26" s="99">
        <v>2</v>
      </c>
      <c r="P26" s="41"/>
      <c r="Q26" s="88"/>
      <c r="R26" s="79"/>
      <c r="S26" s="79"/>
    </row>
    <row r="27" spans="1:19" ht="52.95" customHeight="1" x14ac:dyDescent="0.4">
      <c r="A27" s="2">
        <v>22</v>
      </c>
      <c r="B27" s="80" t="s">
        <v>227</v>
      </c>
      <c r="C27" s="85" t="s">
        <v>845</v>
      </c>
      <c r="D27" s="41" t="s">
        <v>846</v>
      </c>
      <c r="E27" s="41" t="s">
        <v>458</v>
      </c>
      <c r="F27" s="41">
        <v>1.4</v>
      </c>
      <c r="G27" s="86" t="s">
        <v>716</v>
      </c>
      <c r="H27" s="101" t="s">
        <v>847</v>
      </c>
      <c r="I27" s="77" t="s">
        <v>787</v>
      </c>
      <c r="J27" s="81">
        <v>2</v>
      </c>
      <c r="K27" s="81">
        <v>2</v>
      </c>
      <c r="L27" s="41">
        <f t="shared" si="2"/>
        <v>4</v>
      </c>
      <c r="M27" s="77" t="s">
        <v>784</v>
      </c>
      <c r="N27" s="99">
        <v>1</v>
      </c>
      <c r="O27" s="99">
        <v>2</v>
      </c>
      <c r="P27" s="41"/>
      <c r="Q27" s="88"/>
      <c r="R27" s="79"/>
      <c r="S27" s="79"/>
    </row>
    <row r="28" spans="1:19" ht="52.95" customHeight="1" x14ac:dyDescent="0.4">
      <c r="A28" s="2">
        <v>23</v>
      </c>
      <c r="B28" s="80" t="s">
        <v>227</v>
      </c>
      <c r="C28" s="85" t="s">
        <v>848</v>
      </c>
      <c r="D28" s="41" t="s">
        <v>846</v>
      </c>
      <c r="E28" s="41" t="s">
        <v>458</v>
      </c>
      <c r="F28" s="41">
        <v>1.3</v>
      </c>
      <c r="G28" s="86" t="s">
        <v>716</v>
      </c>
      <c r="H28" s="101" t="s">
        <v>849</v>
      </c>
      <c r="I28" s="77" t="s">
        <v>850</v>
      </c>
      <c r="J28" s="81">
        <v>2</v>
      </c>
      <c r="K28" s="81">
        <v>3</v>
      </c>
      <c r="L28" s="41">
        <f t="shared" si="2"/>
        <v>6</v>
      </c>
      <c r="M28" s="77" t="s">
        <v>851</v>
      </c>
      <c r="N28" s="99">
        <v>1</v>
      </c>
      <c r="O28" s="99">
        <v>3</v>
      </c>
      <c r="P28" s="41"/>
      <c r="Q28" s="88"/>
      <c r="R28" s="79"/>
      <c r="S28" s="79"/>
    </row>
    <row r="29" spans="1:19" ht="52.95" customHeight="1" x14ac:dyDescent="0.4">
      <c r="A29" s="2">
        <v>24</v>
      </c>
      <c r="B29" s="80" t="s">
        <v>227</v>
      </c>
      <c r="C29" s="85" t="s">
        <v>852</v>
      </c>
      <c r="D29" s="41" t="s">
        <v>846</v>
      </c>
      <c r="E29" s="41" t="s">
        <v>458</v>
      </c>
      <c r="F29" s="41">
        <v>3.4</v>
      </c>
      <c r="G29" s="86" t="s">
        <v>733</v>
      </c>
      <c r="H29" s="101" t="s">
        <v>853</v>
      </c>
      <c r="I29" s="77" t="s">
        <v>784</v>
      </c>
      <c r="J29" s="81">
        <v>3</v>
      </c>
      <c r="K29" s="81">
        <v>1</v>
      </c>
      <c r="L29" s="41">
        <f t="shared" si="2"/>
        <v>3</v>
      </c>
      <c r="M29" s="77" t="s">
        <v>814</v>
      </c>
      <c r="N29" s="99">
        <v>2</v>
      </c>
      <c r="O29" s="99">
        <v>1</v>
      </c>
      <c r="P29" s="41"/>
      <c r="Q29" s="88"/>
      <c r="R29" s="79"/>
      <c r="S29" s="79"/>
    </row>
    <row r="30" spans="1:19" ht="52.95" customHeight="1" x14ac:dyDescent="0.4">
      <c r="A30" s="2">
        <v>25</v>
      </c>
      <c r="B30" s="80" t="s">
        <v>228</v>
      </c>
      <c r="C30" s="85" t="s">
        <v>1691</v>
      </c>
      <c r="D30" s="41" t="s">
        <v>193</v>
      </c>
      <c r="E30" s="41" t="s">
        <v>280</v>
      </c>
      <c r="F30" s="41">
        <v>1.3</v>
      </c>
      <c r="G30" s="86" t="s">
        <v>53</v>
      </c>
      <c r="H30" s="62" t="s">
        <v>1692</v>
      </c>
      <c r="I30" s="54" t="s">
        <v>1693</v>
      </c>
      <c r="J30" s="41">
        <v>4</v>
      </c>
      <c r="K30" s="41">
        <v>4</v>
      </c>
      <c r="L30" s="41">
        <v>16</v>
      </c>
      <c r="M30" s="54" t="s">
        <v>1694</v>
      </c>
      <c r="N30" s="41">
        <v>2</v>
      </c>
      <c r="O30" s="41">
        <v>2</v>
      </c>
      <c r="P30" s="41">
        <v>4</v>
      </c>
      <c r="Q30" s="79" t="s">
        <v>180</v>
      </c>
      <c r="R30" s="79" t="s">
        <v>1686</v>
      </c>
      <c r="S30" s="79" t="s">
        <v>282</v>
      </c>
    </row>
    <row r="31" spans="1:19" ht="52.95" customHeight="1" x14ac:dyDescent="0.4">
      <c r="A31" s="2">
        <v>26</v>
      </c>
      <c r="B31" s="80" t="s">
        <v>228</v>
      </c>
      <c r="C31" s="85" t="s">
        <v>1658</v>
      </c>
      <c r="D31" s="41" t="s">
        <v>376</v>
      </c>
      <c r="E31" s="41" t="s">
        <v>280</v>
      </c>
      <c r="F31" s="41">
        <v>3.4</v>
      </c>
      <c r="G31" s="86" t="s">
        <v>377</v>
      </c>
      <c r="H31" s="62" t="s">
        <v>378</v>
      </c>
      <c r="I31" s="54" t="s">
        <v>1687</v>
      </c>
      <c r="J31" s="41">
        <v>2</v>
      </c>
      <c r="K31" s="41">
        <v>2</v>
      </c>
      <c r="L31" s="41">
        <v>4</v>
      </c>
      <c r="M31" s="54" t="s">
        <v>1688</v>
      </c>
      <c r="N31" s="41">
        <v>1</v>
      </c>
      <c r="O31" s="41">
        <v>1</v>
      </c>
      <c r="P31" s="41">
        <v>1</v>
      </c>
      <c r="Q31" s="79"/>
      <c r="R31" s="79"/>
      <c r="S31" s="79"/>
    </row>
    <row r="32" spans="1:19" ht="52.95" customHeight="1" x14ac:dyDescent="0.4">
      <c r="A32" s="2">
        <v>27</v>
      </c>
      <c r="B32" s="80" t="s">
        <v>203</v>
      </c>
      <c r="C32" s="85" t="s">
        <v>1695</v>
      </c>
      <c r="D32" s="41" t="s">
        <v>193</v>
      </c>
      <c r="E32" s="41" t="s">
        <v>280</v>
      </c>
      <c r="F32" s="41">
        <v>1.4</v>
      </c>
      <c r="G32" s="86" t="s">
        <v>54</v>
      </c>
      <c r="H32" s="62" t="s">
        <v>382</v>
      </c>
      <c r="I32" s="87" t="s">
        <v>383</v>
      </c>
      <c r="J32" s="41">
        <v>2</v>
      </c>
      <c r="K32" s="41">
        <v>2</v>
      </c>
      <c r="L32" s="41">
        <v>4</v>
      </c>
      <c r="M32" s="87" t="s">
        <v>384</v>
      </c>
      <c r="N32" s="41">
        <v>1</v>
      </c>
      <c r="O32" s="41">
        <v>1</v>
      </c>
      <c r="P32" s="41">
        <v>1</v>
      </c>
      <c r="Q32" s="79"/>
      <c r="R32" s="79"/>
      <c r="S32" s="79"/>
    </row>
    <row r="33" spans="1:19" ht="52.95" customHeight="1" x14ac:dyDescent="0.4">
      <c r="A33" s="2">
        <v>28</v>
      </c>
      <c r="B33" s="80" t="s">
        <v>203</v>
      </c>
      <c r="C33" s="85" t="s">
        <v>385</v>
      </c>
      <c r="D33" s="41" t="s">
        <v>386</v>
      </c>
      <c r="E33" s="41" t="s">
        <v>280</v>
      </c>
      <c r="F33" s="41">
        <v>1.4</v>
      </c>
      <c r="G33" s="86" t="s">
        <v>54</v>
      </c>
      <c r="H33" s="62" t="s">
        <v>387</v>
      </c>
      <c r="I33" s="54" t="s">
        <v>388</v>
      </c>
      <c r="J33" s="41">
        <v>2</v>
      </c>
      <c r="K33" s="41">
        <v>2</v>
      </c>
      <c r="L33" s="41">
        <v>4</v>
      </c>
      <c r="M33" s="87" t="s">
        <v>1690</v>
      </c>
      <c r="N33" s="41">
        <v>1</v>
      </c>
      <c r="O33" s="41">
        <v>1</v>
      </c>
      <c r="P33" s="41">
        <v>1</v>
      </c>
      <c r="Q33" s="79"/>
      <c r="R33" s="79"/>
      <c r="S33" s="79"/>
    </row>
    <row r="34" spans="1:19" ht="25.2" customHeight="1" x14ac:dyDescent="0.4">
      <c r="A34" s="389" t="s">
        <v>185</v>
      </c>
      <c r="B34" s="390"/>
      <c r="C34" s="391"/>
      <c r="D34" s="398" t="s">
        <v>186</v>
      </c>
      <c r="E34" s="399"/>
      <c r="F34" s="400"/>
      <c r="G34" s="401"/>
      <c r="H34" s="401"/>
      <c r="I34" s="401"/>
      <c r="J34" s="401"/>
      <c r="K34" s="401"/>
      <c r="L34" s="401"/>
      <c r="M34" s="402"/>
      <c r="N34" s="51" t="s">
        <v>187</v>
      </c>
      <c r="O34" s="52"/>
      <c r="P34" s="52"/>
      <c r="Q34" s="52"/>
      <c r="R34" s="52"/>
      <c r="S34" s="53"/>
    </row>
    <row r="35" spans="1:19" ht="25.2" customHeight="1" x14ac:dyDescent="0.4">
      <c r="A35" s="392"/>
      <c r="B35" s="393"/>
      <c r="C35" s="394"/>
      <c r="D35" s="398" t="s">
        <v>188</v>
      </c>
      <c r="E35" s="399"/>
      <c r="F35" s="400"/>
      <c r="G35" s="401"/>
      <c r="H35" s="401"/>
      <c r="I35" s="401"/>
      <c r="J35" s="401"/>
      <c r="K35" s="401"/>
      <c r="L35" s="401"/>
      <c r="M35" s="402"/>
      <c r="N35" s="51" t="s">
        <v>187</v>
      </c>
      <c r="O35" s="52"/>
      <c r="P35" s="52"/>
      <c r="Q35" s="52"/>
      <c r="R35" s="52"/>
      <c r="S35" s="53"/>
    </row>
    <row r="36" spans="1:19" ht="25.2" customHeight="1" x14ac:dyDescent="0.4">
      <c r="A36" s="392"/>
      <c r="B36" s="393"/>
      <c r="C36" s="394"/>
      <c r="D36" s="398" t="s">
        <v>130</v>
      </c>
      <c r="E36" s="399"/>
      <c r="F36" s="400"/>
      <c r="G36" s="401"/>
      <c r="H36" s="401"/>
      <c r="I36" s="401"/>
      <c r="J36" s="401"/>
      <c r="K36" s="401"/>
      <c r="L36" s="401"/>
      <c r="M36" s="402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392"/>
      <c r="B37" s="393"/>
      <c r="C37" s="394"/>
      <c r="D37" s="398" t="s">
        <v>189</v>
      </c>
      <c r="E37" s="399"/>
      <c r="F37" s="400"/>
      <c r="G37" s="401"/>
      <c r="H37" s="401"/>
      <c r="I37" s="401"/>
      <c r="J37" s="401"/>
      <c r="K37" s="401"/>
      <c r="L37" s="401"/>
      <c r="M37" s="402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395"/>
      <c r="B38" s="396"/>
      <c r="C38" s="397"/>
      <c r="D38" s="398" t="s">
        <v>190</v>
      </c>
      <c r="E38" s="399"/>
      <c r="F38" s="400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949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854</v>
      </c>
      <c r="D6" s="41" t="s">
        <v>496</v>
      </c>
      <c r="E6" s="41" t="s">
        <v>280</v>
      </c>
      <c r="F6" s="41">
        <v>1.3</v>
      </c>
      <c r="G6" s="86" t="s">
        <v>716</v>
      </c>
      <c r="H6" s="102" t="s">
        <v>855</v>
      </c>
      <c r="I6" s="54" t="s">
        <v>718</v>
      </c>
      <c r="J6" s="78">
        <v>2</v>
      </c>
      <c r="K6" s="78">
        <v>3</v>
      </c>
      <c r="L6" s="41">
        <f t="shared" ref="L6:L21" si="0">J6*K6</f>
        <v>6</v>
      </c>
      <c r="M6" s="87" t="s">
        <v>719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948</v>
      </c>
      <c r="S6" s="41" t="s">
        <v>271</v>
      </c>
    </row>
    <row r="7" spans="1:19" ht="52.95" customHeight="1" x14ac:dyDescent="0.4">
      <c r="A7" s="2">
        <v>2</v>
      </c>
      <c r="B7" s="80" t="s">
        <v>17</v>
      </c>
      <c r="C7" s="85" t="s">
        <v>856</v>
      </c>
      <c r="D7" s="41" t="s">
        <v>721</v>
      </c>
      <c r="E7" s="41" t="s">
        <v>280</v>
      </c>
      <c r="F7" s="41">
        <v>1.3</v>
      </c>
      <c r="G7" s="87" t="s">
        <v>716</v>
      </c>
      <c r="H7" s="102" t="s">
        <v>855</v>
      </c>
      <c r="I7" s="54" t="s">
        <v>718</v>
      </c>
      <c r="J7" s="78">
        <v>2</v>
      </c>
      <c r="K7" s="78">
        <v>3</v>
      </c>
      <c r="L7" s="41">
        <f t="shared" si="0"/>
        <v>6</v>
      </c>
      <c r="M7" s="87" t="s">
        <v>723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857</v>
      </c>
      <c r="D8" s="41" t="s">
        <v>280</v>
      </c>
      <c r="E8" s="41" t="s">
        <v>280</v>
      </c>
      <c r="F8" s="41">
        <v>4.0999999999999996</v>
      </c>
      <c r="G8" s="87" t="s">
        <v>725</v>
      </c>
      <c r="H8" s="102" t="s">
        <v>858</v>
      </c>
      <c r="I8" s="54" t="s">
        <v>727</v>
      </c>
      <c r="J8" s="81">
        <v>2</v>
      </c>
      <c r="K8" s="81">
        <v>2</v>
      </c>
      <c r="L8" s="41">
        <f t="shared" si="0"/>
        <v>4</v>
      </c>
      <c r="M8" s="87" t="s">
        <v>728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859</v>
      </c>
      <c r="D9" s="41" t="s">
        <v>280</v>
      </c>
      <c r="E9" s="41" t="s">
        <v>280</v>
      </c>
      <c r="F9" s="41">
        <v>4.2</v>
      </c>
      <c r="G9" s="87" t="s">
        <v>725</v>
      </c>
      <c r="H9" s="102" t="s">
        <v>860</v>
      </c>
      <c r="I9" s="54" t="s">
        <v>727</v>
      </c>
      <c r="J9" s="81">
        <v>2</v>
      </c>
      <c r="K9" s="81">
        <v>2</v>
      </c>
      <c r="L9" s="41">
        <f t="shared" si="0"/>
        <v>4</v>
      </c>
      <c r="M9" s="87" t="s">
        <v>731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861</v>
      </c>
      <c r="D10" s="41" t="s">
        <v>846</v>
      </c>
      <c r="E10" s="41" t="s">
        <v>862</v>
      </c>
      <c r="F10" s="41">
        <v>3.4</v>
      </c>
      <c r="G10" s="87" t="s">
        <v>716</v>
      </c>
      <c r="H10" s="102" t="s">
        <v>863</v>
      </c>
      <c r="I10" s="54" t="s">
        <v>727</v>
      </c>
      <c r="J10" s="81">
        <v>2</v>
      </c>
      <c r="K10" s="81">
        <v>2</v>
      </c>
      <c r="L10" s="41">
        <f t="shared" si="0"/>
        <v>4</v>
      </c>
      <c r="M10" s="87" t="s">
        <v>864</v>
      </c>
      <c r="N10" s="76">
        <v>1</v>
      </c>
      <c r="O10" s="76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865</v>
      </c>
      <c r="D11" s="41" t="s">
        <v>846</v>
      </c>
      <c r="E11" s="41" t="s">
        <v>862</v>
      </c>
      <c r="F11" s="41">
        <v>1.3</v>
      </c>
      <c r="G11" s="87" t="s">
        <v>716</v>
      </c>
      <c r="H11" s="102" t="s">
        <v>866</v>
      </c>
      <c r="I11" s="54" t="s">
        <v>867</v>
      </c>
      <c r="J11" s="81">
        <v>2</v>
      </c>
      <c r="K11" s="81">
        <v>3</v>
      </c>
      <c r="L11" s="41">
        <f t="shared" si="0"/>
        <v>6</v>
      </c>
      <c r="M11" s="87" t="s">
        <v>868</v>
      </c>
      <c r="N11" s="76">
        <v>2</v>
      </c>
      <c r="O11" s="76">
        <v>1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869</v>
      </c>
      <c r="D12" s="41" t="s">
        <v>846</v>
      </c>
      <c r="E12" s="41" t="s">
        <v>862</v>
      </c>
      <c r="F12" s="41">
        <v>7.3</v>
      </c>
      <c r="G12" s="87" t="s">
        <v>716</v>
      </c>
      <c r="H12" s="102" t="s">
        <v>863</v>
      </c>
      <c r="I12" s="54" t="s">
        <v>727</v>
      </c>
      <c r="J12" s="81">
        <v>2</v>
      </c>
      <c r="K12" s="81">
        <v>2</v>
      </c>
      <c r="L12" s="41">
        <f t="shared" si="0"/>
        <v>4</v>
      </c>
      <c r="M12" s="87" t="s">
        <v>864</v>
      </c>
      <c r="N12" s="76">
        <v>1</v>
      </c>
      <c r="O12" s="76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870</v>
      </c>
      <c r="D13" s="41" t="s">
        <v>846</v>
      </c>
      <c r="E13" s="41" t="s">
        <v>862</v>
      </c>
      <c r="F13" s="41">
        <v>3.4</v>
      </c>
      <c r="G13" s="87" t="s">
        <v>716</v>
      </c>
      <c r="H13" s="102" t="s">
        <v>866</v>
      </c>
      <c r="I13" s="54" t="s">
        <v>871</v>
      </c>
      <c r="J13" s="83">
        <v>2</v>
      </c>
      <c r="K13" s="83">
        <v>3</v>
      </c>
      <c r="L13" s="41">
        <f t="shared" si="0"/>
        <v>6</v>
      </c>
      <c r="M13" s="87" t="s">
        <v>872</v>
      </c>
      <c r="N13" s="82">
        <v>1</v>
      </c>
      <c r="O13" s="82">
        <v>3</v>
      </c>
      <c r="P13" s="41">
        <f t="shared" si="1"/>
        <v>3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873</v>
      </c>
      <c r="D14" s="41" t="s">
        <v>570</v>
      </c>
      <c r="E14" s="41" t="s">
        <v>862</v>
      </c>
      <c r="F14" s="41">
        <v>1.3</v>
      </c>
      <c r="G14" s="87" t="s">
        <v>733</v>
      </c>
      <c r="H14" s="102" t="s">
        <v>874</v>
      </c>
      <c r="I14" s="54" t="s">
        <v>875</v>
      </c>
      <c r="J14" s="81">
        <v>3</v>
      </c>
      <c r="K14" s="81">
        <v>1</v>
      </c>
      <c r="L14" s="41">
        <f t="shared" si="0"/>
        <v>3</v>
      </c>
      <c r="M14" s="87" t="s">
        <v>876</v>
      </c>
      <c r="N14" s="76">
        <v>2</v>
      </c>
      <c r="O14" s="76">
        <v>1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877</v>
      </c>
      <c r="D15" s="41" t="s">
        <v>570</v>
      </c>
      <c r="E15" s="41" t="s">
        <v>862</v>
      </c>
      <c r="F15" s="41">
        <v>1.1000000000000001</v>
      </c>
      <c r="G15" s="87" t="s">
        <v>742</v>
      </c>
      <c r="H15" s="102" t="s">
        <v>878</v>
      </c>
      <c r="I15" s="54" t="s">
        <v>879</v>
      </c>
      <c r="J15" s="83">
        <v>3</v>
      </c>
      <c r="K15" s="83">
        <v>1</v>
      </c>
      <c r="L15" s="41">
        <f t="shared" si="0"/>
        <v>3</v>
      </c>
      <c r="M15" s="87" t="s">
        <v>880</v>
      </c>
      <c r="N15" s="82">
        <v>2</v>
      </c>
      <c r="O15" s="82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881</v>
      </c>
      <c r="D16" s="41" t="s">
        <v>570</v>
      </c>
      <c r="E16" s="41" t="s">
        <v>862</v>
      </c>
      <c r="F16" s="41">
        <v>5.5</v>
      </c>
      <c r="G16" s="87" t="s">
        <v>742</v>
      </c>
      <c r="H16" s="102" t="s">
        <v>160</v>
      </c>
      <c r="I16" s="54" t="s">
        <v>735</v>
      </c>
      <c r="J16" s="81">
        <v>3</v>
      </c>
      <c r="K16" s="81">
        <v>1</v>
      </c>
      <c r="L16" s="41">
        <f t="shared" si="0"/>
        <v>3</v>
      </c>
      <c r="M16" s="87" t="s">
        <v>744</v>
      </c>
      <c r="N16" s="76">
        <v>2</v>
      </c>
      <c r="O16" s="76">
        <v>1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882</v>
      </c>
      <c r="D17" s="41" t="s">
        <v>883</v>
      </c>
      <c r="E17" s="41" t="s">
        <v>862</v>
      </c>
      <c r="F17" s="41">
        <v>1.3</v>
      </c>
      <c r="G17" s="87" t="s">
        <v>716</v>
      </c>
      <c r="H17" s="102" t="s">
        <v>863</v>
      </c>
      <c r="I17" s="54" t="s">
        <v>727</v>
      </c>
      <c r="J17" s="83">
        <v>2</v>
      </c>
      <c r="K17" s="83">
        <v>3</v>
      </c>
      <c r="L17" s="41">
        <f t="shared" si="0"/>
        <v>6</v>
      </c>
      <c r="M17" s="87" t="s">
        <v>723</v>
      </c>
      <c r="N17" s="82">
        <v>1</v>
      </c>
      <c r="O17" s="82">
        <v>3</v>
      </c>
      <c r="P17" s="41">
        <f t="shared" si="1"/>
        <v>3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884</v>
      </c>
      <c r="D18" s="41" t="s">
        <v>883</v>
      </c>
      <c r="E18" s="41" t="s">
        <v>862</v>
      </c>
      <c r="F18" s="41">
        <v>7.2</v>
      </c>
      <c r="G18" s="86" t="s">
        <v>716</v>
      </c>
      <c r="H18" s="102" t="s">
        <v>866</v>
      </c>
      <c r="I18" s="54" t="s">
        <v>718</v>
      </c>
      <c r="J18" s="83">
        <v>2</v>
      </c>
      <c r="K18" s="83">
        <v>3</v>
      </c>
      <c r="L18" s="41">
        <f t="shared" si="0"/>
        <v>6</v>
      </c>
      <c r="M18" s="86" t="s">
        <v>719</v>
      </c>
      <c r="N18" s="82">
        <v>1</v>
      </c>
      <c r="O18" s="82">
        <v>3</v>
      </c>
      <c r="P18" s="41">
        <f t="shared" si="1"/>
        <v>3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885</v>
      </c>
      <c r="D19" s="41" t="s">
        <v>883</v>
      </c>
      <c r="E19" s="41" t="s">
        <v>862</v>
      </c>
      <c r="F19" s="2">
        <v>3.4</v>
      </c>
      <c r="G19" s="97" t="s">
        <v>733</v>
      </c>
      <c r="H19" s="102" t="s">
        <v>886</v>
      </c>
      <c r="I19" s="98" t="s">
        <v>718</v>
      </c>
      <c r="J19" s="83">
        <v>2</v>
      </c>
      <c r="K19" s="83">
        <v>3</v>
      </c>
      <c r="L19" s="41">
        <f t="shared" si="0"/>
        <v>6</v>
      </c>
      <c r="M19" s="86" t="s">
        <v>887</v>
      </c>
      <c r="N19" s="82">
        <v>1</v>
      </c>
      <c r="O19" s="82">
        <v>3</v>
      </c>
      <c r="P19" s="41">
        <f t="shared" si="1"/>
        <v>3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888</v>
      </c>
      <c r="D20" s="41" t="s">
        <v>846</v>
      </c>
      <c r="E20" s="41" t="s">
        <v>862</v>
      </c>
      <c r="F20" s="41">
        <v>3.2</v>
      </c>
      <c r="G20" s="86" t="s">
        <v>716</v>
      </c>
      <c r="H20" s="102" t="s">
        <v>889</v>
      </c>
      <c r="I20" s="54" t="s">
        <v>890</v>
      </c>
      <c r="J20" s="83">
        <v>3</v>
      </c>
      <c r="K20" s="83">
        <v>2</v>
      </c>
      <c r="L20" s="41">
        <f t="shared" si="0"/>
        <v>6</v>
      </c>
      <c r="M20" s="86" t="s">
        <v>891</v>
      </c>
      <c r="N20" s="82">
        <v>2</v>
      </c>
      <c r="O20" s="82">
        <v>2</v>
      </c>
      <c r="P20" s="41">
        <f t="shared" si="1"/>
        <v>4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892</v>
      </c>
      <c r="D21" s="41" t="s">
        <v>893</v>
      </c>
      <c r="E21" s="41" t="s">
        <v>862</v>
      </c>
      <c r="F21" s="41">
        <v>3.3</v>
      </c>
      <c r="G21" s="87" t="s">
        <v>716</v>
      </c>
      <c r="H21" s="102" t="s">
        <v>866</v>
      </c>
      <c r="I21" s="54" t="s">
        <v>718</v>
      </c>
      <c r="J21" s="83">
        <v>2</v>
      </c>
      <c r="K21" s="83">
        <v>3</v>
      </c>
      <c r="L21" s="41">
        <f t="shared" si="0"/>
        <v>6</v>
      </c>
      <c r="M21" s="87" t="s">
        <v>723</v>
      </c>
      <c r="N21" s="82">
        <v>1</v>
      </c>
      <c r="O21" s="82">
        <v>3</v>
      </c>
      <c r="P21" s="41">
        <f t="shared" si="1"/>
        <v>3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227</v>
      </c>
      <c r="C22" s="85" t="s">
        <v>894</v>
      </c>
      <c r="D22" s="41" t="s">
        <v>895</v>
      </c>
      <c r="E22" s="41" t="s">
        <v>862</v>
      </c>
      <c r="F22" s="41">
        <v>1.5</v>
      </c>
      <c r="G22" s="86" t="s">
        <v>716</v>
      </c>
      <c r="H22" s="102" t="s">
        <v>855</v>
      </c>
      <c r="I22" s="54" t="s">
        <v>718</v>
      </c>
      <c r="J22" s="83">
        <v>2</v>
      </c>
      <c r="K22" s="83">
        <v>3</v>
      </c>
      <c r="L22" s="41">
        <f>J22*K22</f>
        <v>6</v>
      </c>
      <c r="M22" s="86" t="s">
        <v>723</v>
      </c>
      <c r="N22" s="82">
        <v>1</v>
      </c>
      <c r="O22" s="82">
        <v>3</v>
      </c>
      <c r="P22" s="41">
        <f>N22*O22</f>
        <v>3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227</v>
      </c>
      <c r="C23" s="85" t="s">
        <v>896</v>
      </c>
      <c r="D23" s="41" t="s">
        <v>846</v>
      </c>
      <c r="E23" s="41" t="s">
        <v>862</v>
      </c>
      <c r="F23" s="41"/>
      <c r="G23" s="86" t="s">
        <v>733</v>
      </c>
      <c r="H23" s="102" t="s">
        <v>874</v>
      </c>
      <c r="I23" s="54" t="s">
        <v>867</v>
      </c>
      <c r="J23" s="83">
        <v>2</v>
      </c>
      <c r="K23" s="83">
        <v>3</v>
      </c>
      <c r="L23" s="41">
        <f t="shared" ref="L23:L40" si="2">J23*K23</f>
        <v>6</v>
      </c>
      <c r="M23" s="86" t="s">
        <v>868</v>
      </c>
      <c r="N23" s="82">
        <v>1</v>
      </c>
      <c r="O23" s="82">
        <v>3</v>
      </c>
      <c r="P23" s="41">
        <f t="shared" ref="P23:P40" si="3">N23*O23</f>
        <v>3</v>
      </c>
      <c r="Q23" s="88"/>
      <c r="R23" s="79"/>
      <c r="S23" s="79"/>
    </row>
    <row r="24" spans="1:19" ht="52.95" customHeight="1" x14ac:dyDescent="0.4">
      <c r="A24" s="2">
        <v>19</v>
      </c>
      <c r="B24" s="80" t="s">
        <v>227</v>
      </c>
      <c r="C24" s="85" t="s">
        <v>897</v>
      </c>
      <c r="D24" s="41" t="s">
        <v>883</v>
      </c>
      <c r="E24" s="41" t="s">
        <v>862</v>
      </c>
      <c r="F24" s="41"/>
      <c r="G24" s="86" t="s">
        <v>716</v>
      </c>
      <c r="H24" s="102" t="s">
        <v>863</v>
      </c>
      <c r="I24" s="54" t="s">
        <v>727</v>
      </c>
      <c r="J24" s="83">
        <v>3</v>
      </c>
      <c r="K24" s="83">
        <v>2</v>
      </c>
      <c r="L24" s="41">
        <f t="shared" si="2"/>
        <v>6</v>
      </c>
      <c r="M24" s="86" t="s">
        <v>723</v>
      </c>
      <c r="N24" s="82">
        <v>1</v>
      </c>
      <c r="O24" s="82">
        <v>2</v>
      </c>
      <c r="P24" s="41">
        <f t="shared" si="3"/>
        <v>2</v>
      </c>
      <c r="Q24" s="88"/>
      <c r="R24" s="79"/>
      <c r="S24" s="79"/>
    </row>
    <row r="25" spans="1:19" ht="52.95" customHeight="1" x14ac:dyDescent="0.4">
      <c r="A25" s="2">
        <v>20</v>
      </c>
      <c r="B25" s="80" t="s">
        <v>227</v>
      </c>
      <c r="C25" s="85" t="s">
        <v>898</v>
      </c>
      <c r="D25" s="41" t="s">
        <v>883</v>
      </c>
      <c r="E25" s="41" t="s">
        <v>862</v>
      </c>
      <c r="F25" s="41"/>
      <c r="G25" s="86" t="s">
        <v>716</v>
      </c>
      <c r="H25" s="102" t="s">
        <v>866</v>
      </c>
      <c r="I25" s="54" t="s">
        <v>718</v>
      </c>
      <c r="J25" s="83">
        <v>2</v>
      </c>
      <c r="K25" s="83">
        <v>3</v>
      </c>
      <c r="L25" s="41">
        <f t="shared" si="2"/>
        <v>6</v>
      </c>
      <c r="M25" s="86" t="s">
        <v>719</v>
      </c>
      <c r="N25" s="82">
        <v>1</v>
      </c>
      <c r="O25" s="82">
        <v>3</v>
      </c>
      <c r="P25" s="41">
        <f t="shared" si="3"/>
        <v>3</v>
      </c>
      <c r="Q25" s="88"/>
      <c r="R25" s="79"/>
      <c r="S25" s="79"/>
    </row>
    <row r="26" spans="1:19" ht="52.95" customHeight="1" x14ac:dyDescent="0.4">
      <c r="A26" s="2">
        <v>21</v>
      </c>
      <c r="B26" s="80" t="s">
        <v>227</v>
      </c>
      <c r="C26" s="85" t="s">
        <v>899</v>
      </c>
      <c r="D26" s="41" t="s">
        <v>846</v>
      </c>
      <c r="E26" s="41" t="s">
        <v>862</v>
      </c>
      <c r="F26" s="41"/>
      <c r="G26" s="86" t="s">
        <v>733</v>
      </c>
      <c r="H26" s="102" t="s">
        <v>874</v>
      </c>
      <c r="I26" s="54" t="s">
        <v>867</v>
      </c>
      <c r="J26" s="83">
        <v>3</v>
      </c>
      <c r="K26" s="83">
        <v>2</v>
      </c>
      <c r="L26" s="41">
        <f t="shared" si="2"/>
        <v>6</v>
      </c>
      <c r="M26" s="86" t="s">
        <v>868</v>
      </c>
      <c r="N26" s="82">
        <v>1</v>
      </c>
      <c r="O26" s="82">
        <v>2</v>
      </c>
      <c r="P26" s="41">
        <f t="shared" si="3"/>
        <v>2</v>
      </c>
      <c r="Q26" s="88"/>
      <c r="R26" s="79"/>
      <c r="S26" s="79"/>
    </row>
    <row r="27" spans="1:19" ht="52.95" customHeight="1" x14ac:dyDescent="0.4">
      <c r="A27" s="2">
        <v>22</v>
      </c>
      <c r="B27" s="80" t="s">
        <v>227</v>
      </c>
      <c r="C27" s="85" t="s">
        <v>900</v>
      </c>
      <c r="D27" s="41" t="s">
        <v>570</v>
      </c>
      <c r="E27" s="41" t="s">
        <v>862</v>
      </c>
      <c r="F27" s="41"/>
      <c r="G27" s="86" t="s">
        <v>733</v>
      </c>
      <c r="H27" s="102" t="s">
        <v>874</v>
      </c>
      <c r="I27" s="54" t="s">
        <v>875</v>
      </c>
      <c r="J27" s="83">
        <v>3</v>
      </c>
      <c r="K27" s="83">
        <v>2</v>
      </c>
      <c r="L27" s="41">
        <f t="shared" si="2"/>
        <v>6</v>
      </c>
      <c r="M27" s="86" t="s">
        <v>876</v>
      </c>
      <c r="N27" s="82">
        <v>2</v>
      </c>
      <c r="O27" s="82">
        <v>1</v>
      </c>
      <c r="P27" s="41">
        <f t="shared" si="3"/>
        <v>2</v>
      </c>
      <c r="Q27" s="88"/>
      <c r="R27" s="79"/>
      <c r="S27" s="79"/>
    </row>
    <row r="28" spans="1:19" ht="52.95" customHeight="1" x14ac:dyDescent="0.4">
      <c r="A28" s="2">
        <v>23</v>
      </c>
      <c r="B28" s="80" t="s">
        <v>227</v>
      </c>
      <c r="C28" s="85" t="s">
        <v>901</v>
      </c>
      <c r="D28" s="41" t="s">
        <v>902</v>
      </c>
      <c r="E28" s="41" t="s">
        <v>862</v>
      </c>
      <c r="F28" s="41"/>
      <c r="G28" s="86" t="s">
        <v>716</v>
      </c>
      <c r="H28" s="102" t="s">
        <v>866</v>
      </c>
      <c r="I28" s="54" t="s">
        <v>903</v>
      </c>
      <c r="J28" s="83">
        <v>2</v>
      </c>
      <c r="K28" s="83">
        <v>3</v>
      </c>
      <c r="L28" s="41">
        <f t="shared" si="2"/>
        <v>6</v>
      </c>
      <c r="M28" s="86" t="s">
        <v>723</v>
      </c>
      <c r="N28" s="82">
        <v>1</v>
      </c>
      <c r="O28" s="82">
        <v>3</v>
      </c>
      <c r="P28" s="41">
        <f t="shared" si="3"/>
        <v>3</v>
      </c>
      <c r="Q28" s="88"/>
      <c r="R28" s="79"/>
      <c r="S28" s="79"/>
    </row>
    <row r="29" spans="1:19" ht="52.95" customHeight="1" x14ac:dyDescent="0.4">
      <c r="A29" s="2">
        <v>24</v>
      </c>
      <c r="B29" s="80" t="s">
        <v>227</v>
      </c>
      <c r="C29" s="85" t="s">
        <v>904</v>
      </c>
      <c r="D29" s="41" t="s">
        <v>902</v>
      </c>
      <c r="E29" s="41" t="s">
        <v>862</v>
      </c>
      <c r="F29" s="41"/>
      <c r="G29" s="86" t="s">
        <v>716</v>
      </c>
      <c r="H29" s="102" t="s">
        <v>905</v>
      </c>
      <c r="I29" s="54" t="s">
        <v>890</v>
      </c>
      <c r="J29" s="83">
        <v>2</v>
      </c>
      <c r="K29" s="83">
        <v>3</v>
      </c>
      <c r="L29" s="41">
        <f t="shared" si="2"/>
        <v>6</v>
      </c>
      <c r="M29" s="86" t="s">
        <v>906</v>
      </c>
      <c r="N29" s="82">
        <v>2</v>
      </c>
      <c r="O29" s="82">
        <v>2</v>
      </c>
      <c r="P29" s="41">
        <f t="shared" si="3"/>
        <v>4</v>
      </c>
      <c r="Q29" s="88"/>
      <c r="R29" s="79"/>
      <c r="S29" s="79"/>
    </row>
    <row r="30" spans="1:19" ht="52.95" customHeight="1" x14ac:dyDescent="0.4">
      <c r="A30" s="2">
        <v>25</v>
      </c>
      <c r="B30" s="80" t="s">
        <v>227</v>
      </c>
      <c r="C30" s="85" t="s">
        <v>907</v>
      </c>
      <c r="D30" s="41" t="s">
        <v>800</v>
      </c>
      <c r="E30" s="41" t="s">
        <v>862</v>
      </c>
      <c r="F30" s="41"/>
      <c r="G30" s="86" t="s">
        <v>733</v>
      </c>
      <c r="H30" s="102" t="s">
        <v>874</v>
      </c>
      <c r="I30" s="54" t="s">
        <v>908</v>
      </c>
      <c r="J30" s="83">
        <v>3</v>
      </c>
      <c r="K30" s="83">
        <v>2</v>
      </c>
      <c r="L30" s="41">
        <f t="shared" si="2"/>
        <v>6</v>
      </c>
      <c r="M30" s="86" t="s">
        <v>876</v>
      </c>
      <c r="N30" s="82">
        <v>2</v>
      </c>
      <c r="O30" s="82">
        <v>1</v>
      </c>
      <c r="P30" s="41">
        <f t="shared" si="3"/>
        <v>2</v>
      </c>
      <c r="Q30" s="88"/>
      <c r="R30" s="79"/>
      <c r="S30" s="79"/>
    </row>
    <row r="31" spans="1:19" ht="52.95" customHeight="1" x14ac:dyDescent="0.4">
      <c r="A31" s="2">
        <v>26</v>
      </c>
      <c r="B31" s="80" t="s">
        <v>227</v>
      </c>
      <c r="C31" s="85" t="s">
        <v>909</v>
      </c>
      <c r="D31" s="41" t="s">
        <v>846</v>
      </c>
      <c r="E31" s="41" t="s">
        <v>862</v>
      </c>
      <c r="F31" s="41"/>
      <c r="G31" s="86" t="s">
        <v>733</v>
      </c>
      <c r="H31" s="102" t="s">
        <v>910</v>
      </c>
      <c r="I31" s="54" t="s">
        <v>867</v>
      </c>
      <c r="J31" s="83">
        <v>2</v>
      </c>
      <c r="K31" s="83">
        <v>3</v>
      </c>
      <c r="L31" s="41">
        <f t="shared" si="2"/>
        <v>6</v>
      </c>
      <c r="M31" s="86" t="s">
        <v>868</v>
      </c>
      <c r="N31" s="82">
        <v>2</v>
      </c>
      <c r="O31" s="82">
        <v>1</v>
      </c>
      <c r="P31" s="41">
        <f t="shared" si="3"/>
        <v>2</v>
      </c>
      <c r="Q31" s="88"/>
      <c r="R31" s="79"/>
      <c r="S31" s="79"/>
    </row>
    <row r="32" spans="1:19" ht="52.95" customHeight="1" x14ac:dyDescent="0.4">
      <c r="A32" s="2">
        <v>27</v>
      </c>
      <c r="B32" s="80" t="s">
        <v>227</v>
      </c>
      <c r="C32" s="85" t="s">
        <v>911</v>
      </c>
      <c r="D32" s="41" t="s">
        <v>846</v>
      </c>
      <c r="E32" s="41" t="s">
        <v>862</v>
      </c>
      <c r="F32" s="41"/>
      <c r="G32" s="86" t="s">
        <v>733</v>
      </c>
      <c r="H32" s="102" t="s">
        <v>874</v>
      </c>
      <c r="I32" s="54" t="s">
        <v>867</v>
      </c>
      <c r="J32" s="83">
        <v>3</v>
      </c>
      <c r="K32" s="83">
        <v>2</v>
      </c>
      <c r="L32" s="41">
        <f t="shared" si="2"/>
        <v>6</v>
      </c>
      <c r="M32" s="86" t="s">
        <v>868</v>
      </c>
      <c r="N32" s="82">
        <v>2</v>
      </c>
      <c r="O32" s="82">
        <v>1</v>
      </c>
      <c r="P32" s="41">
        <f t="shared" si="3"/>
        <v>2</v>
      </c>
      <c r="Q32" s="88"/>
      <c r="R32" s="79"/>
      <c r="S32" s="79"/>
    </row>
    <row r="33" spans="1:19" ht="52.95" customHeight="1" x14ac:dyDescent="0.4">
      <c r="A33" s="2">
        <v>28</v>
      </c>
      <c r="B33" s="80" t="s">
        <v>227</v>
      </c>
      <c r="C33" s="85" t="s">
        <v>912</v>
      </c>
      <c r="D33" s="41" t="s">
        <v>846</v>
      </c>
      <c r="E33" s="41" t="s">
        <v>862</v>
      </c>
      <c r="F33" s="41"/>
      <c r="G33" s="86" t="s">
        <v>716</v>
      </c>
      <c r="H33" s="102" t="s">
        <v>863</v>
      </c>
      <c r="I33" s="54" t="s">
        <v>727</v>
      </c>
      <c r="J33" s="83">
        <v>3</v>
      </c>
      <c r="K33" s="83">
        <v>2</v>
      </c>
      <c r="L33" s="41">
        <f t="shared" si="2"/>
        <v>6</v>
      </c>
      <c r="M33" s="86" t="s">
        <v>723</v>
      </c>
      <c r="N33" s="82">
        <v>1</v>
      </c>
      <c r="O33" s="82">
        <v>3</v>
      </c>
      <c r="P33" s="41">
        <f t="shared" si="3"/>
        <v>3</v>
      </c>
      <c r="Q33" s="88"/>
      <c r="R33" s="79"/>
      <c r="S33" s="79"/>
    </row>
    <row r="34" spans="1:19" ht="52.95" customHeight="1" x14ac:dyDescent="0.4">
      <c r="A34" s="2">
        <v>29</v>
      </c>
      <c r="B34" s="80" t="s">
        <v>227</v>
      </c>
      <c r="C34" s="85" t="s">
        <v>913</v>
      </c>
      <c r="D34" s="41" t="s">
        <v>846</v>
      </c>
      <c r="E34" s="41" t="s">
        <v>862</v>
      </c>
      <c r="F34" s="41"/>
      <c r="G34" s="86" t="s">
        <v>733</v>
      </c>
      <c r="H34" s="102" t="s">
        <v>874</v>
      </c>
      <c r="I34" s="54" t="s">
        <v>867</v>
      </c>
      <c r="J34" s="83">
        <v>3</v>
      </c>
      <c r="K34" s="83">
        <v>2</v>
      </c>
      <c r="L34" s="41">
        <f t="shared" si="2"/>
        <v>6</v>
      </c>
      <c r="M34" s="86" t="s">
        <v>914</v>
      </c>
      <c r="N34" s="82">
        <v>1</v>
      </c>
      <c r="O34" s="82">
        <v>2</v>
      </c>
      <c r="P34" s="41">
        <f t="shared" si="3"/>
        <v>2</v>
      </c>
      <c r="Q34" s="88"/>
      <c r="R34" s="79"/>
      <c r="S34" s="79"/>
    </row>
    <row r="35" spans="1:19" ht="52.95" customHeight="1" x14ac:dyDescent="0.4">
      <c r="A35" s="2">
        <v>30</v>
      </c>
      <c r="B35" s="80" t="s">
        <v>227</v>
      </c>
      <c r="C35" s="85" t="s">
        <v>915</v>
      </c>
      <c r="D35" s="41" t="s">
        <v>846</v>
      </c>
      <c r="E35" s="41" t="s">
        <v>862</v>
      </c>
      <c r="F35" s="41"/>
      <c r="G35" s="86" t="s">
        <v>733</v>
      </c>
      <c r="H35" s="102" t="s">
        <v>874</v>
      </c>
      <c r="I35" s="54" t="s">
        <v>867</v>
      </c>
      <c r="J35" s="83">
        <v>2</v>
      </c>
      <c r="K35" s="83">
        <v>3</v>
      </c>
      <c r="L35" s="41">
        <f t="shared" si="2"/>
        <v>6</v>
      </c>
      <c r="M35" s="86" t="s">
        <v>868</v>
      </c>
      <c r="N35" s="82">
        <v>2</v>
      </c>
      <c r="O35" s="82">
        <v>2</v>
      </c>
      <c r="P35" s="41">
        <f t="shared" si="3"/>
        <v>4</v>
      </c>
      <c r="Q35" s="88"/>
      <c r="R35" s="79"/>
      <c r="S35" s="79"/>
    </row>
    <row r="36" spans="1:19" ht="52.95" customHeight="1" x14ac:dyDescent="0.4">
      <c r="A36" s="2">
        <v>31</v>
      </c>
      <c r="B36" s="80" t="s">
        <v>227</v>
      </c>
      <c r="C36" s="85" t="s">
        <v>916</v>
      </c>
      <c r="D36" s="41" t="s">
        <v>846</v>
      </c>
      <c r="E36" s="41" t="s">
        <v>862</v>
      </c>
      <c r="F36" s="41"/>
      <c r="G36" s="86" t="s">
        <v>733</v>
      </c>
      <c r="H36" s="102" t="s">
        <v>874</v>
      </c>
      <c r="I36" s="54" t="s">
        <v>867</v>
      </c>
      <c r="J36" s="83">
        <v>2</v>
      </c>
      <c r="K36" s="83">
        <v>3</v>
      </c>
      <c r="L36" s="41">
        <f t="shared" si="2"/>
        <v>6</v>
      </c>
      <c r="M36" s="86" t="s">
        <v>917</v>
      </c>
      <c r="N36" s="82">
        <v>1</v>
      </c>
      <c r="O36" s="82">
        <v>2</v>
      </c>
      <c r="P36" s="41">
        <f t="shared" si="3"/>
        <v>2</v>
      </c>
      <c r="Q36" s="88"/>
      <c r="R36" s="79"/>
      <c r="S36" s="79"/>
    </row>
    <row r="37" spans="1:19" ht="52.95" customHeight="1" x14ac:dyDescent="0.4">
      <c r="A37" s="2">
        <v>32</v>
      </c>
      <c r="B37" s="80" t="s">
        <v>227</v>
      </c>
      <c r="C37" s="85" t="s">
        <v>918</v>
      </c>
      <c r="D37" s="41" t="s">
        <v>570</v>
      </c>
      <c r="E37" s="41" t="s">
        <v>862</v>
      </c>
      <c r="F37" s="41"/>
      <c r="G37" s="86" t="s">
        <v>742</v>
      </c>
      <c r="H37" s="102" t="s">
        <v>919</v>
      </c>
      <c r="I37" s="54" t="s">
        <v>765</v>
      </c>
      <c r="J37" s="83">
        <v>3</v>
      </c>
      <c r="K37" s="83">
        <v>1</v>
      </c>
      <c r="L37" s="41">
        <f t="shared" si="2"/>
        <v>3</v>
      </c>
      <c r="M37" s="86" t="s">
        <v>766</v>
      </c>
      <c r="N37" s="82">
        <v>2</v>
      </c>
      <c r="O37" s="82">
        <v>1</v>
      </c>
      <c r="P37" s="41">
        <f t="shared" si="3"/>
        <v>2</v>
      </c>
      <c r="Q37" s="88"/>
      <c r="R37" s="79"/>
      <c r="S37" s="79"/>
    </row>
    <row r="38" spans="1:19" ht="52.95" customHeight="1" x14ac:dyDescent="0.4">
      <c r="A38" s="2">
        <v>33</v>
      </c>
      <c r="B38" s="80" t="s">
        <v>227</v>
      </c>
      <c r="C38" s="85" t="s">
        <v>920</v>
      </c>
      <c r="D38" s="41" t="s">
        <v>570</v>
      </c>
      <c r="E38" s="41" t="s">
        <v>862</v>
      </c>
      <c r="F38" s="41"/>
      <c r="G38" s="86" t="s">
        <v>733</v>
      </c>
      <c r="H38" s="102" t="s">
        <v>921</v>
      </c>
      <c r="I38" s="54" t="s">
        <v>735</v>
      </c>
      <c r="J38" s="83">
        <v>3</v>
      </c>
      <c r="K38" s="83">
        <v>1</v>
      </c>
      <c r="L38" s="41">
        <f t="shared" si="2"/>
        <v>3</v>
      </c>
      <c r="M38" s="86" t="s">
        <v>769</v>
      </c>
      <c r="N38" s="82">
        <v>2</v>
      </c>
      <c r="O38" s="82">
        <v>1</v>
      </c>
      <c r="P38" s="41">
        <f t="shared" si="3"/>
        <v>2</v>
      </c>
      <c r="Q38" s="88"/>
      <c r="R38" s="79"/>
      <c r="S38" s="79"/>
    </row>
    <row r="39" spans="1:19" ht="52.95" customHeight="1" x14ac:dyDescent="0.4">
      <c r="A39" s="2">
        <v>34</v>
      </c>
      <c r="B39" s="80" t="s">
        <v>227</v>
      </c>
      <c r="C39" s="85" t="s">
        <v>922</v>
      </c>
      <c r="D39" s="41" t="s">
        <v>570</v>
      </c>
      <c r="E39" s="41" t="s">
        <v>862</v>
      </c>
      <c r="F39" s="41"/>
      <c r="G39" s="86" t="s">
        <v>733</v>
      </c>
      <c r="H39" s="102" t="s">
        <v>923</v>
      </c>
      <c r="I39" s="54" t="s">
        <v>735</v>
      </c>
      <c r="J39" s="83">
        <v>3</v>
      </c>
      <c r="K39" s="83">
        <v>1</v>
      </c>
      <c r="L39" s="41">
        <f t="shared" si="2"/>
        <v>3</v>
      </c>
      <c r="M39" s="86" t="s">
        <v>772</v>
      </c>
      <c r="N39" s="82">
        <v>2</v>
      </c>
      <c r="O39" s="82">
        <v>1</v>
      </c>
      <c r="P39" s="41">
        <f t="shared" si="3"/>
        <v>2</v>
      </c>
      <c r="Q39" s="88"/>
      <c r="R39" s="79"/>
      <c r="S39" s="79"/>
    </row>
    <row r="40" spans="1:19" ht="52.95" customHeight="1" x14ac:dyDescent="0.4">
      <c r="A40" s="2">
        <v>35</v>
      </c>
      <c r="B40" s="80" t="s">
        <v>227</v>
      </c>
      <c r="C40" s="85" t="s">
        <v>924</v>
      </c>
      <c r="D40" s="41" t="s">
        <v>862</v>
      </c>
      <c r="E40" s="41" t="s">
        <v>925</v>
      </c>
      <c r="F40" s="41"/>
      <c r="G40" s="86" t="s">
        <v>733</v>
      </c>
      <c r="H40" s="102" t="s">
        <v>142</v>
      </c>
      <c r="I40" s="54" t="s">
        <v>775</v>
      </c>
      <c r="J40" s="83">
        <v>3</v>
      </c>
      <c r="K40" s="83">
        <v>1</v>
      </c>
      <c r="L40" s="41">
        <f t="shared" si="2"/>
        <v>3</v>
      </c>
      <c r="M40" s="86" t="s">
        <v>776</v>
      </c>
      <c r="N40" s="82">
        <v>2</v>
      </c>
      <c r="O40" s="82">
        <v>1</v>
      </c>
      <c r="P40" s="41">
        <f t="shared" si="3"/>
        <v>2</v>
      </c>
      <c r="Q40" s="88"/>
      <c r="R40" s="79"/>
      <c r="S40" s="79"/>
    </row>
    <row r="41" spans="1:19" ht="52.95" customHeight="1" x14ac:dyDescent="0.4">
      <c r="A41" s="2">
        <v>36</v>
      </c>
      <c r="B41" s="80" t="s">
        <v>228</v>
      </c>
      <c r="C41" s="85" t="s">
        <v>1696</v>
      </c>
      <c r="D41" s="41" t="s">
        <v>193</v>
      </c>
      <c r="E41" s="41" t="s">
        <v>280</v>
      </c>
      <c r="F41" s="41">
        <v>1.3</v>
      </c>
      <c r="G41" s="86" t="s">
        <v>53</v>
      </c>
      <c r="H41" s="62" t="s">
        <v>1692</v>
      </c>
      <c r="I41" s="54" t="s">
        <v>1693</v>
      </c>
      <c r="J41" s="41">
        <v>4</v>
      </c>
      <c r="K41" s="41">
        <v>4</v>
      </c>
      <c r="L41" s="41">
        <v>16</v>
      </c>
      <c r="M41" s="54" t="s">
        <v>1694</v>
      </c>
      <c r="N41" s="41">
        <v>2</v>
      </c>
      <c r="O41" s="41">
        <v>2</v>
      </c>
      <c r="P41" s="41">
        <v>4</v>
      </c>
      <c r="Q41" s="79" t="s">
        <v>180</v>
      </c>
      <c r="R41" s="79" t="s">
        <v>1686</v>
      </c>
      <c r="S41" s="79" t="s">
        <v>282</v>
      </c>
    </row>
    <row r="42" spans="1:19" ht="52.95" customHeight="1" x14ac:dyDescent="0.4">
      <c r="A42" s="2">
        <v>37</v>
      </c>
      <c r="B42" s="80" t="s">
        <v>228</v>
      </c>
      <c r="C42" s="85" t="s">
        <v>1658</v>
      </c>
      <c r="D42" s="41" t="s">
        <v>376</v>
      </c>
      <c r="E42" s="41" t="s">
        <v>280</v>
      </c>
      <c r="F42" s="41">
        <v>3.4</v>
      </c>
      <c r="G42" s="86" t="s">
        <v>377</v>
      </c>
      <c r="H42" s="62" t="s">
        <v>378</v>
      </c>
      <c r="I42" s="54" t="s">
        <v>1687</v>
      </c>
      <c r="J42" s="41">
        <v>2</v>
      </c>
      <c r="K42" s="41">
        <v>2</v>
      </c>
      <c r="L42" s="41">
        <v>4</v>
      </c>
      <c r="M42" s="54" t="s">
        <v>1688</v>
      </c>
      <c r="N42" s="41">
        <v>1</v>
      </c>
      <c r="O42" s="41">
        <v>1</v>
      </c>
      <c r="P42" s="41">
        <v>1</v>
      </c>
      <c r="Q42" s="79"/>
      <c r="R42" s="79"/>
      <c r="S42" s="79"/>
    </row>
    <row r="43" spans="1:19" ht="52.95" customHeight="1" x14ac:dyDescent="0.4">
      <c r="A43" s="2">
        <v>38</v>
      </c>
      <c r="B43" s="80" t="s">
        <v>203</v>
      </c>
      <c r="C43" s="85" t="s">
        <v>1697</v>
      </c>
      <c r="D43" s="41" t="s">
        <v>193</v>
      </c>
      <c r="E43" s="41" t="s">
        <v>280</v>
      </c>
      <c r="F43" s="41">
        <v>1.4</v>
      </c>
      <c r="G43" s="86" t="s">
        <v>54</v>
      </c>
      <c r="H43" s="62" t="s">
        <v>382</v>
      </c>
      <c r="I43" s="87" t="s">
        <v>383</v>
      </c>
      <c r="J43" s="41">
        <v>2</v>
      </c>
      <c r="K43" s="41">
        <v>2</v>
      </c>
      <c r="L43" s="41">
        <v>4</v>
      </c>
      <c r="M43" s="87" t="s">
        <v>384</v>
      </c>
      <c r="N43" s="41">
        <v>1</v>
      </c>
      <c r="O43" s="41">
        <v>1</v>
      </c>
      <c r="P43" s="41">
        <v>1</v>
      </c>
      <c r="Q43" s="79"/>
      <c r="R43" s="79"/>
      <c r="S43" s="79"/>
    </row>
    <row r="44" spans="1:19" ht="52.95" customHeight="1" x14ac:dyDescent="0.4">
      <c r="A44" s="2">
        <v>39</v>
      </c>
      <c r="B44" s="80" t="s">
        <v>203</v>
      </c>
      <c r="C44" s="85" t="s">
        <v>385</v>
      </c>
      <c r="D44" s="41" t="s">
        <v>386</v>
      </c>
      <c r="E44" s="41" t="s">
        <v>280</v>
      </c>
      <c r="F44" s="41">
        <v>1.4</v>
      </c>
      <c r="G44" s="86" t="s">
        <v>54</v>
      </c>
      <c r="H44" s="62" t="s">
        <v>387</v>
      </c>
      <c r="I44" s="54" t="s">
        <v>388</v>
      </c>
      <c r="J44" s="41">
        <v>2</v>
      </c>
      <c r="K44" s="41">
        <v>2</v>
      </c>
      <c r="L44" s="41">
        <v>4</v>
      </c>
      <c r="M44" s="87" t="s">
        <v>1690</v>
      </c>
      <c r="N44" s="41">
        <v>1</v>
      </c>
      <c r="O44" s="41">
        <v>1</v>
      </c>
      <c r="P44" s="41">
        <v>1</v>
      </c>
      <c r="Q44" s="79"/>
      <c r="R44" s="79"/>
      <c r="S44" s="79"/>
    </row>
    <row r="45" spans="1:19" ht="25.2" customHeight="1" x14ac:dyDescent="0.4">
      <c r="A45" s="389" t="s">
        <v>185</v>
      </c>
      <c r="B45" s="390"/>
      <c r="C45" s="391"/>
      <c r="D45" s="398" t="s">
        <v>186</v>
      </c>
      <c r="E45" s="399"/>
      <c r="F45" s="400"/>
      <c r="G45" s="401"/>
      <c r="H45" s="401"/>
      <c r="I45" s="401"/>
      <c r="J45" s="401"/>
      <c r="K45" s="401"/>
      <c r="L45" s="401"/>
      <c r="M45" s="402"/>
      <c r="N45" s="51" t="s">
        <v>187</v>
      </c>
      <c r="O45" s="52"/>
      <c r="P45" s="52"/>
      <c r="Q45" s="52"/>
      <c r="R45" s="52"/>
      <c r="S45" s="53"/>
    </row>
    <row r="46" spans="1:19" ht="25.2" customHeight="1" x14ac:dyDescent="0.4">
      <c r="A46" s="392"/>
      <c r="B46" s="393"/>
      <c r="C46" s="394"/>
      <c r="D46" s="398" t="s">
        <v>188</v>
      </c>
      <c r="E46" s="399"/>
      <c r="F46" s="400"/>
      <c r="G46" s="401"/>
      <c r="H46" s="401"/>
      <c r="I46" s="401"/>
      <c r="J46" s="401"/>
      <c r="K46" s="401"/>
      <c r="L46" s="401"/>
      <c r="M46" s="402"/>
      <c r="N46" s="51" t="s">
        <v>187</v>
      </c>
      <c r="O46" s="52"/>
      <c r="P46" s="52"/>
      <c r="Q46" s="52"/>
      <c r="R46" s="52"/>
      <c r="S46" s="53"/>
    </row>
    <row r="47" spans="1:19" ht="25.2" customHeight="1" x14ac:dyDescent="0.4">
      <c r="A47" s="392"/>
      <c r="B47" s="393"/>
      <c r="C47" s="394"/>
      <c r="D47" s="398" t="s">
        <v>130</v>
      </c>
      <c r="E47" s="399"/>
      <c r="F47" s="400"/>
      <c r="G47" s="401"/>
      <c r="H47" s="401"/>
      <c r="I47" s="401"/>
      <c r="J47" s="401"/>
      <c r="K47" s="401"/>
      <c r="L47" s="401"/>
      <c r="M47" s="402"/>
      <c r="N47" s="51" t="s">
        <v>187</v>
      </c>
      <c r="O47" s="52"/>
      <c r="P47" s="52"/>
      <c r="Q47" s="52"/>
      <c r="R47" s="52"/>
      <c r="S47" s="53"/>
    </row>
    <row r="48" spans="1:19" ht="25.2" customHeight="1" x14ac:dyDescent="0.4">
      <c r="A48" s="392"/>
      <c r="B48" s="393"/>
      <c r="C48" s="394"/>
      <c r="D48" s="398" t="s">
        <v>189</v>
      </c>
      <c r="E48" s="399"/>
      <c r="F48" s="400"/>
      <c r="G48" s="401"/>
      <c r="H48" s="401"/>
      <c r="I48" s="401"/>
      <c r="J48" s="401"/>
      <c r="K48" s="401"/>
      <c r="L48" s="401"/>
      <c r="M48" s="402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395"/>
      <c r="B49" s="396"/>
      <c r="C49" s="397"/>
      <c r="D49" s="398" t="s">
        <v>190</v>
      </c>
      <c r="E49" s="399"/>
      <c r="F49" s="400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989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227</v>
      </c>
      <c r="C6" s="85" t="s">
        <v>950</v>
      </c>
      <c r="D6" s="41" t="s">
        <v>251</v>
      </c>
      <c r="E6" s="41"/>
      <c r="F6" s="41">
        <v>1.6</v>
      </c>
      <c r="G6" s="86" t="s">
        <v>951</v>
      </c>
      <c r="H6" s="106" t="s">
        <v>952</v>
      </c>
      <c r="I6" s="106" t="s">
        <v>953</v>
      </c>
      <c r="J6" s="41">
        <v>2</v>
      </c>
      <c r="K6" s="41">
        <v>3</v>
      </c>
      <c r="L6" s="41">
        <f t="shared" ref="L6:L15" si="0">K6*J6</f>
        <v>6</v>
      </c>
      <c r="M6" s="106" t="s">
        <v>954</v>
      </c>
      <c r="N6" s="41">
        <v>1</v>
      </c>
      <c r="O6" s="41">
        <v>3</v>
      </c>
      <c r="P6" s="41">
        <f>O6*N6</f>
        <v>3</v>
      </c>
      <c r="Q6" s="41" t="s">
        <v>270</v>
      </c>
      <c r="R6" s="41" t="s">
        <v>990</v>
      </c>
      <c r="S6" s="41" t="s">
        <v>271</v>
      </c>
    </row>
    <row r="7" spans="1:19" ht="52.95" customHeight="1" x14ac:dyDescent="0.4">
      <c r="A7" s="2">
        <v>2</v>
      </c>
      <c r="B7" s="80" t="s">
        <v>227</v>
      </c>
      <c r="C7" s="85" t="s">
        <v>950</v>
      </c>
      <c r="D7" s="41" t="s">
        <v>251</v>
      </c>
      <c r="E7" s="41"/>
      <c r="F7" s="41">
        <v>7.1</v>
      </c>
      <c r="G7" s="87" t="s">
        <v>955</v>
      </c>
      <c r="H7" s="107" t="s">
        <v>956</v>
      </c>
      <c r="I7" s="107" t="s">
        <v>957</v>
      </c>
      <c r="J7" s="41">
        <v>2</v>
      </c>
      <c r="K7" s="41">
        <v>3</v>
      </c>
      <c r="L7" s="41">
        <f t="shared" si="0"/>
        <v>6</v>
      </c>
      <c r="M7" s="107" t="s">
        <v>958</v>
      </c>
      <c r="N7" s="41">
        <v>1</v>
      </c>
      <c r="O7" s="41">
        <v>3</v>
      </c>
      <c r="P7" s="41">
        <f t="shared" ref="P7:P15" si="1">O7*N7</f>
        <v>3</v>
      </c>
      <c r="Q7" s="79"/>
      <c r="R7" s="79"/>
      <c r="S7" s="79"/>
    </row>
    <row r="8" spans="1:19" ht="52.95" customHeight="1" x14ac:dyDescent="0.4">
      <c r="A8" s="2">
        <v>3</v>
      </c>
      <c r="B8" s="80" t="s">
        <v>227</v>
      </c>
      <c r="C8" s="85" t="s">
        <v>950</v>
      </c>
      <c r="D8" s="41" t="s">
        <v>251</v>
      </c>
      <c r="E8" s="41"/>
      <c r="F8" s="41">
        <v>7.1</v>
      </c>
      <c r="G8" s="87" t="s">
        <v>955</v>
      </c>
      <c r="H8" s="107" t="s">
        <v>959</v>
      </c>
      <c r="I8" s="107" t="s">
        <v>960</v>
      </c>
      <c r="J8" s="41">
        <v>2</v>
      </c>
      <c r="K8" s="41">
        <v>3</v>
      </c>
      <c r="L8" s="41">
        <f t="shared" si="0"/>
        <v>6</v>
      </c>
      <c r="M8" s="107" t="s">
        <v>961</v>
      </c>
      <c r="N8" s="41">
        <v>1</v>
      </c>
      <c r="O8" s="41">
        <v>3</v>
      </c>
      <c r="P8" s="41">
        <f t="shared" si="1"/>
        <v>3</v>
      </c>
      <c r="Q8" s="79"/>
      <c r="R8" s="79"/>
      <c r="S8" s="79"/>
    </row>
    <row r="9" spans="1:19" ht="52.95" customHeight="1" x14ac:dyDescent="0.4">
      <c r="A9" s="2">
        <v>4</v>
      </c>
      <c r="B9" s="80" t="s">
        <v>227</v>
      </c>
      <c r="C9" s="85" t="s">
        <v>950</v>
      </c>
      <c r="D9" s="41" t="s">
        <v>962</v>
      </c>
      <c r="E9" s="41"/>
      <c r="F9" s="41">
        <v>3.2</v>
      </c>
      <c r="G9" s="87" t="s">
        <v>963</v>
      </c>
      <c r="H9" s="107" t="s">
        <v>964</v>
      </c>
      <c r="I9" s="107" t="s">
        <v>965</v>
      </c>
      <c r="J9" s="41">
        <v>2</v>
      </c>
      <c r="K9" s="41">
        <v>3</v>
      </c>
      <c r="L9" s="41">
        <f t="shared" si="0"/>
        <v>6</v>
      </c>
      <c r="M9" s="107" t="s">
        <v>966</v>
      </c>
      <c r="N9" s="41">
        <v>1</v>
      </c>
      <c r="O9" s="41">
        <v>3</v>
      </c>
      <c r="P9" s="41">
        <f t="shared" si="1"/>
        <v>3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950</v>
      </c>
      <c r="D10" s="41" t="s">
        <v>967</v>
      </c>
      <c r="E10" s="41"/>
      <c r="F10" s="41">
        <v>4.2</v>
      </c>
      <c r="G10" s="87" t="s">
        <v>968</v>
      </c>
      <c r="H10" s="107" t="s">
        <v>969</v>
      </c>
      <c r="I10" s="107" t="s">
        <v>970</v>
      </c>
      <c r="J10" s="41">
        <v>3</v>
      </c>
      <c r="K10" s="41">
        <v>2</v>
      </c>
      <c r="L10" s="41">
        <f t="shared" si="0"/>
        <v>6</v>
      </c>
      <c r="M10" s="107" t="s">
        <v>971</v>
      </c>
      <c r="N10" s="41">
        <v>2</v>
      </c>
      <c r="O10" s="41">
        <v>2</v>
      </c>
      <c r="P10" s="41">
        <f t="shared" si="1"/>
        <v>4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972</v>
      </c>
      <c r="D11" s="41"/>
      <c r="E11" s="41"/>
      <c r="F11" s="41">
        <v>7.4</v>
      </c>
      <c r="G11" s="86" t="s">
        <v>973</v>
      </c>
      <c r="H11" s="107" t="s">
        <v>974</v>
      </c>
      <c r="I11" s="107" t="s">
        <v>975</v>
      </c>
      <c r="J11" s="41">
        <v>3</v>
      </c>
      <c r="K11" s="41">
        <v>3</v>
      </c>
      <c r="L11" s="41">
        <f t="shared" si="0"/>
        <v>9</v>
      </c>
      <c r="M11" s="107" t="s">
        <v>976</v>
      </c>
      <c r="N11" s="41">
        <v>2</v>
      </c>
      <c r="O11" s="41">
        <v>3</v>
      </c>
      <c r="P11" s="41">
        <f t="shared" si="1"/>
        <v>6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972</v>
      </c>
      <c r="D12" s="41" t="s">
        <v>977</v>
      </c>
      <c r="E12" s="41"/>
      <c r="F12" s="2">
        <v>3.4</v>
      </c>
      <c r="G12" s="97" t="s">
        <v>978</v>
      </c>
      <c r="H12" s="107" t="s">
        <v>979</v>
      </c>
      <c r="I12" s="108" t="s">
        <v>280</v>
      </c>
      <c r="J12" s="2">
        <v>2</v>
      </c>
      <c r="K12" s="41">
        <v>3</v>
      </c>
      <c r="L12" s="41">
        <f t="shared" si="0"/>
        <v>6</v>
      </c>
      <c r="M12" s="107" t="s">
        <v>980</v>
      </c>
      <c r="N12" s="41">
        <v>1</v>
      </c>
      <c r="O12" s="41">
        <v>3</v>
      </c>
      <c r="P12" s="41">
        <f t="shared" si="1"/>
        <v>3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972</v>
      </c>
      <c r="D13" s="41"/>
      <c r="E13" s="41"/>
      <c r="F13" s="2">
        <v>3.4</v>
      </c>
      <c r="G13" s="97" t="s">
        <v>978</v>
      </c>
      <c r="H13" s="107" t="s">
        <v>981</v>
      </c>
      <c r="I13" s="108" t="s">
        <v>280</v>
      </c>
      <c r="J13" s="41">
        <v>2</v>
      </c>
      <c r="K13" s="41">
        <v>3</v>
      </c>
      <c r="L13" s="41">
        <f t="shared" si="0"/>
        <v>6</v>
      </c>
      <c r="M13" s="107" t="s">
        <v>982</v>
      </c>
      <c r="N13" s="41">
        <v>1</v>
      </c>
      <c r="O13" s="41">
        <v>3</v>
      </c>
      <c r="P13" s="41">
        <f t="shared" si="1"/>
        <v>3</v>
      </c>
      <c r="Q13" s="88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972</v>
      </c>
      <c r="D14" s="41"/>
      <c r="E14" s="41"/>
      <c r="F14" s="41">
        <v>1.6</v>
      </c>
      <c r="G14" s="87" t="s">
        <v>951</v>
      </c>
      <c r="H14" s="107" t="s">
        <v>983</v>
      </c>
      <c r="I14" s="108" t="s">
        <v>280</v>
      </c>
      <c r="J14" s="41">
        <v>2</v>
      </c>
      <c r="K14" s="41">
        <v>4</v>
      </c>
      <c r="L14" s="41">
        <f t="shared" si="0"/>
        <v>8</v>
      </c>
      <c r="M14" s="107" t="s">
        <v>984</v>
      </c>
      <c r="N14" s="41">
        <v>1</v>
      </c>
      <c r="O14" s="41">
        <v>4</v>
      </c>
      <c r="P14" s="41">
        <f t="shared" si="1"/>
        <v>4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972</v>
      </c>
      <c r="D15" s="41"/>
      <c r="E15" s="41"/>
      <c r="F15" s="41">
        <v>6.3</v>
      </c>
      <c r="G15" s="86" t="s">
        <v>985</v>
      </c>
      <c r="H15" s="107" t="s">
        <v>986</v>
      </c>
      <c r="I15" s="108" t="s">
        <v>987</v>
      </c>
      <c r="J15" s="41">
        <v>3</v>
      </c>
      <c r="K15" s="41">
        <v>2</v>
      </c>
      <c r="L15" s="41">
        <f t="shared" si="0"/>
        <v>6</v>
      </c>
      <c r="M15" s="107" t="s">
        <v>988</v>
      </c>
      <c r="N15" s="41">
        <v>2</v>
      </c>
      <c r="O15" s="41">
        <v>2</v>
      </c>
      <c r="P15" s="41">
        <f t="shared" si="1"/>
        <v>4</v>
      </c>
      <c r="Q15" s="88"/>
      <c r="R15" s="79"/>
      <c r="S15" s="79"/>
    </row>
    <row r="16" spans="1:19" ht="52.95" customHeight="1" x14ac:dyDescent="0.4">
      <c r="A16" s="2">
        <v>11</v>
      </c>
      <c r="B16" s="80" t="s">
        <v>228</v>
      </c>
      <c r="C16" s="85" t="s">
        <v>1698</v>
      </c>
      <c r="D16" s="41" t="s">
        <v>1699</v>
      </c>
      <c r="E16" s="41" t="s">
        <v>280</v>
      </c>
      <c r="F16" s="41">
        <v>2.1</v>
      </c>
      <c r="G16" s="87" t="s">
        <v>1281</v>
      </c>
      <c r="H16" s="105" t="s">
        <v>372</v>
      </c>
      <c r="I16" s="54" t="s">
        <v>1700</v>
      </c>
      <c r="J16" s="41">
        <v>3</v>
      </c>
      <c r="K16" s="41">
        <v>4</v>
      </c>
      <c r="L16" s="41">
        <f t="shared" ref="L16:L23" si="2">J16*K16</f>
        <v>12</v>
      </c>
      <c r="M16" s="87" t="s">
        <v>1701</v>
      </c>
      <c r="N16" s="41">
        <v>1</v>
      </c>
      <c r="O16" s="41">
        <v>4</v>
      </c>
      <c r="P16" s="41">
        <f t="shared" ref="P16:P23" si="3">N16*O16</f>
        <v>4</v>
      </c>
      <c r="Q16" s="88"/>
      <c r="R16" s="79"/>
      <c r="S16" s="79"/>
    </row>
    <row r="17" spans="1:19" ht="52.95" customHeight="1" x14ac:dyDescent="0.4">
      <c r="A17" s="2">
        <v>12</v>
      </c>
      <c r="B17" s="80" t="s">
        <v>228</v>
      </c>
      <c r="C17" s="85" t="s">
        <v>1698</v>
      </c>
      <c r="D17" s="41" t="s">
        <v>1699</v>
      </c>
      <c r="E17" s="41" t="s">
        <v>280</v>
      </c>
      <c r="F17" s="41">
        <v>1.2</v>
      </c>
      <c r="G17" s="87" t="s">
        <v>1702</v>
      </c>
      <c r="H17" s="105" t="s">
        <v>1703</v>
      </c>
      <c r="I17" s="54" t="s">
        <v>1704</v>
      </c>
      <c r="J17" s="41">
        <v>3</v>
      </c>
      <c r="K17" s="41">
        <v>3</v>
      </c>
      <c r="L17" s="41">
        <f t="shared" si="2"/>
        <v>9</v>
      </c>
      <c r="M17" s="87" t="s">
        <v>1705</v>
      </c>
      <c r="N17" s="41">
        <v>1</v>
      </c>
      <c r="O17" s="41">
        <v>2</v>
      </c>
      <c r="P17" s="41">
        <f t="shared" si="3"/>
        <v>2</v>
      </c>
      <c r="Q17" s="88"/>
      <c r="R17" s="79"/>
      <c r="S17" s="79"/>
    </row>
    <row r="18" spans="1:19" ht="52.95" customHeight="1" x14ac:dyDescent="0.4">
      <c r="A18" s="2">
        <v>13</v>
      </c>
      <c r="B18" s="80" t="s">
        <v>228</v>
      </c>
      <c r="C18" s="85" t="s">
        <v>1706</v>
      </c>
      <c r="D18" s="41" t="s">
        <v>1699</v>
      </c>
      <c r="E18" s="41" t="s">
        <v>280</v>
      </c>
      <c r="F18" s="41">
        <v>2.1</v>
      </c>
      <c r="G18" s="86" t="s">
        <v>1281</v>
      </c>
      <c r="H18" s="105" t="s">
        <v>372</v>
      </c>
      <c r="I18" s="54" t="s">
        <v>1700</v>
      </c>
      <c r="J18" s="41">
        <v>3</v>
      </c>
      <c r="K18" s="41">
        <v>4</v>
      </c>
      <c r="L18" s="41">
        <f t="shared" si="2"/>
        <v>12</v>
      </c>
      <c r="M18" s="86" t="s">
        <v>1701</v>
      </c>
      <c r="N18" s="41">
        <v>1</v>
      </c>
      <c r="O18" s="41">
        <v>4</v>
      </c>
      <c r="P18" s="41">
        <f t="shared" si="3"/>
        <v>4</v>
      </c>
      <c r="Q18" s="88"/>
      <c r="R18" s="79"/>
      <c r="S18" s="79"/>
    </row>
    <row r="19" spans="1:19" ht="52.95" customHeight="1" x14ac:dyDescent="0.4">
      <c r="A19" s="2">
        <v>14</v>
      </c>
      <c r="B19" s="80" t="s">
        <v>228</v>
      </c>
      <c r="C19" s="85" t="s">
        <v>1707</v>
      </c>
      <c r="D19" s="41" t="s">
        <v>1699</v>
      </c>
      <c r="E19" s="41" t="s">
        <v>280</v>
      </c>
      <c r="F19" s="2">
        <v>7.3</v>
      </c>
      <c r="G19" s="97" t="s">
        <v>549</v>
      </c>
      <c r="H19" s="105" t="s">
        <v>1708</v>
      </c>
      <c r="I19" s="98" t="s">
        <v>1709</v>
      </c>
      <c r="J19" s="2">
        <v>3</v>
      </c>
      <c r="K19" s="41">
        <v>1</v>
      </c>
      <c r="L19" s="41">
        <f t="shared" si="2"/>
        <v>3</v>
      </c>
      <c r="M19" s="86" t="s">
        <v>1710</v>
      </c>
      <c r="N19" s="41">
        <v>1</v>
      </c>
      <c r="O19" s="41">
        <v>1</v>
      </c>
      <c r="P19" s="41">
        <f t="shared" si="3"/>
        <v>1</v>
      </c>
      <c r="Q19" s="88"/>
      <c r="R19" s="79"/>
      <c r="S19" s="79"/>
    </row>
    <row r="20" spans="1:19" ht="52.95" customHeight="1" x14ac:dyDescent="0.4">
      <c r="A20" s="2">
        <v>15</v>
      </c>
      <c r="B20" s="80" t="s">
        <v>203</v>
      </c>
      <c r="C20" s="85" t="s">
        <v>1711</v>
      </c>
      <c r="D20" s="41" t="s">
        <v>1712</v>
      </c>
      <c r="E20" s="41" t="s">
        <v>280</v>
      </c>
      <c r="F20" s="41">
        <v>1.1000000000000001</v>
      </c>
      <c r="G20" s="87" t="s">
        <v>1713</v>
      </c>
      <c r="H20" s="105" t="s">
        <v>1714</v>
      </c>
      <c r="I20" s="54" t="s">
        <v>1715</v>
      </c>
      <c r="J20" s="41">
        <v>2</v>
      </c>
      <c r="K20" s="41">
        <v>2</v>
      </c>
      <c r="L20" s="41">
        <f t="shared" si="2"/>
        <v>4</v>
      </c>
      <c r="M20" s="87" t="s">
        <v>1716</v>
      </c>
      <c r="N20" s="41">
        <v>1</v>
      </c>
      <c r="O20" s="41">
        <v>2</v>
      </c>
      <c r="P20" s="41">
        <f t="shared" si="3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203</v>
      </c>
      <c r="C21" s="85" t="s">
        <v>1711</v>
      </c>
      <c r="D21" s="41" t="s">
        <v>1712</v>
      </c>
      <c r="E21" s="41" t="s">
        <v>280</v>
      </c>
      <c r="F21" s="41">
        <v>1.6</v>
      </c>
      <c r="G21" s="86" t="s">
        <v>951</v>
      </c>
      <c r="H21" s="105" t="s">
        <v>1717</v>
      </c>
      <c r="I21" s="54" t="s">
        <v>1718</v>
      </c>
      <c r="J21" s="41">
        <v>2</v>
      </c>
      <c r="K21" s="41">
        <v>4</v>
      </c>
      <c r="L21" s="41">
        <f t="shared" si="2"/>
        <v>8</v>
      </c>
      <c r="M21" s="86" t="s">
        <v>1719</v>
      </c>
      <c r="N21" s="41">
        <v>1</v>
      </c>
      <c r="O21" s="41">
        <v>2</v>
      </c>
      <c r="P21" s="41">
        <f t="shared" si="3"/>
        <v>2</v>
      </c>
      <c r="Q21" s="88"/>
      <c r="R21" s="79"/>
      <c r="S21" s="79"/>
    </row>
    <row r="22" spans="1:19" ht="52.95" customHeight="1" x14ac:dyDescent="0.4">
      <c r="A22" s="2">
        <v>17</v>
      </c>
      <c r="B22" s="80" t="s">
        <v>203</v>
      </c>
      <c r="C22" s="85" t="s">
        <v>1720</v>
      </c>
      <c r="D22" s="41" t="s">
        <v>1721</v>
      </c>
      <c r="E22" s="41" t="s">
        <v>280</v>
      </c>
      <c r="F22" s="41">
        <v>1.1000000000000001</v>
      </c>
      <c r="G22" s="86" t="s">
        <v>1713</v>
      </c>
      <c r="H22" s="105" t="s">
        <v>1722</v>
      </c>
      <c r="I22" s="54" t="s">
        <v>1723</v>
      </c>
      <c r="J22" s="41">
        <v>2</v>
      </c>
      <c r="K22" s="41">
        <v>2</v>
      </c>
      <c r="L22" s="41">
        <f t="shared" si="2"/>
        <v>4</v>
      </c>
      <c r="M22" s="86" t="s">
        <v>1724</v>
      </c>
      <c r="N22" s="41">
        <v>1</v>
      </c>
      <c r="O22" s="41">
        <v>2</v>
      </c>
      <c r="P22" s="41">
        <f t="shared" si="3"/>
        <v>2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203</v>
      </c>
      <c r="C23" s="85" t="s">
        <v>1720</v>
      </c>
      <c r="D23" s="41" t="s">
        <v>1712</v>
      </c>
      <c r="E23" s="41" t="s">
        <v>280</v>
      </c>
      <c r="F23" s="41">
        <v>1.1000000000000001</v>
      </c>
      <c r="G23" s="86" t="s">
        <v>1713</v>
      </c>
      <c r="H23" s="105" t="s">
        <v>1725</v>
      </c>
      <c r="I23" s="54" t="s">
        <v>1723</v>
      </c>
      <c r="J23" s="41">
        <v>2</v>
      </c>
      <c r="K23" s="41">
        <v>2</v>
      </c>
      <c r="L23" s="41">
        <f t="shared" si="2"/>
        <v>4</v>
      </c>
      <c r="M23" s="86" t="s">
        <v>1724</v>
      </c>
      <c r="N23" s="41">
        <v>1</v>
      </c>
      <c r="O23" s="41">
        <v>2</v>
      </c>
      <c r="P23" s="41">
        <f t="shared" si="3"/>
        <v>2</v>
      </c>
      <c r="Q23" s="88"/>
      <c r="R23" s="79"/>
      <c r="S23" s="79"/>
    </row>
    <row r="24" spans="1:19" ht="52.95" customHeight="1" x14ac:dyDescent="0.4">
      <c r="A24" s="2"/>
      <c r="B24" s="80"/>
      <c r="C24" s="85"/>
      <c r="D24" s="41"/>
      <c r="E24" s="41"/>
      <c r="F24" s="41"/>
      <c r="G24" s="86"/>
      <c r="H24" s="107"/>
      <c r="I24" s="108"/>
      <c r="J24" s="41"/>
      <c r="K24" s="41"/>
      <c r="L24" s="41"/>
      <c r="M24" s="107"/>
      <c r="N24" s="41"/>
      <c r="O24" s="41"/>
      <c r="P24" s="41"/>
      <c r="Q24" s="88"/>
      <c r="R24" s="79"/>
      <c r="S24" s="79"/>
    </row>
    <row r="25" spans="1:19" ht="52.95" customHeight="1" x14ac:dyDescent="0.4">
      <c r="A25" s="2">
        <v>11</v>
      </c>
      <c r="B25" s="80"/>
      <c r="C25" s="85"/>
      <c r="D25" s="41"/>
      <c r="E25" s="41"/>
      <c r="F25" s="41"/>
      <c r="G25" s="86"/>
      <c r="H25" s="54"/>
      <c r="I25" s="54"/>
      <c r="J25" s="41"/>
      <c r="K25" s="41"/>
      <c r="L25" s="41"/>
      <c r="M25" s="54"/>
      <c r="N25" s="41"/>
      <c r="O25" s="41"/>
      <c r="P25" s="41"/>
      <c r="Q25" s="88"/>
      <c r="R25" s="79"/>
      <c r="S25" s="79"/>
    </row>
    <row r="26" spans="1:19" ht="52.95" customHeight="1" x14ac:dyDescent="0.4">
      <c r="A26" s="2">
        <v>12</v>
      </c>
      <c r="B26" s="80"/>
      <c r="C26" s="85"/>
      <c r="D26" s="41"/>
      <c r="E26" s="41"/>
      <c r="F26" s="41"/>
      <c r="G26" s="86"/>
      <c r="H26" s="57"/>
      <c r="I26" s="54"/>
      <c r="J26" s="41"/>
      <c r="K26" s="41"/>
      <c r="L26" s="41"/>
      <c r="M26" s="87"/>
      <c r="N26" s="41"/>
      <c r="O26" s="41"/>
      <c r="P26" s="41"/>
      <c r="Q26" s="88"/>
      <c r="R26" s="79"/>
      <c r="S26" s="79"/>
    </row>
    <row r="27" spans="1:19" ht="52.95" customHeight="1" x14ac:dyDescent="0.4">
      <c r="A27" s="2">
        <v>13</v>
      </c>
      <c r="B27" s="80"/>
      <c r="C27" s="85"/>
      <c r="D27" s="41"/>
      <c r="E27" s="41"/>
      <c r="F27" s="41"/>
      <c r="G27" s="87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25.2" customHeight="1" x14ac:dyDescent="0.4">
      <c r="A28" s="389" t="s">
        <v>185</v>
      </c>
      <c r="B28" s="390"/>
      <c r="C28" s="391"/>
      <c r="D28" s="398" t="s">
        <v>186</v>
      </c>
      <c r="E28" s="399"/>
      <c r="F28" s="400"/>
      <c r="G28" s="401"/>
      <c r="H28" s="401"/>
      <c r="I28" s="401"/>
      <c r="J28" s="401"/>
      <c r="K28" s="401"/>
      <c r="L28" s="401"/>
      <c r="M28" s="402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392"/>
      <c r="B29" s="393"/>
      <c r="C29" s="394"/>
      <c r="D29" s="398" t="s">
        <v>188</v>
      </c>
      <c r="E29" s="399"/>
      <c r="F29" s="400"/>
      <c r="G29" s="401"/>
      <c r="H29" s="401"/>
      <c r="I29" s="401"/>
      <c r="J29" s="401"/>
      <c r="K29" s="401"/>
      <c r="L29" s="401"/>
      <c r="M29" s="402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130</v>
      </c>
      <c r="E30" s="399"/>
      <c r="F30" s="400"/>
      <c r="G30" s="401"/>
      <c r="H30" s="401"/>
      <c r="I30" s="401"/>
      <c r="J30" s="401"/>
      <c r="K30" s="401"/>
      <c r="L30" s="401"/>
      <c r="M30" s="402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189</v>
      </c>
      <c r="E31" s="399"/>
      <c r="F31" s="400"/>
      <c r="G31" s="401"/>
      <c r="H31" s="401"/>
      <c r="I31" s="401"/>
      <c r="J31" s="401"/>
      <c r="K31" s="401"/>
      <c r="L31" s="401"/>
      <c r="M31" s="402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395"/>
      <c r="B32" s="396"/>
      <c r="C32" s="397"/>
      <c r="D32" s="398" t="s">
        <v>190</v>
      </c>
      <c r="E32" s="399"/>
      <c r="F32" s="400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1079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443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36" customHeight="1" x14ac:dyDescent="0.4">
      <c r="A5" s="109">
        <v>1</v>
      </c>
      <c r="B5" s="80" t="s">
        <v>494</v>
      </c>
      <c r="C5" s="74" t="s">
        <v>992</v>
      </c>
      <c r="D5" s="74" t="s">
        <v>993</v>
      </c>
      <c r="E5" s="74" t="s">
        <v>994</v>
      </c>
      <c r="F5" s="74">
        <v>1.3</v>
      </c>
      <c r="G5" s="74" t="s">
        <v>995</v>
      </c>
      <c r="H5" s="74" t="s">
        <v>996</v>
      </c>
      <c r="I5" s="74" t="s">
        <v>997</v>
      </c>
      <c r="J5" s="2">
        <v>3</v>
      </c>
      <c r="K5" s="2">
        <v>3</v>
      </c>
      <c r="L5" s="110">
        <f>J5*K5</f>
        <v>9</v>
      </c>
      <c r="M5" s="74" t="s">
        <v>998</v>
      </c>
      <c r="N5" s="2">
        <v>1</v>
      </c>
      <c r="O5" s="2">
        <v>3</v>
      </c>
      <c r="P5" s="110">
        <f>N5*O5</f>
        <v>3</v>
      </c>
      <c r="Q5" s="41" t="s">
        <v>270</v>
      </c>
      <c r="R5" s="41" t="s">
        <v>999</v>
      </c>
      <c r="S5" s="41" t="s">
        <v>271</v>
      </c>
    </row>
    <row r="6" spans="1:19" ht="36" customHeight="1" x14ac:dyDescent="0.4">
      <c r="A6" s="104">
        <v>2</v>
      </c>
      <c r="B6" s="80"/>
      <c r="C6" s="111" t="s">
        <v>1000</v>
      </c>
      <c r="D6" s="111" t="s">
        <v>496</v>
      </c>
      <c r="E6" s="74" t="s">
        <v>994</v>
      </c>
      <c r="F6" s="74">
        <v>4.0999999999999996</v>
      </c>
      <c r="G6" s="111" t="s">
        <v>64</v>
      </c>
      <c r="H6" s="111" t="s">
        <v>500</v>
      </c>
      <c r="I6" s="74" t="s">
        <v>997</v>
      </c>
      <c r="J6" s="2">
        <v>3</v>
      </c>
      <c r="K6" s="2">
        <v>3</v>
      </c>
      <c r="L6" s="110">
        <f t="shared" ref="L6:L18" si="0">J6*K6</f>
        <v>9</v>
      </c>
      <c r="M6" s="74" t="s">
        <v>1001</v>
      </c>
      <c r="N6" s="2">
        <v>1</v>
      </c>
      <c r="O6" s="2">
        <v>3</v>
      </c>
      <c r="P6" s="110">
        <f t="shared" ref="P6:P18" si="1">N6*O6</f>
        <v>3</v>
      </c>
      <c r="Q6" s="41" t="s">
        <v>270</v>
      </c>
      <c r="R6" s="41" t="s">
        <v>999</v>
      </c>
      <c r="S6" s="41" t="s">
        <v>271</v>
      </c>
    </row>
    <row r="7" spans="1:19" ht="36" customHeight="1" x14ac:dyDescent="0.4">
      <c r="A7" s="109">
        <v>3</v>
      </c>
      <c r="B7" s="80"/>
      <c r="C7" s="111" t="s">
        <v>1002</v>
      </c>
      <c r="D7" s="111" t="s">
        <v>496</v>
      </c>
      <c r="E7" s="74" t="s">
        <v>994</v>
      </c>
      <c r="F7" s="74">
        <v>4.2</v>
      </c>
      <c r="G7" s="111" t="s">
        <v>471</v>
      </c>
      <c r="H7" s="111" t="s">
        <v>503</v>
      </c>
      <c r="I7" s="74" t="s">
        <v>997</v>
      </c>
      <c r="J7" s="2">
        <v>3</v>
      </c>
      <c r="K7" s="2">
        <v>3</v>
      </c>
      <c r="L7" s="110">
        <f t="shared" si="0"/>
        <v>9</v>
      </c>
      <c r="M7" s="74" t="s">
        <v>1001</v>
      </c>
      <c r="N7" s="2">
        <v>1</v>
      </c>
      <c r="O7" s="2">
        <v>3</v>
      </c>
      <c r="P7" s="110">
        <f t="shared" si="1"/>
        <v>3</v>
      </c>
      <c r="Q7" s="41"/>
      <c r="R7" s="41"/>
      <c r="S7" s="41"/>
    </row>
    <row r="8" spans="1:19" ht="36" customHeight="1" x14ac:dyDescent="0.4">
      <c r="A8" s="104">
        <v>4</v>
      </c>
      <c r="B8" s="80" t="s">
        <v>504</v>
      </c>
      <c r="C8" s="111" t="s">
        <v>1003</v>
      </c>
      <c r="D8" s="111" t="s">
        <v>1004</v>
      </c>
      <c r="E8" s="74" t="s">
        <v>994</v>
      </c>
      <c r="F8" s="74">
        <v>1.3</v>
      </c>
      <c r="G8" s="111" t="s">
        <v>196</v>
      </c>
      <c r="H8" s="111" t="s">
        <v>1005</v>
      </c>
      <c r="I8" s="74" t="s">
        <v>1006</v>
      </c>
      <c r="J8" s="2">
        <v>3</v>
      </c>
      <c r="K8" s="2">
        <v>3</v>
      </c>
      <c r="L8" s="110">
        <f t="shared" si="0"/>
        <v>9</v>
      </c>
      <c r="M8" s="74" t="s">
        <v>1007</v>
      </c>
      <c r="N8" s="2">
        <v>1</v>
      </c>
      <c r="O8" s="2">
        <v>3</v>
      </c>
      <c r="P8" s="110">
        <f t="shared" si="1"/>
        <v>3</v>
      </c>
      <c r="Q8" s="41"/>
      <c r="R8" s="41"/>
      <c r="S8" s="41"/>
    </row>
    <row r="9" spans="1:19" ht="36" customHeight="1" x14ac:dyDescent="0.4">
      <c r="A9" s="109">
        <v>5</v>
      </c>
      <c r="B9" s="80"/>
      <c r="C9" s="111" t="s">
        <v>1008</v>
      </c>
      <c r="D9" s="111" t="s">
        <v>506</v>
      </c>
      <c r="E9" s="74" t="s">
        <v>994</v>
      </c>
      <c r="F9" s="74">
        <v>1.3</v>
      </c>
      <c r="G9" s="111" t="s">
        <v>196</v>
      </c>
      <c r="H9" s="111" t="s">
        <v>534</v>
      </c>
      <c r="I9" s="74" t="s">
        <v>1006</v>
      </c>
      <c r="J9" s="2">
        <v>3</v>
      </c>
      <c r="K9" s="2">
        <v>3</v>
      </c>
      <c r="L9" s="110">
        <f t="shared" si="0"/>
        <v>9</v>
      </c>
      <c r="M9" s="74" t="s">
        <v>1007</v>
      </c>
      <c r="N9" s="2">
        <v>1</v>
      </c>
      <c r="O9" s="2">
        <v>3</v>
      </c>
      <c r="P9" s="110">
        <f t="shared" si="1"/>
        <v>3</v>
      </c>
      <c r="Q9" s="41"/>
      <c r="R9" s="41"/>
      <c r="S9" s="41"/>
    </row>
    <row r="10" spans="1:19" ht="36" customHeight="1" x14ac:dyDescent="0.4">
      <c r="A10" s="104">
        <v>6</v>
      </c>
      <c r="B10" s="80"/>
      <c r="C10" s="111" t="s">
        <v>1009</v>
      </c>
      <c r="D10" s="111" t="s">
        <v>506</v>
      </c>
      <c r="E10" s="74" t="s">
        <v>994</v>
      </c>
      <c r="F10" s="74">
        <v>1.3</v>
      </c>
      <c r="G10" s="111" t="s">
        <v>196</v>
      </c>
      <c r="H10" s="111" t="s">
        <v>508</v>
      </c>
      <c r="I10" s="112" t="s">
        <v>1010</v>
      </c>
      <c r="J10" s="2">
        <v>3</v>
      </c>
      <c r="K10" s="2">
        <v>3</v>
      </c>
      <c r="L10" s="110">
        <f t="shared" si="0"/>
        <v>9</v>
      </c>
      <c r="M10" s="112" t="s">
        <v>1011</v>
      </c>
      <c r="N10" s="2">
        <v>1</v>
      </c>
      <c r="O10" s="2">
        <v>3</v>
      </c>
      <c r="P10" s="110">
        <f t="shared" si="1"/>
        <v>3</v>
      </c>
      <c r="Q10" s="41"/>
      <c r="R10" s="41"/>
      <c r="S10" s="41"/>
    </row>
    <row r="11" spans="1:19" ht="36" customHeight="1" x14ac:dyDescent="0.4">
      <c r="A11" s="109">
        <v>7</v>
      </c>
      <c r="B11" s="80"/>
      <c r="C11" s="111" t="s">
        <v>1012</v>
      </c>
      <c r="D11" s="111" t="s">
        <v>506</v>
      </c>
      <c r="E11" s="74" t="s">
        <v>994</v>
      </c>
      <c r="F11" s="74">
        <v>1.3</v>
      </c>
      <c r="G11" s="111" t="s">
        <v>196</v>
      </c>
      <c r="H11" s="111" t="s">
        <v>1013</v>
      </c>
      <c r="I11" s="112" t="s">
        <v>1014</v>
      </c>
      <c r="J11" s="2">
        <v>3</v>
      </c>
      <c r="K11" s="2">
        <v>3</v>
      </c>
      <c r="L11" s="110">
        <f t="shared" si="0"/>
        <v>9</v>
      </c>
      <c r="M11" s="112" t="s">
        <v>1071</v>
      </c>
      <c r="N11" s="2">
        <v>1</v>
      </c>
      <c r="O11" s="2">
        <v>3</v>
      </c>
      <c r="P11" s="110">
        <f t="shared" si="1"/>
        <v>3</v>
      </c>
      <c r="Q11" s="41"/>
      <c r="R11" s="41"/>
      <c r="S11" s="41"/>
    </row>
    <row r="12" spans="1:19" ht="36" customHeight="1" x14ac:dyDescent="0.4">
      <c r="A12" s="104">
        <v>8</v>
      </c>
      <c r="B12" s="80"/>
      <c r="C12" s="111" t="s">
        <v>1015</v>
      </c>
      <c r="D12" s="111" t="s">
        <v>506</v>
      </c>
      <c r="E12" s="74" t="s">
        <v>994</v>
      </c>
      <c r="F12" s="74">
        <v>1.3</v>
      </c>
      <c r="G12" s="111" t="s">
        <v>196</v>
      </c>
      <c r="H12" s="111" t="s">
        <v>580</v>
      </c>
      <c r="I12" s="74" t="s">
        <v>1006</v>
      </c>
      <c r="J12" s="2">
        <v>3</v>
      </c>
      <c r="K12" s="2">
        <v>3</v>
      </c>
      <c r="L12" s="110">
        <f t="shared" si="0"/>
        <v>9</v>
      </c>
      <c r="M12" s="74" t="s">
        <v>1072</v>
      </c>
      <c r="N12" s="2">
        <v>1</v>
      </c>
      <c r="O12" s="2">
        <v>3</v>
      </c>
      <c r="P12" s="110">
        <f t="shared" si="1"/>
        <v>3</v>
      </c>
      <c r="Q12" s="41"/>
      <c r="R12" s="41"/>
      <c r="S12" s="41"/>
    </row>
    <row r="13" spans="1:19" ht="36" customHeight="1" x14ac:dyDescent="0.4">
      <c r="A13" s="109">
        <v>9</v>
      </c>
      <c r="B13" s="80"/>
      <c r="C13" s="111" t="s">
        <v>1016</v>
      </c>
      <c r="D13" s="111" t="s">
        <v>515</v>
      </c>
      <c r="E13" s="74" t="s">
        <v>994</v>
      </c>
      <c r="F13" s="74">
        <v>1.3</v>
      </c>
      <c r="G13" s="111" t="s">
        <v>196</v>
      </c>
      <c r="H13" s="111" t="s">
        <v>1017</v>
      </c>
      <c r="I13" s="112" t="s">
        <v>1018</v>
      </c>
      <c r="J13" s="2">
        <v>3</v>
      </c>
      <c r="K13" s="2">
        <v>3</v>
      </c>
      <c r="L13" s="110">
        <f t="shared" si="0"/>
        <v>9</v>
      </c>
      <c r="M13" s="112" t="s">
        <v>1078</v>
      </c>
      <c r="N13" s="2">
        <v>1</v>
      </c>
      <c r="O13" s="2">
        <v>3</v>
      </c>
      <c r="P13" s="110">
        <f t="shared" si="1"/>
        <v>3</v>
      </c>
      <c r="Q13" s="41"/>
      <c r="R13" s="41"/>
      <c r="S13" s="41"/>
    </row>
    <row r="14" spans="1:19" ht="36" customHeight="1" x14ac:dyDescent="0.4">
      <c r="A14" s="104">
        <v>10</v>
      </c>
      <c r="B14" s="80"/>
      <c r="C14" s="111" t="s">
        <v>1019</v>
      </c>
      <c r="D14" s="111" t="s">
        <v>515</v>
      </c>
      <c r="E14" s="74" t="s">
        <v>994</v>
      </c>
      <c r="F14" s="74">
        <v>4.0999999999999996</v>
      </c>
      <c r="G14" s="111" t="s">
        <v>64</v>
      </c>
      <c r="H14" s="111" t="s">
        <v>1020</v>
      </c>
      <c r="I14" s="112" t="s">
        <v>1073</v>
      </c>
      <c r="J14" s="2">
        <v>3</v>
      </c>
      <c r="K14" s="2">
        <v>2</v>
      </c>
      <c r="L14" s="110">
        <f t="shared" si="0"/>
        <v>6</v>
      </c>
      <c r="M14" s="112" t="s">
        <v>1074</v>
      </c>
      <c r="N14" s="2">
        <v>2</v>
      </c>
      <c r="O14" s="2">
        <v>2</v>
      </c>
      <c r="P14" s="110">
        <f t="shared" si="1"/>
        <v>4</v>
      </c>
      <c r="Q14" s="41"/>
      <c r="R14" s="41"/>
      <c r="S14" s="41"/>
    </row>
    <row r="15" spans="1:19" ht="36" customHeight="1" x14ac:dyDescent="0.4">
      <c r="A15" s="109">
        <v>11</v>
      </c>
      <c r="B15" s="80"/>
      <c r="C15" s="111" t="s">
        <v>1021</v>
      </c>
      <c r="D15" s="111" t="s">
        <v>515</v>
      </c>
      <c r="E15" s="74" t="s">
        <v>994</v>
      </c>
      <c r="F15" s="74">
        <v>1.6</v>
      </c>
      <c r="G15" s="111" t="s">
        <v>1022</v>
      </c>
      <c r="H15" s="111" t="s">
        <v>1023</v>
      </c>
      <c r="I15" s="74" t="s">
        <v>1024</v>
      </c>
      <c r="J15" s="2">
        <v>3</v>
      </c>
      <c r="K15" s="2">
        <v>2</v>
      </c>
      <c r="L15" s="110">
        <f t="shared" si="0"/>
        <v>6</v>
      </c>
      <c r="M15" s="74" t="s">
        <v>1025</v>
      </c>
      <c r="N15" s="2">
        <v>2</v>
      </c>
      <c r="O15" s="2">
        <v>2</v>
      </c>
      <c r="P15" s="110">
        <f t="shared" si="1"/>
        <v>4</v>
      </c>
      <c r="Q15" s="41"/>
      <c r="R15" s="41"/>
      <c r="S15" s="41"/>
    </row>
    <row r="16" spans="1:19" ht="36" customHeight="1" x14ac:dyDescent="0.4">
      <c r="A16" s="104">
        <v>12</v>
      </c>
      <c r="B16" s="80"/>
      <c r="C16" s="111" t="s">
        <v>1026</v>
      </c>
      <c r="D16" s="111" t="s">
        <v>515</v>
      </c>
      <c r="E16" s="74" t="s">
        <v>994</v>
      </c>
      <c r="F16" s="74">
        <v>3.4</v>
      </c>
      <c r="G16" s="111" t="s">
        <v>377</v>
      </c>
      <c r="H16" s="111" t="s">
        <v>463</v>
      </c>
      <c r="I16" s="112" t="s">
        <v>1027</v>
      </c>
      <c r="J16" s="2">
        <v>2</v>
      </c>
      <c r="K16" s="2">
        <v>2</v>
      </c>
      <c r="L16" s="110">
        <f t="shared" si="0"/>
        <v>4</v>
      </c>
      <c r="M16" s="112" t="s">
        <v>1028</v>
      </c>
      <c r="N16" s="2">
        <v>2</v>
      </c>
      <c r="O16" s="2">
        <v>1</v>
      </c>
      <c r="P16" s="110">
        <f t="shared" si="1"/>
        <v>2</v>
      </c>
      <c r="Q16" s="41"/>
      <c r="R16" s="41"/>
      <c r="S16" s="41"/>
    </row>
    <row r="17" spans="1:19" ht="36" customHeight="1" x14ac:dyDescent="0.4">
      <c r="A17" s="109">
        <v>13</v>
      </c>
      <c r="B17" s="80"/>
      <c r="C17" s="111" t="s">
        <v>1029</v>
      </c>
      <c r="D17" s="111" t="s">
        <v>515</v>
      </c>
      <c r="E17" s="74" t="s">
        <v>994</v>
      </c>
      <c r="F17" s="74">
        <v>4.0999999999999996</v>
      </c>
      <c r="G17" s="111" t="s">
        <v>64</v>
      </c>
      <c r="H17" s="111" t="s">
        <v>1030</v>
      </c>
      <c r="I17" s="112" t="s">
        <v>1075</v>
      </c>
      <c r="J17" s="2">
        <v>2</v>
      </c>
      <c r="K17" s="2">
        <v>2</v>
      </c>
      <c r="L17" s="110">
        <f t="shared" si="0"/>
        <v>4</v>
      </c>
      <c r="M17" s="112" t="s">
        <v>1076</v>
      </c>
      <c r="N17" s="2">
        <v>2</v>
      </c>
      <c r="O17" s="2">
        <v>1</v>
      </c>
      <c r="P17" s="110">
        <f t="shared" si="1"/>
        <v>2</v>
      </c>
      <c r="Q17" s="41"/>
      <c r="R17" s="41"/>
      <c r="S17" s="41"/>
    </row>
    <row r="18" spans="1:19" ht="36" customHeight="1" x14ac:dyDescent="0.4">
      <c r="A18" s="104"/>
      <c r="B18" s="80"/>
      <c r="C18" s="111" t="s">
        <v>1031</v>
      </c>
      <c r="D18" s="111" t="s">
        <v>515</v>
      </c>
      <c r="E18" s="74" t="s">
        <v>994</v>
      </c>
      <c r="F18" s="74">
        <v>6.4</v>
      </c>
      <c r="G18" s="111" t="s">
        <v>83</v>
      </c>
      <c r="H18" s="111" t="s">
        <v>522</v>
      </c>
      <c r="I18" s="112" t="s">
        <v>1032</v>
      </c>
      <c r="J18" s="2">
        <v>2</v>
      </c>
      <c r="K18" s="2">
        <v>2</v>
      </c>
      <c r="L18" s="110">
        <f t="shared" si="0"/>
        <v>4</v>
      </c>
      <c r="M18" s="112" t="s">
        <v>1077</v>
      </c>
      <c r="N18" s="2">
        <v>2</v>
      </c>
      <c r="O18" s="2">
        <v>1</v>
      </c>
      <c r="P18" s="110">
        <f t="shared" si="1"/>
        <v>2</v>
      </c>
      <c r="Q18" s="41"/>
      <c r="R18" s="41"/>
      <c r="S18" s="41"/>
    </row>
    <row r="19" spans="1:19" ht="25.2" customHeight="1" x14ac:dyDescent="0.4">
      <c r="A19" s="389" t="s">
        <v>185</v>
      </c>
      <c r="B19" s="390"/>
      <c r="C19" s="39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392"/>
      <c r="B20" s="393"/>
      <c r="C20" s="39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5"/>
      <c r="B23" s="396"/>
      <c r="C23" s="39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1144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40.200000000000003" customHeight="1" x14ac:dyDescent="0.4">
      <c r="A5" s="109">
        <v>1</v>
      </c>
      <c r="B5" s="80" t="s">
        <v>494</v>
      </c>
      <c r="C5" s="113" t="s">
        <v>1033</v>
      </c>
      <c r="D5" s="113" t="s">
        <v>496</v>
      </c>
      <c r="E5" s="113" t="s">
        <v>1034</v>
      </c>
      <c r="F5" s="113">
        <v>4.2</v>
      </c>
      <c r="G5" s="113" t="s">
        <v>471</v>
      </c>
      <c r="H5" s="113" t="s">
        <v>1035</v>
      </c>
      <c r="I5" s="74" t="s">
        <v>997</v>
      </c>
      <c r="J5" s="2">
        <v>2</v>
      </c>
      <c r="K5" s="2">
        <v>3</v>
      </c>
      <c r="L5" s="110">
        <f>J5*K5</f>
        <v>6</v>
      </c>
      <c r="M5" s="74" t="s">
        <v>1080</v>
      </c>
      <c r="N5" s="2">
        <v>1</v>
      </c>
      <c r="O5" s="2">
        <v>3</v>
      </c>
      <c r="P5" s="110">
        <f>N5*O5</f>
        <v>3</v>
      </c>
      <c r="Q5" s="41" t="s">
        <v>270</v>
      </c>
      <c r="R5" s="41" t="s">
        <v>999</v>
      </c>
      <c r="S5" s="41" t="s">
        <v>271</v>
      </c>
    </row>
    <row r="6" spans="1:19" ht="40.200000000000003" customHeight="1" x14ac:dyDescent="0.4">
      <c r="A6" s="104">
        <v>2</v>
      </c>
      <c r="B6" s="80"/>
      <c r="C6" s="113" t="s">
        <v>1036</v>
      </c>
      <c r="D6" s="113" t="s">
        <v>506</v>
      </c>
      <c r="E6" s="113" t="s">
        <v>1034</v>
      </c>
      <c r="F6" s="113">
        <v>1.3</v>
      </c>
      <c r="G6" s="111" t="s">
        <v>196</v>
      </c>
      <c r="H6" s="113" t="s">
        <v>1037</v>
      </c>
      <c r="I6" s="74" t="s">
        <v>1085</v>
      </c>
      <c r="J6" s="2">
        <v>2</v>
      </c>
      <c r="K6" s="2">
        <v>3</v>
      </c>
      <c r="L6" s="110">
        <f t="shared" ref="L6:L17" si="0">J6*K6</f>
        <v>6</v>
      </c>
      <c r="M6" s="74" t="s">
        <v>1072</v>
      </c>
      <c r="N6" s="2">
        <v>1</v>
      </c>
      <c r="O6" s="2">
        <v>3</v>
      </c>
      <c r="P6" s="110">
        <f t="shared" ref="P6:P17" si="1">N6*O6</f>
        <v>3</v>
      </c>
      <c r="Q6" s="41" t="s">
        <v>270</v>
      </c>
      <c r="R6" s="41" t="s">
        <v>999</v>
      </c>
      <c r="S6" s="41" t="s">
        <v>271</v>
      </c>
    </row>
    <row r="7" spans="1:19" ht="40.200000000000003" customHeight="1" x14ac:dyDescent="0.4">
      <c r="A7" s="109">
        <v>3</v>
      </c>
      <c r="B7" s="80"/>
      <c r="C7" s="113" t="s">
        <v>1038</v>
      </c>
      <c r="D7" s="113" t="s">
        <v>1039</v>
      </c>
      <c r="E7" s="113" t="s">
        <v>1034</v>
      </c>
      <c r="F7" s="113">
        <v>3.4</v>
      </c>
      <c r="G7" s="113" t="s">
        <v>377</v>
      </c>
      <c r="H7" s="113" t="s">
        <v>1040</v>
      </c>
      <c r="I7" s="74" t="s">
        <v>1089</v>
      </c>
      <c r="J7" s="2">
        <v>2</v>
      </c>
      <c r="K7" s="2">
        <v>2</v>
      </c>
      <c r="L7" s="110">
        <f t="shared" si="0"/>
        <v>4</v>
      </c>
      <c r="M7" s="74" t="s">
        <v>1094</v>
      </c>
      <c r="N7" s="2">
        <v>2</v>
      </c>
      <c r="O7" s="2">
        <v>2</v>
      </c>
      <c r="P7" s="110">
        <f t="shared" si="1"/>
        <v>4</v>
      </c>
      <c r="Q7" s="41"/>
      <c r="R7" s="41"/>
      <c r="S7" s="41"/>
    </row>
    <row r="8" spans="1:19" ht="40.200000000000003" customHeight="1" x14ac:dyDescent="0.4">
      <c r="A8" s="104">
        <v>4</v>
      </c>
      <c r="B8" s="80" t="s">
        <v>1041</v>
      </c>
      <c r="C8" s="113" t="s">
        <v>1042</v>
      </c>
      <c r="D8" s="113" t="s">
        <v>1043</v>
      </c>
      <c r="E8" s="113" t="s">
        <v>1034</v>
      </c>
      <c r="F8" s="113">
        <v>3.4</v>
      </c>
      <c r="G8" s="113" t="s">
        <v>377</v>
      </c>
      <c r="H8" s="113" t="s">
        <v>1044</v>
      </c>
      <c r="I8" s="74"/>
      <c r="J8" s="2">
        <v>2</v>
      </c>
      <c r="K8" s="2">
        <v>2</v>
      </c>
      <c r="L8" s="110">
        <f t="shared" si="0"/>
        <v>4</v>
      </c>
      <c r="M8" s="74" t="s">
        <v>1090</v>
      </c>
      <c r="N8" s="2">
        <v>2</v>
      </c>
      <c r="O8" s="2">
        <v>2</v>
      </c>
      <c r="P8" s="110">
        <f t="shared" si="1"/>
        <v>4</v>
      </c>
      <c r="Q8" s="41"/>
      <c r="R8" s="41"/>
      <c r="S8" s="41"/>
    </row>
    <row r="9" spans="1:19" ht="40.200000000000003" customHeight="1" x14ac:dyDescent="0.4">
      <c r="A9" s="109">
        <v>5</v>
      </c>
      <c r="B9" s="80"/>
      <c r="C9" s="113" t="s">
        <v>1046</v>
      </c>
      <c r="D9" s="113" t="s">
        <v>1047</v>
      </c>
      <c r="E9" s="113" t="s">
        <v>1034</v>
      </c>
      <c r="F9" s="113">
        <v>1.3</v>
      </c>
      <c r="G9" s="113" t="s">
        <v>196</v>
      </c>
      <c r="H9" s="113" t="s">
        <v>1048</v>
      </c>
      <c r="I9" s="74" t="s">
        <v>1049</v>
      </c>
      <c r="J9" s="2">
        <v>2</v>
      </c>
      <c r="K9" s="2">
        <v>2</v>
      </c>
      <c r="L9" s="110">
        <f t="shared" si="0"/>
        <v>4</v>
      </c>
      <c r="M9" s="74" t="s">
        <v>1091</v>
      </c>
      <c r="N9" s="2">
        <v>1</v>
      </c>
      <c r="O9" s="2">
        <v>2</v>
      </c>
      <c r="P9" s="110">
        <f t="shared" si="1"/>
        <v>2</v>
      </c>
      <c r="Q9" s="41"/>
      <c r="R9" s="41"/>
      <c r="S9" s="41"/>
    </row>
    <row r="10" spans="1:19" ht="40.200000000000003" customHeight="1" x14ac:dyDescent="0.4">
      <c r="A10" s="104">
        <v>6</v>
      </c>
      <c r="B10" s="80"/>
      <c r="C10" s="113" t="s">
        <v>1050</v>
      </c>
      <c r="D10" s="113" t="s">
        <v>1047</v>
      </c>
      <c r="E10" s="113" t="s">
        <v>1034</v>
      </c>
      <c r="F10" s="113">
        <v>4.0999999999999996</v>
      </c>
      <c r="G10" s="113" t="s">
        <v>64</v>
      </c>
      <c r="H10" s="113" t="s">
        <v>1051</v>
      </c>
      <c r="I10" s="112" t="s">
        <v>1052</v>
      </c>
      <c r="J10" s="2">
        <v>2</v>
      </c>
      <c r="K10" s="2">
        <v>3</v>
      </c>
      <c r="L10" s="110">
        <f t="shared" si="0"/>
        <v>6</v>
      </c>
      <c r="M10" s="112" t="s">
        <v>1092</v>
      </c>
      <c r="N10" s="2">
        <v>1</v>
      </c>
      <c r="O10" s="2">
        <v>3</v>
      </c>
      <c r="P10" s="110">
        <f t="shared" si="1"/>
        <v>3</v>
      </c>
      <c r="Q10" s="41"/>
      <c r="R10" s="41"/>
      <c r="S10" s="41"/>
    </row>
    <row r="11" spans="1:19" ht="40.200000000000003" customHeight="1" x14ac:dyDescent="0.4">
      <c r="A11" s="109">
        <v>7</v>
      </c>
      <c r="B11" s="80"/>
      <c r="C11" s="113" t="s">
        <v>1053</v>
      </c>
      <c r="D11" s="113" t="s">
        <v>1047</v>
      </c>
      <c r="E11" s="113" t="s">
        <v>1034</v>
      </c>
      <c r="F11" s="113">
        <v>1.3</v>
      </c>
      <c r="G11" s="113" t="s">
        <v>196</v>
      </c>
      <c r="H11" s="113" t="s">
        <v>1048</v>
      </c>
      <c r="I11" s="112" t="s">
        <v>997</v>
      </c>
      <c r="J11" s="2">
        <v>2</v>
      </c>
      <c r="K11" s="2">
        <v>2</v>
      </c>
      <c r="L11" s="110">
        <f t="shared" si="0"/>
        <v>4</v>
      </c>
      <c r="M11" s="112" t="s">
        <v>1054</v>
      </c>
      <c r="N11" s="2">
        <v>1</v>
      </c>
      <c r="O11" s="2">
        <v>2</v>
      </c>
      <c r="P11" s="110">
        <f t="shared" si="1"/>
        <v>2</v>
      </c>
      <c r="Q11" s="41"/>
      <c r="R11" s="41"/>
      <c r="S11" s="41"/>
    </row>
    <row r="12" spans="1:19" ht="40.200000000000003" customHeight="1" x14ac:dyDescent="0.4">
      <c r="A12" s="104">
        <v>8</v>
      </c>
      <c r="B12" s="80"/>
      <c r="C12" s="113" t="s">
        <v>1055</v>
      </c>
      <c r="D12" s="113" t="s">
        <v>1047</v>
      </c>
      <c r="E12" s="113" t="s">
        <v>1034</v>
      </c>
      <c r="F12" s="113">
        <v>4.0999999999999996</v>
      </c>
      <c r="G12" s="113" t="s">
        <v>64</v>
      </c>
      <c r="H12" s="113" t="s">
        <v>1051</v>
      </c>
      <c r="I12" s="112" t="s">
        <v>1052</v>
      </c>
      <c r="J12" s="2">
        <v>2</v>
      </c>
      <c r="K12" s="2">
        <v>3</v>
      </c>
      <c r="L12" s="110">
        <f t="shared" si="0"/>
        <v>6</v>
      </c>
      <c r="M12" s="112" t="s">
        <v>1092</v>
      </c>
      <c r="N12" s="2">
        <v>1</v>
      </c>
      <c r="O12" s="2">
        <v>3</v>
      </c>
      <c r="P12" s="110">
        <f t="shared" si="1"/>
        <v>3</v>
      </c>
      <c r="Q12" s="41"/>
      <c r="R12" s="41"/>
      <c r="S12" s="41"/>
    </row>
    <row r="13" spans="1:19" ht="40.200000000000003" customHeight="1" x14ac:dyDescent="0.4">
      <c r="A13" s="109">
        <v>9</v>
      </c>
      <c r="B13" s="80"/>
      <c r="C13" s="113" t="s">
        <v>1056</v>
      </c>
      <c r="D13" s="113" t="s">
        <v>1047</v>
      </c>
      <c r="E13" s="113" t="s">
        <v>1034</v>
      </c>
      <c r="F13" s="113">
        <v>4.0999999999999996</v>
      </c>
      <c r="G13" s="113" t="s">
        <v>64</v>
      </c>
      <c r="H13" s="113" t="s">
        <v>1051</v>
      </c>
      <c r="I13" s="112" t="s">
        <v>1052</v>
      </c>
      <c r="J13" s="2">
        <v>2</v>
      </c>
      <c r="K13" s="2">
        <v>3</v>
      </c>
      <c r="L13" s="110">
        <f t="shared" si="0"/>
        <v>6</v>
      </c>
      <c r="M13" s="112" t="s">
        <v>1092</v>
      </c>
      <c r="N13" s="2">
        <v>1</v>
      </c>
      <c r="O13" s="2">
        <v>3</v>
      </c>
      <c r="P13" s="110">
        <f t="shared" si="1"/>
        <v>3</v>
      </c>
      <c r="Q13" s="41"/>
      <c r="R13" s="41"/>
      <c r="S13" s="41"/>
    </row>
    <row r="14" spans="1:19" ht="40.200000000000003" customHeight="1" x14ac:dyDescent="0.4">
      <c r="A14" s="104">
        <v>10</v>
      </c>
      <c r="B14" s="80"/>
      <c r="C14" s="113" t="s">
        <v>1057</v>
      </c>
      <c r="D14" s="113" t="s">
        <v>570</v>
      </c>
      <c r="E14" s="113" t="s">
        <v>1034</v>
      </c>
      <c r="F14" s="113">
        <v>3.4</v>
      </c>
      <c r="G14" s="113" t="s">
        <v>377</v>
      </c>
      <c r="H14" s="113" t="s">
        <v>1044</v>
      </c>
      <c r="I14" s="112" t="s">
        <v>1045</v>
      </c>
      <c r="J14" s="2">
        <v>2</v>
      </c>
      <c r="K14" s="2">
        <v>2</v>
      </c>
      <c r="L14" s="110">
        <f t="shared" si="0"/>
        <v>4</v>
      </c>
      <c r="M14" s="74" t="s">
        <v>1090</v>
      </c>
      <c r="N14" s="2">
        <v>2</v>
      </c>
      <c r="O14" s="2">
        <v>1</v>
      </c>
      <c r="P14" s="110">
        <f t="shared" si="1"/>
        <v>2</v>
      </c>
      <c r="Q14" s="41"/>
      <c r="R14" s="41"/>
      <c r="S14" s="41"/>
    </row>
    <row r="15" spans="1:19" ht="40.200000000000003" customHeight="1" x14ac:dyDescent="0.4">
      <c r="A15" s="109">
        <v>11</v>
      </c>
      <c r="B15" s="80" t="s">
        <v>563</v>
      </c>
      <c r="C15" s="113" t="s">
        <v>1058</v>
      </c>
      <c r="D15" s="113" t="s">
        <v>570</v>
      </c>
      <c r="E15" s="113" t="s">
        <v>1034</v>
      </c>
      <c r="F15" s="113">
        <v>2.1</v>
      </c>
      <c r="G15" s="113" t="s">
        <v>701</v>
      </c>
      <c r="H15" s="113" t="s">
        <v>1059</v>
      </c>
      <c r="I15" s="112" t="s">
        <v>1060</v>
      </c>
      <c r="J15" s="2">
        <v>2</v>
      </c>
      <c r="K15" s="2">
        <v>2</v>
      </c>
      <c r="L15" s="110">
        <f t="shared" si="0"/>
        <v>4</v>
      </c>
      <c r="M15" s="74" t="s">
        <v>1093</v>
      </c>
      <c r="N15" s="2">
        <v>2</v>
      </c>
      <c r="O15" s="2">
        <v>1</v>
      </c>
      <c r="P15" s="110">
        <f t="shared" si="1"/>
        <v>2</v>
      </c>
      <c r="Q15" s="41"/>
      <c r="R15" s="41"/>
      <c r="S15" s="41"/>
    </row>
    <row r="16" spans="1:19" ht="40.200000000000003" customHeight="1" x14ac:dyDescent="0.4">
      <c r="A16" s="104">
        <v>12</v>
      </c>
      <c r="B16" s="80" t="s">
        <v>203</v>
      </c>
      <c r="C16" s="113" t="s">
        <v>1061</v>
      </c>
      <c r="D16" s="113" t="s">
        <v>570</v>
      </c>
      <c r="E16" s="113" t="s">
        <v>1034</v>
      </c>
      <c r="F16" s="113">
        <v>1.4</v>
      </c>
      <c r="G16" s="113" t="s">
        <v>682</v>
      </c>
      <c r="H16" s="113" t="s">
        <v>1062</v>
      </c>
      <c r="I16" s="112" t="s">
        <v>1086</v>
      </c>
      <c r="J16" s="2">
        <v>2</v>
      </c>
      <c r="K16" s="2">
        <v>2</v>
      </c>
      <c r="L16" s="110">
        <f t="shared" si="0"/>
        <v>4</v>
      </c>
      <c r="M16" s="74" t="s">
        <v>1087</v>
      </c>
      <c r="N16" s="2">
        <v>2</v>
      </c>
      <c r="O16" s="2">
        <v>1</v>
      </c>
      <c r="P16" s="110">
        <f t="shared" si="1"/>
        <v>2</v>
      </c>
      <c r="Q16" s="41"/>
      <c r="R16" s="41"/>
      <c r="S16" s="41"/>
    </row>
    <row r="17" spans="1:19" ht="40.200000000000003" customHeight="1" x14ac:dyDescent="0.4">
      <c r="A17" s="109">
        <v>13</v>
      </c>
      <c r="B17" s="80"/>
      <c r="C17" s="113" t="s">
        <v>1063</v>
      </c>
      <c r="D17" s="113" t="s">
        <v>1064</v>
      </c>
      <c r="E17" s="113" t="s">
        <v>1034</v>
      </c>
      <c r="F17" s="113">
        <v>1.4</v>
      </c>
      <c r="G17" s="113" t="s">
        <v>682</v>
      </c>
      <c r="H17" s="113" t="s">
        <v>1065</v>
      </c>
      <c r="I17" s="112" t="s">
        <v>1086</v>
      </c>
      <c r="J17" s="2">
        <v>2</v>
      </c>
      <c r="K17" s="2">
        <v>2</v>
      </c>
      <c r="L17" s="110">
        <f t="shared" si="0"/>
        <v>4</v>
      </c>
      <c r="M17" s="74" t="s">
        <v>1087</v>
      </c>
      <c r="N17" s="2">
        <v>2</v>
      </c>
      <c r="O17" s="2">
        <v>1</v>
      </c>
      <c r="P17" s="110">
        <f t="shared" si="1"/>
        <v>2</v>
      </c>
      <c r="Q17" s="41"/>
      <c r="R17" s="41"/>
      <c r="S17" s="41"/>
    </row>
    <row r="18" spans="1:19" ht="25.2" customHeight="1" x14ac:dyDescent="0.4">
      <c r="A18" s="389" t="s">
        <v>185</v>
      </c>
      <c r="B18" s="390"/>
      <c r="C18" s="391"/>
      <c r="D18" s="398" t="s">
        <v>186</v>
      </c>
      <c r="E18" s="399"/>
      <c r="F18" s="400"/>
      <c r="G18" s="401"/>
      <c r="H18" s="401"/>
      <c r="I18" s="401"/>
      <c r="J18" s="401"/>
      <c r="K18" s="401"/>
      <c r="L18" s="401"/>
      <c r="M18" s="402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392"/>
      <c r="B19" s="393"/>
      <c r="C19" s="394"/>
      <c r="D19" s="398" t="s">
        <v>188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392"/>
      <c r="B20" s="393"/>
      <c r="C20" s="394"/>
      <c r="D20" s="398" t="s">
        <v>130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189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5"/>
      <c r="B22" s="396"/>
      <c r="C22" s="397"/>
      <c r="D22" s="398" t="s">
        <v>190</v>
      </c>
      <c r="E22" s="399"/>
      <c r="F22" s="400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06" t="s">
        <v>1532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21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21" ht="52.95" customHeight="1" x14ac:dyDescent="0.4">
      <c r="A5" s="61">
        <v>1</v>
      </c>
      <c r="B5" s="114" t="s">
        <v>17</v>
      </c>
      <c r="C5" s="86" t="s">
        <v>1531</v>
      </c>
      <c r="D5" s="41" t="s">
        <v>1530</v>
      </c>
      <c r="E5" s="41" t="s">
        <v>458</v>
      </c>
      <c r="F5" s="41">
        <v>1.1000000000000001</v>
      </c>
      <c r="G5" s="86" t="s">
        <v>1102</v>
      </c>
      <c r="H5" s="87" t="s">
        <v>1529</v>
      </c>
      <c r="I5" s="54" t="s">
        <v>1099</v>
      </c>
      <c r="J5" s="41">
        <v>2</v>
      </c>
      <c r="K5" s="41">
        <v>2</v>
      </c>
      <c r="L5" s="41">
        <f t="shared" ref="L5:L15" si="0">J5*K5</f>
        <v>4</v>
      </c>
      <c r="M5" s="87" t="s">
        <v>1100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227</v>
      </c>
      <c r="C6" s="86" t="s">
        <v>1528</v>
      </c>
      <c r="D6" s="41" t="s">
        <v>1149</v>
      </c>
      <c r="E6" s="41" t="s">
        <v>458</v>
      </c>
      <c r="F6" s="41">
        <v>1.6</v>
      </c>
      <c r="G6" s="86" t="s">
        <v>1114</v>
      </c>
      <c r="H6" s="87" t="s">
        <v>1527</v>
      </c>
      <c r="I6" s="54" t="s">
        <v>1099</v>
      </c>
      <c r="J6" s="41">
        <v>2</v>
      </c>
      <c r="K6" s="41">
        <v>3</v>
      </c>
      <c r="L6" s="41">
        <f t="shared" si="0"/>
        <v>6</v>
      </c>
      <c r="M6" s="87" t="s">
        <v>1501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1526</v>
      </c>
      <c r="D7" s="41" t="s">
        <v>1525</v>
      </c>
      <c r="E7" s="41" t="s">
        <v>458</v>
      </c>
      <c r="F7" s="41">
        <v>1.3</v>
      </c>
      <c r="G7" s="87" t="s">
        <v>1097</v>
      </c>
      <c r="H7" s="87" t="s">
        <v>1524</v>
      </c>
      <c r="I7" s="54" t="s">
        <v>1099</v>
      </c>
      <c r="J7" s="41">
        <v>2</v>
      </c>
      <c r="K7" s="41">
        <v>3</v>
      </c>
      <c r="L7" s="41">
        <f t="shared" si="0"/>
        <v>6</v>
      </c>
      <c r="M7" s="87" t="s">
        <v>1501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1523</v>
      </c>
      <c r="D8" s="41" t="s">
        <v>1522</v>
      </c>
      <c r="E8" s="41" t="s">
        <v>458</v>
      </c>
      <c r="F8" s="41">
        <v>1.1000000000000001</v>
      </c>
      <c r="G8" s="87" t="s">
        <v>1102</v>
      </c>
      <c r="H8" s="87" t="s">
        <v>1521</v>
      </c>
      <c r="I8" s="54" t="s">
        <v>1099</v>
      </c>
      <c r="J8" s="41">
        <v>1</v>
      </c>
      <c r="K8" s="41">
        <v>2</v>
      </c>
      <c r="L8" s="41">
        <f t="shared" si="0"/>
        <v>2</v>
      </c>
      <c r="M8" s="87" t="s">
        <v>1506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1520</v>
      </c>
      <c r="D9" s="41" t="s">
        <v>1518</v>
      </c>
      <c r="E9" s="41" t="s">
        <v>458</v>
      </c>
      <c r="F9" s="41">
        <v>1.1000000000000001</v>
      </c>
      <c r="G9" s="87" t="s">
        <v>1102</v>
      </c>
      <c r="H9" s="87" t="s">
        <v>1517</v>
      </c>
      <c r="I9" s="54" t="s">
        <v>1109</v>
      </c>
      <c r="J9" s="41">
        <v>2</v>
      </c>
      <c r="K9" s="41">
        <v>2</v>
      </c>
      <c r="L9" s="41">
        <f t="shared" si="0"/>
        <v>4</v>
      </c>
      <c r="M9" s="87" t="s">
        <v>1501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1519</v>
      </c>
      <c r="D10" s="41" t="s">
        <v>1518</v>
      </c>
      <c r="E10" s="41" t="s">
        <v>458</v>
      </c>
      <c r="F10" s="41">
        <v>1.1000000000000001</v>
      </c>
      <c r="G10" s="87" t="s">
        <v>1102</v>
      </c>
      <c r="H10" s="87" t="s">
        <v>1517</v>
      </c>
      <c r="I10" s="54" t="s">
        <v>1109</v>
      </c>
      <c r="J10" s="41">
        <v>2</v>
      </c>
      <c r="K10" s="41">
        <v>2</v>
      </c>
      <c r="L10" s="41">
        <f t="shared" si="0"/>
        <v>4</v>
      </c>
      <c r="M10" s="87" t="s">
        <v>1113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228</v>
      </c>
      <c r="C11" s="86" t="s">
        <v>1516</v>
      </c>
      <c r="D11" s="41" t="s">
        <v>1513</v>
      </c>
      <c r="E11" s="41" t="s">
        <v>458</v>
      </c>
      <c r="F11" s="41">
        <v>1.1000000000000001</v>
      </c>
      <c r="G11" s="86" t="s">
        <v>1102</v>
      </c>
      <c r="H11" s="87" t="s">
        <v>1515</v>
      </c>
      <c r="I11" s="54" t="s">
        <v>1109</v>
      </c>
      <c r="J11" s="41">
        <v>2</v>
      </c>
      <c r="K11" s="41">
        <v>2</v>
      </c>
      <c r="L11" s="41">
        <f t="shared" si="0"/>
        <v>4</v>
      </c>
      <c r="M11" s="86" t="s">
        <v>1113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228</v>
      </c>
      <c r="C12" s="86" t="s">
        <v>1514</v>
      </c>
      <c r="D12" s="41" t="s">
        <v>1513</v>
      </c>
      <c r="E12" s="41" t="s">
        <v>458</v>
      </c>
      <c r="F12" s="61">
        <v>2.1</v>
      </c>
      <c r="G12" s="116" t="s">
        <v>1133</v>
      </c>
      <c r="H12" s="117" t="s">
        <v>1510</v>
      </c>
      <c r="I12" s="118" t="s">
        <v>1099</v>
      </c>
      <c r="J12" s="61">
        <v>1</v>
      </c>
      <c r="K12" s="41">
        <v>2</v>
      </c>
      <c r="L12" s="41">
        <f t="shared" si="0"/>
        <v>2</v>
      </c>
      <c r="M12" s="86" t="s">
        <v>1512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228</v>
      </c>
      <c r="C13" s="86" t="s">
        <v>1511</v>
      </c>
      <c r="D13" s="41" t="s">
        <v>1504</v>
      </c>
      <c r="E13" s="41" t="s">
        <v>458</v>
      </c>
      <c r="F13" s="41">
        <v>2.1</v>
      </c>
      <c r="G13" s="86" t="s">
        <v>1133</v>
      </c>
      <c r="H13" s="87" t="s">
        <v>1510</v>
      </c>
      <c r="I13" s="54" t="s">
        <v>1502</v>
      </c>
      <c r="J13" s="41">
        <v>2</v>
      </c>
      <c r="K13" s="41">
        <v>2</v>
      </c>
      <c r="L13" s="41">
        <f t="shared" si="0"/>
        <v>4</v>
      </c>
      <c r="M13" s="86" t="s">
        <v>1506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203</v>
      </c>
      <c r="C14" s="86" t="s">
        <v>1509</v>
      </c>
      <c r="D14" s="41" t="s">
        <v>1508</v>
      </c>
      <c r="E14" s="41" t="s">
        <v>458</v>
      </c>
      <c r="F14" s="41">
        <v>1.1000000000000001</v>
      </c>
      <c r="G14" s="87" t="s">
        <v>1102</v>
      </c>
      <c r="H14" s="87" t="s">
        <v>1507</v>
      </c>
      <c r="I14" s="54" t="s">
        <v>1502</v>
      </c>
      <c r="J14" s="41">
        <v>2</v>
      </c>
      <c r="K14" s="41">
        <v>3</v>
      </c>
      <c r="L14" s="41">
        <f t="shared" si="0"/>
        <v>6</v>
      </c>
      <c r="M14" s="87" t="s">
        <v>1506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203</v>
      </c>
      <c r="C15" s="86" t="s">
        <v>1505</v>
      </c>
      <c r="D15" s="41" t="s">
        <v>1504</v>
      </c>
      <c r="E15" s="41" t="s">
        <v>458</v>
      </c>
      <c r="F15" s="41">
        <v>1.4</v>
      </c>
      <c r="G15" s="86" t="s">
        <v>1141</v>
      </c>
      <c r="H15" s="87" t="s">
        <v>1503</v>
      </c>
      <c r="I15" s="54" t="s">
        <v>1502</v>
      </c>
      <c r="J15" s="41">
        <v>2</v>
      </c>
      <c r="K15" s="41">
        <v>3</v>
      </c>
      <c r="L15" s="41">
        <f t="shared" si="0"/>
        <v>6</v>
      </c>
      <c r="M15" s="86" t="s">
        <v>1501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/>
      <c r="C16" s="86"/>
      <c r="D16" s="41"/>
      <c r="E16" s="41"/>
      <c r="F16" s="41"/>
      <c r="G16" s="86"/>
      <c r="H16" s="57"/>
      <c r="I16" s="54"/>
      <c r="J16" s="41"/>
      <c r="K16" s="41"/>
      <c r="L16" s="41"/>
      <c r="M16" s="86"/>
      <c r="N16" s="41"/>
      <c r="O16" s="41"/>
      <c r="P16" s="41"/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/>
      <c r="C17" s="86"/>
      <c r="D17" s="41"/>
      <c r="E17" s="41"/>
      <c r="F17" s="41"/>
      <c r="G17" s="86"/>
      <c r="H17" s="57"/>
      <c r="I17" s="54"/>
      <c r="J17" s="41"/>
      <c r="K17" s="41"/>
      <c r="L17" s="41"/>
      <c r="M17" s="87"/>
      <c r="N17" s="41"/>
      <c r="O17" s="41"/>
      <c r="P17" s="41"/>
      <c r="Q17" s="54"/>
      <c r="R17" s="41"/>
      <c r="S17" s="41"/>
      <c r="T17" s="115"/>
      <c r="U17" s="115"/>
    </row>
    <row r="18" spans="1:21" ht="52.95" customHeight="1" x14ac:dyDescent="0.4">
      <c r="A18" s="2">
        <v>14</v>
      </c>
      <c r="B18" s="80"/>
      <c r="C18" s="85"/>
      <c r="D18" s="41"/>
      <c r="E18" s="41"/>
      <c r="F18" s="41"/>
      <c r="G18" s="87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21" ht="25.2" customHeight="1" x14ac:dyDescent="0.4">
      <c r="A19" s="389" t="s">
        <v>185</v>
      </c>
      <c r="B19" s="390"/>
      <c r="C19" s="39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392"/>
      <c r="B20" s="393"/>
      <c r="C20" s="39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392"/>
      <c r="B21" s="393"/>
      <c r="C21" s="39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392"/>
      <c r="B22" s="393"/>
      <c r="C22" s="39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395"/>
      <c r="B23" s="396"/>
      <c r="C23" s="39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U23"/>
  <sheetViews>
    <sheetView showGridLines="0" view="pageBreakPreview" topLeftCell="A4" zoomScale="85" zoomScaleNormal="70" zoomScaleSheetLayoutView="85" workbookViewId="0">
      <selection activeCell="G10" sqref="G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06" t="s">
        <v>1143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21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21" ht="52.95" customHeight="1" x14ac:dyDescent="0.4">
      <c r="A5" s="61">
        <v>1</v>
      </c>
      <c r="B5" s="114" t="s">
        <v>17</v>
      </c>
      <c r="C5" s="86" t="s">
        <v>1095</v>
      </c>
      <c r="D5" s="41" t="s">
        <v>1096</v>
      </c>
      <c r="E5" s="41" t="s">
        <v>458</v>
      </c>
      <c r="F5" s="41">
        <v>1.3</v>
      </c>
      <c r="G5" s="86" t="s">
        <v>1097</v>
      </c>
      <c r="H5" s="87" t="s">
        <v>1098</v>
      </c>
      <c r="I5" s="54" t="s">
        <v>1099</v>
      </c>
      <c r="J5" s="41">
        <v>2</v>
      </c>
      <c r="K5" s="41">
        <v>2</v>
      </c>
      <c r="L5" s="41">
        <f>J5*K5</f>
        <v>4</v>
      </c>
      <c r="M5" s="87" t="s">
        <v>1100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17</v>
      </c>
      <c r="C6" s="86" t="s">
        <v>1101</v>
      </c>
      <c r="D6" s="41" t="s">
        <v>1096</v>
      </c>
      <c r="E6" s="41" t="s">
        <v>458</v>
      </c>
      <c r="F6" s="41">
        <v>1.1000000000000001</v>
      </c>
      <c r="G6" s="86" t="s">
        <v>1102</v>
      </c>
      <c r="H6" s="87" t="s">
        <v>1103</v>
      </c>
      <c r="I6" s="54" t="s">
        <v>1099</v>
      </c>
      <c r="J6" s="41">
        <v>2</v>
      </c>
      <c r="K6" s="41">
        <v>2</v>
      </c>
      <c r="L6" s="41">
        <f t="shared" ref="L6:L18" si="0">J6*K6</f>
        <v>4</v>
      </c>
      <c r="M6" s="87" t="s">
        <v>1104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1105</v>
      </c>
      <c r="D7" s="41" t="s">
        <v>1106</v>
      </c>
      <c r="E7" s="41" t="s">
        <v>458</v>
      </c>
      <c r="F7" s="41">
        <v>1.3</v>
      </c>
      <c r="G7" s="87" t="s">
        <v>1097</v>
      </c>
      <c r="H7" s="87" t="s">
        <v>1107</v>
      </c>
      <c r="I7" s="54" t="s">
        <v>1099</v>
      </c>
      <c r="J7" s="41">
        <v>3</v>
      </c>
      <c r="K7" s="41">
        <v>3</v>
      </c>
      <c r="L7" s="41">
        <f t="shared" si="0"/>
        <v>9</v>
      </c>
      <c r="M7" s="87" t="s">
        <v>1104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1105</v>
      </c>
      <c r="D8" s="41" t="s">
        <v>1106</v>
      </c>
      <c r="E8" s="41" t="s">
        <v>458</v>
      </c>
      <c r="F8" s="41">
        <v>1.3</v>
      </c>
      <c r="G8" s="87" t="s">
        <v>1097</v>
      </c>
      <c r="H8" s="87" t="s">
        <v>1108</v>
      </c>
      <c r="I8" s="54" t="s">
        <v>1109</v>
      </c>
      <c r="J8" s="41">
        <v>2</v>
      </c>
      <c r="K8" s="41">
        <v>3</v>
      </c>
      <c r="L8" s="41">
        <f t="shared" si="0"/>
        <v>6</v>
      </c>
      <c r="M8" s="87" t="s">
        <v>1104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1110</v>
      </c>
      <c r="D9" s="41" t="s">
        <v>1111</v>
      </c>
      <c r="E9" s="41" t="s">
        <v>458</v>
      </c>
      <c r="F9" s="41">
        <v>1.3</v>
      </c>
      <c r="G9" s="87" t="s">
        <v>1097</v>
      </c>
      <c r="H9" s="87" t="s">
        <v>1112</v>
      </c>
      <c r="I9" s="54" t="s">
        <v>1109</v>
      </c>
      <c r="J9" s="41">
        <v>3</v>
      </c>
      <c r="K9" s="41">
        <v>3</v>
      </c>
      <c r="L9" s="41">
        <f t="shared" si="0"/>
        <v>9</v>
      </c>
      <c r="M9" s="87" t="s">
        <v>1113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1110</v>
      </c>
      <c r="D10" s="41" t="s">
        <v>1111</v>
      </c>
      <c r="E10" s="41" t="s">
        <v>458</v>
      </c>
      <c r="F10" s="41">
        <v>1.6</v>
      </c>
      <c r="G10" s="87" t="s">
        <v>1114</v>
      </c>
      <c r="H10" s="87" t="s">
        <v>1115</v>
      </c>
      <c r="I10" s="54" t="s">
        <v>1109</v>
      </c>
      <c r="J10" s="41">
        <v>2</v>
      </c>
      <c r="K10" s="41">
        <v>3</v>
      </c>
      <c r="L10" s="41">
        <f t="shared" si="0"/>
        <v>6</v>
      </c>
      <c r="M10" s="87" t="s">
        <v>1113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227</v>
      </c>
      <c r="C11" s="86" t="s">
        <v>1110</v>
      </c>
      <c r="D11" s="41" t="s">
        <v>1116</v>
      </c>
      <c r="E11" s="41" t="s">
        <v>458</v>
      </c>
      <c r="F11" s="41">
        <v>7.2</v>
      </c>
      <c r="G11" s="86" t="s">
        <v>1117</v>
      </c>
      <c r="H11" s="87" t="s">
        <v>1118</v>
      </c>
      <c r="I11" s="54" t="s">
        <v>1109</v>
      </c>
      <c r="J11" s="41">
        <v>2</v>
      </c>
      <c r="K11" s="41">
        <v>1</v>
      </c>
      <c r="L11" s="41">
        <f t="shared" si="0"/>
        <v>2</v>
      </c>
      <c r="M11" s="86" t="s">
        <v>1119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227</v>
      </c>
      <c r="C12" s="86" t="s">
        <v>1120</v>
      </c>
      <c r="D12" s="41" t="s">
        <v>1121</v>
      </c>
      <c r="E12" s="41" t="s">
        <v>458</v>
      </c>
      <c r="F12" s="61">
        <v>1.1000000000000001</v>
      </c>
      <c r="G12" s="116" t="s">
        <v>1102</v>
      </c>
      <c r="H12" s="117" t="s">
        <v>1122</v>
      </c>
      <c r="I12" s="118" t="s">
        <v>1109</v>
      </c>
      <c r="J12" s="61">
        <v>2</v>
      </c>
      <c r="K12" s="41">
        <v>3</v>
      </c>
      <c r="L12" s="41">
        <f t="shared" si="0"/>
        <v>6</v>
      </c>
      <c r="M12" s="86" t="s">
        <v>1113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227</v>
      </c>
      <c r="C13" s="86" t="s">
        <v>1120</v>
      </c>
      <c r="D13" s="41" t="s">
        <v>1123</v>
      </c>
      <c r="E13" s="41" t="s">
        <v>458</v>
      </c>
      <c r="F13" s="41">
        <v>1.5</v>
      </c>
      <c r="G13" s="86" t="s">
        <v>1124</v>
      </c>
      <c r="H13" s="87" t="s">
        <v>1125</v>
      </c>
      <c r="I13" s="54" t="s">
        <v>1109</v>
      </c>
      <c r="J13" s="41">
        <v>2</v>
      </c>
      <c r="K13" s="41">
        <v>3</v>
      </c>
      <c r="L13" s="41">
        <f t="shared" si="0"/>
        <v>6</v>
      </c>
      <c r="M13" s="86" t="s">
        <v>1113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228</v>
      </c>
      <c r="C14" s="86" t="s">
        <v>1126</v>
      </c>
      <c r="D14" s="41" t="s">
        <v>570</v>
      </c>
      <c r="E14" s="41" t="s">
        <v>458</v>
      </c>
      <c r="F14" s="41">
        <v>1.1000000000000001</v>
      </c>
      <c r="G14" s="87" t="s">
        <v>1102</v>
      </c>
      <c r="H14" s="87" t="s">
        <v>1127</v>
      </c>
      <c r="I14" s="54" t="s">
        <v>1099</v>
      </c>
      <c r="J14" s="41">
        <v>2</v>
      </c>
      <c r="K14" s="41">
        <v>2</v>
      </c>
      <c r="L14" s="41">
        <f t="shared" si="0"/>
        <v>4</v>
      </c>
      <c r="M14" s="87" t="s">
        <v>1113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228</v>
      </c>
      <c r="C15" s="86" t="s">
        <v>1128</v>
      </c>
      <c r="D15" s="41" t="s">
        <v>1129</v>
      </c>
      <c r="E15" s="41" t="s">
        <v>458</v>
      </c>
      <c r="F15" s="41">
        <v>1.2</v>
      </c>
      <c r="G15" s="86" t="s">
        <v>1130</v>
      </c>
      <c r="H15" s="87" t="s">
        <v>1131</v>
      </c>
      <c r="I15" s="54" t="s">
        <v>1099</v>
      </c>
      <c r="J15" s="41">
        <v>2</v>
      </c>
      <c r="K15" s="41">
        <v>3</v>
      </c>
      <c r="L15" s="41">
        <f t="shared" si="0"/>
        <v>6</v>
      </c>
      <c r="M15" s="86" t="s">
        <v>1113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 t="s">
        <v>228</v>
      </c>
      <c r="C16" s="86" t="s">
        <v>1132</v>
      </c>
      <c r="D16" s="41" t="s">
        <v>1129</v>
      </c>
      <c r="E16" s="41" t="s">
        <v>458</v>
      </c>
      <c r="F16" s="41">
        <v>2.1</v>
      </c>
      <c r="G16" s="86" t="s">
        <v>1133</v>
      </c>
      <c r="H16" s="57" t="s">
        <v>1134</v>
      </c>
      <c r="I16" s="54" t="s">
        <v>1099</v>
      </c>
      <c r="J16" s="41">
        <v>2</v>
      </c>
      <c r="K16" s="41">
        <v>3</v>
      </c>
      <c r="L16" s="41">
        <f t="shared" si="0"/>
        <v>6</v>
      </c>
      <c r="M16" s="86" t="s">
        <v>1135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 t="s">
        <v>203</v>
      </c>
      <c r="C17" s="86" t="s">
        <v>1136</v>
      </c>
      <c r="D17" s="41" t="s">
        <v>1137</v>
      </c>
      <c r="E17" s="41" t="s">
        <v>458</v>
      </c>
      <c r="F17" s="41">
        <v>1.1000000000000001</v>
      </c>
      <c r="G17" s="86" t="s">
        <v>1102</v>
      </c>
      <c r="H17" s="57" t="s">
        <v>1138</v>
      </c>
      <c r="I17" s="54" t="s">
        <v>751</v>
      </c>
      <c r="J17" s="41">
        <v>2</v>
      </c>
      <c r="K17" s="41">
        <v>3</v>
      </c>
      <c r="L17" s="41">
        <f t="shared" si="0"/>
        <v>6</v>
      </c>
      <c r="M17" s="87" t="s">
        <v>1139</v>
      </c>
      <c r="N17" s="41">
        <v>1</v>
      </c>
      <c r="O17" s="41">
        <v>2</v>
      </c>
      <c r="P17" s="41">
        <f t="shared" si="1"/>
        <v>2</v>
      </c>
      <c r="Q17" s="54"/>
      <c r="R17" s="41"/>
      <c r="S17" s="41"/>
      <c r="T17" s="115"/>
      <c r="U17" s="115"/>
    </row>
    <row r="18" spans="1:21" ht="52.95" customHeight="1" x14ac:dyDescent="0.4">
      <c r="A18" s="2">
        <v>14</v>
      </c>
      <c r="B18" s="80" t="s">
        <v>203</v>
      </c>
      <c r="C18" s="85" t="s">
        <v>1140</v>
      </c>
      <c r="D18" s="41" t="s">
        <v>570</v>
      </c>
      <c r="E18" s="41" t="s">
        <v>458</v>
      </c>
      <c r="F18" s="41">
        <v>1.4</v>
      </c>
      <c r="G18" s="87" t="s">
        <v>1141</v>
      </c>
      <c r="H18" s="57" t="s">
        <v>1142</v>
      </c>
      <c r="I18" s="54" t="s">
        <v>751</v>
      </c>
      <c r="J18" s="41">
        <v>2</v>
      </c>
      <c r="K18" s="41">
        <v>3</v>
      </c>
      <c r="L18" s="41">
        <f t="shared" si="0"/>
        <v>6</v>
      </c>
      <c r="M18" s="87" t="s">
        <v>1139</v>
      </c>
      <c r="N18" s="41">
        <v>1</v>
      </c>
      <c r="O18" s="41">
        <v>2</v>
      </c>
      <c r="P18" s="41">
        <f t="shared" si="1"/>
        <v>2</v>
      </c>
      <c r="Q18" s="88"/>
      <c r="R18" s="79"/>
      <c r="S18" s="79"/>
    </row>
    <row r="19" spans="1:21" ht="25.2" customHeight="1" x14ac:dyDescent="0.4">
      <c r="A19" s="389" t="s">
        <v>185</v>
      </c>
      <c r="B19" s="390"/>
      <c r="C19" s="39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392"/>
      <c r="B20" s="393"/>
      <c r="C20" s="39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392"/>
      <c r="B21" s="393"/>
      <c r="C21" s="39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392"/>
      <c r="B22" s="393"/>
      <c r="C22" s="39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395"/>
      <c r="B23" s="396"/>
      <c r="C23" s="39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06" t="s">
        <v>1175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21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21" ht="52.95" customHeight="1" x14ac:dyDescent="0.4">
      <c r="A5" s="61">
        <v>1</v>
      </c>
      <c r="B5" s="114" t="s">
        <v>17</v>
      </c>
      <c r="C5" s="86" t="s">
        <v>1145</v>
      </c>
      <c r="D5" s="41" t="s">
        <v>1146</v>
      </c>
      <c r="E5" s="41" t="s">
        <v>458</v>
      </c>
      <c r="F5" s="41">
        <v>1.3</v>
      </c>
      <c r="G5" s="86" t="s">
        <v>1097</v>
      </c>
      <c r="H5" s="87" t="s">
        <v>1147</v>
      </c>
      <c r="I5" s="54" t="s">
        <v>1099</v>
      </c>
      <c r="J5" s="41">
        <v>2</v>
      </c>
      <c r="K5" s="41">
        <v>2</v>
      </c>
      <c r="L5" s="41">
        <f>J5*K5</f>
        <v>4</v>
      </c>
      <c r="M5" s="87" t="s">
        <v>1100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17</v>
      </c>
      <c r="C6" s="86" t="s">
        <v>1148</v>
      </c>
      <c r="D6" s="41" t="s">
        <v>1149</v>
      </c>
      <c r="E6" s="41" t="s">
        <v>458</v>
      </c>
      <c r="F6" s="41">
        <v>1.6</v>
      </c>
      <c r="G6" s="86" t="s">
        <v>1114</v>
      </c>
      <c r="H6" s="87" t="s">
        <v>1150</v>
      </c>
      <c r="I6" s="54" t="s">
        <v>1099</v>
      </c>
      <c r="J6" s="41">
        <v>3</v>
      </c>
      <c r="K6" s="41">
        <v>2</v>
      </c>
      <c r="L6" s="41">
        <f t="shared" ref="L6:L15" si="0">J6*K6</f>
        <v>6</v>
      </c>
      <c r="M6" s="87" t="s">
        <v>1104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1151</v>
      </c>
      <c r="D7" s="41" t="s">
        <v>1146</v>
      </c>
      <c r="E7" s="41" t="s">
        <v>458</v>
      </c>
      <c r="F7" s="41">
        <v>1.3</v>
      </c>
      <c r="G7" s="87" t="s">
        <v>1097</v>
      </c>
      <c r="H7" s="87" t="s">
        <v>1152</v>
      </c>
      <c r="I7" s="54" t="s">
        <v>1099</v>
      </c>
      <c r="J7" s="41">
        <v>1</v>
      </c>
      <c r="K7" s="41">
        <v>1</v>
      </c>
      <c r="L7" s="41">
        <f t="shared" si="0"/>
        <v>1</v>
      </c>
      <c r="M7" s="87" t="s">
        <v>1104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1153</v>
      </c>
      <c r="D8" s="41" t="s">
        <v>1154</v>
      </c>
      <c r="E8" s="41" t="s">
        <v>458</v>
      </c>
      <c r="F8" s="41">
        <v>1.3</v>
      </c>
      <c r="G8" s="87" t="s">
        <v>1097</v>
      </c>
      <c r="H8" s="87" t="s">
        <v>1155</v>
      </c>
      <c r="I8" s="54" t="s">
        <v>1109</v>
      </c>
      <c r="J8" s="41">
        <v>2</v>
      </c>
      <c r="K8" s="41">
        <v>3</v>
      </c>
      <c r="L8" s="41">
        <f t="shared" si="0"/>
        <v>6</v>
      </c>
      <c r="M8" s="87" t="s">
        <v>1156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1157</v>
      </c>
      <c r="D9" s="41" t="s">
        <v>1158</v>
      </c>
      <c r="E9" s="41" t="s">
        <v>458</v>
      </c>
      <c r="F9" s="41">
        <v>1.3</v>
      </c>
      <c r="G9" s="87" t="s">
        <v>1097</v>
      </c>
      <c r="H9" s="87" t="s">
        <v>1155</v>
      </c>
      <c r="I9" s="54" t="s">
        <v>1109</v>
      </c>
      <c r="J9" s="41">
        <v>2</v>
      </c>
      <c r="K9" s="41">
        <v>3</v>
      </c>
      <c r="L9" s="41">
        <f t="shared" si="0"/>
        <v>6</v>
      </c>
      <c r="M9" s="87" t="s">
        <v>1156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228</v>
      </c>
      <c r="C10" s="86" t="s">
        <v>1159</v>
      </c>
      <c r="D10" s="41" t="s">
        <v>1160</v>
      </c>
      <c r="E10" s="41" t="s">
        <v>458</v>
      </c>
      <c r="F10" s="41">
        <v>2.1</v>
      </c>
      <c r="G10" s="87" t="s">
        <v>1133</v>
      </c>
      <c r="H10" s="87" t="s">
        <v>1161</v>
      </c>
      <c r="I10" s="54" t="s">
        <v>1109</v>
      </c>
      <c r="J10" s="41">
        <v>3</v>
      </c>
      <c r="K10" s="41">
        <v>2</v>
      </c>
      <c r="L10" s="41">
        <f t="shared" si="0"/>
        <v>6</v>
      </c>
      <c r="M10" s="87" t="s">
        <v>1156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228</v>
      </c>
      <c r="C11" s="86" t="s">
        <v>1162</v>
      </c>
      <c r="D11" s="41" t="s">
        <v>1163</v>
      </c>
      <c r="E11" s="41" t="s">
        <v>458</v>
      </c>
      <c r="F11" s="41">
        <v>2.1</v>
      </c>
      <c r="G11" s="86" t="s">
        <v>1133</v>
      </c>
      <c r="H11" s="87" t="s">
        <v>1164</v>
      </c>
      <c r="I11" s="54" t="s">
        <v>1109</v>
      </c>
      <c r="J11" s="41">
        <v>2</v>
      </c>
      <c r="K11" s="41">
        <v>2</v>
      </c>
      <c r="L11" s="41">
        <f t="shared" si="0"/>
        <v>4</v>
      </c>
      <c r="M11" s="86" t="s">
        <v>1156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228</v>
      </c>
      <c r="C12" s="86" t="s">
        <v>1165</v>
      </c>
      <c r="D12" s="41" t="s">
        <v>1166</v>
      </c>
      <c r="E12" s="41" t="s">
        <v>458</v>
      </c>
      <c r="F12" s="61">
        <v>2.1</v>
      </c>
      <c r="G12" s="116" t="s">
        <v>1133</v>
      </c>
      <c r="H12" s="117" t="s">
        <v>1167</v>
      </c>
      <c r="I12" s="118" t="s">
        <v>1109</v>
      </c>
      <c r="J12" s="61">
        <v>2</v>
      </c>
      <c r="K12" s="41">
        <v>3</v>
      </c>
      <c r="L12" s="41">
        <f t="shared" si="0"/>
        <v>6</v>
      </c>
      <c r="M12" s="86" t="s">
        <v>1113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227</v>
      </c>
      <c r="C13" s="86" t="s">
        <v>1168</v>
      </c>
      <c r="D13" s="41" t="s">
        <v>1158</v>
      </c>
      <c r="E13" s="41" t="s">
        <v>458</v>
      </c>
      <c r="F13" s="41">
        <v>1.4</v>
      </c>
      <c r="G13" s="86" t="s">
        <v>1141</v>
      </c>
      <c r="H13" s="87" t="s">
        <v>1169</v>
      </c>
      <c r="I13" s="54" t="s">
        <v>1099</v>
      </c>
      <c r="J13" s="41">
        <v>1</v>
      </c>
      <c r="K13" s="41">
        <v>2</v>
      </c>
      <c r="L13" s="41">
        <f t="shared" si="0"/>
        <v>2</v>
      </c>
      <c r="M13" s="86" t="s">
        <v>1113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203</v>
      </c>
      <c r="C14" s="86" t="s">
        <v>1170</v>
      </c>
      <c r="D14" s="41" t="s">
        <v>570</v>
      </c>
      <c r="E14" s="41" t="s">
        <v>458</v>
      </c>
      <c r="F14" s="41">
        <v>1.4</v>
      </c>
      <c r="G14" s="87" t="s">
        <v>1141</v>
      </c>
      <c r="H14" s="87" t="s">
        <v>1171</v>
      </c>
      <c r="I14" s="54" t="s">
        <v>1099</v>
      </c>
      <c r="J14" s="41">
        <v>1</v>
      </c>
      <c r="K14" s="41">
        <v>3</v>
      </c>
      <c r="L14" s="41">
        <f t="shared" si="0"/>
        <v>3</v>
      </c>
      <c r="M14" s="87" t="s">
        <v>1113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203</v>
      </c>
      <c r="C15" s="86" t="s">
        <v>1172</v>
      </c>
      <c r="D15" s="41" t="s">
        <v>1173</v>
      </c>
      <c r="E15" s="41" t="s">
        <v>458</v>
      </c>
      <c r="F15" s="41">
        <v>1.4</v>
      </c>
      <c r="G15" s="86" t="s">
        <v>1141</v>
      </c>
      <c r="H15" s="87" t="s">
        <v>1174</v>
      </c>
      <c r="I15" s="54" t="s">
        <v>1099</v>
      </c>
      <c r="J15" s="41">
        <v>2</v>
      </c>
      <c r="K15" s="41">
        <v>3</v>
      </c>
      <c r="L15" s="41">
        <f t="shared" si="0"/>
        <v>6</v>
      </c>
      <c r="M15" s="86" t="s">
        <v>1113</v>
      </c>
      <c r="N15" s="41">
        <v>2</v>
      </c>
      <c r="O15" s="41">
        <v>2</v>
      </c>
      <c r="P15" s="41">
        <f t="shared" si="1"/>
        <v>4</v>
      </c>
      <c r="Q15" s="54"/>
      <c r="R15" s="41"/>
      <c r="S15" s="41"/>
      <c r="T15" s="115"/>
      <c r="U15" s="115"/>
    </row>
    <row r="16" spans="1:21" ht="52.95" customHeight="1" x14ac:dyDescent="0.4">
      <c r="A16" s="61"/>
      <c r="B16" s="110"/>
      <c r="C16" s="86"/>
      <c r="D16" s="41"/>
      <c r="E16" s="41"/>
      <c r="F16" s="41"/>
      <c r="G16" s="86"/>
      <c r="H16" s="57"/>
      <c r="I16" s="54"/>
      <c r="J16" s="41"/>
      <c r="K16" s="41"/>
      <c r="L16" s="41"/>
      <c r="M16" s="86"/>
      <c r="N16" s="41"/>
      <c r="O16" s="41"/>
      <c r="P16" s="41"/>
      <c r="Q16" s="54"/>
      <c r="R16" s="41"/>
      <c r="S16" s="41"/>
      <c r="T16" s="115"/>
      <c r="U16" s="115"/>
    </row>
    <row r="17" spans="1:21" ht="52.95" customHeight="1" x14ac:dyDescent="0.4">
      <c r="A17" s="61"/>
      <c r="B17" s="110"/>
      <c r="C17" s="86"/>
      <c r="D17" s="41"/>
      <c r="E17" s="41"/>
      <c r="F17" s="41"/>
      <c r="G17" s="86"/>
      <c r="H17" s="57"/>
      <c r="I17" s="54"/>
      <c r="J17" s="41"/>
      <c r="K17" s="41"/>
      <c r="L17" s="41"/>
      <c r="M17" s="87"/>
      <c r="N17" s="41"/>
      <c r="O17" s="41"/>
      <c r="P17" s="41"/>
      <c r="Q17" s="54"/>
      <c r="R17" s="41"/>
      <c r="S17" s="41"/>
      <c r="T17" s="115"/>
      <c r="U17" s="115"/>
    </row>
    <row r="18" spans="1:21" ht="52.95" customHeight="1" x14ac:dyDescent="0.4">
      <c r="A18" s="2"/>
      <c r="B18" s="80"/>
      <c r="C18" s="85"/>
      <c r="D18" s="41"/>
      <c r="E18" s="41"/>
      <c r="F18" s="41"/>
      <c r="G18" s="87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21" ht="25.2" customHeight="1" x14ac:dyDescent="0.4">
      <c r="A19" s="389" t="s">
        <v>185</v>
      </c>
      <c r="B19" s="390"/>
      <c r="C19" s="39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392"/>
      <c r="B20" s="393"/>
      <c r="C20" s="39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392"/>
      <c r="B21" s="393"/>
      <c r="C21" s="39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392"/>
      <c r="B22" s="393"/>
      <c r="C22" s="39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395"/>
      <c r="B23" s="396"/>
      <c r="C23" s="39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06" t="s">
        <v>1566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21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21" ht="52.95" customHeight="1" x14ac:dyDescent="0.4">
      <c r="A5" s="61">
        <v>1</v>
      </c>
      <c r="B5" s="114" t="s">
        <v>17</v>
      </c>
      <c r="C5" s="86" t="s">
        <v>1533</v>
      </c>
      <c r="D5" s="41" t="s">
        <v>1176</v>
      </c>
      <c r="E5" s="41" t="s">
        <v>458</v>
      </c>
      <c r="F5" s="41">
        <v>1.6</v>
      </c>
      <c r="G5" s="86" t="s">
        <v>1114</v>
      </c>
      <c r="H5" s="87" t="s">
        <v>1534</v>
      </c>
      <c r="I5" s="54" t="s">
        <v>1099</v>
      </c>
      <c r="J5" s="41">
        <v>1</v>
      </c>
      <c r="K5" s="41">
        <v>4</v>
      </c>
      <c r="L5" s="41">
        <f>J5*K5</f>
        <v>4</v>
      </c>
      <c r="M5" s="87" t="s">
        <v>1535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227</v>
      </c>
      <c r="C6" s="86" t="s">
        <v>1536</v>
      </c>
      <c r="D6" s="41" t="s">
        <v>1537</v>
      </c>
      <c r="E6" s="41" t="s">
        <v>458</v>
      </c>
      <c r="F6" s="41">
        <v>1.6</v>
      </c>
      <c r="G6" s="86" t="s">
        <v>1114</v>
      </c>
      <c r="H6" s="87" t="s">
        <v>1534</v>
      </c>
      <c r="I6" s="54" t="s">
        <v>1099</v>
      </c>
      <c r="J6" s="41">
        <v>2</v>
      </c>
      <c r="K6" s="41">
        <v>4</v>
      </c>
      <c r="L6" s="41">
        <f t="shared" ref="L6:L19" si="0">J6*K6</f>
        <v>8</v>
      </c>
      <c r="M6" s="87" t="s">
        <v>1538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1539</v>
      </c>
      <c r="D7" s="41" t="s">
        <v>1540</v>
      </c>
      <c r="E7" s="41" t="s">
        <v>458</v>
      </c>
      <c r="F7" s="41">
        <v>1.6</v>
      </c>
      <c r="G7" s="87" t="s">
        <v>1114</v>
      </c>
      <c r="H7" s="87" t="s">
        <v>1534</v>
      </c>
      <c r="I7" s="54" t="s">
        <v>1099</v>
      </c>
      <c r="J7" s="41">
        <v>2</v>
      </c>
      <c r="K7" s="41">
        <v>4</v>
      </c>
      <c r="L7" s="41">
        <f t="shared" si="0"/>
        <v>8</v>
      </c>
      <c r="M7" s="87" t="s">
        <v>1538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1541</v>
      </c>
      <c r="D8" s="41" t="s">
        <v>1542</v>
      </c>
      <c r="E8" s="41" t="s">
        <v>458</v>
      </c>
      <c r="F8" s="41">
        <v>1.3</v>
      </c>
      <c r="G8" s="87" t="s">
        <v>1097</v>
      </c>
      <c r="H8" s="87" t="s">
        <v>1543</v>
      </c>
      <c r="I8" s="54" t="s">
        <v>1099</v>
      </c>
      <c r="J8" s="41">
        <v>2</v>
      </c>
      <c r="K8" s="41">
        <v>3</v>
      </c>
      <c r="L8" s="41">
        <f t="shared" si="0"/>
        <v>6</v>
      </c>
      <c r="M8" s="87" t="s">
        <v>1506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1544</v>
      </c>
      <c r="D9" s="41" t="s">
        <v>1542</v>
      </c>
      <c r="E9" s="41" t="s">
        <v>458</v>
      </c>
      <c r="F9" s="41">
        <v>1.3</v>
      </c>
      <c r="G9" s="87" t="s">
        <v>1097</v>
      </c>
      <c r="H9" s="87" t="s">
        <v>1543</v>
      </c>
      <c r="I9" s="54" t="s">
        <v>1099</v>
      </c>
      <c r="J9" s="41">
        <v>3</v>
      </c>
      <c r="K9" s="41">
        <v>3</v>
      </c>
      <c r="L9" s="41">
        <f t="shared" si="0"/>
        <v>9</v>
      </c>
      <c r="M9" s="87" t="s">
        <v>1506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1545</v>
      </c>
      <c r="D10" s="41" t="s">
        <v>1542</v>
      </c>
      <c r="E10" s="41" t="s">
        <v>458</v>
      </c>
      <c r="F10" s="41">
        <v>1.3</v>
      </c>
      <c r="G10" s="87" t="s">
        <v>1097</v>
      </c>
      <c r="H10" s="87" t="s">
        <v>1546</v>
      </c>
      <c r="I10" s="54" t="s">
        <v>1099</v>
      </c>
      <c r="J10" s="41">
        <v>2</v>
      </c>
      <c r="K10" s="41">
        <v>3</v>
      </c>
      <c r="L10" s="41">
        <f t="shared" si="0"/>
        <v>6</v>
      </c>
      <c r="M10" s="87" t="s">
        <v>1506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227</v>
      </c>
      <c r="C11" s="86" t="s">
        <v>1547</v>
      </c>
      <c r="D11" s="41" t="s">
        <v>1542</v>
      </c>
      <c r="E11" s="41" t="s">
        <v>458</v>
      </c>
      <c r="F11" s="41">
        <v>1.3</v>
      </c>
      <c r="G11" s="86" t="s">
        <v>1097</v>
      </c>
      <c r="H11" s="87" t="s">
        <v>1548</v>
      </c>
      <c r="I11" s="54" t="s">
        <v>1109</v>
      </c>
      <c r="J11" s="41">
        <v>2</v>
      </c>
      <c r="K11" s="41">
        <v>3</v>
      </c>
      <c r="L11" s="41">
        <f t="shared" si="0"/>
        <v>6</v>
      </c>
      <c r="M11" s="86" t="s">
        <v>1549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227</v>
      </c>
      <c r="C12" s="86" t="s">
        <v>1550</v>
      </c>
      <c r="D12" s="41" t="s">
        <v>1518</v>
      </c>
      <c r="E12" s="41" t="s">
        <v>458</v>
      </c>
      <c r="F12" s="61">
        <v>1.3</v>
      </c>
      <c r="G12" s="116" t="s">
        <v>1097</v>
      </c>
      <c r="H12" s="117" t="s">
        <v>1548</v>
      </c>
      <c r="I12" s="118" t="s">
        <v>1109</v>
      </c>
      <c r="J12" s="61">
        <v>2</v>
      </c>
      <c r="K12" s="41">
        <v>3</v>
      </c>
      <c r="L12" s="41">
        <f t="shared" si="0"/>
        <v>6</v>
      </c>
      <c r="M12" s="86" t="s">
        <v>1549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228</v>
      </c>
      <c r="C13" s="86" t="s">
        <v>1551</v>
      </c>
      <c r="D13" s="41" t="s">
        <v>1552</v>
      </c>
      <c r="E13" s="41" t="s">
        <v>458</v>
      </c>
      <c r="F13" s="41">
        <v>1.3</v>
      </c>
      <c r="G13" s="86" t="s">
        <v>1097</v>
      </c>
      <c r="H13" s="87" t="s">
        <v>1548</v>
      </c>
      <c r="I13" s="54" t="s">
        <v>1109</v>
      </c>
      <c r="J13" s="41">
        <v>3</v>
      </c>
      <c r="K13" s="41">
        <v>3</v>
      </c>
      <c r="L13" s="41">
        <f t="shared" si="0"/>
        <v>9</v>
      </c>
      <c r="M13" s="86" t="s">
        <v>1549</v>
      </c>
      <c r="N13" s="41">
        <v>2</v>
      </c>
      <c r="O13" s="41">
        <v>2</v>
      </c>
      <c r="P13" s="41">
        <f t="shared" si="1"/>
        <v>4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228</v>
      </c>
      <c r="C14" s="86" t="s">
        <v>1553</v>
      </c>
      <c r="D14" s="41" t="s">
        <v>1552</v>
      </c>
      <c r="E14" s="41" t="s">
        <v>458</v>
      </c>
      <c r="F14" s="41">
        <v>2.1</v>
      </c>
      <c r="G14" s="87" t="s">
        <v>1133</v>
      </c>
      <c r="H14" s="87" t="s">
        <v>1554</v>
      </c>
      <c r="I14" s="54" t="s">
        <v>1109</v>
      </c>
      <c r="J14" s="41">
        <v>1</v>
      </c>
      <c r="K14" s="41">
        <v>3</v>
      </c>
      <c r="L14" s="41">
        <f t="shared" si="0"/>
        <v>3</v>
      </c>
      <c r="M14" s="87" t="s">
        <v>1549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228</v>
      </c>
      <c r="C15" s="86" t="s">
        <v>1555</v>
      </c>
      <c r="D15" s="41" t="s">
        <v>1556</v>
      </c>
      <c r="E15" s="41" t="s">
        <v>458</v>
      </c>
      <c r="F15" s="41">
        <v>2.1</v>
      </c>
      <c r="G15" s="86" t="s">
        <v>1133</v>
      </c>
      <c r="H15" s="87" t="s">
        <v>1557</v>
      </c>
      <c r="I15" s="54" t="s">
        <v>1099</v>
      </c>
      <c r="J15" s="41">
        <v>1</v>
      </c>
      <c r="K15" s="41">
        <v>3</v>
      </c>
      <c r="L15" s="41">
        <f t="shared" si="0"/>
        <v>3</v>
      </c>
      <c r="M15" s="86" t="s">
        <v>1549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 t="s">
        <v>228</v>
      </c>
      <c r="C16" s="86" t="s">
        <v>1558</v>
      </c>
      <c r="D16" s="41" t="s">
        <v>1556</v>
      </c>
      <c r="E16" s="41" t="s">
        <v>458</v>
      </c>
      <c r="F16" s="41">
        <v>2.1</v>
      </c>
      <c r="G16" s="86" t="s">
        <v>1133</v>
      </c>
      <c r="H16" s="57" t="s">
        <v>1557</v>
      </c>
      <c r="I16" s="54" t="s">
        <v>1099</v>
      </c>
      <c r="J16" s="41">
        <v>1</v>
      </c>
      <c r="K16" s="41">
        <v>3</v>
      </c>
      <c r="L16" s="41">
        <f t="shared" si="0"/>
        <v>3</v>
      </c>
      <c r="M16" s="86" t="s">
        <v>1549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 t="s">
        <v>228</v>
      </c>
      <c r="C17" s="86" t="s">
        <v>1559</v>
      </c>
      <c r="D17" s="41" t="s">
        <v>1560</v>
      </c>
      <c r="E17" s="41" t="s">
        <v>458</v>
      </c>
      <c r="F17" s="41">
        <v>2.1</v>
      </c>
      <c r="G17" s="86" t="s">
        <v>1133</v>
      </c>
      <c r="H17" s="57" t="s">
        <v>1167</v>
      </c>
      <c r="I17" s="54" t="s">
        <v>1099</v>
      </c>
      <c r="J17" s="41">
        <v>2</v>
      </c>
      <c r="K17" s="41">
        <v>3</v>
      </c>
      <c r="L17" s="41">
        <f t="shared" si="0"/>
        <v>6</v>
      </c>
      <c r="M17" s="87" t="s">
        <v>1113</v>
      </c>
      <c r="N17" s="41">
        <v>2</v>
      </c>
      <c r="O17" s="41">
        <v>2</v>
      </c>
      <c r="P17" s="41">
        <f t="shared" si="1"/>
        <v>4</v>
      </c>
      <c r="Q17" s="54"/>
      <c r="R17" s="41"/>
      <c r="S17" s="41"/>
      <c r="T17" s="115"/>
      <c r="U17" s="115"/>
    </row>
    <row r="18" spans="1:21" ht="52.95" customHeight="1" x14ac:dyDescent="0.4">
      <c r="A18" s="61">
        <v>14</v>
      </c>
      <c r="B18" s="110" t="s">
        <v>203</v>
      </c>
      <c r="C18" s="86" t="s">
        <v>1561</v>
      </c>
      <c r="D18" s="41" t="s">
        <v>1562</v>
      </c>
      <c r="E18" s="41" t="s">
        <v>458</v>
      </c>
      <c r="F18" s="41">
        <v>1.3</v>
      </c>
      <c r="G18" s="86" t="s">
        <v>1097</v>
      </c>
      <c r="H18" s="57" t="s">
        <v>1563</v>
      </c>
      <c r="I18" s="54" t="s">
        <v>1099</v>
      </c>
      <c r="J18" s="41">
        <v>2</v>
      </c>
      <c r="K18" s="41">
        <v>3</v>
      </c>
      <c r="L18" s="41">
        <f t="shared" si="0"/>
        <v>6</v>
      </c>
      <c r="M18" s="86" t="s">
        <v>1549</v>
      </c>
      <c r="N18" s="41">
        <v>1</v>
      </c>
      <c r="O18" s="41">
        <v>2</v>
      </c>
      <c r="P18" s="41">
        <f t="shared" si="1"/>
        <v>2</v>
      </c>
      <c r="Q18" s="54"/>
      <c r="R18" s="41"/>
      <c r="S18" s="41"/>
      <c r="T18" s="115"/>
      <c r="U18" s="115"/>
    </row>
    <row r="19" spans="1:21" ht="52.95" customHeight="1" x14ac:dyDescent="0.4">
      <c r="A19" s="61">
        <v>15</v>
      </c>
      <c r="B19" s="110" t="s">
        <v>203</v>
      </c>
      <c r="C19" s="86" t="s">
        <v>1564</v>
      </c>
      <c r="D19" s="41" t="s">
        <v>1562</v>
      </c>
      <c r="E19" s="41" t="s">
        <v>458</v>
      </c>
      <c r="F19" s="41">
        <v>1.4</v>
      </c>
      <c r="G19" s="86" t="s">
        <v>1141</v>
      </c>
      <c r="H19" s="57" t="s">
        <v>1565</v>
      </c>
      <c r="I19" s="54" t="s">
        <v>1099</v>
      </c>
      <c r="J19" s="41">
        <v>2</v>
      </c>
      <c r="K19" s="41">
        <v>3</v>
      </c>
      <c r="L19" s="41">
        <f t="shared" si="0"/>
        <v>6</v>
      </c>
      <c r="M19" s="86" t="s">
        <v>1113</v>
      </c>
      <c r="N19" s="41">
        <v>1</v>
      </c>
      <c r="O19" s="41">
        <v>2</v>
      </c>
      <c r="P19" s="41">
        <f t="shared" si="1"/>
        <v>2</v>
      </c>
      <c r="Q19" s="54"/>
      <c r="R19" s="41"/>
      <c r="S19" s="41"/>
      <c r="T19" s="115"/>
      <c r="U19" s="115"/>
    </row>
    <row r="20" spans="1:21" ht="52.95" customHeight="1" x14ac:dyDescent="0.4">
      <c r="A20" s="61"/>
      <c r="B20" s="110"/>
      <c r="C20" s="86"/>
      <c r="D20" s="41"/>
      <c r="E20" s="41"/>
      <c r="F20" s="41"/>
      <c r="G20" s="86"/>
      <c r="H20" s="57"/>
      <c r="I20" s="54"/>
      <c r="J20" s="41"/>
      <c r="K20" s="41"/>
      <c r="L20" s="41"/>
      <c r="M20" s="87"/>
      <c r="N20" s="41"/>
      <c r="O20" s="41"/>
      <c r="P20" s="41"/>
      <c r="Q20" s="54"/>
      <c r="R20" s="41"/>
      <c r="S20" s="41"/>
      <c r="T20" s="115"/>
      <c r="U20" s="115"/>
    </row>
    <row r="21" spans="1:21" ht="52.95" customHeight="1" x14ac:dyDescent="0.4">
      <c r="A21" s="2"/>
      <c r="B21" s="80"/>
      <c r="C21" s="85"/>
      <c r="D21" s="41"/>
      <c r="E21" s="41"/>
      <c r="F21" s="41"/>
      <c r="G21" s="87"/>
      <c r="H21" s="57"/>
      <c r="I21" s="54"/>
      <c r="J21" s="41"/>
      <c r="K21" s="41"/>
      <c r="L21" s="41"/>
      <c r="M21" s="87"/>
      <c r="N21" s="41"/>
      <c r="O21" s="41"/>
      <c r="P21" s="41"/>
      <c r="Q21" s="88"/>
      <c r="R21" s="79"/>
      <c r="S21" s="79"/>
    </row>
    <row r="22" spans="1:21" ht="25.2" customHeight="1" x14ac:dyDescent="0.4">
      <c r="A22" s="389" t="s">
        <v>185</v>
      </c>
      <c r="B22" s="390"/>
      <c r="C22" s="391"/>
      <c r="D22" s="398" t="s">
        <v>186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392"/>
      <c r="B23" s="393"/>
      <c r="C23" s="394"/>
      <c r="D23" s="398" t="s">
        <v>188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21" ht="25.2" customHeight="1" x14ac:dyDescent="0.4">
      <c r="A24" s="392"/>
      <c r="B24" s="393"/>
      <c r="C24" s="394"/>
      <c r="D24" s="398" t="s">
        <v>130</v>
      </c>
      <c r="E24" s="399"/>
      <c r="F24" s="400"/>
      <c r="G24" s="401"/>
      <c r="H24" s="401"/>
      <c r="I24" s="401"/>
      <c r="J24" s="401"/>
      <c r="K24" s="401"/>
      <c r="L24" s="401"/>
      <c r="M24" s="402"/>
      <c r="N24" s="51" t="s">
        <v>187</v>
      </c>
      <c r="O24" s="52"/>
      <c r="P24" s="52"/>
      <c r="Q24" s="52"/>
      <c r="R24" s="52"/>
      <c r="S24" s="53"/>
    </row>
    <row r="25" spans="1:21" ht="25.2" customHeight="1" x14ac:dyDescent="0.4">
      <c r="A25" s="392"/>
      <c r="B25" s="393"/>
      <c r="C25" s="394"/>
      <c r="D25" s="398" t="s">
        <v>189</v>
      </c>
      <c r="E25" s="399"/>
      <c r="F25" s="400"/>
      <c r="G25" s="401"/>
      <c r="H25" s="401"/>
      <c r="I25" s="401"/>
      <c r="J25" s="401"/>
      <c r="K25" s="401"/>
      <c r="L25" s="401"/>
      <c r="M25" s="402"/>
      <c r="N25" s="51" t="s">
        <v>187</v>
      </c>
      <c r="O25" s="52"/>
      <c r="P25" s="52"/>
      <c r="Q25" s="52"/>
      <c r="R25" s="52"/>
      <c r="S25" s="53"/>
    </row>
    <row r="26" spans="1:21" ht="25.2" customHeight="1" x14ac:dyDescent="0.4">
      <c r="A26" s="395"/>
      <c r="B26" s="396"/>
      <c r="C26" s="397"/>
      <c r="D26" s="398" t="s">
        <v>190</v>
      </c>
      <c r="E26" s="399"/>
      <c r="F26" s="400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1636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8" t="s">
        <v>17</v>
      </c>
      <c r="C6" s="114" t="s">
        <v>1632</v>
      </c>
      <c r="D6" s="116" t="s">
        <v>1176</v>
      </c>
      <c r="E6" s="61" t="s">
        <v>862</v>
      </c>
      <c r="F6" s="41">
        <v>1.3</v>
      </c>
      <c r="G6" s="86" t="s">
        <v>1177</v>
      </c>
      <c r="H6" s="57" t="s">
        <v>1178</v>
      </c>
      <c r="I6" s="54" t="s">
        <v>1179</v>
      </c>
      <c r="J6" s="61">
        <v>3</v>
      </c>
      <c r="K6" s="61">
        <v>2</v>
      </c>
      <c r="L6" s="41">
        <v>6</v>
      </c>
      <c r="M6" s="54" t="s">
        <v>1180</v>
      </c>
      <c r="N6" s="41">
        <v>1</v>
      </c>
      <c r="O6" s="41">
        <v>2</v>
      </c>
      <c r="P6" s="41">
        <v>2</v>
      </c>
      <c r="Q6" s="41" t="s">
        <v>1181</v>
      </c>
      <c r="R6" s="41"/>
      <c r="S6" s="41"/>
    </row>
    <row r="7" spans="1:19" ht="52.95" customHeight="1" x14ac:dyDescent="0.4">
      <c r="A7" s="104">
        <v>2</v>
      </c>
      <c r="B7" s="123" t="s">
        <v>227</v>
      </c>
      <c r="C7" s="58" t="s">
        <v>1633</v>
      </c>
      <c r="D7" s="74" t="s">
        <v>570</v>
      </c>
      <c r="E7" s="59" t="s">
        <v>862</v>
      </c>
      <c r="F7" s="41">
        <v>7.2</v>
      </c>
      <c r="G7" s="86" t="s">
        <v>1183</v>
      </c>
      <c r="H7" s="57" t="s">
        <v>764</v>
      </c>
      <c r="I7" s="54" t="s">
        <v>1184</v>
      </c>
      <c r="J7" s="41">
        <v>2</v>
      </c>
      <c r="K7" s="41">
        <v>2</v>
      </c>
      <c r="L7" s="41">
        <v>4</v>
      </c>
      <c r="M7" s="57" t="s">
        <v>1185</v>
      </c>
      <c r="N7" s="41">
        <v>1</v>
      </c>
      <c r="O7" s="41">
        <v>2</v>
      </c>
      <c r="P7" s="41">
        <v>2</v>
      </c>
      <c r="Q7" s="88" t="s">
        <v>1181</v>
      </c>
      <c r="R7" s="79"/>
      <c r="S7" s="79"/>
    </row>
    <row r="8" spans="1:19" ht="52.95" customHeight="1" x14ac:dyDescent="0.4">
      <c r="A8" s="109">
        <v>3</v>
      </c>
      <c r="B8" s="74" t="s">
        <v>227</v>
      </c>
      <c r="C8" s="85" t="s">
        <v>1637</v>
      </c>
      <c r="D8" s="41" t="s">
        <v>570</v>
      </c>
      <c r="E8" s="41" t="s">
        <v>862</v>
      </c>
      <c r="F8" s="41">
        <v>1.2</v>
      </c>
      <c r="G8" s="86" t="s">
        <v>52</v>
      </c>
      <c r="H8" s="106" t="s">
        <v>1638</v>
      </c>
      <c r="I8" s="54" t="s">
        <v>1580</v>
      </c>
      <c r="J8" s="41">
        <v>1</v>
      </c>
      <c r="K8" s="41">
        <v>2</v>
      </c>
      <c r="L8" s="41">
        <v>2</v>
      </c>
      <c r="M8" s="87" t="s">
        <v>1639</v>
      </c>
      <c r="N8" s="41">
        <v>1</v>
      </c>
      <c r="O8" s="41">
        <v>1</v>
      </c>
      <c r="P8" s="41">
        <v>1</v>
      </c>
      <c r="Q8" s="88" t="s">
        <v>1181</v>
      </c>
      <c r="R8" s="79"/>
      <c r="S8" s="79"/>
    </row>
    <row r="9" spans="1:19" ht="52.95" customHeight="1" x14ac:dyDescent="0.4">
      <c r="A9" s="104">
        <v>4</v>
      </c>
      <c r="B9" s="80" t="s">
        <v>203</v>
      </c>
      <c r="C9" s="85" t="s">
        <v>1640</v>
      </c>
      <c r="D9" s="41" t="s">
        <v>1641</v>
      </c>
      <c r="E9" s="41" t="s">
        <v>1642</v>
      </c>
      <c r="F9" s="41">
        <v>5.4</v>
      </c>
      <c r="G9" s="87" t="s">
        <v>77</v>
      </c>
      <c r="H9" s="106" t="s">
        <v>1643</v>
      </c>
      <c r="I9" s="54" t="s">
        <v>1580</v>
      </c>
      <c r="J9" s="41">
        <v>1</v>
      </c>
      <c r="K9" s="41">
        <v>1</v>
      </c>
      <c r="L9" s="41">
        <v>1</v>
      </c>
      <c r="M9" s="87" t="s">
        <v>1644</v>
      </c>
      <c r="N9" s="41">
        <v>1</v>
      </c>
      <c r="O9" s="41">
        <v>1</v>
      </c>
      <c r="P9" s="41">
        <v>1</v>
      </c>
      <c r="Q9" s="88" t="s">
        <v>1181</v>
      </c>
      <c r="R9" s="79"/>
      <c r="S9" s="79"/>
    </row>
    <row r="10" spans="1:19" ht="52.95" customHeight="1" x14ac:dyDescent="0.4">
      <c r="A10" s="109">
        <v>5</v>
      </c>
      <c r="B10" s="80" t="s">
        <v>203</v>
      </c>
      <c r="C10" s="85" t="s">
        <v>1645</v>
      </c>
      <c r="D10" s="41" t="s">
        <v>1641</v>
      </c>
      <c r="E10" s="41" t="s">
        <v>862</v>
      </c>
      <c r="F10" s="41">
        <v>1.1000000000000001</v>
      </c>
      <c r="G10" s="87" t="s">
        <v>51</v>
      </c>
      <c r="H10" s="106" t="s">
        <v>1646</v>
      </c>
      <c r="I10" s="54" t="s">
        <v>1580</v>
      </c>
      <c r="J10" s="41">
        <v>1</v>
      </c>
      <c r="K10" s="41">
        <v>2</v>
      </c>
      <c r="L10" s="41">
        <v>2</v>
      </c>
      <c r="M10" s="87" t="s">
        <v>751</v>
      </c>
      <c r="N10" s="41">
        <v>1</v>
      </c>
      <c r="O10" s="41">
        <v>1</v>
      </c>
      <c r="P10" s="41">
        <v>1</v>
      </c>
      <c r="Q10" s="88" t="s">
        <v>1181</v>
      </c>
      <c r="R10" s="79"/>
      <c r="S10" s="79"/>
    </row>
    <row r="11" spans="1:19" ht="52.95" customHeight="1" x14ac:dyDescent="0.4">
      <c r="A11" s="104">
        <v>6</v>
      </c>
      <c r="B11" s="80" t="s">
        <v>203</v>
      </c>
      <c r="C11" s="85" t="s">
        <v>1645</v>
      </c>
      <c r="D11" s="41" t="s">
        <v>1641</v>
      </c>
      <c r="E11" s="41" t="s">
        <v>862</v>
      </c>
      <c r="F11" s="41">
        <v>3.2</v>
      </c>
      <c r="G11" s="87" t="s">
        <v>61</v>
      </c>
      <c r="H11" s="106" t="s">
        <v>1647</v>
      </c>
      <c r="I11" s="54" t="s">
        <v>1580</v>
      </c>
      <c r="J11" s="41">
        <v>1</v>
      </c>
      <c r="K11" s="41">
        <v>2</v>
      </c>
      <c r="L11" s="41">
        <v>2</v>
      </c>
      <c r="M11" s="87" t="s">
        <v>1648</v>
      </c>
      <c r="N11" s="41">
        <v>1</v>
      </c>
      <c r="O11" s="41">
        <v>1</v>
      </c>
      <c r="P11" s="41">
        <v>1</v>
      </c>
      <c r="Q11" s="88" t="s">
        <v>1181</v>
      </c>
      <c r="R11" s="79"/>
      <c r="S11" s="79"/>
    </row>
    <row r="12" spans="1:19" ht="52.95" customHeight="1" x14ac:dyDescent="0.4">
      <c r="A12" s="109">
        <v>7</v>
      </c>
      <c r="B12" s="123" t="s">
        <v>203</v>
      </c>
      <c r="C12" s="58" t="s">
        <v>1634</v>
      </c>
      <c r="D12" s="74" t="s">
        <v>1635</v>
      </c>
      <c r="E12" s="59" t="s">
        <v>1186</v>
      </c>
      <c r="F12" s="41">
        <v>5.5</v>
      </c>
      <c r="G12" s="87" t="s">
        <v>1187</v>
      </c>
      <c r="H12" s="57" t="s">
        <v>1188</v>
      </c>
      <c r="I12" s="54" t="s">
        <v>1189</v>
      </c>
      <c r="J12" s="41">
        <v>2</v>
      </c>
      <c r="K12" s="41">
        <v>2</v>
      </c>
      <c r="L12" s="41">
        <v>4</v>
      </c>
      <c r="M12" s="54" t="s">
        <v>1190</v>
      </c>
      <c r="N12" s="41">
        <v>1</v>
      </c>
      <c r="O12" s="41">
        <v>2</v>
      </c>
      <c r="P12" s="41">
        <v>2</v>
      </c>
      <c r="Q12" s="88" t="s">
        <v>1181</v>
      </c>
      <c r="R12" s="79"/>
      <c r="S12" s="79"/>
    </row>
    <row r="13" spans="1:19" ht="52.95" customHeight="1" x14ac:dyDescent="0.4">
      <c r="A13" s="104">
        <v>8</v>
      </c>
      <c r="B13" s="123" t="s">
        <v>203</v>
      </c>
      <c r="C13" s="58" t="s">
        <v>1191</v>
      </c>
      <c r="D13" s="122" t="s">
        <v>1192</v>
      </c>
      <c r="E13" s="59" t="s">
        <v>862</v>
      </c>
      <c r="F13" s="41">
        <v>7.4</v>
      </c>
      <c r="G13" s="87" t="s">
        <v>973</v>
      </c>
      <c r="H13" s="57" t="s">
        <v>1193</v>
      </c>
      <c r="I13" s="54" t="s">
        <v>1194</v>
      </c>
      <c r="J13" s="41">
        <v>3</v>
      </c>
      <c r="K13" s="41">
        <v>2</v>
      </c>
      <c r="L13" s="41">
        <v>6</v>
      </c>
      <c r="M13" s="57" t="s">
        <v>1195</v>
      </c>
      <c r="N13" s="41">
        <v>1</v>
      </c>
      <c r="O13" s="41">
        <v>2</v>
      </c>
      <c r="P13" s="41">
        <v>2</v>
      </c>
      <c r="Q13" s="88" t="s">
        <v>1181</v>
      </c>
      <c r="R13" s="79"/>
      <c r="S13" s="79"/>
    </row>
    <row r="14" spans="1:19" ht="52.95" customHeight="1" x14ac:dyDescent="0.4">
      <c r="A14" s="109">
        <v>9</v>
      </c>
      <c r="B14" s="123" t="s">
        <v>203</v>
      </c>
      <c r="C14" s="58" t="s">
        <v>1649</v>
      </c>
      <c r="D14" s="122" t="s">
        <v>570</v>
      </c>
      <c r="E14" s="59" t="s">
        <v>862</v>
      </c>
      <c r="F14" s="41">
        <v>5.5</v>
      </c>
      <c r="G14" s="87" t="s">
        <v>1187</v>
      </c>
      <c r="H14" s="57" t="s">
        <v>1196</v>
      </c>
      <c r="I14" s="54" t="s">
        <v>1197</v>
      </c>
      <c r="J14" s="41">
        <v>2</v>
      </c>
      <c r="K14" s="41">
        <v>2</v>
      </c>
      <c r="L14" s="41">
        <v>4</v>
      </c>
      <c r="M14" s="57" t="s">
        <v>1198</v>
      </c>
      <c r="N14" s="41">
        <v>1</v>
      </c>
      <c r="O14" s="41">
        <v>2</v>
      </c>
      <c r="P14" s="41">
        <v>2</v>
      </c>
      <c r="Q14" s="88" t="s">
        <v>1181</v>
      </c>
      <c r="R14" s="79"/>
      <c r="S14" s="79"/>
    </row>
    <row r="15" spans="1:19" ht="52.95" customHeight="1" x14ac:dyDescent="0.4">
      <c r="A15" s="2"/>
      <c r="B15" s="123"/>
      <c r="C15" s="58"/>
      <c r="D15" s="74"/>
      <c r="E15" s="59"/>
      <c r="F15" s="41"/>
      <c r="G15" s="87"/>
      <c r="H15" s="57"/>
      <c r="I15" s="54"/>
      <c r="J15" s="41"/>
      <c r="K15" s="41"/>
      <c r="L15" s="41"/>
      <c r="M15" s="54"/>
      <c r="N15" s="41"/>
      <c r="O15" s="41"/>
      <c r="P15" s="41"/>
      <c r="Q15" s="88"/>
      <c r="R15" s="79"/>
      <c r="S15" s="79"/>
    </row>
    <row r="16" spans="1:19" ht="52.95" customHeight="1" x14ac:dyDescent="0.4">
      <c r="A16" s="2"/>
      <c r="B16" s="123"/>
      <c r="C16" s="58"/>
      <c r="D16" s="122"/>
      <c r="E16" s="59"/>
      <c r="F16" s="41"/>
      <c r="G16" s="87"/>
      <c r="H16" s="57"/>
      <c r="I16" s="54"/>
      <c r="J16" s="41"/>
      <c r="K16" s="41"/>
      <c r="L16" s="41"/>
      <c r="M16" s="57"/>
      <c r="N16" s="41"/>
      <c r="O16" s="41"/>
      <c r="P16" s="41"/>
      <c r="Q16" s="88"/>
      <c r="R16" s="79"/>
      <c r="S16" s="79"/>
    </row>
    <row r="17" spans="1:19" ht="52.95" customHeight="1" x14ac:dyDescent="0.4">
      <c r="A17" s="2"/>
      <c r="B17" s="123"/>
      <c r="C17" s="58"/>
      <c r="D17" s="122"/>
      <c r="E17" s="59"/>
      <c r="F17" s="41"/>
      <c r="G17" s="87"/>
      <c r="H17" s="57"/>
      <c r="I17" s="54"/>
      <c r="J17" s="41"/>
      <c r="K17" s="41"/>
      <c r="L17" s="41"/>
      <c r="M17" s="57"/>
      <c r="N17" s="41"/>
      <c r="O17" s="41"/>
      <c r="P17" s="41"/>
      <c r="Q17" s="88"/>
      <c r="R17" s="79"/>
      <c r="S17" s="79"/>
    </row>
    <row r="18" spans="1:19" ht="25.2" customHeight="1" x14ac:dyDescent="0.4">
      <c r="A18" s="389" t="s">
        <v>185</v>
      </c>
      <c r="B18" s="390"/>
      <c r="C18" s="391"/>
      <c r="D18" s="398" t="s">
        <v>186</v>
      </c>
      <c r="E18" s="399"/>
      <c r="F18" s="400"/>
      <c r="G18" s="401"/>
      <c r="H18" s="401"/>
      <c r="I18" s="401"/>
      <c r="J18" s="401"/>
      <c r="K18" s="401"/>
      <c r="L18" s="401"/>
      <c r="M18" s="402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392"/>
      <c r="B19" s="393"/>
      <c r="C19" s="394"/>
      <c r="D19" s="398" t="s">
        <v>188</v>
      </c>
      <c r="E19" s="399"/>
      <c r="F19" s="400"/>
      <c r="G19" s="401"/>
      <c r="H19" s="401"/>
      <c r="I19" s="401"/>
      <c r="J19" s="401"/>
      <c r="K19" s="401"/>
      <c r="L19" s="401"/>
      <c r="M19" s="402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392"/>
      <c r="B20" s="393"/>
      <c r="C20" s="394"/>
      <c r="D20" s="398" t="s">
        <v>130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189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5"/>
      <c r="B22" s="396"/>
      <c r="C22" s="397"/>
      <c r="D22" s="398" t="s">
        <v>190</v>
      </c>
      <c r="E22" s="399"/>
      <c r="F22" s="400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1292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4" t="s">
        <v>17</v>
      </c>
      <c r="C6" s="114" t="s">
        <v>1209</v>
      </c>
      <c r="D6" s="116" t="s">
        <v>1210</v>
      </c>
      <c r="E6" s="61" t="s">
        <v>862</v>
      </c>
      <c r="F6" s="41">
        <v>4.2</v>
      </c>
      <c r="G6" s="86" t="s">
        <v>968</v>
      </c>
      <c r="H6" s="57" t="s">
        <v>1211</v>
      </c>
      <c r="I6" s="54" t="s">
        <v>718</v>
      </c>
      <c r="J6" s="61">
        <v>3</v>
      </c>
      <c r="K6" s="61">
        <v>3</v>
      </c>
      <c r="L6" s="41">
        <v>9</v>
      </c>
      <c r="M6" s="54" t="s">
        <v>1212</v>
      </c>
      <c r="N6" s="41">
        <v>1</v>
      </c>
      <c r="O6" s="41">
        <v>3</v>
      </c>
      <c r="P6" s="41">
        <v>3</v>
      </c>
      <c r="Q6" s="41" t="s">
        <v>1181</v>
      </c>
      <c r="R6" s="41" t="s">
        <v>1182</v>
      </c>
      <c r="S6" s="41"/>
    </row>
    <row r="7" spans="1:19" ht="52.95" customHeight="1" x14ac:dyDescent="0.4">
      <c r="A7" s="104">
        <v>2</v>
      </c>
      <c r="B7" s="121" t="s">
        <v>17</v>
      </c>
      <c r="C7" s="58" t="s">
        <v>1213</v>
      </c>
      <c r="D7" s="74" t="s">
        <v>1214</v>
      </c>
      <c r="E7" s="59" t="s">
        <v>862</v>
      </c>
      <c r="F7" s="41">
        <v>1.3</v>
      </c>
      <c r="G7" s="86" t="s">
        <v>1177</v>
      </c>
      <c r="H7" s="57" t="s">
        <v>1215</v>
      </c>
      <c r="I7" s="54" t="s">
        <v>1216</v>
      </c>
      <c r="J7" s="41">
        <v>3</v>
      </c>
      <c r="K7" s="41">
        <v>3</v>
      </c>
      <c r="L7" s="41">
        <v>9</v>
      </c>
      <c r="M7" s="57" t="s">
        <v>1217</v>
      </c>
      <c r="N7" s="41">
        <v>1</v>
      </c>
      <c r="O7" s="41">
        <v>3</v>
      </c>
      <c r="P7" s="41">
        <v>3</v>
      </c>
      <c r="Q7" s="88" t="s">
        <v>1181</v>
      </c>
      <c r="R7" s="79" t="s">
        <v>1182</v>
      </c>
      <c r="S7" s="79"/>
    </row>
    <row r="8" spans="1:19" ht="52.95" customHeight="1" x14ac:dyDescent="0.4">
      <c r="A8" s="104">
        <v>3</v>
      </c>
      <c r="B8" s="121" t="s">
        <v>17</v>
      </c>
      <c r="C8" s="58" t="s">
        <v>1218</v>
      </c>
      <c r="D8" s="74" t="s">
        <v>1039</v>
      </c>
      <c r="E8" s="59" t="s">
        <v>862</v>
      </c>
      <c r="F8" s="41">
        <v>3.4</v>
      </c>
      <c r="G8" s="87" t="s">
        <v>978</v>
      </c>
      <c r="H8" s="57" t="s">
        <v>1040</v>
      </c>
      <c r="I8" s="54" t="s">
        <v>1219</v>
      </c>
      <c r="J8" s="41">
        <v>3</v>
      </c>
      <c r="K8" s="41">
        <v>1</v>
      </c>
      <c r="L8" s="41">
        <v>3</v>
      </c>
      <c r="M8" s="54" t="s">
        <v>1220</v>
      </c>
      <c r="N8" s="41">
        <v>2</v>
      </c>
      <c r="O8" s="41">
        <v>1</v>
      </c>
      <c r="P8" s="41">
        <v>2</v>
      </c>
      <c r="Q8" s="88" t="s">
        <v>1181</v>
      </c>
      <c r="R8" s="79" t="s">
        <v>1182</v>
      </c>
      <c r="S8" s="79"/>
    </row>
    <row r="9" spans="1:19" ht="52.95" customHeight="1" x14ac:dyDescent="0.4">
      <c r="A9" s="104">
        <v>4</v>
      </c>
      <c r="B9" s="121" t="s">
        <v>227</v>
      </c>
      <c r="C9" s="58" t="s">
        <v>1221</v>
      </c>
      <c r="D9" s="122" t="s">
        <v>570</v>
      </c>
      <c r="E9" s="59" t="s">
        <v>862</v>
      </c>
      <c r="F9" s="41">
        <v>7.2</v>
      </c>
      <c r="G9" s="87" t="s">
        <v>1183</v>
      </c>
      <c r="H9" s="57" t="s">
        <v>764</v>
      </c>
      <c r="I9" s="54" t="s">
        <v>1222</v>
      </c>
      <c r="J9" s="41">
        <v>3</v>
      </c>
      <c r="K9" s="41">
        <v>2</v>
      </c>
      <c r="L9" s="41">
        <v>6</v>
      </c>
      <c r="M9" s="57" t="s">
        <v>1223</v>
      </c>
      <c r="N9" s="41">
        <v>2</v>
      </c>
      <c r="O9" s="41">
        <v>2</v>
      </c>
      <c r="P9" s="41">
        <v>4</v>
      </c>
      <c r="Q9" s="88" t="s">
        <v>1181</v>
      </c>
      <c r="R9" s="79" t="s">
        <v>1182</v>
      </c>
      <c r="S9" s="79"/>
    </row>
    <row r="10" spans="1:19" ht="52.95" customHeight="1" x14ac:dyDescent="0.4">
      <c r="A10" s="104">
        <v>5</v>
      </c>
      <c r="B10" s="121" t="s">
        <v>227</v>
      </c>
      <c r="C10" s="58" t="s">
        <v>1224</v>
      </c>
      <c r="D10" s="122" t="s">
        <v>1225</v>
      </c>
      <c r="E10" s="59" t="s">
        <v>862</v>
      </c>
      <c r="F10" s="41">
        <v>3.4</v>
      </c>
      <c r="G10" s="87" t="s">
        <v>978</v>
      </c>
      <c r="H10" s="57" t="s">
        <v>1226</v>
      </c>
      <c r="I10" s="54" t="s">
        <v>1227</v>
      </c>
      <c r="J10" s="41">
        <v>3</v>
      </c>
      <c r="K10" s="41">
        <v>2</v>
      </c>
      <c r="L10" s="41">
        <v>6</v>
      </c>
      <c r="M10" s="57" t="s">
        <v>1228</v>
      </c>
      <c r="N10" s="41">
        <v>2</v>
      </c>
      <c r="O10" s="41">
        <v>2</v>
      </c>
      <c r="P10" s="41">
        <v>4</v>
      </c>
      <c r="Q10" s="88" t="s">
        <v>1181</v>
      </c>
      <c r="R10" s="79" t="s">
        <v>1182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1229</v>
      </c>
      <c r="D11" s="41" t="s">
        <v>570</v>
      </c>
      <c r="E11" s="41" t="s">
        <v>862</v>
      </c>
      <c r="F11" s="41">
        <v>7.2</v>
      </c>
      <c r="G11" s="87" t="s">
        <v>1183</v>
      </c>
      <c r="H11" s="57" t="s">
        <v>764</v>
      </c>
      <c r="I11" s="54" t="s">
        <v>1222</v>
      </c>
      <c r="J11" s="41">
        <v>3</v>
      </c>
      <c r="K11" s="41">
        <v>2</v>
      </c>
      <c r="L11" s="41">
        <v>6</v>
      </c>
      <c r="M11" s="87" t="s">
        <v>1223</v>
      </c>
      <c r="N11" s="41">
        <v>2</v>
      </c>
      <c r="O11" s="41">
        <v>2</v>
      </c>
      <c r="P11" s="41">
        <v>4</v>
      </c>
      <c r="Q11" s="79" t="s">
        <v>1181</v>
      </c>
      <c r="R11" s="79" t="s">
        <v>1182</v>
      </c>
      <c r="S11" s="79"/>
    </row>
    <row r="12" spans="1:19" ht="52.95" customHeight="1" x14ac:dyDescent="0.4">
      <c r="A12" s="2">
        <v>7</v>
      </c>
      <c r="B12" s="80" t="s">
        <v>228</v>
      </c>
      <c r="C12" s="85" t="s">
        <v>1230</v>
      </c>
      <c r="D12" s="41" t="s">
        <v>570</v>
      </c>
      <c r="E12" s="41" t="s">
        <v>862</v>
      </c>
      <c r="F12" s="41">
        <v>2.1</v>
      </c>
      <c r="G12" s="86" t="s">
        <v>1231</v>
      </c>
      <c r="H12" s="54" t="s">
        <v>1232</v>
      </c>
      <c r="I12" s="54" t="s">
        <v>1233</v>
      </c>
      <c r="J12" s="41">
        <v>2</v>
      </c>
      <c r="K12" s="41">
        <v>2</v>
      </c>
      <c r="L12" s="41">
        <v>4</v>
      </c>
      <c r="M12" s="86" t="s">
        <v>1234</v>
      </c>
      <c r="N12" s="41">
        <v>1</v>
      </c>
      <c r="O12" s="41">
        <v>2</v>
      </c>
      <c r="P12" s="41">
        <v>2</v>
      </c>
      <c r="Q12" s="79" t="s">
        <v>1181</v>
      </c>
      <c r="R12" s="79" t="s">
        <v>1182</v>
      </c>
      <c r="S12" s="79"/>
    </row>
    <row r="13" spans="1:19" ht="52.95" customHeight="1" x14ac:dyDescent="0.4">
      <c r="A13" s="2">
        <v>8</v>
      </c>
      <c r="B13" s="80" t="s">
        <v>228</v>
      </c>
      <c r="C13" s="85" t="s">
        <v>1235</v>
      </c>
      <c r="D13" s="41" t="s">
        <v>570</v>
      </c>
      <c r="E13" s="41" t="s">
        <v>862</v>
      </c>
      <c r="F13" s="2">
        <v>2.1</v>
      </c>
      <c r="G13" s="97" t="s">
        <v>1231</v>
      </c>
      <c r="H13" s="98" t="s">
        <v>1236</v>
      </c>
      <c r="I13" s="98" t="s">
        <v>1233</v>
      </c>
      <c r="J13" s="2">
        <v>2</v>
      </c>
      <c r="K13" s="41">
        <v>2</v>
      </c>
      <c r="L13" s="41">
        <v>4</v>
      </c>
      <c r="M13" s="86" t="s">
        <v>1234</v>
      </c>
      <c r="N13" s="41">
        <v>1</v>
      </c>
      <c r="O13" s="41">
        <v>2</v>
      </c>
      <c r="P13" s="41">
        <v>2</v>
      </c>
      <c r="Q13" s="79" t="s">
        <v>1181</v>
      </c>
      <c r="R13" s="79" t="s">
        <v>1182</v>
      </c>
      <c r="S13" s="79"/>
    </row>
    <row r="14" spans="1:19" ht="52.95" customHeight="1" x14ac:dyDescent="0.4">
      <c r="A14" s="2">
        <v>9</v>
      </c>
      <c r="B14" s="80" t="s">
        <v>203</v>
      </c>
      <c r="C14" s="85" t="s">
        <v>1199</v>
      </c>
      <c r="D14" s="41" t="s">
        <v>1200</v>
      </c>
      <c r="E14" s="41" t="s">
        <v>862</v>
      </c>
      <c r="F14" s="41">
        <v>3.2</v>
      </c>
      <c r="G14" s="86" t="s">
        <v>963</v>
      </c>
      <c r="H14" s="54" t="s">
        <v>1201</v>
      </c>
      <c r="I14" s="54" t="s">
        <v>1202</v>
      </c>
      <c r="J14" s="41">
        <v>2</v>
      </c>
      <c r="K14" s="41">
        <v>2</v>
      </c>
      <c r="L14" s="41">
        <v>4</v>
      </c>
      <c r="M14" s="86" t="s">
        <v>1203</v>
      </c>
      <c r="N14" s="41">
        <v>1</v>
      </c>
      <c r="O14" s="41">
        <v>2</v>
      </c>
      <c r="P14" s="41">
        <v>2</v>
      </c>
      <c r="Q14" s="88" t="s">
        <v>1181</v>
      </c>
      <c r="R14" s="79" t="s">
        <v>1182</v>
      </c>
      <c r="S14" s="79"/>
    </row>
    <row r="15" spans="1:19" ht="52.95" customHeight="1" x14ac:dyDescent="0.4">
      <c r="A15" s="2">
        <v>10</v>
      </c>
      <c r="B15" s="80" t="s">
        <v>203</v>
      </c>
      <c r="C15" s="85" t="s">
        <v>1204</v>
      </c>
      <c r="D15" s="41" t="s">
        <v>1200</v>
      </c>
      <c r="E15" s="41" t="s">
        <v>862</v>
      </c>
      <c r="F15" s="41">
        <v>1.1000000000000001</v>
      </c>
      <c r="G15" s="87" t="s">
        <v>1205</v>
      </c>
      <c r="H15" s="57" t="s">
        <v>1206</v>
      </c>
      <c r="I15" s="54" t="s">
        <v>1207</v>
      </c>
      <c r="J15" s="41">
        <v>2</v>
      </c>
      <c r="K15" s="41">
        <v>2</v>
      </c>
      <c r="L15" s="41">
        <v>4</v>
      </c>
      <c r="M15" s="87" t="s">
        <v>1208</v>
      </c>
      <c r="N15" s="41">
        <v>1</v>
      </c>
      <c r="O15" s="41">
        <v>2</v>
      </c>
      <c r="P15" s="41">
        <v>2</v>
      </c>
      <c r="Q15" s="79" t="s">
        <v>1181</v>
      </c>
      <c r="R15" s="79" t="s">
        <v>1182</v>
      </c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1293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464" t="s">
        <v>17</v>
      </c>
      <c r="C6" s="114" t="s">
        <v>1238</v>
      </c>
      <c r="D6" s="116" t="s">
        <v>496</v>
      </c>
      <c r="E6" s="61" t="s">
        <v>1034</v>
      </c>
      <c r="F6" s="41">
        <v>4.2</v>
      </c>
      <c r="G6" s="86" t="s">
        <v>65</v>
      </c>
      <c r="H6" s="57" t="s">
        <v>1035</v>
      </c>
      <c r="I6" s="54" t="s">
        <v>718</v>
      </c>
      <c r="J6" s="61">
        <v>4</v>
      </c>
      <c r="K6" s="61">
        <v>3</v>
      </c>
      <c r="L6" s="41">
        <v>12</v>
      </c>
      <c r="M6" s="54" t="s">
        <v>177</v>
      </c>
      <c r="N6" s="41">
        <v>2</v>
      </c>
      <c r="O6" s="41">
        <v>4</v>
      </c>
      <c r="P6" s="41">
        <f>N6*O6</f>
        <v>8</v>
      </c>
      <c r="Q6" s="41" t="s">
        <v>1239</v>
      </c>
      <c r="R6" s="41" t="s">
        <v>1240</v>
      </c>
      <c r="S6" s="41"/>
    </row>
    <row r="7" spans="1:19" ht="52.95" customHeight="1" x14ac:dyDescent="0.4">
      <c r="A7" s="104">
        <v>2</v>
      </c>
      <c r="B7" s="465"/>
      <c r="C7" s="58" t="s">
        <v>1213</v>
      </c>
      <c r="D7" s="74" t="s">
        <v>1214</v>
      </c>
      <c r="E7" s="61" t="s">
        <v>1034</v>
      </c>
      <c r="F7" s="41">
        <v>1.3</v>
      </c>
      <c r="G7" s="86" t="s">
        <v>1177</v>
      </c>
      <c r="H7" s="57" t="s">
        <v>1215</v>
      </c>
      <c r="I7" s="54" t="s">
        <v>1216</v>
      </c>
      <c r="J7" s="41">
        <v>3</v>
      </c>
      <c r="K7" s="41">
        <v>3</v>
      </c>
      <c r="L7" s="41">
        <v>9</v>
      </c>
      <c r="M7" s="57" t="s">
        <v>1217</v>
      </c>
      <c r="N7" s="41">
        <v>1</v>
      </c>
      <c r="O7" s="41">
        <v>3</v>
      </c>
      <c r="P7" s="41">
        <v>3</v>
      </c>
      <c r="Q7" s="41" t="s">
        <v>1241</v>
      </c>
      <c r="R7" s="41" t="s">
        <v>1240</v>
      </c>
      <c r="S7" s="79"/>
    </row>
    <row r="8" spans="1:19" ht="52.95" customHeight="1" x14ac:dyDescent="0.4">
      <c r="A8" s="104">
        <v>3</v>
      </c>
      <c r="B8" s="466"/>
      <c r="C8" s="58" t="s">
        <v>1218</v>
      </c>
      <c r="D8" s="74" t="s">
        <v>1039</v>
      </c>
      <c r="E8" s="61" t="s">
        <v>1034</v>
      </c>
      <c r="F8" s="41">
        <v>3.4</v>
      </c>
      <c r="G8" s="87" t="s">
        <v>978</v>
      </c>
      <c r="H8" s="57" t="s">
        <v>1040</v>
      </c>
      <c r="I8" s="54" t="s">
        <v>1219</v>
      </c>
      <c r="J8" s="41">
        <v>3</v>
      </c>
      <c r="K8" s="41">
        <v>1</v>
      </c>
      <c r="L8" s="41">
        <v>3</v>
      </c>
      <c r="M8" s="54" t="s">
        <v>1220</v>
      </c>
      <c r="N8" s="41">
        <v>2</v>
      </c>
      <c r="O8" s="41">
        <v>1</v>
      </c>
      <c r="P8" s="41">
        <v>2</v>
      </c>
      <c r="Q8" s="41" t="s">
        <v>1242</v>
      </c>
      <c r="R8" s="41" t="s">
        <v>1240</v>
      </c>
      <c r="S8" s="79"/>
    </row>
    <row r="9" spans="1:19" ht="52.95" customHeight="1" x14ac:dyDescent="0.4">
      <c r="A9" s="104">
        <v>4</v>
      </c>
      <c r="B9" s="387" t="s">
        <v>227</v>
      </c>
      <c r="C9" s="58" t="s">
        <v>1243</v>
      </c>
      <c r="D9" s="122" t="s">
        <v>1043</v>
      </c>
      <c r="E9" s="59" t="s">
        <v>1034</v>
      </c>
      <c r="F9" s="41">
        <v>4.0999999999999996</v>
      </c>
      <c r="G9" s="87" t="s">
        <v>377</v>
      </c>
      <c r="H9" s="57" t="s">
        <v>1044</v>
      </c>
      <c r="I9" s="54" t="s">
        <v>1244</v>
      </c>
      <c r="J9" s="41">
        <v>3</v>
      </c>
      <c r="K9" s="41">
        <v>2</v>
      </c>
      <c r="L9" s="41">
        <v>6</v>
      </c>
      <c r="M9" s="57" t="s">
        <v>1245</v>
      </c>
      <c r="N9" s="41">
        <v>2</v>
      </c>
      <c r="O9" s="41">
        <v>2</v>
      </c>
      <c r="P9" s="41">
        <v>4</v>
      </c>
      <c r="Q9" s="41" t="s">
        <v>1246</v>
      </c>
      <c r="R9" s="41" t="s">
        <v>1240</v>
      </c>
      <c r="S9" s="79"/>
    </row>
    <row r="10" spans="1:19" ht="52.95" customHeight="1" x14ac:dyDescent="0.4">
      <c r="A10" s="104">
        <v>5</v>
      </c>
      <c r="B10" s="388"/>
      <c r="C10" s="58" t="s">
        <v>1247</v>
      </c>
      <c r="D10" s="122" t="s">
        <v>570</v>
      </c>
      <c r="E10" s="59" t="s">
        <v>1034</v>
      </c>
      <c r="F10" s="41">
        <v>4.0999999999999996</v>
      </c>
      <c r="G10" s="87" t="s">
        <v>377</v>
      </c>
      <c r="H10" s="57" t="s">
        <v>1044</v>
      </c>
      <c r="I10" s="54" t="s">
        <v>1248</v>
      </c>
      <c r="J10" s="41">
        <v>3</v>
      </c>
      <c r="K10" s="41">
        <v>3</v>
      </c>
      <c r="L10" s="41">
        <v>9</v>
      </c>
      <c r="M10" s="57" t="s">
        <v>1249</v>
      </c>
      <c r="N10" s="41">
        <v>2</v>
      </c>
      <c r="O10" s="41">
        <v>3</v>
      </c>
      <c r="P10" s="41">
        <v>6</v>
      </c>
      <c r="Q10" s="41" t="s">
        <v>1250</v>
      </c>
      <c r="R10" s="41" t="s">
        <v>1240</v>
      </c>
      <c r="S10" s="79"/>
    </row>
    <row r="11" spans="1:19" ht="52.95" customHeight="1" x14ac:dyDescent="0.4">
      <c r="A11" s="2">
        <v>6</v>
      </c>
      <c r="B11" s="80" t="s">
        <v>228</v>
      </c>
      <c r="C11" s="85" t="s">
        <v>1058</v>
      </c>
      <c r="D11" s="41" t="s">
        <v>570</v>
      </c>
      <c r="E11" s="41" t="s">
        <v>1034</v>
      </c>
      <c r="F11" s="41">
        <v>2.1</v>
      </c>
      <c r="G11" s="87" t="s">
        <v>57</v>
      </c>
      <c r="H11" s="57" t="s">
        <v>1059</v>
      </c>
      <c r="I11" s="54" t="s">
        <v>1251</v>
      </c>
      <c r="J11" s="41">
        <v>2</v>
      </c>
      <c r="K11" s="41">
        <v>4</v>
      </c>
      <c r="L11" s="41">
        <v>8</v>
      </c>
      <c r="M11" s="57" t="s">
        <v>1252</v>
      </c>
      <c r="N11" s="41">
        <v>1</v>
      </c>
      <c r="O11" s="41">
        <v>4</v>
      </c>
      <c r="P11" s="41">
        <v>4</v>
      </c>
      <c r="Q11" s="41" t="s">
        <v>1253</v>
      </c>
      <c r="R11" s="41" t="s">
        <v>1240</v>
      </c>
      <c r="S11" s="79"/>
    </row>
    <row r="12" spans="1:19" ht="52.95" customHeight="1" x14ac:dyDescent="0.4">
      <c r="A12" s="2">
        <v>7</v>
      </c>
      <c r="B12" s="80" t="s">
        <v>203</v>
      </c>
      <c r="C12" s="85" t="s">
        <v>1254</v>
      </c>
      <c r="D12" s="41" t="s">
        <v>570</v>
      </c>
      <c r="E12" s="41" t="s">
        <v>1034</v>
      </c>
      <c r="F12" s="41">
        <v>1.4</v>
      </c>
      <c r="G12" s="86" t="s">
        <v>682</v>
      </c>
      <c r="H12" s="54" t="s">
        <v>1065</v>
      </c>
      <c r="I12" s="54" t="s">
        <v>1255</v>
      </c>
      <c r="J12" s="41">
        <v>2</v>
      </c>
      <c r="K12" s="41">
        <v>3</v>
      </c>
      <c r="L12" s="41">
        <v>6</v>
      </c>
      <c r="M12" s="57" t="s">
        <v>1256</v>
      </c>
      <c r="N12" s="41">
        <v>1</v>
      </c>
      <c r="O12" s="41">
        <v>3</v>
      </c>
      <c r="P12" s="41">
        <v>3</v>
      </c>
      <c r="Q12" s="41" t="s">
        <v>1257</v>
      </c>
      <c r="R12" s="41" t="s">
        <v>1240</v>
      </c>
      <c r="S12" s="79"/>
    </row>
    <row r="13" spans="1:19" ht="52.95" customHeight="1" x14ac:dyDescent="0.4">
      <c r="A13" s="2">
        <v>8</v>
      </c>
      <c r="B13" s="80" t="s">
        <v>203</v>
      </c>
      <c r="C13" s="85" t="s">
        <v>1258</v>
      </c>
      <c r="D13" s="41" t="s">
        <v>1064</v>
      </c>
      <c r="E13" s="41" t="s">
        <v>1034</v>
      </c>
      <c r="F13" s="2">
        <v>1.4</v>
      </c>
      <c r="G13" s="97" t="s">
        <v>682</v>
      </c>
      <c r="H13" s="98" t="s">
        <v>1065</v>
      </c>
      <c r="I13" s="54" t="s">
        <v>1255</v>
      </c>
      <c r="J13" s="41">
        <v>2</v>
      </c>
      <c r="K13" s="41">
        <v>3</v>
      </c>
      <c r="L13" s="41">
        <v>6</v>
      </c>
      <c r="M13" s="57" t="s">
        <v>1256</v>
      </c>
      <c r="N13" s="41">
        <v>1</v>
      </c>
      <c r="O13" s="41">
        <v>3</v>
      </c>
      <c r="P13" s="41">
        <v>3</v>
      </c>
      <c r="Q13" s="41" t="s">
        <v>1259</v>
      </c>
      <c r="R13" s="41" t="s">
        <v>1240</v>
      </c>
      <c r="S13" s="79"/>
    </row>
    <row r="14" spans="1:19" ht="52.95" customHeight="1" x14ac:dyDescent="0.4">
      <c r="A14" s="2">
        <v>9</v>
      </c>
      <c r="B14" s="80"/>
      <c r="C14" s="85" t="s">
        <v>1237</v>
      </c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1294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4" t="s">
        <v>494</v>
      </c>
      <c r="C6" s="114" t="s">
        <v>1260</v>
      </c>
      <c r="D6" s="116" t="s">
        <v>496</v>
      </c>
      <c r="E6" s="61" t="s">
        <v>458</v>
      </c>
      <c r="F6" s="41">
        <v>1.3</v>
      </c>
      <c r="G6" s="86" t="s">
        <v>1177</v>
      </c>
      <c r="H6" s="57" t="s">
        <v>1261</v>
      </c>
      <c r="I6" s="54" t="s">
        <v>718</v>
      </c>
      <c r="J6" s="61">
        <v>3</v>
      </c>
      <c r="K6" s="61">
        <v>3</v>
      </c>
      <c r="L6" s="41">
        <v>9</v>
      </c>
      <c r="M6" s="54" t="s">
        <v>719</v>
      </c>
      <c r="N6" s="41">
        <v>2</v>
      </c>
      <c r="O6" s="41">
        <v>3</v>
      </c>
      <c r="P6" s="41">
        <v>6</v>
      </c>
      <c r="Q6" s="41" t="s">
        <v>1239</v>
      </c>
      <c r="R6" s="41" t="s">
        <v>1262</v>
      </c>
      <c r="S6" s="41"/>
    </row>
    <row r="7" spans="1:19" ht="52.95" customHeight="1" x14ac:dyDescent="0.4">
      <c r="A7" s="104">
        <v>2</v>
      </c>
      <c r="B7" s="121"/>
      <c r="C7" s="58" t="s">
        <v>1263</v>
      </c>
      <c r="D7" s="74" t="s">
        <v>496</v>
      </c>
      <c r="E7" s="59" t="s">
        <v>458</v>
      </c>
      <c r="F7" s="41">
        <v>1.4</v>
      </c>
      <c r="G7" s="86" t="s">
        <v>1264</v>
      </c>
      <c r="H7" s="57" t="s">
        <v>1265</v>
      </c>
      <c r="I7" s="54" t="s">
        <v>718</v>
      </c>
      <c r="J7" s="41">
        <v>3</v>
      </c>
      <c r="K7" s="41">
        <v>3</v>
      </c>
      <c r="L7" s="41">
        <v>9</v>
      </c>
      <c r="M7" s="57" t="s">
        <v>1266</v>
      </c>
      <c r="N7" s="41">
        <v>1</v>
      </c>
      <c r="O7" s="41">
        <v>3</v>
      </c>
      <c r="P7" s="41">
        <v>3</v>
      </c>
      <c r="Q7" s="41" t="s">
        <v>1241</v>
      </c>
      <c r="R7" s="41" t="s">
        <v>1262</v>
      </c>
      <c r="S7" s="79"/>
    </row>
    <row r="8" spans="1:19" ht="52.95" customHeight="1" x14ac:dyDescent="0.4">
      <c r="A8" s="104">
        <v>3</v>
      </c>
      <c r="B8" s="121"/>
      <c r="C8" s="58" t="s">
        <v>1267</v>
      </c>
      <c r="D8" s="74" t="s">
        <v>1176</v>
      </c>
      <c r="E8" s="59" t="s">
        <v>458</v>
      </c>
      <c r="F8" s="41">
        <v>4.7</v>
      </c>
      <c r="G8" s="87" t="s">
        <v>1268</v>
      </c>
      <c r="H8" s="57" t="s">
        <v>1269</v>
      </c>
      <c r="I8" s="54" t="s">
        <v>1270</v>
      </c>
      <c r="J8" s="41">
        <v>3</v>
      </c>
      <c r="K8" s="41">
        <v>2</v>
      </c>
      <c r="L8" s="41">
        <v>6</v>
      </c>
      <c r="M8" s="54" t="s">
        <v>1271</v>
      </c>
      <c r="N8" s="41">
        <v>1</v>
      </c>
      <c r="O8" s="41">
        <v>2</v>
      </c>
      <c r="P8" s="41">
        <v>2</v>
      </c>
      <c r="Q8" s="41" t="s">
        <v>1242</v>
      </c>
      <c r="R8" s="41" t="s">
        <v>1262</v>
      </c>
      <c r="S8" s="79"/>
    </row>
    <row r="9" spans="1:19" ht="52.95" customHeight="1" x14ac:dyDescent="0.4">
      <c r="A9" s="104">
        <v>4</v>
      </c>
      <c r="B9" s="121" t="s">
        <v>1041</v>
      </c>
      <c r="C9" s="58" t="s">
        <v>1272</v>
      </c>
      <c r="D9" s="122" t="s">
        <v>570</v>
      </c>
      <c r="E9" s="59" t="s">
        <v>458</v>
      </c>
      <c r="F9" s="41">
        <v>4.8</v>
      </c>
      <c r="G9" s="87" t="s">
        <v>1183</v>
      </c>
      <c r="H9" s="57" t="s">
        <v>764</v>
      </c>
      <c r="I9" s="54" t="s">
        <v>1273</v>
      </c>
      <c r="J9" s="41">
        <v>3</v>
      </c>
      <c r="K9" s="41">
        <v>2</v>
      </c>
      <c r="L9" s="41">
        <v>6</v>
      </c>
      <c r="M9" s="57" t="s">
        <v>1274</v>
      </c>
      <c r="N9" s="41">
        <v>1</v>
      </c>
      <c r="O9" s="41">
        <v>2</v>
      </c>
      <c r="P9" s="41">
        <v>2</v>
      </c>
      <c r="Q9" s="41" t="s">
        <v>1246</v>
      </c>
      <c r="R9" s="41" t="s">
        <v>1262</v>
      </c>
      <c r="S9" s="79"/>
    </row>
    <row r="10" spans="1:19" ht="52.95" customHeight="1" x14ac:dyDescent="0.4">
      <c r="A10" s="104">
        <v>5</v>
      </c>
      <c r="B10" s="121" t="s">
        <v>563</v>
      </c>
      <c r="C10" s="58" t="s">
        <v>1275</v>
      </c>
      <c r="D10" s="122" t="s">
        <v>570</v>
      </c>
      <c r="E10" s="59" t="s">
        <v>458</v>
      </c>
      <c r="F10" s="41">
        <v>4.8</v>
      </c>
      <c r="G10" s="87" t="s">
        <v>1183</v>
      </c>
      <c r="H10" s="57" t="s">
        <v>1276</v>
      </c>
      <c r="I10" s="54" t="s">
        <v>1273</v>
      </c>
      <c r="J10" s="41">
        <v>3</v>
      </c>
      <c r="K10" s="41">
        <v>2</v>
      </c>
      <c r="L10" s="41">
        <v>6</v>
      </c>
      <c r="M10" s="57" t="s">
        <v>1274</v>
      </c>
      <c r="N10" s="41">
        <v>1</v>
      </c>
      <c r="O10" s="41">
        <v>2</v>
      </c>
      <c r="P10" s="41">
        <v>2</v>
      </c>
      <c r="Q10" s="41" t="s">
        <v>1250</v>
      </c>
      <c r="R10" s="41" t="s">
        <v>1262</v>
      </c>
      <c r="S10" s="79"/>
    </row>
    <row r="11" spans="1:19" ht="52.95" customHeight="1" x14ac:dyDescent="0.4">
      <c r="A11" s="2">
        <v>6</v>
      </c>
      <c r="B11" s="80"/>
      <c r="C11" s="85" t="s">
        <v>1277</v>
      </c>
      <c r="D11" s="41" t="s">
        <v>1225</v>
      </c>
      <c r="E11" s="41" t="s">
        <v>458</v>
      </c>
      <c r="F11" s="41">
        <v>4.0999999999999996</v>
      </c>
      <c r="G11" s="87" t="s">
        <v>577</v>
      </c>
      <c r="H11" s="57" t="s">
        <v>1278</v>
      </c>
      <c r="I11" s="54" t="s">
        <v>1088</v>
      </c>
      <c r="J11" s="41">
        <v>3</v>
      </c>
      <c r="K11" s="41">
        <v>2</v>
      </c>
      <c r="L11" s="41">
        <v>6</v>
      </c>
      <c r="M11" s="87" t="s">
        <v>1279</v>
      </c>
      <c r="N11" s="41">
        <v>2</v>
      </c>
      <c r="O11" s="41">
        <v>2</v>
      </c>
      <c r="P11" s="41">
        <v>4</v>
      </c>
      <c r="Q11" s="41" t="s">
        <v>1253</v>
      </c>
      <c r="R11" s="41" t="s">
        <v>1262</v>
      </c>
      <c r="S11" s="79"/>
    </row>
    <row r="12" spans="1:19" ht="52.95" customHeight="1" x14ac:dyDescent="0.4">
      <c r="A12" s="2">
        <v>7</v>
      </c>
      <c r="B12" s="80"/>
      <c r="C12" s="85" t="s">
        <v>1280</v>
      </c>
      <c r="D12" s="41" t="s">
        <v>570</v>
      </c>
      <c r="E12" s="41" t="s">
        <v>458</v>
      </c>
      <c r="F12" s="41">
        <v>2.1</v>
      </c>
      <c r="G12" s="86" t="s">
        <v>1281</v>
      </c>
      <c r="H12" s="54" t="s">
        <v>1282</v>
      </c>
      <c r="I12" s="54" t="s">
        <v>1283</v>
      </c>
      <c r="J12" s="41">
        <v>1</v>
      </c>
      <c r="K12" s="41">
        <v>2</v>
      </c>
      <c r="L12" s="41">
        <v>2</v>
      </c>
      <c r="M12" s="86" t="s">
        <v>1284</v>
      </c>
      <c r="N12" s="41">
        <v>1</v>
      </c>
      <c r="O12" s="41">
        <v>2</v>
      </c>
      <c r="P12" s="41">
        <v>2</v>
      </c>
      <c r="Q12" s="41" t="s">
        <v>1257</v>
      </c>
      <c r="R12" s="41" t="s">
        <v>1262</v>
      </c>
      <c r="S12" s="79"/>
    </row>
    <row r="13" spans="1:19" ht="52.95" customHeight="1" x14ac:dyDescent="0.4">
      <c r="A13" s="2">
        <v>8</v>
      </c>
      <c r="B13" s="80" t="s">
        <v>203</v>
      </c>
      <c r="C13" s="85" t="s">
        <v>1285</v>
      </c>
      <c r="D13" s="41" t="s">
        <v>570</v>
      </c>
      <c r="E13" s="41" t="s">
        <v>458</v>
      </c>
      <c r="F13" s="2">
        <v>1.1000000000000001</v>
      </c>
      <c r="G13" s="97" t="s">
        <v>516</v>
      </c>
      <c r="H13" s="98" t="s">
        <v>1286</v>
      </c>
      <c r="I13" s="98" t="s">
        <v>1287</v>
      </c>
      <c r="J13" s="2">
        <v>2</v>
      </c>
      <c r="K13" s="41">
        <v>3</v>
      </c>
      <c r="L13" s="41">
        <v>6</v>
      </c>
      <c r="M13" s="86" t="s">
        <v>1288</v>
      </c>
      <c r="N13" s="41">
        <v>1</v>
      </c>
      <c r="O13" s="41">
        <v>3</v>
      </c>
      <c r="P13" s="41">
        <v>3</v>
      </c>
      <c r="Q13" s="41" t="s">
        <v>1259</v>
      </c>
      <c r="R13" s="41" t="s">
        <v>1262</v>
      </c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1294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58" t="s">
        <v>17</v>
      </c>
      <c r="C6" s="58" t="s">
        <v>1238</v>
      </c>
      <c r="D6" s="122" t="s">
        <v>496</v>
      </c>
      <c r="E6" s="124" t="s">
        <v>1034</v>
      </c>
      <c r="F6" s="41">
        <v>4.2</v>
      </c>
      <c r="G6" s="86" t="s">
        <v>968</v>
      </c>
      <c r="H6" s="57" t="s">
        <v>1035</v>
      </c>
      <c r="I6" s="54" t="s">
        <v>718</v>
      </c>
      <c r="J6" s="61">
        <v>3</v>
      </c>
      <c r="K6" s="61">
        <v>3</v>
      </c>
      <c r="L6" s="41">
        <v>12</v>
      </c>
      <c r="M6" s="54" t="s">
        <v>719</v>
      </c>
      <c r="N6" s="41">
        <v>3</v>
      </c>
      <c r="O6" s="41">
        <v>1</v>
      </c>
      <c r="P6" s="41">
        <v>3</v>
      </c>
      <c r="Q6" s="41" t="s">
        <v>1181</v>
      </c>
      <c r="R6" s="41" t="s">
        <v>1289</v>
      </c>
      <c r="S6" s="41"/>
    </row>
    <row r="7" spans="1:19" ht="52.95" customHeight="1" x14ac:dyDescent="0.4">
      <c r="A7" s="104">
        <v>2</v>
      </c>
      <c r="B7" s="121" t="s">
        <v>227</v>
      </c>
      <c r="C7" s="58" t="s">
        <v>1290</v>
      </c>
      <c r="D7" s="122" t="s">
        <v>1043</v>
      </c>
      <c r="E7" s="124" t="s">
        <v>1034</v>
      </c>
      <c r="F7" s="41">
        <v>3.4</v>
      </c>
      <c r="G7" s="86" t="s">
        <v>978</v>
      </c>
      <c r="H7" s="57" t="s">
        <v>1044</v>
      </c>
      <c r="I7" s="54" t="s">
        <v>862</v>
      </c>
      <c r="J7" s="41">
        <v>3</v>
      </c>
      <c r="K7" s="41">
        <v>3</v>
      </c>
      <c r="L7" s="41">
        <v>9</v>
      </c>
      <c r="M7" s="57" t="s">
        <v>1249</v>
      </c>
      <c r="N7" s="41">
        <v>3</v>
      </c>
      <c r="O7" s="41">
        <v>1</v>
      </c>
      <c r="P7" s="41">
        <v>3</v>
      </c>
      <c r="Q7" s="88" t="s">
        <v>1181</v>
      </c>
      <c r="R7" s="41" t="s">
        <v>1289</v>
      </c>
      <c r="S7" s="79"/>
    </row>
    <row r="8" spans="1:19" ht="52.95" customHeight="1" x14ac:dyDescent="0.4">
      <c r="A8" s="104">
        <v>3</v>
      </c>
      <c r="B8" s="121" t="s">
        <v>228</v>
      </c>
      <c r="C8" s="58" t="s">
        <v>1058</v>
      </c>
      <c r="D8" s="122" t="s">
        <v>570</v>
      </c>
      <c r="E8" s="124" t="s">
        <v>1034</v>
      </c>
      <c r="F8" s="41">
        <v>2.1</v>
      </c>
      <c r="G8" s="87" t="s">
        <v>1231</v>
      </c>
      <c r="H8" s="57" t="s">
        <v>1059</v>
      </c>
      <c r="I8" s="54" t="s">
        <v>1251</v>
      </c>
      <c r="J8" s="41">
        <v>2</v>
      </c>
      <c r="K8" s="41">
        <v>4</v>
      </c>
      <c r="L8" s="41">
        <v>8</v>
      </c>
      <c r="M8" s="54" t="s">
        <v>1252</v>
      </c>
      <c r="N8" s="41">
        <v>2</v>
      </c>
      <c r="O8" s="41">
        <v>2</v>
      </c>
      <c r="P8" s="41">
        <v>4</v>
      </c>
      <c r="Q8" s="88" t="s">
        <v>1181</v>
      </c>
      <c r="R8" s="41" t="s">
        <v>1289</v>
      </c>
      <c r="S8" s="79"/>
    </row>
    <row r="9" spans="1:19" ht="52.95" customHeight="1" x14ac:dyDescent="0.4">
      <c r="A9" s="104">
        <v>4</v>
      </c>
      <c r="B9" s="121" t="s">
        <v>203</v>
      </c>
      <c r="C9" s="58" t="s">
        <v>1291</v>
      </c>
      <c r="D9" s="122" t="s">
        <v>1064</v>
      </c>
      <c r="E9" s="124" t="s">
        <v>1034</v>
      </c>
      <c r="F9" s="41">
        <v>1.4</v>
      </c>
      <c r="G9" s="87" t="s">
        <v>512</v>
      </c>
      <c r="H9" s="57" t="s">
        <v>1062</v>
      </c>
      <c r="I9" s="54" t="s">
        <v>1255</v>
      </c>
      <c r="J9" s="41">
        <v>2</v>
      </c>
      <c r="K9" s="41">
        <v>3</v>
      </c>
      <c r="L9" s="41">
        <v>6</v>
      </c>
      <c r="M9" s="57" t="s">
        <v>1256</v>
      </c>
      <c r="N9" s="41">
        <v>2</v>
      </c>
      <c r="O9" s="41">
        <v>2</v>
      </c>
      <c r="P9" s="41">
        <v>4</v>
      </c>
      <c r="Q9" s="88" t="s">
        <v>1181</v>
      </c>
      <c r="R9" s="41" t="s">
        <v>1289</v>
      </c>
      <c r="S9" s="79"/>
    </row>
    <row r="10" spans="1:19" ht="52.95" customHeight="1" x14ac:dyDescent="0.4">
      <c r="A10" s="104">
        <v>5</v>
      </c>
      <c r="B10" s="121"/>
      <c r="C10" s="58"/>
      <c r="D10" s="122"/>
      <c r="E10" s="59"/>
      <c r="F10" s="41"/>
      <c r="G10" s="87"/>
      <c r="H10" s="57"/>
      <c r="I10" s="54"/>
      <c r="J10" s="41"/>
      <c r="K10" s="41"/>
      <c r="L10" s="41"/>
      <c r="M10" s="57"/>
      <c r="N10" s="41"/>
      <c r="O10" s="41"/>
      <c r="P10" s="41"/>
      <c r="Q10" s="88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 t="s">
        <v>203</v>
      </c>
      <c r="C14" s="85" t="s">
        <v>1199</v>
      </c>
      <c r="D14" s="41" t="s">
        <v>1200</v>
      </c>
      <c r="E14" s="41" t="s">
        <v>862</v>
      </c>
      <c r="F14" s="41">
        <v>3.2</v>
      </c>
      <c r="G14" s="86" t="s">
        <v>963</v>
      </c>
      <c r="H14" s="54" t="s">
        <v>1201</v>
      </c>
      <c r="I14" s="54" t="s">
        <v>1202</v>
      </c>
      <c r="J14" s="41">
        <v>2</v>
      </c>
      <c r="K14" s="41">
        <v>2</v>
      </c>
      <c r="L14" s="41">
        <v>4</v>
      </c>
      <c r="M14" s="86" t="s">
        <v>1203</v>
      </c>
      <c r="N14" s="41">
        <v>1</v>
      </c>
      <c r="O14" s="41">
        <v>2</v>
      </c>
      <c r="P14" s="41">
        <v>2</v>
      </c>
      <c r="Q14" s="88" t="s">
        <v>1181</v>
      </c>
      <c r="R14" s="79" t="s">
        <v>1182</v>
      </c>
      <c r="S14" s="79"/>
    </row>
    <row r="15" spans="1:19" ht="52.95" customHeight="1" x14ac:dyDescent="0.4">
      <c r="A15" s="2">
        <v>10</v>
      </c>
      <c r="B15" s="80" t="s">
        <v>203</v>
      </c>
      <c r="C15" s="85" t="s">
        <v>1204</v>
      </c>
      <c r="D15" s="41" t="s">
        <v>1200</v>
      </c>
      <c r="E15" s="41" t="s">
        <v>862</v>
      </c>
      <c r="F15" s="41">
        <v>1.1000000000000001</v>
      </c>
      <c r="G15" s="87" t="s">
        <v>1205</v>
      </c>
      <c r="H15" s="57" t="s">
        <v>1206</v>
      </c>
      <c r="I15" s="54" t="s">
        <v>1207</v>
      </c>
      <c r="J15" s="41">
        <v>2</v>
      </c>
      <c r="K15" s="41">
        <v>2</v>
      </c>
      <c r="L15" s="41">
        <v>4</v>
      </c>
      <c r="M15" s="87" t="s">
        <v>1208</v>
      </c>
      <c r="N15" s="41">
        <v>1</v>
      </c>
      <c r="O15" s="41">
        <v>2</v>
      </c>
      <c r="P15" s="41">
        <v>2</v>
      </c>
      <c r="Q15" s="79" t="s">
        <v>1181</v>
      </c>
      <c r="R15" s="79" t="s">
        <v>1182</v>
      </c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1500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1453</v>
      </c>
      <c r="D6" s="41" t="s">
        <v>1454</v>
      </c>
      <c r="E6" s="41" t="s">
        <v>458</v>
      </c>
      <c r="F6" s="41">
        <v>1.3</v>
      </c>
      <c r="G6" s="86" t="s">
        <v>53</v>
      </c>
      <c r="H6" s="57" t="s">
        <v>498</v>
      </c>
      <c r="I6" s="54" t="s">
        <v>718</v>
      </c>
      <c r="J6" s="41">
        <v>4</v>
      </c>
      <c r="K6" s="41">
        <v>1</v>
      </c>
      <c r="L6" s="41">
        <f>J6*K6</f>
        <v>4</v>
      </c>
      <c r="M6" s="87" t="s">
        <v>719</v>
      </c>
      <c r="N6" s="41">
        <v>3</v>
      </c>
      <c r="O6" s="41">
        <v>1</v>
      </c>
      <c r="P6" s="41">
        <f>N6*O6</f>
        <v>3</v>
      </c>
      <c r="Q6" s="79"/>
      <c r="R6" s="103" t="s">
        <v>1455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1453</v>
      </c>
      <c r="D7" s="41" t="s">
        <v>1454</v>
      </c>
      <c r="E7" s="41" t="s">
        <v>458</v>
      </c>
      <c r="F7" s="41">
        <v>1.3</v>
      </c>
      <c r="G7" s="87" t="s">
        <v>65</v>
      </c>
      <c r="H7" s="57" t="s">
        <v>1456</v>
      </c>
      <c r="I7" s="54" t="s">
        <v>718</v>
      </c>
      <c r="J7" s="41">
        <v>2</v>
      </c>
      <c r="K7" s="41">
        <v>3</v>
      </c>
      <c r="L7" s="41">
        <f t="shared" ref="L7:L25" si="0">J7*K7</f>
        <v>6</v>
      </c>
      <c r="M7" s="87" t="s">
        <v>1457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1455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1458</v>
      </c>
      <c r="D8" s="41" t="s">
        <v>1459</v>
      </c>
      <c r="E8" s="41" t="s">
        <v>458</v>
      </c>
      <c r="F8" s="41">
        <v>4.0999999999999996</v>
      </c>
      <c r="G8" s="87" t="s">
        <v>64</v>
      </c>
      <c r="H8" s="57" t="s">
        <v>1460</v>
      </c>
      <c r="I8" s="54" t="s">
        <v>718</v>
      </c>
      <c r="J8" s="41">
        <v>2</v>
      </c>
      <c r="K8" s="41">
        <v>3</v>
      </c>
      <c r="L8" s="41">
        <f t="shared" si="0"/>
        <v>6</v>
      </c>
      <c r="M8" s="87" t="s">
        <v>1457</v>
      </c>
      <c r="N8" s="41">
        <v>1</v>
      </c>
      <c r="O8" s="41">
        <v>3</v>
      </c>
      <c r="P8" s="41">
        <f t="shared" si="1"/>
        <v>3</v>
      </c>
      <c r="Q8" s="79"/>
      <c r="R8" s="103" t="s">
        <v>1455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1458</v>
      </c>
      <c r="D9" s="41" t="s">
        <v>1459</v>
      </c>
      <c r="E9" s="41" t="s">
        <v>458</v>
      </c>
      <c r="F9" s="41">
        <v>4.2</v>
      </c>
      <c r="G9" s="87" t="s">
        <v>65</v>
      </c>
      <c r="H9" s="57" t="s">
        <v>1461</v>
      </c>
      <c r="I9" s="54" t="s">
        <v>718</v>
      </c>
      <c r="J9" s="41">
        <v>2</v>
      </c>
      <c r="K9" s="41">
        <v>3</v>
      </c>
      <c r="L9" s="41">
        <f t="shared" si="0"/>
        <v>6</v>
      </c>
      <c r="M9" s="87" t="s">
        <v>1457</v>
      </c>
      <c r="N9" s="41">
        <v>1</v>
      </c>
      <c r="O9" s="41">
        <v>3</v>
      </c>
      <c r="P9" s="41">
        <f t="shared" si="1"/>
        <v>3</v>
      </c>
      <c r="Q9" s="79"/>
      <c r="R9" s="103" t="s">
        <v>1455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1462</v>
      </c>
      <c r="D10" s="41" t="s">
        <v>1463</v>
      </c>
      <c r="E10" s="41" t="s">
        <v>458</v>
      </c>
      <c r="F10" s="41">
        <v>1.3</v>
      </c>
      <c r="G10" s="87" t="s">
        <v>51</v>
      </c>
      <c r="H10" s="57" t="s">
        <v>1464</v>
      </c>
      <c r="I10" s="54" t="s">
        <v>1465</v>
      </c>
      <c r="J10" s="41">
        <v>2</v>
      </c>
      <c r="K10" s="41">
        <v>3</v>
      </c>
      <c r="L10" s="41">
        <f t="shared" si="0"/>
        <v>6</v>
      </c>
      <c r="M10" s="87" t="s">
        <v>1457</v>
      </c>
      <c r="N10" s="41">
        <v>1</v>
      </c>
      <c r="O10" s="41">
        <v>3</v>
      </c>
      <c r="P10" s="41">
        <f t="shared" si="1"/>
        <v>3</v>
      </c>
      <c r="Q10" s="79"/>
      <c r="R10" s="103" t="s">
        <v>1455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1462</v>
      </c>
      <c r="D11" s="41" t="s">
        <v>1463</v>
      </c>
      <c r="E11" s="41" t="s">
        <v>458</v>
      </c>
      <c r="F11" s="41">
        <v>1.3</v>
      </c>
      <c r="G11" s="86" t="s">
        <v>65</v>
      </c>
      <c r="H11" s="57" t="s">
        <v>1466</v>
      </c>
      <c r="I11" s="54" t="s">
        <v>1465</v>
      </c>
      <c r="J11" s="41">
        <v>2</v>
      </c>
      <c r="K11" s="41">
        <v>3</v>
      </c>
      <c r="L11" s="41">
        <f t="shared" si="0"/>
        <v>6</v>
      </c>
      <c r="M11" s="86" t="s">
        <v>1457</v>
      </c>
      <c r="N11" s="41">
        <v>1</v>
      </c>
      <c r="O11" s="41">
        <v>3</v>
      </c>
      <c r="P11" s="41">
        <f t="shared" si="1"/>
        <v>3</v>
      </c>
      <c r="Q11" s="79"/>
      <c r="R11" s="103" t="s">
        <v>1455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1467</v>
      </c>
      <c r="D12" s="41" t="s">
        <v>1468</v>
      </c>
      <c r="E12" s="41" t="s">
        <v>458</v>
      </c>
      <c r="F12" s="2">
        <v>1.2</v>
      </c>
      <c r="G12" s="97" t="s">
        <v>61</v>
      </c>
      <c r="H12" s="57" t="s">
        <v>1469</v>
      </c>
      <c r="I12" s="98" t="s">
        <v>1088</v>
      </c>
      <c r="J12" s="41">
        <v>2</v>
      </c>
      <c r="K12" s="41">
        <v>3</v>
      </c>
      <c r="L12" s="41">
        <f t="shared" si="0"/>
        <v>6</v>
      </c>
      <c r="M12" s="86" t="s">
        <v>1470</v>
      </c>
      <c r="N12" s="41">
        <v>1</v>
      </c>
      <c r="O12" s="41">
        <v>3</v>
      </c>
      <c r="P12" s="41">
        <f t="shared" si="1"/>
        <v>3</v>
      </c>
      <c r="Q12" s="79"/>
      <c r="R12" s="103" t="s">
        <v>1455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1467</v>
      </c>
      <c r="D13" s="41" t="s">
        <v>1468</v>
      </c>
      <c r="E13" s="41" t="s">
        <v>458</v>
      </c>
      <c r="F13" s="41">
        <v>1.3</v>
      </c>
      <c r="G13" s="86" t="s">
        <v>86</v>
      </c>
      <c r="H13" s="57" t="s">
        <v>1471</v>
      </c>
      <c r="I13" s="54" t="s">
        <v>890</v>
      </c>
      <c r="J13" s="41">
        <v>2</v>
      </c>
      <c r="K13" s="41">
        <v>3</v>
      </c>
      <c r="L13" s="41">
        <f t="shared" si="0"/>
        <v>6</v>
      </c>
      <c r="M13" s="86" t="s">
        <v>1472</v>
      </c>
      <c r="N13" s="41">
        <v>1</v>
      </c>
      <c r="O13" s="41">
        <v>3</v>
      </c>
      <c r="P13" s="41">
        <f t="shared" si="1"/>
        <v>3</v>
      </c>
      <c r="Q13" s="88"/>
      <c r="R13" s="103" t="s">
        <v>1455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1467</v>
      </c>
      <c r="D14" s="41" t="s">
        <v>1468</v>
      </c>
      <c r="E14" s="41" t="s">
        <v>458</v>
      </c>
      <c r="F14" s="41">
        <v>1.5</v>
      </c>
      <c r="G14" s="87" t="s">
        <v>64</v>
      </c>
      <c r="H14" s="57" t="s">
        <v>1473</v>
      </c>
      <c r="I14" s="54" t="s">
        <v>1088</v>
      </c>
      <c r="J14" s="41">
        <v>3</v>
      </c>
      <c r="K14" s="41">
        <v>1</v>
      </c>
      <c r="L14" s="41">
        <f t="shared" si="0"/>
        <v>3</v>
      </c>
      <c r="M14" s="87" t="s">
        <v>1474</v>
      </c>
      <c r="N14" s="41">
        <v>2</v>
      </c>
      <c r="O14" s="41">
        <v>1</v>
      </c>
      <c r="P14" s="41">
        <f t="shared" si="1"/>
        <v>2</v>
      </c>
      <c r="Q14" s="79"/>
      <c r="R14" s="103" t="s">
        <v>1455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1467</v>
      </c>
      <c r="D15" s="41" t="s">
        <v>1475</v>
      </c>
      <c r="E15" s="41" t="s">
        <v>458</v>
      </c>
      <c r="F15" s="41">
        <v>1.6</v>
      </c>
      <c r="G15" s="86" t="s">
        <v>65</v>
      </c>
      <c r="H15" s="57" t="s">
        <v>1476</v>
      </c>
      <c r="I15" s="54" t="s">
        <v>718</v>
      </c>
      <c r="J15" s="41">
        <v>3</v>
      </c>
      <c r="K15" s="41">
        <v>1</v>
      </c>
      <c r="L15" s="41">
        <f t="shared" si="0"/>
        <v>3</v>
      </c>
      <c r="M15" s="86" t="s">
        <v>1457</v>
      </c>
      <c r="N15" s="41">
        <v>2</v>
      </c>
      <c r="O15" s="41">
        <v>1</v>
      </c>
      <c r="P15" s="41">
        <f t="shared" si="1"/>
        <v>2</v>
      </c>
      <c r="Q15" s="88"/>
      <c r="R15" s="103" t="s">
        <v>1455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1477</v>
      </c>
      <c r="D16" s="41" t="s">
        <v>1468</v>
      </c>
      <c r="E16" s="41" t="s">
        <v>458</v>
      </c>
      <c r="F16" s="41">
        <v>1.4</v>
      </c>
      <c r="G16" s="86" t="s">
        <v>54</v>
      </c>
      <c r="H16" s="57" t="s">
        <v>1062</v>
      </c>
      <c r="I16" s="54" t="s">
        <v>1474</v>
      </c>
      <c r="J16" s="41">
        <v>2</v>
      </c>
      <c r="K16" s="41">
        <v>2</v>
      </c>
      <c r="L16" s="41">
        <f t="shared" si="0"/>
        <v>4</v>
      </c>
      <c r="M16" s="86" t="s">
        <v>1478</v>
      </c>
      <c r="N16" s="41">
        <v>1</v>
      </c>
      <c r="O16" s="41">
        <v>2</v>
      </c>
      <c r="P16" s="41">
        <f t="shared" si="1"/>
        <v>2</v>
      </c>
      <c r="Q16" s="88"/>
      <c r="R16" s="103" t="s">
        <v>1455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1477</v>
      </c>
      <c r="D17" s="41" t="s">
        <v>1468</v>
      </c>
      <c r="E17" s="41" t="s">
        <v>458</v>
      </c>
      <c r="F17" s="41">
        <v>1.5</v>
      </c>
      <c r="G17" s="86" t="s">
        <v>55</v>
      </c>
      <c r="H17" s="57" t="s">
        <v>1479</v>
      </c>
      <c r="I17" s="54" t="s">
        <v>1088</v>
      </c>
      <c r="J17" s="41">
        <v>3</v>
      </c>
      <c r="K17" s="41">
        <v>3</v>
      </c>
      <c r="L17" s="41">
        <f t="shared" si="0"/>
        <v>9</v>
      </c>
      <c r="M17" s="87" t="s">
        <v>1470</v>
      </c>
      <c r="N17" s="41">
        <v>2</v>
      </c>
      <c r="O17" s="41">
        <v>3</v>
      </c>
      <c r="P17" s="41">
        <f t="shared" si="1"/>
        <v>6</v>
      </c>
      <c r="Q17" s="88"/>
      <c r="R17" s="103" t="s">
        <v>1455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1477</v>
      </c>
      <c r="D18" s="41" t="s">
        <v>1468</v>
      </c>
      <c r="E18" s="41" t="s">
        <v>458</v>
      </c>
      <c r="F18" s="41">
        <v>4.0999999999999996</v>
      </c>
      <c r="G18" s="87" t="s">
        <v>64</v>
      </c>
      <c r="H18" s="57" t="s">
        <v>1473</v>
      </c>
      <c r="I18" s="54" t="s">
        <v>1088</v>
      </c>
      <c r="J18" s="41">
        <v>3</v>
      </c>
      <c r="K18" s="41">
        <v>1</v>
      </c>
      <c r="L18" s="41">
        <f t="shared" si="0"/>
        <v>3</v>
      </c>
      <c r="M18" s="87" t="s">
        <v>1470</v>
      </c>
      <c r="N18" s="41">
        <v>2</v>
      </c>
      <c r="O18" s="41">
        <v>1</v>
      </c>
      <c r="P18" s="41">
        <f t="shared" si="1"/>
        <v>2</v>
      </c>
      <c r="Q18" s="79"/>
      <c r="R18" s="103" t="s">
        <v>1455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1477</v>
      </c>
      <c r="D19" s="41" t="s">
        <v>1468</v>
      </c>
      <c r="E19" s="41" t="s">
        <v>458</v>
      </c>
      <c r="F19" s="41">
        <v>3.2</v>
      </c>
      <c r="G19" s="86" t="s">
        <v>61</v>
      </c>
      <c r="H19" s="57" t="s">
        <v>1469</v>
      </c>
      <c r="I19" s="54" t="s">
        <v>1088</v>
      </c>
      <c r="J19" s="41">
        <v>2</v>
      </c>
      <c r="K19" s="41">
        <v>3</v>
      </c>
      <c r="L19" s="41">
        <f t="shared" si="0"/>
        <v>6</v>
      </c>
      <c r="M19" s="86" t="s">
        <v>1470</v>
      </c>
      <c r="N19" s="41">
        <v>1</v>
      </c>
      <c r="O19" s="41">
        <v>3</v>
      </c>
      <c r="P19" s="41">
        <f t="shared" si="1"/>
        <v>3</v>
      </c>
      <c r="Q19" s="79"/>
      <c r="R19" s="103" t="s">
        <v>1455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1480</v>
      </c>
      <c r="D20" s="41" t="s">
        <v>1468</v>
      </c>
      <c r="E20" s="41" t="s">
        <v>458</v>
      </c>
      <c r="F20" s="2">
        <v>1.4</v>
      </c>
      <c r="G20" s="97" t="s">
        <v>54</v>
      </c>
      <c r="H20" s="57" t="s">
        <v>1481</v>
      </c>
      <c r="I20" s="98" t="s">
        <v>1482</v>
      </c>
      <c r="J20" s="41">
        <v>2</v>
      </c>
      <c r="K20" s="41">
        <v>4</v>
      </c>
      <c r="L20" s="41">
        <f t="shared" si="0"/>
        <v>8</v>
      </c>
      <c r="M20" s="86" t="s">
        <v>1474</v>
      </c>
      <c r="N20" s="41">
        <v>1</v>
      </c>
      <c r="O20" s="41">
        <v>4</v>
      </c>
      <c r="P20" s="41">
        <f t="shared" si="1"/>
        <v>4</v>
      </c>
      <c r="Q20" s="79"/>
      <c r="R20" s="103" t="s">
        <v>1455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1480</v>
      </c>
      <c r="D21" s="41" t="s">
        <v>1064</v>
      </c>
      <c r="E21" s="41" t="s">
        <v>458</v>
      </c>
      <c r="F21" s="41">
        <v>1.4</v>
      </c>
      <c r="G21" s="86" t="s">
        <v>54</v>
      </c>
      <c r="H21" s="57" t="s">
        <v>1065</v>
      </c>
      <c r="I21" s="54" t="s">
        <v>1482</v>
      </c>
      <c r="J21" s="41">
        <v>3</v>
      </c>
      <c r="K21" s="41">
        <v>3</v>
      </c>
      <c r="L21" s="41">
        <f t="shared" si="0"/>
        <v>9</v>
      </c>
      <c r="M21" s="86" t="s">
        <v>1474</v>
      </c>
      <c r="N21" s="41">
        <v>2</v>
      </c>
      <c r="O21" s="41">
        <v>3</v>
      </c>
      <c r="P21" s="41">
        <f t="shared" si="1"/>
        <v>6</v>
      </c>
      <c r="Q21" s="88"/>
      <c r="R21" s="103" t="s">
        <v>1455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1483</v>
      </c>
      <c r="D22" s="41" t="s">
        <v>1468</v>
      </c>
      <c r="E22" s="41" t="s">
        <v>458</v>
      </c>
      <c r="F22" s="41">
        <v>1.1000000000000001</v>
      </c>
      <c r="G22" s="87" t="s">
        <v>51</v>
      </c>
      <c r="H22" s="57" t="s">
        <v>1484</v>
      </c>
      <c r="I22" s="54" t="s">
        <v>1482</v>
      </c>
      <c r="J22" s="41">
        <v>3</v>
      </c>
      <c r="K22" s="41">
        <v>3</v>
      </c>
      <c r="L22" s="41">
        <f t="shared" si="0"/>
        <v>9</v>
      </c>
      <c r="M22" s="87" t="s">
        <v>1474</v>
      </c>
      <c r="N22" s="41">
        <v>2</v>
      </c>
      <c r="O22" s="41">
        <v>3</v>
      </c>
      <c r="P22" s="41">
        <f t="shared" si="1"/>
        <v>6</v>
      </c>
      <c r="Q22" s="79"/>
      <c r="R22" s="103" t="s">
        <v>1455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1483</v>
      </c>
      <c r="D23" s="41" t="s">
        <v>1468</v>
      </c>
      <c r="E23" s="41" t="s">
        <v>1485</v>
      </c>
      <c r="F23" s="41">
        <v>1.5</v>
      </c>
      <c r="G23" s="86" t="s">
        <v>90</v>
      </c>
      <c r="H23" s="57" t="s">
        <v>1486</v>
      </c>
      <c r="I23" s="54" t="s">
        <v>1482</v>
      </c>
      <c r="J23" s="41">
        <v>3</v>
      </c>
      <c r="K23" s="41">
        <v>3</v>
      </c>
      <c r="L23" s="41">
        <f t="shared" si="0"/>
        <v>9</v>
      </c>
      <c r="M23" s="86" t="s">
        <v>1487</v>
      </c>
      <c r="N23" s="41">
        <v>3</v>
      </c>
      <c r="O23" s="41">
        <v>2</v>
      </c>
      <c r="P23" s="41">
        <f t="shared" si="1"/>
        <v>6</v>
      </c>
      <c r="Q23" s="88"/>
      <c r="R23" s="103" t="s">
        <v>1455</v>
      </c>
      <c r="S23" s="79"/>
    </row>
    <row r="24" spans="1:19" ht="52.95" customHeight="1" x14ac:dyDescent="0.4">
      <c r="A24" s="2">
        <v>19</v>
      </c>
      <c r="B24" s="80" t="s">
        <v>203</v>
      </c>
      <c r="C24" s="85" t="s">
        <v>1483</v>
      </c>
      <c r="D24" s="41" t="s">
        <v>1468</v>
      </c>
      <c r="E24" s="41" t="s">
        <v>1488</v>
      </c>
      <c r="F24" s="41">
        <v>1.1000000000000001</v>
      </c>
      <c r="G24" s="87" t="s">
        <v>74</v>
      </c>
      <c r="H24" s="57" t="s">
        <v>1489</v>
      </c>
      <c r="I24" s="54" t="s">
        <v>1482</v>
      </c>
      <c r="J24" s="41">
        <v>3</v>
      </c>
      <c r="K24" s="41">
        <v>2</v>
      </c>
      <c r="L24" s="41">
        <f t="shared" si="0"/>
        <v>6</v>
      </c>
      <c r="M24" s="87" t="s">
        <v>1490</v>
      </c>
      <c r="N24" s="41">
        <v>2</v>
      </c>
      <c r="O24" s="41">
        <v>2</v>
      </c>
      <c r="P24" s="41">
        <f t="shared" si="1"/>
        <v>4</v>
      </c>
      <c r="Q24" s="79"/>
      <c r="R24" s="103" t="s">
        <v>1455</v>
      </c>
      <c r="S24" s="79"/>
    </row>
    <row r="25" spans="1:19" ht="52.95" customHeight="1" x14ac:dyDescent="0.4">
      <c r="A25" s="2">
        <v>20</v>
      </c>
      <c r="B25" s="80" t="s">
        <v>203</v>
      </c>
      <c r="C25" s="85" t="s">
        <v>1483</v>
      </c>
      <c r="D25" s="41" t="s">
        <v>1468</v>
      </c>
      <c r="E25" s="41" t="s">
        <v>458</v>
      </c>
      <c r="F25" s="41">
        <v>6.3</v>
      </c>
      <c r="G25" s="86" t="s">
        <v>82</v>
      </c>
      <c r="H25" s="57" t="s">
        <v>1491</v>
      </c>
      <c r="I25" s="54" t="s">
        <v>1492</v>
      </c>
      <c r="J25" s="41">
        <v>4</v>
      </c>
      <c r="K25" s="41">
        <v>2</v>
      </c>
      <c r="L25" s="41">
        <f t="shared" si="0"/>
        <v>8</v>
      </c>
      <c r="M25" s="86" t="s">
        <v>1493</v>
      </c>
      <c r="N25" s="41">
        <v>4</v>
      </c>
      <c r="O25" s="41">
        <v>1</v>
      </c>
      <c r="P25" s="41">
        <f t="shared" si="1"/>
        <v>4</v>
      </c>
      <c r="Q25" s="88"/>
      <c r="R25" s="103" t="s">
        <v>1455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/>
      <c r="K26" s="41"/>
      <c r="L26" s="41"/>
      <c r="M26" s="86"/>
      <c r="N26" s="41"/>
      <c r="O26" s="41"/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389" t="s">
        <v>185</v>
      </c>
      <c r="B29" s="390"/>
      <c r="C29" s="39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51" t="s">
        <v>187</v>
      </c>
      <c r="O29" s="52" t="s">
        <v>1495</v>
      </c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51" t="s">
        <v>187</v>
      </c>
      <c r="O30" s="52" t="s">
        <v>1496</v>
      </c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130</v>
      </c>
      <c r="E31" s="399"/>
      <c r="F31" s="400" t="s">
        <v>1497</v>
      </c>
      <c r="G31" s="401"/>
      <c r="H31" s="401"/>
      <c r="I31" s="401"/>
      <c r="J31" s="401"/>
      <c r="K31" s="401"/>
      <c r="L31" s="401"/>
      <c r="M31" s="402"/>
      <c r="N31" s="51" t="s">
        <v>187</v>
      </c>
      <c r="O31" s="52" t="s">
        <v>1498</v>
      </c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51" t="s">
        <v>187</v>
      </c>
      <c r="O32" s="52" t="s">
        <v>1499</v>
      </c>
      <c r="P32" s="52"/>
      <c r="Q32" s="52"/>
      <c r="R32" s="52"/>
      <c r="S32" s="53"/>
    </row>
    <row r="33" spans="1:19" ht="25.2" customHeight="1" x14ac:dyDescent="0.4">
      <c r="A33" s="395"/>
      <c r="B33" s="396"/>
      <c r="C33" s="39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1576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1453</v>
      </c>
      <c r="D6" s="41" t="s">
        <v>1454</v>
      </c>
      <c r="E6" s="41" t="s">
        <v>458</v>
      </c>
      <c r="F6" s="41">
        <v>1.3</v>
      </c>
      <c r="G6" s="86" t="s">
        <v>53</v>
      </c>
      <c r="H6" s="57" t="s">
        <v>498</v>
      </c>
      <c r="I6" s="54" t="s">
        <v>718</v>
      </c>
      <c r="J6" s="41">
        <v>4</v>
      </c>
      <c r="K6" s="41">
        <v>1</v>
      </c>
      <c r="L6" s="41">
        <f>J6*K6</f>
        <v>4</v>
      </c>
      <c r="M6" s="87" t="s">
        <v>719</v>
      </c>
      <c r="N6" s="41">
        <v>3</v>
      </c>
      <c r="O6" s="41">
        <v>1</v>
      </c>
      <c r="P6" s="41">
        <f>N6*O6</f>
        <v>3</v>
      </c>
      <c r="Q6" s="79"/>
      <c r="R6" s="103" t="s">
        <v>1567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1453</v>
      </c>
      <c r="D7" s="41" t="s">
        <v>1454</v>
      </c>
      <c r="E7" s="41" t="s">
        <v>458</v>
      </c>
      <c r="F7" s="41">
        <v>1.3</v>
      </c>
      <c r="G7" s="87" t="s">
        <v>65</v>
      </c>
      <c r="H7" s="57" t="s">
        <v>1456</v>
      </c>
      <c r="I7" s="54" t="s">
        <v>718</v>
      </c>
      <c r="J7" s="41">
        <v>2</v>
      </c>
      <c r="K7" s="41">
        <v>3</v>
      </c>
      <c r="L7" s="41">
        <f t="shared" ref="L7:L25" si="0">J7*K7</f>
        <v>6</v>
      </c>
      <c r="M7" s="87" t="s">
        <v>1457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1567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1458</v>
      </c>
      <c r="D8" s="41" t="s">
        <v>1459</v>
      </c>
      <c r="E8" s="41" t="s">
        <v>458</v>
      </c>
      <c r="F8" s="41">
        <v>4.0999999999999996</v>
      </c>
      <c r="G8" s="87" t="s">
        <v>64</v>
      </c>
      <c r="H8" s="57" t="s">
        <v>1460</v>
      </c>
      <c r="I8" s="54" t="s">
        <v>718</v>
      </c>
      <c r="J8" s="41">
        <v>2</v>
      </c>
      <c r="K8" s="41">
        <v>3</v>
      </c>
      <c r="L8" s="41">
        <f t="shared" si="0"/>
        <v>6</v>
      </c>
      <c r="M8" s="87" t="s">
        <v>1457</v>
      </c>
      <c r="N8" s="41">
        <v>1</v>
      </c>
      <c r="O8" s="41">
        <v>3</v>
      </c>
      <c r="P8" s="41">
        <f t="shared" si="1"/>
        <v>3</v>
      </c>
      <c r="Q8" s="79"/>
      <c r="R8" s="103" t="s">
        <v>1567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1458</v>
      </c>
      <c r="D9" s="41" t="s">
        <v>1459</v>
      </c>
      <c r="E9" s="41" t="s">
        <v>458</v>
      </c>
      <c r="F9" s="41">
        <v>4.2</v>
      </c>
      <c r="G9" s="87" t="s">
        <v>65</v>
      </c>
      <c r="H9" s="57" t="s">
        <v>1461</v>
      </c>
      <c r="I9" s="54" t="s">
        <v>718</v>
      </c>
      <c r="J9" s="41">
        <v>2</v>
      </c>
      <c r="K9" s="41">
        <v>3</v>
      </c>
      <c r="L9" s="41">
        <f t="shared" si="0"/>
        <v>6</v>
      </c>
      <c r="M9" s="87" t="s">
        <v>1457</v>
      </c>
      <c r="N9" s="41">
        <v>1</v>
      </c>
      <c r="O9" s="41">
        <v>3</v>
      </c>
      <c r="P9" s="41">
        <f t="shared" si="1"/>
        <v>3</v>
      </c>
      <c r="Q9" s="79"/>
      <c r="R9" s="103" t="s">
        <v>1567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1462</v>
      </c>
      <c r="D10" s="41" t="s">
        <v>1463</v>
      </c>
      <c r="E10" s="41" t="s">
        <v>458</v>
      </c>
      <c r="F10" s="41">
        <v>1.3</v>
      </c>
      <c r="G10" s="87" t="s">
        <v>51</v>
      </c>
      <c r="H10" s="57" t="s">
        <v>1464</v>
      </c>
      <c r="I10" s="54" t="s">
        <v>1465</v>
      </c>
      <c r="J10" s="41">
        <v>2</v>
      </c>
      <c r="K10" s="41">
        <v>3</v>
      </c>
      <c r="L10" s="41">
        <f t="shared" si="0"/>
        <v>6</v>
      </c>
      <c r="M10" s="87" t="s">
        <v>1457</v>
      </c>
      <c r="N10" s="41">
        <v>1</v>
      </c>
      <c r="O10" s="41">
        <v>3</v>
      </c>
      <c r="P10" s="41">
        <f t="shared" si="1"/>
        <v>3</v>
      </c>
      <c r="Q10" s="79"/>
      <c r="R10" s="103" t="s">
        <v>1567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1462</v>
      </c>
      <c r="D11" s="41" t="s">
        <v>1463</v>
      </c>
      <c r="E11" s="41" t="s">
        <v>458</v>
      </c>
      <c r="F11" s="41">
        <v>1.3</v>
      </c>
      <c r="G11" s="86" t="s">
        <v>65</v>
      </c>
      <c r="H11" s="57" t="s">
        <v>1466</v>
      </c>
      <c r="I11" s="54" t="s">
        <v>1465</v>
      </c>
      <c r="J11" s="41">
        <v>2</v>
      </c>
      <c r="K11" s="41">
        <v>3</v>
      </c>
      <c r="L11" s="41">
        <f t="shared" si="0"/>
        <v>6</v>
      </c>
      <c r="M11" s="86" t="s">
        <v>1457</v>
      </c>
      <c r="N11" s="41">
        <v>1</v>
      </c>
      <c r="O11" s="41">
        <v>3</v>
      </c>
      <c r="P11" s="41">
        <f t="shared" si="1"/>
        <v>3</v>
      </c>
      <c r="Q11" s="79"/>
      <c r="R11" s="103" t="s">
        <v>1567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1467</v>
      </c>
      <c r="D12" s="41" t="s">
        <v>1468</v>
      </c>
      <c r="E12" s="41" t="s">
        <v>458</v>
      </c>
      <c r="F12" s="2">
        <v>1.2</v>
      </c>
      <c r="G12" s="97" t="s">
        <v>61</v>
      </c>
      <c r="H12" s="57" t="s">
        <v>1469</v>
      </c>
      <c r="I12" s="98" t="s">
        <v>1088</v>
      </c>
      <c r="J12" s="41">
        <v>2</v>
      </c>
      <c r="K12" s="41">
        <v>3</v>
      </c>
      <c r="L12" s="41">
        <f t="shared" si="0"/>
        <v>6</v>
      </c>
      <c r="M12" s="86" t="s">
        <v>1470</v>
      </c>
      <c r="N12" s="41">
        <v>1</v>
      </c>
      <c r="O12" s="41">
        <v>3</v>
      </c>
      <c r="P12" s="41">
        <f t="shared" si="1"/>
        <v>3</v>
      </c>
      <c r="Q12" s="79"/>
      <c r="R12" s="103" t="s">
        <v>1567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1467</v>
      </c>
      <c r="D13" s="41" t="s">
        <v>1468</v>
      </c>
      <c r="E13" s="41" t="s">
        <v>458</v>
      </c>
      <c r="F13" s="41">
        <v>1.3</v>
      </c>
      <c r="G13" s="86" t="s">
        <v>86</v>
      </c>
      <c r="H13" s="57" t="s">
        <v>1471</v>
      </c>
      <c r="I13" s="54" t="s">
        <v>890</v>
      </c>
      <c r="J13" s="41">
        <v>2</v>
      </c>
      <c r="K13" s="41">
        <v>3</v>
      </c>
      <c r="L13" s="41">
        <f t="shared" si="0"/>
        <v>6</v>
      </c>
      <c r="M13" s="86" t="s">
        <v>1472</v>
      </c>
      <c r="N13" s="41">
        <v>1</v>
      </c>
      <c r="O13" s="41">
        <v>3</v>
      </c>
      <c r="P13" s="41">
        <f t="shared" si="1"/>
        <v>3</v>
      </c>
      <c r="Q13" s="88"/>
      <c r="R13" s="103" t="s">
        <v>1567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1467</v>
      </c>
      <c r="D14" s="41" t="s">
        <v>1468</v>
      </c>
      <c r="E14" s="41" t="s">
        <v>458</v>
      </c>
      <c r="F14" s="41">
        <v>1.5</v>
      </c>
      <c r="G14" s="87" t="s">
        <v>64</v>
      </c>
      <c r="H14" s="57" t="s">
        <v>1473</v>
      </c>
      <c r="I14" s="54" t="s">
        <v>1088</v>
      </c>
      <c r="J14" s="41">
        <v>3</v>
      </c>
      <c r="K14" s="41">
        <v>1</v>
      </c>
      <c r="L14" s="41">
        <f t="shared" si="0"/>
        <v>3</v>
      </c>
      <c r="M14" s="87" t="s">
        <v>1474</v>
      </c>
      <c r="N14" s="41">
        <v>2</v>
      </c>
      <c r="O14" s="41">
        <v>1</v>
      </c>
      <c r="P14" s="41">
        <f t="shared" si="1"/>
        <v>2</v>
      </c>
      <c r="Q14" s="79"/>
      <c r="R14" s="103" t="s">
        <v>1567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1467</v>
      </c>
      <c r="D15" s="41" t="s">
        <v>1475</v>
      </c>
      <c r="E15" s="41" t="s">
        <v>458</v>
      </c>
      <c r="F15" s="41">
        <v>1.6</v>
      </c>
      <c r="G15" s="86" t="s">
        <v>65</v>
      </c>
      <c r="H15" s="57" t="s">
        <v>1476</v>
      </c>
      <c r="I15" s="54" t="s">
        <v>718</v>
      </c>
      <c r="J15" s="41">
        <v>3</v>
      </c>
      <c r="K15" s="41">
        <v>1</v>
      </c>
      <c r="L15" s="41">
        <f t="shared" si="0"/>
        <v>3</v>
      </c>
      <c r="M15" s="86" t="s">
        <v>1457</v>
      </c>
      <c r="N15" s="41">
        <v>2</v>
      </c>
      <c r="O15" s="41">
        <v>1</v>
      </c>
      <c r="P15" s="41">
        <f t="shared" si="1"/>
        <v>2</v>
      </c>
      <c r="Q15" s="88"/>
      <c r="R15" s="103" t="s">
        <v>1567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1477</v>
      </c>
      <c r="D16" s="41" t="s">
        <v>1468</v>
      </c>
      <c r="E16" s="41" t="s">
        <v>458</v>
      </c>
      <c r="F16" s="41">
        <v>1.4</v>
      </c>
      <c r="G16" s="86" t="s">
        <v>54</v>
      </c>
      <c r="H16" s="57" t="s">
        <v>1062</v>
      </c>
      <c r="I16" s="54" t="s">
        <v>1474</v>
      </c>
      <c r="J16" s="41">
        <v>2</v>
      </c>
      <c r="K16" s="41">
        <v>2</v>
      </c>
      <c r="L16" s="41">
        <f t="shared" si="0"/>
        <v>4</v>
      </c>
      <c r="M16" s="86" t="s">
        <v>1478</v>
      </c>
      <c r="N16" s="41">
        <v>1</v>
      </c>
      <c r="O16" s="41">
        <v>2</v>
      </c>
      <c r="P16" s="41">
        <f t="shared" si="1"/>
        <v>2</v>
      </c>
      <c r="Q16" s="88"/>
      <c r="R16" s="103" t="s">
        <v>1567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1477</v>
      </c>
      <c r="D17" s="41" t="s">
        <v>1468</v>
      </c>
      <c r="E17" s="41" t="s">
        <v>458</v>
      </c>
      <c r="F17" s="41">
        <v>1.5</v>
      </c>
      <c r="G17" s="86" t="s">
        <v>55</v>
      </c>
      <c r="H17" s="57" t="s">
        <v>1479</v>
      </c>
      <c r="I17" s="54" t="s">
        <v>1088</v>
      </c>
      <c r="J17" s="41">
        <v>3</v>
      </c>
      <c r="K17" s="41">
        <v>3</v>
      </c>
      <c r="L17" s="41">
        <f t="shared" si="0"/>
        <v>9</v>
      </c>
      <c r="M17" s="87" t="s">
        <v>1470</v>
      </c>
      <c r="N17" s="41">
        <v>2</v>
      </c>
      <c r="O17" s="41">
        <v>3</v>
      </c>
      <c r="P17" s="41">
        <f t="shared" si="1"/>
        <v>6</v>
      </c>
      <c r="Q17" s="88"/>
      <c r="R17" s="103" t="s">
        <v>1567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1477</v>
      </c>
      <c r="D18" s="41" t="s">
        <v>1468</v>
      </c>
      <c r="E18" s="41" t="s">
        <v>458</v>
      </c>
      <c r="F18" s="41">
        <v>4.0999999999999996</v>
      </c>
      <c r="G18" s="87" t="s">
        <v>64</v>
      </c>
      <c r="H18" s="57" t="s">
        <v>1473</v>
      </c>
      <c r="I18" s="54" t="s">
        <v>1088</v>
      </c>
      <c r="J18" s="41">
        <v>3</v>
      </c>
      <c r="K18" s="41">
        <v>1</v>
      </c>
      <c r="L18" s="41">
        <f t="shared" si="0"/>
        <v>3</v>
      </c>
      <c r="M18" s="87" t="s">
        <v>1470</v>
      </c>
      <c r="N18" s="41">
        <v>2</v>
      </c>
      <c r="O18" s="41">
        <v>1</v>
      </c>
      <c r="P18" s="41">
        <f t="shared" si="1"/>
        <v>2</v>
      </c>
      <c r="Q18" s="79"/>
      <c r="R18" s="103" t="s">
        <v>1567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1477</v>
      </c>
      <c r="D19" s="41" t="s">
        <v>1468</v>
      </c>
      <c r="E19" s="41" t="s">
        <v>458</v>
      </c>
      <c r="F19" s="41">
        <v>3.2</v>
      </c>
      <c r="G19" s="86" t="s">
        <v>61</v>
      </c>
      <c r="H19" s="57" t="s">
        <v>1469</v>
      </c>
      <c r="I19" s="54" t="s">
        <v>1088</v>
      </c>
      <c r="J19" s="41">
        <v>2</v>
      </c>
      <c r="K19" s="41">
        <v>3</v>
      </c>
      <c r="L19" s="41">
        <f t="shared" si="0"/>
        <v>6</v>
      </c>
      <c r="M19" s="86" t="s">
        <v>1470</v>
      </c>
      <c r="N19" s="41">
        <v>1</v>
      </c>
      <c r="O19" s="41">
        <v>3</v>
      </c>
      <c r="P19" s="41">
        <f t="shared" si="1"/>
        <v>3</v>
      </c>
      <c r="Q19" s="79"/>
      <c r="R19" s="103" t="s">
        <v>1567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1480</v>
      </c>
      <c r="D20" s="41" t="s">
        <v>1468</v>
      </c>
      <c r="E20" s="41" t="s">
        <v>458</v>
      </c>
      <c r="F20" s="2">
        <v>1.4</v>
      </c>
      <c r="G20" s="97" t="s">
        <v>54</v>
      </c>
      <c r="H20" s="57" t="s">
        <v>1481</v>
      </c>
      <c r="I20" s="98" t="s">
        <v>1482</v>
      </c>
      <c r="J20" s="41">
        <v>2</v>
      </c>
      <c r="K20" s="41">
        <v>4</v>
      </c>
      <c r="L20" s="41">
        <f t="shared" si="0"/>
        <v>8</v>
      </c>
      <c r="M20" s="86" t="s">
        <v>1474</v>
      </c>
      <c r="N20" s="41">
        <v>1</v>
      </c>
      <c r="O20" s="41">
        <v>4</v>
      </c>
      <c r="P20" s="41">
        <f t="shared" si="1"/>
        <v>4</v>
      </c>
      <c r="Q20" s="79"/>
      <c r="R20" s="103" t="s">
        <v>1567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1480</v>
      </c>
      <c r="D21" s="41" t="s">
        <v>1064</v>
      </c>
      <c r="E21" s="41" t="s">
        <v>458</v>
      </c>
      <c r="F21" s="41">
        <v>1.4</v>
      </c>
      <c r="G21" s="86" t="s">
        <v>54</v>
      </c>
      <c r="H21" s="57" t="s">
        <v>1065</v>
      </c>
      <c r="I21" s="54" t="s">
        <v>1482</v>
      </c>
      <c r="J21" s="41">
        <v>3</v>
      </c>
      <c r="K21" s="41">
        <v>3</v>
      </c>
      <c r="L21" s="41">
        <f t="shared" si="0"/>
        <v>9</v>
      </c>
      <c r="M21" s="86" t="s">
        <v>1474</v>
      </c>
      <c r="N21" s="41">
        <v>2</v>
      </c>
      <c r="O21" s="41">
        <v>3</v>
      </c>
      <c r="P21" s="41">
        <f t="shared" si="1"/>
        <v>6</v>
      </c>
      <c r="Q21" s="88"/>
      <c r="R21" s="103" t="s">
        <v>1567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1483</v>
      </c>
      <c r="D22" s="41" t="s">
        <v>1468</v>
      </c>
      <c r="E22" s="41" t="s">
        <v>458</v>
      </c>
      <c r="F22" s="41">
        <v>1.1000000000000001</v>
      </c>
      <c r="G22" s="87" t="s">
        <v>51</v>
      </c>
      <c r="H22" s="57" t="s">
        <v>1484</v>
      </c>
      <c r="I22" s="54" t="s">
        <v>1482</v>
      </c>
      <c r="J22" s="41">
        <v>3</v>
      </c>
      <c r="K22" s="41">
        <v>3</v>
      </c>
      <c r="L22" s="41">
        <f t="shared" si="0"/>
        <v>9</v>
      </c>
      <c r="M22" s="87" t="s">
        <v>1474</v>
      </c>
      <c r="N22" s="41">
        <v>2</v>
      </c>
      <c r="O22" s="41">
        <v>3</v>
      </c>
      <c r="P22" s="41">
        <f t="shared" si="1"/>
        <v>6</v>
      </c>
      <c r="Q22" s="79"/>
      <c r="R22" s="103" t="s">
        <v>1567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1483</v>
      </c>
      <c r="D23" s="41" t="s">
        <v>1468</v>
      </c>
      <c r="E23" s="41" t="s">
        <v>1485</v>
      </c>
      <c r="F23" s="41">
        <v>1.5</v>
      </c>
      <c r="G23" s="86" t="s">
        <v>90</v>
      </c>
      <c r="H23" s="57" t="s">
        <v>1486</v>
      </c>
      <c r="I23" s="54" t="s">
        <v>1482</v>
      </c>
      <c r="J23" s="41">
        <v>3</v>
      </c>
      <c r="K23" s="41">
        <v>3</v>
      </c>
      <c r="L23" s="41">
        <f t="shared" si="0"/>
        <v>9</v>
      </c>
      <c r="M23" s="86" t="s">
        <v>1487</v>
      </c>
      <c r="N23" s="41">
        <v>3</v>
      </c>
      <c r="O23" s="41">
        <v>2</v>
      </c>
      <c r="P23" s="41">
        <f t="shared" si="1"/>
        <v>6</v>
      </c>
      <c r="Q23" s="88"/>
      <c r="R23" s="103" t="s">
        <v>1567</v>
      </c>
      <c r="S23" s="79"/>
    </row>
    <row r="24" spans="1:19" ht="52.95" customHeight="1" x14ac:dyDescent="0.4">
      <c r="A24" s="2">
        <v>17</v>
      </c>
      <c r="B24" s="80" t="s">
        <v>203</v>
      </c>
      <c r="C24" s="85" t="s">
        <v>1483</v>
      </c>
      <c r="D24" s="41" t="s">
        <v>1468</v>
      </c>
      <c r="E24" s="41" t="s">
        <v>1488</v>
      </c>
      <c r="F24" s="41">
        <v>1.1000000000000001</v>
      </c>
      <c r="G24" s="87" t="s">
        <v>74</v>
      </c>
      <c r="H24" s="57" t="s">
        <v>1489</v>
      </c>
      <c r="I24" s="54" t="s">
        <v>1482</v>
      </c>
      <c r="J24" s="41">
        <v>3</v>
      </c>
      <c r="K24" s="41">
        <v>2</v>
      </c>
      <c r="L24" s="41">
        <f t="shared" si="0"/>
        <v>6</v>
      </c>
      <c r="M24" s="87" t="s">
        <v>1490</v>
      </c>
      <c r="N24" s="41">
        <v>2</v>
      </c>
      <c r="O24" s="41">
        <v>2</v>
      </c>
      <c r="P24" s="41">
        <f t="shared" si="1"/>
        <v>4</v>
      </c>
      <c r="Q24" s="79"/>
      <c r="R24" s="103" t="s">
        <v>1567</v>
      </c>
      <c r="S24" s="79"/>
    </row>
    <row r="25" spans="1:19" ht="52.95" customHeight="1" x14ac:dyDescent="0.4">
      <c r="A25" s="2">
        <v>18</v>
      </c>
      <c r="B25" s="80" t="s">
        <v>203</v>
      </c>
      <c r="C25" s="85" t="s">
        <v>1483</v>
      </c>
      <c r="D25" s="41" t="s">
        <v>1468</v>
      </c>
      <c r="E25" s="41" t="s">
        <v>458</v>
      </c>
      <c r="F25" s="41">
        <v>6.3</v>
      </c>
      <c r="G25" s="86" t="s">
        <v>82</v>
      </c>
      <c r="H25" s="57" t="s">
        <v>1491</v>
      </c>
      <c r="I25" s="54" t="s">
        <v>1492</v>
      </c>
      <c r="J25" s="41">
        <v>4</v>
      </c>
      <c r="K25" s="41">
        <v>2</v>
      </c>
      <c r="L25" s="41">
        <f t="shared" si="0"/>
        <v>8</v>
      </c>
      <c r="M25" s="86" t="s">
        <v>1493</v>
      </c>
      <c r="N25" s="41">
        <v>4</v>
      </c>
      <c r="O25" s="41">
        <v>1</v>
      </c>
      <c r="P25" s="41">
        <f t="shared" si="1"/>
        <v>4</v>
      </c>
      <c r="Q25" s="88"/>
      <c r="R25" s="103" t="s">
        <v>1567</v>
      </c>
      <c r="S25" s="79"/>
    </row>
    <row r="26" spans="1:19" ht="52.95" customHeight="1" x14ac:dyDescent="0.4">
      <c r="A26" s="2">
        <v>19</v>
      </c>
      <c r="B26" s="80"/>
      <c r="C26" s="85"/>
      <c r="D26" s="41"/>
      <c r="E26" s="41"/>
      <c r="F26" s="41"/>
      <c r="G26" s="86"/>
      <c r="H26" s="54"/>
      <c r="I26" s="54"/>
      <c r="J26" s="41"/>
      <c r="K26" s="41"/>
      <c r="L26" s="41"/>
      <c r="M26" s="86"/>
      <c r="N26" s="41"/>
      <c r="O26" s="41"/>
      <c r="P26" s="41"/>
      <c r="Q26" s="88"/>
      <c r="R26" s="79"/>
      <c r="S26" s="79"/>
    </row>
    <row r="27" spans="1:19" ht="52.95" customHeight="1" x14ac:dyDescent="0.4">
      <c r="A27" s="2">
        <v>20</v>
      </c>
      <c r="B27" s="80"/>
      <c r="C27" s="85"/>
      <c r="D27" s="41"/>
      <c r="E27" s="41"/>
      <c r="F27" s="41"/>
      <c r="G27" s="86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52.95" customHeight="1" x14ac:dyDescent="0.4">
      <c r="A28" s="2">
        <v>21</v>
      </c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389" t="s">
        <v>185</v>
      </c>
      <c r="B29" s="390"/>
      <c r="C29" s="39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51" t="s">
        <v>187</v>
      </c>
      <c r="O29" s="52" t="s">
        <v>1568</v>
      </c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51" t="s">
        <v>187</v>
      </c>
      <c r="O30" s="52" t="s">
        <v>1569</v>
      </c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51" t="s">
        <v>187</v>
      </c>
      <c r="O31" s="52" t="s">
        <v>1571</v>
      </c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51" t="s">
        <v>187</v>
      </c>
      <c r="O32" s="52" t="s">
        <v>1571</v>
      </c>
      <c r="P32" s="52"/>
      <c r="Q32" s="52"/>
      <c r="R32" s="52"/>
      <c r="S32" s="53"/>
    </row>
    <row r="33" spans="1:19" ht="25.2" customHeight="1" x14ac:dyDescent="0.4">
      <c r="A33" s="395"/>
      <c r="B33" s="396"/>
      <c r="C33" s="39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1786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104">
        <v>1</v>
      </c>
      <c r="B6" s="60" t="s">
        <v>1726</v>
      </c>
      <c r="C6" s="74" t="s">
        <v>175</v>
      </c>
      <c r="D6" s="80" t="s">
        <v>393</v>
      </c>
      <c r="E6" s="41" t="s">
        <v>191</v>
      </c>
      <c r="F6" s="41">
        <v>1.3</v>
      </c>
      <c r="G6" s="89" t="s">
        <v>196</v>
      </c>
      <c r="H6" s="107" t="s">
        <v>281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79"/>
      <c r="R6" s="79"/>
      <c r="S6" s="79"/>
    </row>
    <row r="7" spans="1:19" ht="52.95" customHeight="1" x14ac:dyDescent="0.4">
      <c r="A7" s="104">
        <v>2</v>
      </c>
      <c r="B7" s="70" t="s">
        <v>17</v>
      </c>
      <c r="C7" s="74" t="s">
        <v>286</v>
      </c>
      <c r="D7" s="80" t="s">
        <v>193</v>
      </c>
      <c r="E7" s="41" t="s">
        <v>191</v>
      </c>
      <c r="F7" s="41">
        <v>4.2</v>
      </c>
      <c r="G7" s="89" t="s">
        <v>471</v>
      </c>
      <c r="H7" s="107" t="s">
        <v>287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1727</v>
      </c>
      <c r="N7" s="41">
        <v>1</v>
      </c>
      <c r="O7" s="41">
        <v>3</v>
      </c>
      <c r="P7" s="41">
        <f t="shared" ref="P7:P32" si="1">N7*O7</f>
        <v>3</v>
      </c>
      <c r="Q7" s="79"/>
      <c r="R7" s="79"/>
      <c r="S7" s="79"/>
    </row>
    <row r="8" spans="1:19" ht="52.95" customHeight="1" x14ac:dyDescent="0.4">
      <c r="A8" s="104">
        <v>3</v>
      </c>
      <c r="B8" s="70" t="s">
        <v>17</v>
      </c>
      <c r="C8" s="74" t="s">
        <v>1728</v>
      </c>
      <c r="D8" s="59" t="s">
        <v>1729</v>
      </c>
      <c r="E8" s="41" t="s">
        <v>191</v>
      </c>
      <c r="F8" s="41">
        <v>1.2</v>
      </c>
      <c r="G8" s="89" t="s">
        <v>52</v>
      </c>
      <c r="H8" s="107" t="s">
        <v>1730</v>
      </c>
      <c r="I8" s="54" t="s">
        <v>323</v>
      </c>
      <c r="J8" s="143">
        <v>4</v>
      </c>
      <c r="K8" s="143">
        <v>4</v>
      </c>
      <c r="L8" s="41">
        <f t="shared" si="0"/>
        <v>16</v>
      </c>
      <c r="M8" s="54" t="s">
        <v>1727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104">
        <v>4</v>
      </c>
      <c r="B9" s="70" t="s">
        <v>227</v>
      </c>
      <c r="C9" s="93" t="s">
        <v>1787</v>
      </c>
      <c r="D9" s="59" t="s">
        <v>193</v>
      </c>
      <c r="E9" s="41" t="s">
        <v>191</v>
      </c>
      <c r="F9" s="41">
        <v>1.3</v>
      </c>
      <c r="G9" s="74" t="s">
        <v>53</v>
      </c>
      <c r="H9" s="106" t="s">
        <v>1731</v>
      </c>
      <c r="I9" s="54" t="s">
        <v>296</v>
      </c>
      <c r="J9" s="143">
        <v>3</v>
      </c>
      <c r="K9" s="143">
        <v>3</v>
      </c>
      <c r="L9" s="41">
        <f t="shared" si="0"/>
        <v>9</v>
      </c>
      <c r="M9" s="114" t="s">
        <v>1732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104">
        <v>5</v>
      </c>
      <c r="B10" s="70" t="s">
        <v>228</v>
      </c>
      <c r="C10" s="93" t="s">
        <v>1733</v>
      </c>
      <c r="D10" s="59" t="s">
        <v>570</v>
      </c>
      <c r="E10" s="41" t="s">
        <v>191</v>
      </c>
      <c r="F10" s="41">
        <v>2.1</v>
      </c>
      <c r="G10" s="74" t="s">
        <v>701</v>
      </c>
      <c r="H10" s="106" t="s">
        <v>372</v>
      </c>
      <c r="I10" s="54" t="s">
        <v>296</v>
      </c>
      <c r="J10" s="143">
        <v>2</v>
      </c>
      <c r="K10" s="143">
        <v>2</v>
      </c>
      <c r="L10" s="41">
        <f t="shared" si="0"/>
        <v>4</v>
      </c>
      <c r="M10" s="114" t="s">
        <v>1734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104">
        <v>6</v>
      </c>
      <c r="B11" s="70" t="s">
        <v>228</v>
      </c>
      <c r="C11" s="93" t="s">
        <v>1698</v>
      </c>
      <c r="D11" s="59" t="s">
        <v>193</v>
      </c>
      <c r="E11" s="41" t="s">
        <v>191</v>
      </c>
      <c r="F11" s="41">
        <v>1.2</v>
      </c>
      <c r="G11" s="74" t="s">
        <v>52</v>
      </c>
      <c r="H11" s="106" t="s">
        <v>1703</v>
      </c>
      <c r="I11" s="54" t="s">
        <v>296</v>
      </c>
      <c r="J11" s="143">
        <v>2</v>
      </c>
      <c r="K11" s="143">
        <v>2</v>
      </c>
      <c r="L11" s="41">
        <f t="shared" si="0"/>
        <v>4</v>
      </c>
      <c r="M11" s="114" t="s">
        <v>1734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104">
        <v>7</v>
      </c>
      <c r="B12" s="70" t="s">
        <v>228</v>
      </c>
      <c r="C12" s="93" t="s">
        <v>1735</v>
      </c>
      <c r="D12" s="59" t="s">
        <v>193</v>
      </c>
      <c r="E12" s="41" t="s">
        <v>191</v>
      </c>
      <c r="F12" s="41">
        <v>2.1</v>
      </c>
      <c r="G12" s="74" t="s">
        <v>701</v>
      </c>
      <c r="H12" s="106" t="s">
        <v>372</v>
      </c>
      <c r="I12" s="54" t="s">
        <v>296</v>
      </c>
      <c r="J12" s="143">
        <v>2</v>
      </c>
      <c r="K12" s="143">
        <v>2</v>
      </c>
      <c r="L12" s="41">
        <f t="shared" si="0"/>
        <v>4</v>
      </c>
      <c r="M12" s="114" t="s">
        <v>1734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104">
        <v>8</v>
      </c>
      <c r="B13" s="70" t="s">
        <v>228</v>
      </c>
      <c r="C13" s="93" t="s">
        <v>1736</v>
      </c>
      <c r="D13" s="59" t="s">
        <v>193</v>
      </c>
      <c r="E13" s="41" t="s">
        <v>191</v>
      </c>
      <c r="F13" s="41">
        <v>7.3</v>
      </c>
      <c r="G13" s="74" t="s">
        <v>86</v>
      </c>
      <c r="H13" s="106" t="s">
        <v>1708</v>
      </c>
      <c r="I13" s="54" t="s">
        <v>296</v>
      </c>
      <c r="J13" s="143">
        <v>2</v>
      </c>
      <c r="K13" s="143">
        <v>2</v>
      </c>
      <c r="L13" s="41">
        <f t="shared" si="0"/>
        <v>4</v>
      </c>
      <c r="M13" s="114" t="s">
        <v>1732</v>
      </c>
      <c r="N13" s="41">
        <v>1</v>
      </c>
      <c r="O13" s="41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104">
        <v>9</v>
      </c>
      <c r="B14" s="70" t="s">
        <v>203</v>
      </c>
      <c r="C14" s="58" t="s">
        <v>1737</v>
      </c>
      <c r="D14" s="60" t="s">
        <v>1763</v>
      </c>
      <c r="E14" s="41" t="s">
        <v>191</v>
      </c>
      <c r="F14" s="61">
        <v>2.1</v>
      </c>
      <c r="G14" s="74" t="s">
        <v>57</v>
      </c>
      <c r="H14" s="106" t="s">
        <v>1739</v>
      </c>
      <c r="I14" s="54" t="s">
        <v>296</v>
      </c>
      <c r="J14" s="59">
        <v>3</v>
      </c>
      <c r="K14" s="59">
        <v>2</v>
      </c>
      <c r="L14" s="41">
        <f t="shared" si="0"/>
        <v>6</v>
      </c>
      <c r="M14" s="114" t="s">
        <v>1734</v>
      </c>
      <c r="N14" s="147">
        <v>1</v>
      </c>
      <c r="O14" s="147">
        <v>2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104">
        <v>10</v>
      </c>
      <c r="B15" s="70" t="s">
        <v>203</v>
      </c>
      <c r="C15" s="58" t="s">
        <v>1764</v>
      </c>
      <c r="D15" s="59" t="s">
        <v>1765</v>
      </c>
      <c r="E15" s="41" t="s">
        <v>191</v>
      </c>
      <c r="F15" s="61">
        <v>1.1000000000000001</v>
      </c>
      <c r="G15" s="74" t="s">
        <v>1740</v>
      </c>
      <c r="H15" s="106" t="s">
        <v>1714</v>
      </c>
      <c r="I15" s="54" t="s">
        <v>1742</v>
      </c>
      <c r="J15" s="59">
        <v>3</v>
      </c>
      <c r="K15" s="59">
        <v>3</v>
      </c>
      <c r="L15" s="41">
        <f t="shared" si="0"/>
        <v>9</v>
      </c>
      <c r="M15" s="114" t="s">
        <v>1734</v>
      </c>
      <c r="N15" s="41">
        <v>1</v>
      </c>
      <c r="O15" s="41">
        <v>3</v>
      </c>
      <c r="P15" s="41">
        <f t="shared" si="1"/>
        <v>3</v>
      </c>
      <c r="Q15" s="79"/>
      <c r="R15" s="79"/>
      <c r="S15" s="79"/>
    </row>
    <row r="16" spans="1:19" ht="52.95" customHeight="1" x14ac:dyDescent="0.4">
      <c r="A16" s="104">
        <v>11</v>
      </c>
      <c r="B16" s="70" t="s">
        <v>203</v>
      </c>
      <c r="C16" s="58" t="s">
        <v>1764</v>
      </c>
      <c r="D16" s="59" t="s">
        <v>1765</v>
      </c>
      <c r="E16" s="41" t="s">
        <v>191</v>
      </c>
      <c r="F16" s="61">
        <v>1.6</v>
      </c>
      <c r="G16" s="74" t="s">
        <v>56</v>
      </c>
      <c r="H16" s="106" t="s">
        <v>1766</v>
      </c>
      <c r="I16" s="54" t="s">
        <v>1742</v>
      </c>
      <c r="J16" s="59">
        <v>3</v>
      </c>
      <c r="K16" s="59">
        <v>3</v>
      </c>
      <c r="L16" s="41">
        <f t="shared" si="0"/>
        <v>9</v>
      </c>
      <c r="M16" s="114" t="s">
        <v>1734</v>
      </c>
      <c r="N16" s="61">
        <v>1</v>
      </c>
      <c r="O16" s="61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104">
        <v>12</v>
      </c>
      <c r="B17" s="70" t="s">
        <v>203</v>
      </c>
      <c r="C17" s="58" t="s">
        <v>1737</v>
      </c>
      <c r="D17" s="59" t="s">
        <v>1738</v>
      </c>
      <c r="E17" s="41" t="s">
        <v>191</v>
      </c>
      <c r="F17" s="61">
        <v>1.3</v>
      </c>
      <c r="G17" s="74" t="s">
        <v>1740</v>
      </c>
      <c r="H17" s="106" t="s">
        <v>1741</v>
      </c>
      <c r="I17" s="54" t="s">
        <v>1742</v>
      </c>
      <c r="J17" s="59">
        <v>3</v>
      </c>
      <c r="K17" s="59">
        <v>2</v>
      </c>
      <c r="L17" s="41">
        <f t="shared" si="0"/>
        <v>6</v>
      </c>
      <c r="M17" s="114" t="s">
        <v>1734</v>
      </c>
      <c r="N17" s="61">
        <v>1</v>
      </c>
      <c r="O17" s="61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104">
        <v>13</v>
      </c>
      <c r="B18" s="70" t="s">
        <v>203</v>
      </c>
      <c r="C18" s="58" t="s">
        <v>1737</v>
      </c>
      <c r="D18" s="59" t="s">
        <v>1738</v>
      </c>
      <c r="E18" s="41" t="s">
        <v>191</v>
      </c>
      <c r="F18" s="61">
        <v>1.1000000000000001</v>
      </c>
      <c r="G18" s="74" t="s">
        <v>1743</v>
      </c>
      <c r="H18" s="106" t="s">
        <v>1722</v>
      </c>
      <c r="I18" s="54" t="s">
        <v>1742</v>
      </c>
      <c r="J18" s="59">
        <v>3</v>
      </c>
      <c r="K18" s="59">
        <v>2</v>
      </c>
      <c r="L18" s="41">
        <f t="shared" si="0"/>
        <v>6</v>
      </c>
      <c r="M18" s="114" t="s">
        <v>1734</v>
      </c>
      <c r="N18" s="61">
        <v>1</v>
      </c>
      <c r="O18" s="61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104">
        <v>14</v>
      </c>
      <c r="B19" s="70" t="s">
        <v>203</v>
      </c>
      <c r="C19" s="58" t="s">
        <v>1737</v>
      </c>
      <c r="D19" s="59" t="s">
        <v>1738</v>
      </c>
      <c r="E19" s="41" t="s">
        <v>191</v>
      </c>
      <c r="F19" s="61">
        <v>1.1000000000000001</v>
      </c>
      <c r="G19" s="74" t="s">
        <v>1740</v>
      </c>
      <c r="H19" s="106" t="s">
        <v>1725</v>
      </c>
      <c r="I19" s="54" t="s">
        <v>1742</v>
      </c>
      <c r="J19" s="59">
        <v>3</v>
      </c>
      <c r="K19" s="59">
        <v>2</v>
      </c>
      <c r="L19" s="41">
        <f t="shared" si="0"/>
        <v>6</v>
      </c>
      <c r="M19" s="114" t="s">
        <v>1734</v>
      </c>
      <c r="N19" s="61">
        <v>1</v>
      </c>
      <c r="O19" s="61">
        <v>2</v>
      </c>
      <c r="P19" s="41">
        <f t="shared" si="1"/>
        <v>2</v>
      </c>
      <c r="Q19" s="88"/>
      <c r="R19" s="79"/>
      <c r="S19" s="79"/>
    </row>
    <row r="20" spans="1:19" ht="52.95" customHeight="1" x14ac:dyDescent="0.4">
      <c r="A20" s="104">
        <v>15</v>
      </c>
      <c r="B20" s="70" t="s">
        <v>203</v>
      </c>
      <c r="C20" s="58" t="s">
        <v>1720</v>
      </c>
      <c r="D20" s="59" t="s">
        <v>1738</v>
      </c>
      <c r="E20" s="41" t="s">
        <v>191</v>
      </c>
      <c r="F20" s="61">
        <v>1.4</v>
      </c>
      <c r="G20" s="74" t="s">
        <v>54</v>
      </c>
      <c r="H20" s="106" t="s">
        <v>1744</v>
      </c>
      <c r="I20" s="54" t="s">
        <v>1742</v>
      </c>
      <c r="J20" s="59">
        <v>3</v>
      </c>
      <c r="K20" s="59">
        <v>2</v>
      </c>
      <c r="L20" s="41">
        <f t="shared" si="0"/>
        <v>6</v>
      </c>
      <c r="M20" s="114" t="s">
        <v>1734</v>
      </c>
      <c r="N20" s="61">
        <v>1</v>
      </c>
      <c r="O20" s="61">
        <v>2</v>
      </c>
      <c r="P20" s="41">
        <f t="shared" si="1"/>
        <v>2</v>
      </c>
      <c r="Q20" s="79"/>
      <c r="R20" s="79"/>
      <c r="S20" s="79"/>
    </row>
    <row r="21" spans="1:19" ht="52.95" customHeight="1" x14ac:dyDescent="0.4">
      <c r="A21" s="104">
        <v>16</v>
      </c>
      <c r="B21" s="70" t="s">
        <v>203</v>
      </c>
      <c r="C21" s="58" t="s">
        <v>1720</v>
      </c>
      <c r="D21" s="59" t="s">
        <v>1738</v>
      </c>
      <c r="E21" s="41" t="s">
        <v>191</v>
      </c>
      <c r="F21" s="61">
        <v>1.3</v>
      </c>
      <c r="G21" s="74" t="s">
        <v>196</v>
      </c>
      <c r="H21" s="106" t="s">
        <v>1745</v>
      </c>
      <c r="I21" s="54" t="s">
        <v>1742</v>
      </c>
      <c r="J21" s="59">
        <v>3</v>
      </c>
      <c r="K21" s="59">
        <v>2</v>
      </c>
      <c r="L21" s="41">
        <f t="shared" si="0"/>
        <v>6</v>
      </c>
      <c r="M21" s="114" t="s">
        <v>1734</v>
      </c>
      <c r="N21" s="61">
        <v>1</v>
      </c>
      <c r="O21" s="61">
        <v>2</v>
      </c>
      <c r="P21" s="41">
        <f t="shared" si="1"/>
        <v>2</v>
      </c>
      <c r="Q21" s="88"/>
      <c r="R21" s="79"/>
      <c r="S21" s="79"/>
    </row>
    <row r="22" spans="1:19" ht="52.95" customHeight="1" x14ac:dyDescent="0.4">
      <c r="A22" s="104">
        <v>17</v>
      </c>
      <c r="B22" s="70" t="s">
        <v>203</v>
      </c>
      <c r="C22" s="58" t="s">
        <v>1720</v>
      </c>
      <c r="D22" s="60" t="s">
        <v>1746</v>
      </c>
      <c r="E22" s="41" t="s">
        <v>191</v>
      </c>
      <c r="F22" s="61">
        <v>1.6</v>
      </c>
      <c r="G22" s="74" t="s">
        <v>56</v>
      </c>
      <c r="H22" s="106" t="s">
        <v>1747</v>
      </c>
      <c r="I22" s="54" t="s">
        <v>1742</v>
      </c>
      <c r="J22" s="59">
        <v>3</v>
      </c>
      <c r="K22" s="59">
        <v>2</v>
      </c>
      <c r="L22" s="41">
        <f t="shared" si="0"/>
        <v>6</v>
      </c>
      <c r="M22" s="114" t="s">
        <v>1734</v>
      </c>
      <c r="N22" s="61">
        <v>1</v>
      </c>
      <c r="O22" s="61">
        <v>2</v>
      </c>
      <c r="P22" s="41">
        <f t="shared" si="1"/>
        <v>2</v>
      </c>
      <c r="Q22" s="88"/>
      <c r="R22" s="79"/>
      <c r="S22" s="79"/>
    </row>
    <row r="23" spans="1:19" ht="52.95" customHeight="1" x14ac:dyDescent="0.4">
      <c r="A23" s="104">
        <v>18</v>
      </c>
      <c r="B23" s="70" t="s">
        <v>203</v>
      </c>
      <c r="C23" s="58" t="s">
        <v>1720</v>
      </c>
      <c r="D23" s="60" t="s">
        <v>1748</v>
      </c>
      <c r="E23" s="41" t="s">
        <v>191</v>
      </c>
      <c r="F23" s="61">
        <v>1.1000000000000001</v>
      </c>
      <c r="G23" s="74" t="s">
        <v>1740</v>
      </c>
      <c r="H23" s="106" t="s">
        <v>1749</v>
      </c>
      <c r="I23" s="54" t="s">
        <v>1742</v>
      </c>
      <c r="J23" s="59">
        <v>3</v>
      </c>
      <c r="K23" s="59">
        <v>2</v>
      </c>
      <c r="L23" s="41">
        <f t="shared" si="0"/>
        <v>6</v>
      </c>
      <c r="M23" s="114" t="s">
        <v>1734</v>
      </c>
      <c r="N23" s="61">
        <v>1</v>
      </c>
      <c r="O23" s="61">
        <v>2</v>
      </c>
      <c r="P23" s="41">
        <f t="shared" si="1"/>
        <v>2</v>
      </c>
      <c r="Q23" s="88"/>
      <c r="R23" s="79"/>
      <c r="S23" s="79"/>
    </row>
    <row r="24" spans="1:19" ht="52.95" customHeight="1" x14ac:dyDescent="0.4">
      <c r="A24" s="104">
        <v>19</v>
      </c>
      <c r="B24" s="70" t="s">
        <v>203</v>
      </c>
      <c r="C24" s="58" t="s">
        <v>1750</v>
      </c>
      <c r="D24" s="59" t="s">
        <v>570</v>
      </c>
      <c r="E24" s="41" t="s">
        <v>191</v>
      </c>
      <c r="F24" s="61">
        <v>1.1000000000000001</v>
      </c>
      <c r="G24" s="74" t="s">
        <v>1751</v>
      </c>
      <c r="H24" s="106" t="s">
        <v>1752</v>
      </c>
      <c r="I24" s="54" t="s">
        <v>1742</v>
      </c>
      <c r="J24" s="59">
        <v>3</v>
      </c>
      <c r="K24" s="59">
        <v>2</v>
      </c>
      <c r="L24" s="41">
        <f t="shared" si="0"/>
        <v>6</v>
      </c>
      <c r="M24" s="114" t="s">
        <v>1734</v>
      </c>
      <c r="N24" s="61">
        <v>1</v>
      </c>
      <c r="O24" s="61">
        <v>2</v>
      </c>
      <c r="P24" s="41">
        <f t="shared" si="1"/>
        <v>2</v>
      </c>
      <c r="Q24" s="88"/>
      <c r="R24" s="79"/>
      <c r="S24" s="79"/>
    </row>
    <row r="25" spans="1:19" ht="52.95" customHeight="1" x14ac:dyDescent="0.4">
      <c r="A25" s="104">
        <v>20</v>
      </c>
      <c r="B25" s="70" t="s">
        <v>203</v>
      </c>
      <c r="C25" s="58" t="s">
        <v>1767</v>
      </c>
      <c r="D25" s="59" t="s">
        <v>570</v>
      </c>
      <c r="E25" s="41" t="s">
        <v>191</v>
      </c>
      <c r="F25" s="61">
        <v>1.6</v>
      </c>
      <c r="G25" s="74" t="s">
        <v>56</v>
      </c>
      <c r="H25" s="106" t="s">
        <v>1753</v>
      </c>
      <c r="I25" s="54" t="s">
        <v>1742</v>
      </c>
      <c r="J25" s="59">
        <v>3</v>
      </c>
      <c r="K25" s="59">
        <v>2</v>
      </c>
      <c r="L25" s="41">
        <f t="shared" si="0"/>
        <v>6</v>
      </c>
      <c r="M25" s="114" t="s">
        <v>1734</v>
      </c>
      <c r="N25" s="61">
        <v>1</v>
      </c>
      <c r="O25" s="61">
        <v>2</v>
      </c>
      <c r="P25" s="41">
        <f t="shared" si="1"/>
        <v>2</v>
      </c>
      <c r="Q25" s="88"/>
      <c r="R25" s="79"/>
      <c r="S25" s="79"/>
    </row>
    <row r="26" spans="1:19" ht="52.95" customHeight="1" x14ac:dyDescent="0.4">
      <c r="A26" s="104">
        <v>21</v>
      </c>
      <c r="B26" s="70" t="s">
        <v>203</v>
      </c>
      <c r="C26" s="58" t="s">
        <v>1767</v>
      </c>
      <c r="D26" s="59" t="s">
        <v>570</v>
      </c>
      <c r="E26" s="41" t="s">
        <v>191</v>
      </c>
      <c r="F26" s="61">
        <v>1.6</v>
      </c>
      <c r="G26" s="74" t="s">
        <v>56</v>
      </c>
      <c r="H26" s="106" t="s">
        <v>1754</v>
      </c>
      <c r="I26" s="54" t="s">
        <v>1742</v>
      </c>
      <c r="J26" s="59">
        <v>3</v>
      </c>
      <c r="K26" s="59">
        <v>2</v>
      </c>
      <c r="L26" s="41">
        <f t="shared" si="0"/>
        <v>6</v>
      </c>
      <c r="M26" s="114" t="s">
        <v>1734</v>
      </c>
      <c r="N26" s="61">
        <v>1</v>
      </c>
      <c r="O26" s="61">
        <v>2</v>
      </c>
      <c r="P26" s="41">
        <f t="shared" si="1"/>
        <v>2</v>
      </c>
      <c r="Q26" s="88"/>
      <c r="R26" s="79"/>
      <c r="S26" s="79"/>
    </row>
    <row r="27" spans="1:19" ht="52.95" customHeight="1" x14ac:dyDescent="0.4">
      <c r="A27" s="104">
        <v>22</v>
      </c>
      <c r="B27" s="70" t="s">
        <v>203</v>
      </c>
      <c r="C27" s="58" t="s">
        <v>1767</v>
      </c>
      <c r="D27" s="59" t="s">
        <v>1755</v>
      </c>
      <c r="E27" s="41" t="s">
        <v>191</v>
      </c>
      <c r="F27" s="61">
        <v>1.3</v>
      </c>
      <c r="G27" s="74" t="s">
        <v>196</v>
      </c>
      <c r="H27" s="106" t="s">
        <v>1756</v>
      </c>
      <c r="I27" s="54" t="s">
        <v>1742</v>
      </c>
      <c r="J27" s="59">
        <v>3</v>
      </c>
      <c r="K27" s="59">
        <v>2</v>
      </c>
      <c r="L27" s="41">
        <f t="shared" si="0"/>
        <v>6</v>
      </c>
      <c r="M27" s="114" t="s">
        <v>1734</v>
      </c>
      <c r="N27" s="61">
        <v>1</v>
      </c>
      <c r="O27" s="61">
        <v>2</v>
      </c>
      <c r="P27" s="41">
        <f t="shared" si="1"/>
        <v>2</v>
      </c>
      <c r="Q27" s="88"/>
      <c r="R27" s="79"/>
      <c r="S27" s="79"/>
    </row>
    <row r="28" spans="1:19" ht="52.95" customHeight="1" x14ac:dyDescent="0.4">
      <c r="A28" s="104">
        <v>23</v>
      </c>
      <c r="B28" s="70" t="s">
        <v>203</v>
      </c>
      <c r="C28" s="58" t="s">
        <v>1768</v>
      </c>
      <c r="D28" s="59" t="s">
        <v>1755</v>
      </c>
      <c r="E28" s="41" t="s">
        <v>191</v>
      </c>
      <c r="F28" s="61">
        <v>1.1000000000000001</v>
      </c>
      <c r="G28" s="74" t="s">
        <v>1740</v>
      </c>
      <c r="H28" s="106" t="s">
        <v>1757</v>
      </c>
      <c r="I28" s="54" t="s">
        <v>1742</v>
      </c>
      <c r="J28" s="59">
        <v>3</v>
      </c>
      <c r="K28" s="59">
        <v>2</v>
      </c>
      <c r="L28" s="41">
        <f t="shared" si="0"/>
        <v>6</v>
      </c>
      <c r="M28" s="114" t="s">
        <v>1734</v>
      </c>
      <c r="N28" s="61">
        <v>1</v>
      </c>
      <c r="O28" s="61">
        <v>2</v>
      </c>
      <c r="P28" s="41">
        <f t="shared" si="1"/>
        <v>2</v>
      </c>
      <c r="Q28" s="88"/>
      <c r="R28" s="79"/>
      <c r="S28" s="79"/>
    </row>
    <row r="29" spans="1:19" ht="52.95" customHeight="1" x14ac:dyDescent="0.4">
      <c r="A29" s="104">
        <v>24</v>
      </c>
      <c r="B29" s="70" t="s">
        <v>203</v>
      </c>
      <c r="C29" s="58" t="s">
        <v>1768</v>
      </c>
      <c r="D29" s="59" t="s">
        <v>1755</v>
      </c>
      <c r="E29" s="41" t="s">
        <v>191</v>
      </c>
      <c r="F29" s="61">
        <v>1.2</v>
      </c>
      <c r="G29" s="89" t="s">
        <v>52</v>
      </c>
      <c r="H29" s="106" t="s">
        <v>1758</v>
      </c>
      <c r="I29" s="54" t="s">
        <v>1742</v>
      </c>
      <c r="J29" s="59">
        <v>3</v>
      </c>
      <c r="K29" s="59">
        <v>2</v>
      </c>
      <c r="L29" s="41">
        <f t="shared" si="0"/>
        <v>6</v>
      </c>
      <c r="M29" s="114" t="s">
        <v>1734</v>
      </c>
      <c r="N29" s="61">
        <v>1</v>
      </c>
      <c r="O29" s="61">
        <v>2</v>
      </c>
      <c r="P29" s="41">
        <f t="shared" si="1"/>
        <v>2</v>
      </c>
      <c r="Q29" s="88"/>
      <c r="R29" s="79"/>
      <c r="S29" s="79"/>
    </row>
    <row r="30" spans="1:19" ht="52.95" customHeight="1" x14ac:dyDescent="0.4">
      <c r="A30" s="104">
        <v>25</v>
      </c>
      <c r="B30" s="70" t="s">
        <v>203</v>
      </c>
      <c r="C30" s="58" t="s">
        <v>1768</v>
      </c>
      <c r="D30" s="59" t="s">
        <v>1755</v>
      </c>
      <c r="E30" s="41" t="s">
        <v>191</v>
      </c>
      <c r="F30" s="61">
        <v>1.6</v>
      </c>
      <c r="G30" s="74" t="s">
        <v>56</v>
      </c>
      <c r="H30" s="106" t="s">
        <v>1759</v>
      </c>
      <c r="I30" s="54" t="s">
        <v>1742</v>
      </c>
      <c r="J30" s="59">
        <v>3</v>
      </c>
      <c r="K30" s="59">
        <v>2</v>
      </c>
      <c r="L30" s="41">
        <f t="shared" si="0"/>
        <v>6</v>
      </c>
      <c r="M30" s="114" t="s">
        <v>1734</v>
      </c>
      <c r="N30" s="61">
        <v>1</v>
      </c>
      <c r="O30" s="61">
        <v>2</v>
      </c>
      <c r="P30" s="41">
        <f t="shared" si="1"/>
        <v>2</v>
      </c>
      <c r="Q30" s="88"/>
      <c r="R30" s="79"/>
      <c r="S30" s="79"/>
    </row>
    <row r="31" spans="1:19" ht="52.95" customHeight="1" x14ac:dyDescent="0.4">
      <c r="A31" s="104">
        <v>26</v>
      </c>
      <c r="B31" s="70" t="s">
        <v>203</v>
      </c>
      <c r="C31" s="58" t="s">
        <v>1768</v>
      </c>
      <c r="D31" s="59" t="s">
        <v>1755</v>
      </c>
      <c r="E31" s="41" t="s">
        <v>191</v>
      </c>
      <c r="F31" s="61">
        <v>6.1</v>
      </c>
      <c r="G31" s="74" t="s">
        <v>80</v>
      </c>
      <c r="H31" s="106" t="s">
        <v>1760</v>
      </c>
      <c r="I31" s="54" t="s">
        <v>1742</v>
      </c>
      <c r="J31" s="59">
        <v>3</v>
      </c>
      <c r="K31" s="59">
        <v>2</v>
      </c>
      <c r="L31" s="41">
        <f t="shared" si="0"/>
        <v>6</v>
      </c>
      <c r="M31" s="114" t="s">
        <v>1734</v>
      </c>
      <c r="N31" s="61">
        <v>1</v>
      </c>
      <c r="O31" s="61">
        <v>2</v>
      </c>
      <c r="P31" s="41">
        <f t="shared" si="1"/>
        <v>2</v>
      </c>
      <c r="Q31" s="88"/>
      <c r="R31" s="79"/>
      <c r="S31" s="79"/>
    </row>
    <row r="32" spans="1:19" ht="52.95" customHeight="1" x14ac:dyDescent="0.4">
      <c r="A32" s="104">
        <v>27</v>
      </c>
      <c r="B32" s="70" t="s">
        <v>203</v>
      </c>
      <c r="C32" s="58" t="s">
        <v>1761</v>
      </c>
      <c r="D32" s="59" t="s">
        <v>1755</v>
      </c>
      <c r="E32" s="41" t="s">
        <v>191</v>
      </c>
      <c r="F32" s="61">
        <v>1.1000000000000001</v>
      </c>
      <c r="G32" s="74" t="s">
        <v>1751</v>
      </c>
      <c r="H32" s="106" t="s">
        <v>1762</v>
      </c>
      <c r="I32" s="54" t="s">
        <v>1742</v>
      </c>
      <c r="J32" s="59">
        <v>3</v>
      </c>
      <c r="K32" s="59">
        <v>3</v>
      </c>
      <c r="L32" s="41">
        <f t="shared" si="0"/>
        <v>9</v>
      </c>
      <c r="M32" s="114" t="s">
        <v>1734</v>
      </c>
      <c r="N32" s="61">
        <v>2</v>
      </c>
      <c r="O32" s="61">
        <v>3</v>
      </c>
      <c r="P32" s="41">
        <f t="shared" si="1"/>
        <v>6</v>
      </c>
      <c r="Q32" s="88"/>
      <c r="R32" s="79"/>
      <c r="S32" s="79"/>
    </row>
    <row r="33" spans="1:19" ht="52.95" customHeight="1" x14ac:dyDescent="0.4">
      <c r="A33" s="2"/>
      <c r="B33" s="80"/>
      <c r="C33" s="85"/>
      <c r="D33" s="41"/>
      <c r="E33" s="41"/>
      <c r="F33" s="41"/>
      <c r="G33" s="86"/>
      <c r="H33" s="54"/>
      <c r="I33" s="54"/>
      <c r="J33" s="41"/>
      <c r="K33" s="41"/>
      <c r="L33" s="41"/>
      <c r="M33" s="86"/>
      <c r="N33" s="41"/>
      <c r="O33" s="41"/>
      <c r="P33" s="41"/>
      <c r="Q33" s="88"/>
      <c r="R33" s="79"/>
      <c r="S33" s="79"/>
    </row>
    <row r="34" spans="1:19" ht="52.95" customHeight="1" x14ac:dyDescent="0.4">
      <c r="A34" s="2"/>
      <c r="B34" s="80"/>
      <c r="C34" s="85"/>
      <c r="D34" s="41"/>
      <c r="E34" s="41"/>
      <c r="F34" s="41"/>
      <c r="G34" s="86"/>
      <c r="H34" s="57"/>
      <c r="I34" s="54"/>
      <c r="J34" s="41"/>
      <c r="K34" s="41"/>
      <c r="L34" s="41"/>
      <c r="M34" s="87"/>
      <c r="N34" s="41"/>
      <c r="O34" s="41"/>
      <c r="P34" s="41"/>
      <c r="Q34" s="88"/>
      <c r="R34" s="79"/>
      <c r="S34" s="79"/>
    </row>
    <row r="35" spans="1:19" ht="52.95" customHeight="1" x14ac:dyDescent="0.4">
      <c r="A35" s="2"/>
      <c r="B35" s="80"/>
      <c r="C35" s="85"/>
      <c r="D35" s="41"/>
      <c r="E35" s="41"/>
      <c r="F35" s="41"/>
      <c r="G35" s="87"/>
      <c r="H35" s="57"/>
      <c r="I35" s="54"/>
      <c r="J35" s="41"/>
      <c r="K35" s="41"/>
      <c r="L35" s="41"/>
      <c r="M35" s="87"/>
      <c r="N35" s="41"/>
      <c r="O35" s="41"/>
      <c r="P35" s="41"/>
      <c r="Q35" s="88"/>
      <c r="R35" s="79"/>
      <c r="S35" s="79"/>
    </row>
    <row r="36" spans="1:19" ht="25.2" customHeight="1" x14ac:dyDescent="0.4">
      <c r="A36" s="389" t="s">
        <v>185</v>
      </c>
      <c r="B36" s="390"/>
      <c r="C36" s="391"/>
      <c r="D36" s="398" t="s">
        <v>186</v>
      </c>
      <c r="E36" s="399"/>
      <c r="F36" s="400"/>
      <c r="G36" s="401"/>
      <c r="H36" s="401"/>
      <c r="I36" s="401"/>
      <c r="J36" s="401"/>
      <c r="K36" s="401"/>
      <c r="L36" s="401"/>
      <c r="M36" s="402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392"/>
      <c r="B37" s="393"/>
      <c r="C37" s="394"/>
      <c r="D37" s="398" t="s">
        <v>188</v>
      </c>
      <c r="E37" s="399"/>
      <c r="F37" s="400"/>
      <c r="G37" s="401"/>
      <c r="H37" s="401"/>
      <c r="I37" s="401"/>
      <c r="J37" s="401"/>
      <c r="K37" s="401"/>
      <c r="L37" s="401"/>
      <c r="M37" s="402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392"/>
      <c r="B38" s="393"/>
      <c r="C38" s="394"/>
      <c r="D38" s="398" t="s">
        <v>130</v>
      </c>
      <c r="E38" s="399"/>
      <c r="F38" s="400"/>
      <c r="G38" s="401"/>
      <c r="H38" s="401"/>
      <c r="I38" s="401"/>
      <c r="J38" s="401"/>
      <c r="K38" s="401"/>
      <c r="L38" s="401"/>
      <c r="M38" s="402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392"/>
      <c r="B39" s="393"/>
      <c r="C39" s="394"/>
      <c r="D39" s="398" t="s">
        <v>189</v>
      </c>
      <c r="E39" s="399"/>
      <c r="F39" s="400"/>
      <c r="G39" s="401"/>
      <c r="H39" s="401"/>
      <c r="I39" s="401"/>
      <c r="J39" s="401"/>
      <c r="K39" s="401"/>
      <c r="L39" s="401"/>
      <c r="M39" s="402"/>
      <c r="N39" s="51" t="s">
        <v>187</v>
      </c>
      <c r="O39" s="52"/>
      <c r="P39" s="52"/>
      <c r="Q39" s="52"/>
      <c r="R39" s="52"/>
      <c r="S39" s="53"/>
    </row>
    <row r="40" spans="1:19" ht="25.2" customHeight="1" x14ac:dyDescent="0.4">
      <c r="A40" s="395"/>
      <c r="B40" s="396"/>
      <c r="C40" s="397"/>
      <c r="D40" s="398" t="s">
        <v>190</v>
      </c>
      <c r="E40" s="399"/>
      <c r="F40" s="400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1577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1453</v>
      </c>
      <c r="D6" s="41" t="s">
        <v>1454</v>
      </c>
      <c r="E6" s="41" t="s">
        <v>458</v>
      </c>
      <c r="F6" s="41">
        <v>1.3</v>
      </c>
      <c r="G6" s="86" t="s">
        <v>1177</v>
      </c>
      <c r="H6" s="57" t="s">
        <v>498</v>
      </c>
      <c r="I6" s="54" t="s">
        <v>718</v>
      </c>
      <c r="J6" s="41">
        <v>4</v>
      </c>
      <c r="K6" s="41">
        <v>1</v>
      </c>
      <c r="L6" s="41">
        <f>J6*K6</f>
        <v>4</v>
      </c>
      <c r="M6" s="87" t="s">
        <v>719</v>
      </c>
      <c r="N6" s="41">
        <v>3</v>
      </c>
      <c r="O6" s="41">
        <v>1</v>
      </c>
      <c r="P6" s="41">
        <f>N6*O6</f>
        <v>3</v>
      </c>
      <c r="Q6" s="79"/>
      <c r="R6" s="103" t="s">
        <v>1567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1453</v>
      </c>
      <c r="D7" s="41" t="s">
        <v>1454</v>
      </c>
      <c r="E7" s="41" t="s">
        <v>458</v>
      </c>
      <c r="F7" s="41">
        <v>1.3</v>
      </c>
      <c r="G7" s="87" t="s">
        <v>968</v>
      </c>
      <c r="H7" s="57" t="s">
        <v>1456</v>
      </c>
      <c r="I7" s="54" t="s">
        <v>718</v>
      </c>
      <c r="J7" s="41">
        <v>2</v>
      </c>
      <c r="K7" s="41">
        <v>3</v>
      </c>
      <c r="L7" s="41">
        <f t="shared" ref="L7:L25" si="0">J7*K7</f>
        <v>6</v>
      </c>
      <c r="M7" s="87" t="s">
        <v>1457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1567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1458</v>
      </c>
      <c r="D8" s="41" t="s">
        <v>1459</v>
      </c>
      <c r="E8" s="41" t="s">
        <v>458</v>
      </c>
      <c r="F8" s="41">
        <v>4.0999999999999996</v>
      </c>
      <c r="G8" s="87" t="s">
        <v>499</v>
      </c>
      <c r="H8" s="57" t="s">
        <v>1460</v>
      </c>
      <c r="I8" s="54" t="s">
        <v>718</v>
      </c>
      <c r="J8" s="41">
        <v>2</v>
      </c>
      <c r="K8" s="41">
        <v>3</v>
      </c>
      <c r="L8" s="41">
        <f t="shared" si="0"/>
        <v>6</v>
      </c>
      <c r="M8" s="87" t="s">
        <v>1457</v>
      </c>
      <c r="N8" s="41">
        <v>1</v>
      </c>
      <c r="O8" s="41">
        <v>3</v>
      </c>
      <c r="P8" s="41">
        <f t="shared" si="1"/>
        <v>3</v>
      </c>
      <c r="Q8" s="79"/>
      <c r="R8" s="103" t="s">
        <v>1567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1458</v>
      </c>
      <c r="D9" s="41" t="s">
        <v>1459</v>
      </c>
      <c r="E9" s="41" t="s">
        <v>458</v>
      </c>
      <c r="F9" s="41">
        <v>4.2</v>
      </c>
      <c r="G9" s="87" t="s">
        <v>968</v>
      </c>
      <c r="H9" s="57" t="s">
        <v>1461</v>
      </c>
      <c r="I9" s="54" t="s">
        <v>718</v>
      </c>
      <c r="J9" s="41">
        <v>2</v>
      </c>
      <c r="K9" s="41">
        <v>3</v>
      </c>
      <c r="L9" s="41">
        <f t="shared" si="0"/>
        <v>6</v>
      </c>
      <c r="M9" s="87" t="s">
        <v>1457</v>
      </c>
      <c r="N9" s="41">
        <v>1</v>
      </c>
      <c r="O9" s="41">
        <v>3</v>
      </c>
      <c r="P9" s="41">
        <f t="shared" si="1"/>
        <v>3</v>
      </c>
      <c r="Q9" s="79"/>
      <c r="R9" s="103" t="s">
        <v>1567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1462</v>
      </c>
      <c r="D10" s="41" t="s">
        <v>1463</v>
      </c>
      <c r="E10" s="41" t="s">
        <v>458</v>
      </c>
      <c r="F10" s="41">
        <v>1.3</v>
      </c>
      <c r="G10" s="87" t="s">
        <v>1205</v>
      </c>
      <c r="H10" s="57" t="s">
        <v>1464</v>
      </c>
      <c r="I10" s="54" t="s">
        <v>1465</v>
      </c>
      <c r="J10" s="41">
        <v>2</v>
      </c>
      <c r="K10" s="41">
        <v>3</v>
      </c>
      <c r="L10" s="41">
        <f t="shared" si="0"/>
        <v>6</v>
      </c>
      <c r="M10" s="87" t="s">
        <v>1457</v>
      </c>
      <c r="N10" s="41">
        <v>1</v>
      </c>
      <c r="O10" s="41">
        <v>3</v>
      </c>
      <c r="P10" s="41">
        <f t="shared" si="1"/>
        <v>3</v>
      </c>
      <c r="Q10" s="79"/>
      <c r="R10" s="103" t="s">
        <v>1567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1462</v>
      </c>
      <c r="D11" s="41" t="s">
        <v>1463</v>
      </c>
      <c r="E11" s="41" t="s">
        <v>458</v>
      </c>
      <c r="F11" s="41">
        <v>1.3</v>
      </c>
      <c r="G11" s="86" t="s">
        <v>968</v>
      </c>
      <c r="H11" s="57" t="s">
        <v>1466</v>
      </c>
      <c r="I11" s="54" t="s">
        <v>1465</v>
      </c>
      <c r="J11" s="41">
        <v>2</v>
      </c>
      <c r="K11" s="41">
        <v>3</v>
      </c>
      <c r="L11" s="41">
        <f t="shared" si="0"/>
        <v>6</v>
      </c>
      <c r="M11" s="86" t="s">
        <v>1457</v>
      </c>
      <c r="N11" s="41">
        <v>1</v>
      </c>
      <c r="O11" s="41">
        <v>3</v>
      </c>
      <c r="P11" s="41">
        <f t="shared" si="1"/>
        <v>3</v>
      </c>
      <c r="Q11" s="79"/>
      <c r="R11" s="103" t="s">
        <v>1567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1467</v>
      </c>
      <c r="D12" s="41" t="s">
        <v>1468</v>
      </c>
      <c r="E12" s="41" t="s">
        <v>458</v>
      </c>
      <c r="F12" s="2">
        <v>1.2</v>
      </c>
      <c r="G12" s="97" t="s">
        <v>963</v>
      </c>
      <c r="H12" s="57" t="s">
        <v>1469</v>
      </c>
      <c r="I12" s="98" t="s">
        <v>1088</v>
      </c>
      <c r="J12" s="41">
        <v>2</v>
      </c>
      <c r="K12" s="41">
        <v>3</v>
      </c>
      <c r="L12" s="41">
        <f t="shared" si="0"/>
        <v>6</v>
      </c>
      <c r="M12" s="86" t="s">
        <v>1470</v>
      </c>
      <c r="N12" s="41">
        <v>1</v>
      </c>
      <c r="O12" s="41">
        <v>3</v>
      </c>
      <c r="P12" s="41">
        <f t="shared" si="1"/>
        <v>3</v>
      </c>
      <c r="Q12" s="79"/>
      <c r="R12" s="103" t="s">
        <v>1567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1467</v>
      </c>
      <c r="D13" s="41" t="s">
        <v>1468</v>
      </c>
      <c r="E13" s="41" t="s">
        <v>458</v>
      </c>
      <c r="F13" s="41">
        <v>1.3</v>
      </c>
      <c r="G13" s="86" t="s">
        <v>549</v>
      </c>
      <c r="H13" s="57" t="s">
        <v>1471</v>
      </c>
      <c r="I13" s="54" t="s">
        <v>890</v>
      </c>
      <c r="J13" s="41">
        <v>2</v>
      </c>
      <c r="K13" s="41">
        <v>3</v>
      </c>
      <c r="L13" s="41">
        <f t="shared" si="0"/>
        <v>6</v>
      </c>
      <c r="M13" s="86" t="s">
        <v>1472</v>
      </c>
      <c r="N13" s="41">
        <v>1</v>
      </c>
      <c r="O13" s="41">
        <v>3</v>
      </c>
      <c r="P13" s="41">
        <f t="shared" si="1"/>
        <v>3</v>
      </c>
      <c r="Q13" s="88"/>
      <c r="R13" s="103" t="s">
        <v>1567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1467</v>
      </c>
      <c r="D14" s="41" t="s">
        <v>1468</v>
      </c>
      <c r="E14" s="41" t="s">
        <v>458</v>
      </c>
      <c r="F14" s="41">
        <v>1.5</v>
      </c>
      <c r="G14" s="87" t="s">
        <v>499</v>
      </c>
      <c r="H14" s="57" t="s">
        <v>1473</v>
      </c>
      <c r="I14" s="54" t="s">
        <v>1088</v>
      </c>
      <c r="J14" s="41">
        <v>3</v>
      </c>
      <c r="K14" s="41">
        <v>1</v>
      </c>
      <c r="L14" s="41">
        <f t="shared" si="0"/>
        <v>3</v>
      </c>
      <c r="M14" s="87" t="s">
        <v>1474</v>
      </c>
      <c r="N14" s="41">
        <v>2</v>
      </c>
      <c r="O14" s="41">
        <v>1</v>
      </c>
      <c r="P14" s="41">
        <f t="shared" si="1"/>
        <v>2</v>
      </c>
      <c r="Q14" s="79"/>
      <c r="R14" s="103" t="s">
        <v>1567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1467</v>
      </c>
      <c r="D15" s="41" t="s">
        <v>1475</v>
      </c>
      <c r="E15" s="41" t="s">
        <v>458</v>
      </c>
      <c r="F15" s="41">
        <v>1.6</v>
      </c>
      <c r="G15" s="86" t="s">
        <v>968</v>
      </c>
      <c r="H15" s="57" t="s">
        <v>1476</v>
      </c>
      <c r="I15" s="54" t="s">
        <v>718</v>
      </c>
      <c r="J15" s="41">
        <v>3</v>
      </c>
      <c r="K15" s="41">
        <v>1</v>
      </c>
      <c r="L15" s="41">
        <f t="shared" si="0"/>
        <v>3</v>
      </c>
      <c r="M15" s="86" t="s">
        <v>1457</v>
      </c>
      <c r="N15" s="41">
        <v>2</v>
      </c>
      <c r="O15" s="41">
        <v>1</v>
      </c>
      <c r="P15" s="41">
        <f t="shared" si="1"/>
        <v>2</v>
      </c>
      <c r="Q15" s="88"/>
      <c r="R15" s="103" t="s">
        <v>1567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1477</v>
      </c>
      <c r="D16" s="41" t="s">
        <v>1468</v>
      </c>
      <c r="E16" s="41" t="s">
        <v>458</v>
      </c>
      <c r="F16" s="41">
        <v>1.4</v>
      </c>
      <c r="G16" s="86" t="s">
        <v>512</v>
      </c>
      <c r="H16" s="57" t="s">
        <v>1062</v>
      </c>
      <c r="I16" s="54" t="s">
        <v>1474</v>
      </c>
      <c r="J16" s="41">
        <v>2</v>
      </c>
      <c r="K16" s="41">
        <v>2</v>
      </c>
      <c r="L16" s="41">
        <f t="shared" si="0"/>
        <v>4</v>
      </c>
      <c r="M16" s="86" t="s">
        <v>1478</v>
      </c>
      <c r="N16" s="41">
        <v>1</v>
      </c>
      <c r="O16" s="41">
        <v>2</v>
      </c>
      <c r="P16" s="41">
        <f t="shared" si="1"/>
        <v>2</v>
      </c>
      <c r="Q16" s="88"/>
      <c r="R16" s="103" t="s">
        <v>1567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1477</v>
      </c>
      <c r="D17" s="41" t="s">
        <v>1468</v>
      </c>
      <c r="E17" s="41" t="s">
        <v>458</v>
      </c>
      <c r="F17" s="41">
        <v>1.5</v>
      </c>
      <c r="G17" s="86" t="s">
        <v>1572</v>
      </c>
      <c r="H17" s="57" t="s">
        <v>1479</v>
      </c>
      <c r="I17" s="54" t="s">
        <v>1088</v>
      </c>
      <c r="J17" s="41">
        <v>3</v>
      </c>
      <c r="K17" s="41">
        <v>3</v>
      </c>
      <c r="L17" s="41">
        <f t="shared" si="0"/>
        <v>9</v>
      </c>
      <c r="M17" s="87" t="s">
        <v>1470</v>
      </c>
      <c r="N17" s="41">
        <v>2</v>
      </c>
      <c r="O17" s="41">
        <v>3</v>
      </c>
      <c r="P17" s="41">
        <f t="shared" si="1"/>
        <v>6</v>
      </c>
      <c r="Q17" s="88"/>
      <c r="R17" s="103" t="s">
        <v>1567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1477</v>
      </c>
      <c r="D18" s="41" t="s">
        <v>1468</v>
      </c>
      <c r="E18" s="41" t="s">
        <v>458</v>
      </c>
      <c r="F18" s="41">
        <v>4.0999999999999996</v>
      </c>
      <c r="G18" s="87" t="s">
        <v>499</v>
      </c>
      <c r="H18" s="57" t="s">
        <v>1473</v>
      </c>
      <c r="I18" s="54" t="s">
        <v>1088</v>
      </c>
      <c r="J18" s="41">
        <v>3</v>
      </c>
      <c r="K18" s="41">
        <v>1</v>
      </c>
      <c r="L18" s="41">
        <f t="shared" si="0"/>
        <v>3</v>
      </c>
      <c r="M18" s="87" t="s">
        <v>1470</v>
      </c>
      <c r="N18" s="41">
        <v>2</v>
      </c>
      <c r="O18" s="41">
        <v>1</v>
      </c>
      <c r="P18" s="41">
        <f t="shared" si="1"/>
        <v>2</v>
      </c>
      <c r="Q18" s="79"/>
      <c r="R18" s="103" t="s">
        <v>1567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1477</v>
      </c>
      <c r="D19" s="41" t="s">
        <v>1468</v>
      </c>
      <c r="E19" s="41" t="s">
        <v>458</v>
      </c>
      <c r="F19" s="41">
        <v>3.2</v>
      </c>
      <c r="G19" s="86" t="s">
        <v>963</v>
      </c>
      <c r="H19" s="57" t="s">
        <v>1469</v>
      </c>
      <c r="I19" s="54" t="s">
        <v>1088</v>
      </c>
      <c r="J19" s="41">
        <v>2</v>
      </c>
      <c r="K19" s="41">
        <v>3</v>
      </c>
      <c r="L19" s="41">
        <f t="shared" si="0"/>
        <v>6</v>
      </c>
      <c r="M19" s="86" t="s">
        <v>1470</v>
      </c>
      <c r="N19" s="41">
        <v>1</v>
      </c>
      <c r="O19" s="41">
        <v>3</v>
      </c>
      <c r="P19" s="41">
        <f t="shared" si="1"/>
        <v>3</v>
      </c>
      <c r="Q19" s="79"/>
      <c r="R19" s="103" t="s">
        <v>1567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1480</v>
      </c>
      <c r="D20" s="41" t="s">
        <v>1468</v>
      </c>
      <c r="E20" s="41" t="s">
        <v>458</v>
      </c>
      <c r="F20" s="2">
        <v>1.4</v>
      </c>
      <c r="G20" s="97" t="s">
        <v>512</v>
      </c>
      <c r="H20" s="57" t="s">
        <v>1481</v>
      </c>
      <c r="I20" s="98" t="s">
        <v>1482</v>
      </c>
      <c r="J20" s="41">
        <v>2</v>
      </c>
      <c r="K20" s="41">
        <v>4</v>
      </c>
      <c r="L20" s="41">
        <f t="shared" si="0"/>
        <v>8</v>
      </c>
      <c r="M20" s="86" t="s">
        <v>1474</v>
      </c>
      <c r="N20" s="41">
        <v>1</v>
      </c>
      <c r="O20" s="41">
        <v>4</v>
      </c>
      <c r="P20" s="41">
        <f t="shared" si="1"/>
        <v>4</v>
      </c>
      <c r="Q20" s="79"/>
      <c r="R20" s="103" t="s">
        <v>1567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1480</v>
      </c>
      <c r="D21" s="41" t="s">
        <v>1064</v>
      </c>
      <c r="E21" s="41" t="s">
        <v>458</v>
      </c>
      <c r="F21" s="41">
        <v>1.4</v>
      </c>
      <c r="G21" s="86" t="s">
        <v>512</v>
      </c>
      <c r="H21" s="57" t="s">
        <v>1065</v>
      </c>
      <c r="I21" s="54" t="s">
        <v>1482</v>
      </c>
      <c r="J21" s="41">
        <v>3</v>
      </c>
      <c r="K21" s="41">
        <v>3</v>
      </c>
      <c r="L21" s="41">
        <f t="shared" si="0"/>
        <v>9</v>
      </c>
      <c r="M21" s="86" t="s">
        <v>1474</v>
      </c>
      <c r="N21" s="41">
        <v>2</v>
      </c>
      <c r="O21" s="41">
        <v>3</v>
      </c>
      <c r="P21" s="41">
        <f t="shared" si="1"/>
        <v>6</v>
      </c>
      <c r="Q21" s="88"/>
      <c r="R21" s="103" t="s">
        <v>1567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1483</v>
      </c>
      <c r="D22" s="41" t="s">
        <v>1468</v>
      </c>
      <c r="E22" s="41" t="s">
        <v>458</v>
      </c>
      <c r="F22" s="41">
        <v>1.1000000000000001</v>
      </c>
      <c r="G22" s="87" t="s">
        <v>1205</v>
      </c>
      <c r="H22" s="57" t="s">
        <v>1484</v>
      </c>
      <c r="I22" s="54" t="s">
        <v>1482</v>
      </c>
      <c r="J22" s="41">
        <v>3</v>
      </c>
      <c r="K22" s="41">
        <v>3</v>
      </c>
      <c r="L22" s="41">
        <f t="shared" si="0"/>
        <v>9</v>
      </c>
      <c r="M22" s="87" t="s">
        <v>1474</v>
      </c>
      <c r="N22" s="41">
        <v>2</v>
      </c>
      <c r="O22" s="41">
        <v>3</v>
      </c>
      <c r="P22" s="41">
        <f t="shared" si="1"/>
        <v>6</v>
      </c>
      <c r="Q22" s="79"/>
      <c r="R22" s="103" t="s">
        <v>1567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1483</v>
      </c>
      <c r="D23" s="41" t="s">
        <v>1468</v>
      </c>
      <c r="E23" s="41" t="s">
        <v>1485</v>
      </c>
      <c r="F23" s="41">
        <v>1.5</v>
      </c>
      <c r="G23" s="86" t="s">
        <v>1485</v>
      </c>
      <c r="H23" s="57" t="s">
        <v>1486</v>
      </c>
      <c r="I23" s="54" t="s">
        <v>1482</v>
      </c>
      <c r="J23" s="41">
        <v>3</v>
      </c>
      <c r="K23" s="41">
        <v>3</v>
      </c>
      <c r="L23" s="41">
        <f t="shared" si="0"/>
        <v>9</v>
      </c>
      <c r="M23" s="86" t="s">
        <v>1487</v>
      </c>
      <c r="N23" s="41">
        <v>3</v>
      </c>
      <c r="O23" s="41">
        <v>2</v>
      </c>
      <c r="P23" s="41">
        <f t="shared" si="1"/>
        <v>6</v>
      </c>
      <c r="Q23" s="88"/>
      <c r="R23" s="103" t="s">
        <v>1567</v>
      </c>
      <c r="S23" s="79"/>
    </row>
    <row r="24" spans="1:19" ht="52.95" customHeight="1" x14ac:dyDescent="0.4">
      <c r="A24" s="2">
        <v>19</v>
      </c>
      <c r="B24" s="80" t="s">
        <v>203</v>
      </c>
      <c r="C24" s="85" t="s">
        <v>1483</v>
      </c>
      <c r="D24" s="41" t="s">
        <v>1468</v>
      </c>
      <c r="E24" s="41" t="s">
        <v>1488</v>
      </c>
      <c r="F24" s="41">
        <v>1.1000000000000001</v>
      </c>
      <c r="G24" s="87" t="s">
        <v>1488</v>
      </c>
      <c r="H24" s="57" t="s">
        <v>1489</v>
      </c>
      <c r="I24" s="54" t="s">
        <v>1482</v>
      </c>
      <c r="J24" s="41">
        <v>3</v>
      </c>
      <c r="K24" s="41">
        <v>2</v>
      </c>
      <c r="L24" s="41">
        <f t="shared" si="0"/>
        <v>6</v>
      </c>
      <c r="M24" s="87" t="s">
        <v>1490</v>
      </c>
      <c r="N24" s="41">
        <v>2</v>
      </c>
      <c r="O24" s="41">
        <v>2</v>
      </c>
      <c r="P24" s="41">
        <f t="shared" si="1"/>
        <v>4</v>
      </c>
      <c r="Q24" s="79"/>
      <c r="R24" s="103" t="s">
        <v>1567</v>
      </c>
      <c r="S24" s="79"/>
    </row>
    <row r="25" spans="1:19" ht="52.95" customHeight="1" x14ac:dyDescent="0.4">
      <c r="A25" s="2">
        <v>20</v>
      </c>
      <c r="B25" s="80" t="s">
        <v>203</v>
      </c>
      <c r="C25" s="85" t="s">
        <v>1483</v>
      </c>
      <c r="D25" s="41" t="s">
        <v>1468</v>
      </c>
      <c r="E25" s="41" t="s">
        <v>458</v>
      </c>
      <c r="F25" s="41">
        <v>6.3</v>
      </c>
      <c r="G25" s="86" t="s">
        <v>985</v>
      </c>
      <c r="H25" s="57" t="s">
        <v>1491</v>
      </c>
      <c r="I25" s="54" t="s">
        <v>1492</v>
      </c>
      <c r="J25" s="41">
        <v>4</v>
      </c>
      <c r="K25" s="41">
        <v>2</v>
      </c>
      <c r="L25" s="41">
        <f t="shared" si="0"/>
        <v>8</v>
      </c>
      <c r="M25" s="86" t="s">
        <v>1493</v>
      </c>
      <c r="N25" s="41">
        <v>4</v>
      </c>
      <c r="O25" s="41">
        <v>1</v>
      </c>
      <c r="P25" s="41">
        <f t="shared" si="1"/>
        <v>4</v>
      </c>
      <c r="Q25" s="88"/>
      <c r="R25" s="103" t="s">
        <v>1567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>
        <v>3</v>
      </c>
      <c r="K26" s="41">
        <v>2</v>
      </c>
      <c r="L26" s="41"/>
      <c r="M26" s="86"/>
      <c r="N26" s="41">
        <v>2</v>
      </c>
      <c r="O26" s="41">
        <v>2</v>
      </c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>
        <v>3</v>
      </c>
      <c r="K27" s="41">
        <v>2</v>
      </c>
      <c r="L27" s="41"/>
      <c r="M27" s="87"/>
      <c r="N27" s="41">
        <v>2</v>
      </c>
      <c r="O27" s="41">
        <v>2</v>
      </c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389" t="s">
        <v>185</v>
      </c>
      <c r="B29" s="390"/>
      <c r="C29" s="39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51" t="s">
        <v>187</v>
      </c>
      <c r="O29" s="52" t="s">
        <v>1573</v>
      </c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51" t="s">
        <v>187</v>
      </c>
      <c r="O30" s="52" t="s">
        <v>1574</v>
      </c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51" t="s">
        <v>187</v>
      </c>
      <c r="O31" s="52" t="s">
        <v>1575</v>
      </c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51" t="s">
        <v>187</v>
      </c>
      <c r="O32" s="52" t="s">
        <v>1571</v>
      </c>
      <c r="P32" s="52"/>
      <c r="Q32" s="52"/>
      <c r="R32" s="52"/>
      <c r="S32" s="53"/>
    </row>
    <row r="33" spans="1:19" ht="25.2" customHeight="1" x14ac:dyDescent="0.4">
      <c r="A33" s="395"/>
      <c r="B33" s="396"/>
      <c r="C33" s="39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1790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5" customFormat="1" ht="52.95" customHeight="1" x14ac:dyDescent="0.4">
      <c r="A6" s="61">
        <v>1</v>
      </c>
      <c r="B6" s="61" t="s">
        <v>17</v>
      </c>
      <c r="C6" s="86" t="s">
        <v>1209</v>
      </c>
      <c r="D6" s="41" t="s">
        <v>496</v>
      </c>
      <c r="E6" s="41" t="s">
        <v>280</v>
      </c>
      <c r="F6" s="41">
        <v>1.3</v>
      </c>
      <c r="G6" s="93" t="s">
        <v>196</v>
      </c>
      <c r="H6" s="87" t="s">
        <v>179</v>
      </c>
      <c r="I6" s="148" t="s">
        <v>1769</v>
      </c>
      <c r="J6" s="2">
        <v>4</v>
      </c>
      <c r="K6" s="2">
        <v>4</v>
      </c>
      <c r="L6" s="41">
        <f>J6*K6</f>
        <v>16</v>
      </c>
      <c r="M6" s="149" t="s">
        <v>1770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4"/>
    </row>
    <row r="7" spans="1:19" s="145" customFormat="1" ht="52.95" customHeight="1" x14ac:dyDescent="0.4">
      <c r="A7" s="61">
        <v>2</v>
      </c>
      <c r="B7" s="61" t="s">
        <v>17</v>
      </c>
      <c r="C7" s="86" t="s">
        <v>1771</v>
      </c>
      <c r="D7" s="41" t="s">
        <v>570</v>
      </c>
      <c r="E7" s="41" t="s">
        <v>280</v>
      </c>
      <c r="F7" s="41">
        <v>4.2</v>
      </c>
      <c r="G7" s="93" t="s">
        <v>968</v>
      </c>
      <c r="H7" s="87" t="s">
        <v>1772</v>
      </c>
      <c r="I7" s="148" t="s">
        <v>1769</v>
      </c>
      <c r="J7" s="2">
        <v>4</v>
      </c>
      <c r="K7" s="2">
        <v>4</v>
      </c>
      <c r="L7" s="41">
        <f t="shared" ref="L7:L22" si="1">J7*K7</f>
        <v>16</v>
      </c>
      <c r="M7" s="149" t="s">
        <v>1770</v>
      </c>
      <c r="N7" s="41">
        <v>1</v>
      </c>
      <c r="O7" s="41">
        <v>3</v>
      </c>
      <c r="P7" s="41">
        <f t="shared" si="0"/>
        <v>3</v>
      </c>
      <c r="Q7" s="41"/>
      <c r="R7" s="41"/>
      <c r="S7" s="54"/>
    </row>
    <row r="8" spans="1:19" s="145" customFormat="1" ht="52.95" customHeight="1" x14ac:dyDescent="0.4">
      <c r="A8" s="61">
        <v>3</v>
      </c>
      <c r="B8" s="61" t="s">
        <v>17</v>
      </c>
      <c r="C8" s="86" t="s">
        <v>1773</v>
      </c>
      <c r="D8" s="41" t="s">
        <v>1774</v>
      </c>
      <c r="E8" s="41" t="s">
        <v>280</v>
      </c>
      <c r="F8" s="41">
        <v>1.2</v>
      </c>
      <c r="G8" s="93" t="s">
        <v>1702</v>
      </c>
      <c r="H8" s="87" t="s">
        <v>1775</v>
      </c>
      <c r="I8" s="54" t="s">
        <v>1776</v>
      </c>
      <c r="J8" s="143">
        <v>4</v>
      </c>
      <c r="K8" s="143">
        <v>4</v>
      </c>
      <c r="L8" s="41">
        <f t="shared" si="1"/>
        <v>16</v>
      </c>
      <c r="M8" s="149" t="s">
        <v>1770</v>
      </c>
      <c r="N8" s="41">
        <v>1</v>
      </c>
      <c r="O8" s="41">
        <v>2</v>
      </c>
      <c r="P8" s="41">
        <f t="shared" si="0"/>
        <v>2</v>
      </c>
      <c r="Q8" s="41"/>
      <c r="R8" s="41"/>
      <c r="S8" s="54"/>
    </row>
    <row r="9" spans="1:19" s="146" customFormat="1" ht="52.95" customHeight="1" x14ac:dyDescent="0.4">
      <c r="A9" s="61">
        <v>4</v>
      </c>
      <c r="B9" s="110" t="s">
        <v>227</v>
      </c>
      <c r="C9" s="93" t="s">
        <v>1787</v>
      </c>
      <c r="D9" s="59" t="s">
        <v>193</v>
      </c>
      <c r="E9" s="41" t="s">
        <v>280</v>
      </c>
      <c r="F9" s="41">
        <v>1.3</v>
      </c>
      <c r="G9" s="74" t="s">
        <v>53</v>
      </c>
      <c r="H9" s="106" t="s">
        <v>1731</v>
      </c>
      <c r="I9" s="54" t="s">
        <v>1776</v>
      </c>
      <c r="J9" s="143">
        <v>3</v>
      </c>
      <c r="K9" s="143">
        <v>3</v>
      </c>
      <c r="L9" s="41">
        <f t="shared" si="1"/>
        <v>9</v>
      </c>
      <c r="M9" s="149" t="s">
        <v>1770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6" customFormat="1" ht="52.95" customHeight="1" x14ac:dyDescent="0.4">
      <c r="A10" s="61">
        <v>5</v>
      </c>
      <c r="B10" s="80" t="s">
        <v>228</v>
      </c>
      <c r="C10" s="93" t="s">
        <v>1733</v>
      </c>
      <c r="D10" s="59" t="s">
        <v>570</v>
      </c>
      <c r="E10" s="41" t="s">
        <v>280</v>
      </c>
      <c r="F10" s="41">
        <v>2.1</v>
      </c>
      <c r="G10" s="74" t="s">
        <v>701</v>
      </c>
      <c r="H10" s="106" t="s">
        <v>372</v>
      </c>
      <c r="I10" s="54" t="s">
        <v>1776</v>
      </c>
      <c r="J10" s="143">
        <v>2</v>
      </c>
      <c r="K10" s="143">
        <v>2</v>
      </c>
      <c r="L10" s="41">
        <f t="shared" si="1"/>
        <v>4</v>
      </c>
      <c r="M10" s="149" t="s">
        <v>1770</v>
      </c>
      <c r="N10" s="41">
        <v>1</v>
      </c>
      <c r="O10" s="41">
        <v>2</v>
      </c>
      <c r="P10" s="41">
        <f t="shared" si="0"/>
        <v>2</v>
      </c>
      <c r="Q10" s="79"/>
      <c r="R10" s="79"/>
      <c r="S10" s="79"/>
    </row>
    <row r="11" spans="1:19" s="146" customFormat="1" ht="52.95" customHeight="1" x14ac:dyDescent="0.4">
      <c r="A11" s="61">
        <v>6</v>
      </c>
      <c r="B11" s="80" t="s">
        <v>228</v>
      </c>
      <c r="C11" s="93" t="s">
        <v>1698</v>
      </c>
      <c r="D11" s="59" t="s">
        <v>193</v>
      </c>
      <c r="E11" s="41" t="s">
        <v>280</v>
      </c>
      <c r="F11" s="41">
        <v>1.2</v>
      </c>
      <c r="G11" s="74" t="s">
        <v>52</v>
      </c>
      <c r="H11" s="106" t="s">
        <v>1703</v>
      </c>
      <c r="I11" s="54" t="s">
        <v>1776</v>
      </c>
      <c r="J11" s="143">
        <v>2</v>
      </c>
      <c r="K11" s="143">
        <v>2</v>
      </c>
      <c r="L11" s="41">
        <f t="shared" si="1"/>
        <v>4</v>
      </c>
      <c r="M11" s="149" t="s">
        <v>1770</v>
      </c>
      <c r="N11" s="41">
        <v>1</v>
      </c>
      <c r="O11" s="41">
        <v>2</v>
      </c>
      <c r="P11" s="41">
        <f t="shared" si="0"/>
        <v>2</v>
      </c>
      <c r="Q11" s="79"/>
      <c r="R11" s="79"/>
      <c r="S11" s="79"/>
    </row>
    <row r="12" spans="1:19" s="146" customFormat="1" ht="52.95" customHeight="1" x14ac:dyDescent="0.4">
      <c r="A12" s="61">
        <v>7</v>
      </c>
      <c r="B12" s="80" t="s">
        <v>228</v>
      </c>
      <c r="C12" s="93" t="s">
        <v>1735</v>
      </c>
      <c r="D12" s="59" t="s">
        <v>193</v>
      </c>
      <c r="E12" s="41" t="s">
        <v>280</v>
      </c>
      <c r="F12" s="41">
        <v>2.1</v>
      </c>
      <c r="G12" s="74" t="s">
        <v>701</v>
      </c>
      <c r="H12" s="106" t="s">
        <v>372</v>
      </c>
      <c r="I12" s="54" t="s">
        <v>1776</v>
      </c>
      <c r="J12" s="143">
        <v>2</v>
      </c>
      <c r="K12" s="143">
        <v>2</v>
      </c>
      <c r="L12" s="41">
        <f t="shared" si="1"/>
        <v>4</v>
      </c>
      <c r="M12" s="149" t="s">
        <v>1770</v>
      </c>
      <c r="N12" s="41">
        <v>1</v>
      </c>
      <c r="O12" s="41">
        <v>1</v>
      </c>
      <c r="P12" s="41">
        <f t="shared" si="0"/>
        <v>1</v>
      </c>
      <c r="Q12" s="79"/>
      <c r="R12" s="79"/>
      <c r="S12" s="79"/>
    </row>
    <row r="13" spans="1:19" s="146" customFormat="1" ht="52.95" customHeight="1" x14ac:dyDescent="0.4">
      <c r="A13" s="61">
        <v>8</v>
      </c>
      <c r="B13" s="80" t="s">
        <v>228</v>
      </c>
      <c r="C13" s="93" t="s">
        <v>1736</v>
      </c>
      <c r="D13" s="59" t="s">
        <v>193</v>
      </c>
      <c r="E13" s="41" t="s">
        <v>280</v>
      </c>
      <c r="F13" s="41">
        <v>7.3</v>
      </c>
      <c r="G13" s="74" t="s">
        <v>86</v>
      </c>
      <c r="H13" s="106" t="s">
        <v>1708</v>
      </c>
      <c r="I13" s="54" t="s">
        <v>1776</v>
      </c>
      <c r="J13" s="143">
        <v>2</v>
      </c>
      <c r="K13" s="143">
        <v>2</v>
      </c>
      <c r="L13" s="41">
        <f t="shared" si="1"/>
        <v>4</v>
      </c>
      <c r="M13" s="149" t="s">
        <v>1770</v>
      </c>
      <c r="N13" s="41">
        <v>1</v>
      </c>
      <c r="O13" s="41">
        <v>2</v>
      </c>
      <c r="P13" s="41">
        <f t="shared" si="0"/>
        <v>2</v>
      </c>
      <c r="Q13" s="79"/>
      <c r="R13" s="79"/>
      <c r="S13" s="79"/>
    </row>
    <row r="14" spans="1:19" s="146" customFormat="1" ht="52.95" customHeight="1" x14ac:dyDescent="0.4">
      <c r="A14" s="61">
        <v>9</v>
      </c>
      <c r="B14" s="70" t="s">
        <v>203</v>
      </c>
      <c r="C14" s="58" t="s">
        <v>1737</v>
      </c>
      <c r="D14" s="60" t="s">
        <v>1763</v>
      </c>
      <c r="E14" s="41" t="s">
        <v>280</v>
      </c>
      <c r="F14" s="61">
        <v>2.1</v>
      </c>
      <c r="G14" s="74" t="s">
        <v>57</v>
      </c>
      <c r="H14" s="106" t="s">
        <v>1739</v>
      </c>
      <c r="I14" s="149" t="s">
        <v>1777</v>
      </c>
      <c r="J14" s="59">
        <v>3</v>
      </c>
      <c r="K14" s="59">
        <v>2</v>
      </c>
      <c r="L14" s="41">
        <f t="shared" si="1"/>
        <v>6</v>
      </c>
      <c r="M14" s="149" t="s">
        <v>1770</v>
      </c>
      <c r="N14" s="41">
        <v>1</v>
      </c>
      <c r="O14" s="41">
        <v>2</v>
      </c>
      <c r="P14" s="41">
        <f t="shared" si="0"/>
        <v>2</v>
      </c>
      <c r="Q14" s="79"/>
      <c r="R14" s="79"/>
      <c r="S14" s="79"/>
    </row>
    <row r="15" spans="1:19" s="146" customFormat="1" ht="52.95" customHeight="1" x14ac:dyDescent="0.4">
      <c r="A15" s="61">
        <v>10</v>
      </c>
      <c r="B15" s="80" t="s">
        <v>203</v>
      </c>
      <c r="C15" s="58" t="s">
        <v>1737</v>
      </c>
      <c r="D15" s="59" t="s">
        <v>1738</v>
      </c>
      <c r="E15" s="41" t="s">
        <v>280</v>
      </c>
      <c r="F15" s="61">
        <v>1.3</v>
      </c>
      <c r="G15" s="74" t="s">
        <v>1740</v>
      </c>
      <c r="H15" s="106" t="s">
        <v>1741</v>
      </c>
      <c r="I15" s="149" t="s">
        <v>1777</v>
      </c>
      <c r="J15" s="59">
        <v>3</v>
      </c>
      <c r="K15" s="59">
        <v>2</v>
      </c>
      <c r="L15" s="41">
        <f t="shared" si="1"/>
        <v>6</v>
      </c>
      <c r="M15" s="149" t="s">
        <v>1770</v>
      </c>
      <c r="N15" s="61">
        <v>1</v>
      </c>
      <c r="O15" s="61">
        <v>2</v>
      </c>
      <c r="P15" s="41">
        <f t="shared" si="0"/>
        <v>2</v>
      </c>
      <c r="Q15" s="79"/>
      <c r="R15" s="79"/>
      <c r="S15" s="79"/>
    </row>
    <row r="16" spans="1:19" s="146" customFormat="1" ht="52.95" customHeight="1" x14ac:dyDescent="0.4">
      <c r="A16" s="61">
        <v>11</v>
      </c>
      <c r="B16" s="80" t="s">
        <v>203</v>
      </c>
      <c r="C16" s="58" t="s">
        <v>1737</v>
      </c>
      <c r="D16" s="59" t="s">
        <v>1738</v>
      </c>
      <c r="E16" s="41" t="s">
        <v>280</v>
      </c>
      <c r="F16" s="61">
        <v>1.1000000000000001</v>
      </c>
      <c r="G16" s="74" t="s">
        <v>1743</v>
      </c>
      <c r="H16" s="106" t="s">
        <v>1722</v>
      </c>
      <c r="I16" s="149" t="s">
        <v>1777</v>
      </c>
      <c r="J16" s="59">
        <v>3</v>
      </c>
      <c r="K16" s="59">
        <v>2</v>
      </c>
      <c r="L16" s="41">
        <f t="shared" si="1"/>
        <v>6</v>
      </c>
      <c r="M16" s="149" t="s">
        <v>1770</v>
      </c>
      <c r="N16" s="61">
        <v>1</v>
      </c>
      <c r="O16" s="61">
        <v>2</v>
      </c>
      <c r="P16" s="41">
        <f t="shared" si="0"/>
        <v>2</v>
      </c>
      <c r="Q16" s="79"/>
      <c r="R16" s="79"/>
      <c r="S16" s="79"/>
    </row>
    <row r="17" spans="1:19" s="146" customFormat="1" ht="52.95" customHeight="1" x14ac:dyDescent="0.4">
      <c r="A17" s="61">
        <v>12</v>
      </c>
      <c r="B17" s="80" t="s">
        <v>203</v>
      </c>
      <c r="C17" s="58" t="s">
        <v>1720</v>
      </c>
      <c r="D17" s="59" t="s">
        <v>1738</v>
      </c>
      <c r="E17" s="41" t="s">
        <v>280</v>
      </c>
      <c r="F17" s="61">
        <v>1.4</v>
      </c>
      <c r="G17" s="74" t="s">
        <v>54</v>
      </c>
      <c r="H17" s="106" t="s">
        <v>1744</v>
      </c>
      <c r="I17" s="149" t="s">
        <v>1777</v>
      </c>
      <c r="J17" s="59">
        <v>3</v>
      </c>
      <c r="K17" s="59">
        <v>2</v>
      </c>
      <c r="L17" s="41">
        <f t="shared" si="1"/>
        <v>6</v>
      </c>
      <c r="M17" s="149" t="s">
        <v>1770</v>
      </c>
      <c r="N17" s="61">
        <v>1</v>
      </c>
      <c r="O17" s="61">
        <v>2</v>
      </c>
      <c r="P17" s="41">
        <f t="shared" si="0"/>
        <v>2</v>
      </c>
      <c r="Q17" s="79"/>
      <c r="R17" s="79"/>
      <c r="S17" s="79"/>
    </row>
    <row r="18" spans="1:19" s="146" customFormat="1" ht="52.95" customHeight="1" x14ac:dyDescent="0.4">
      <c r="A18" s="61">
        <v>13</v>
      </c>
      <c r="B18" s="80" t="s">
        <v>203</v>
      </c>
      <c r="C18" s="58" t="s">
        <v>1778</v>
      </c>
      <c r="D18" s="59" t="s">
        <v>570</v>
      </c>
      <c r="E18" s="41" t="s">
        <v>280</v>
      </c>
      <c r="F18" s="61">
        <v>1.1000000000000001</v>
      </c>
      <c r="G18" s="74" t="s">
        <v>1751</v>
      </c>
      <c r="H18" s="106" t="s">
        <v>1752</v>
      </c>
      <c r="I18" s="149" t="s">
        <v>1777</v>
      </c>
      <c r="J18" s="59">
        <v>3</v>
      </c>
      <c r="K18" s="59">
        <v>2</v>
      </c>
      <c r="L18" s="41">
        <f t="shared" si="1"/>
        <v>6</v>
      </c>
      <c r="M18" s="149" t="s">
        <v>1770</v>
      </c>
      <c r="N18" s="61">
        <v>1</v>
      </c>
      <c r="O18" s="61">
        <v>2</v>
      </c>
      <c r="P18" s="41">
        <f t="shared" si="0"/>
        <v>2</v>
      </c>
      <c r="Q18" s="79"/>
      <c r="R18" s="79"/>
      <c r="S18" s="79"/>
    </row>
    <row r="19" spans="1:19" s="146" customFormat="1" ht="52.95" customHeight="1" x14ac:dyDescent="0.4">
      <c r="A19" s="61">
        <v>14</v>
      </c>
      <c r="B19" s="80" t="s">
        <v>203</v>
      </c>
      <c r="C19" s="58" t="s">
        <v>1768</v>
      </c>
      <c r="D19" s="59" t="s">
        <v>1755</v>
      </c>
      <c r="E19" s="41" t="s">
        <v>280</v>
      </c>
      <c r="F19" s="61">
        <v>1.1000000000000001</v>
      </c>
      <c r="G19" s="74" t="s">
        <v>1740</v>
      </c>
      <c r="H19" s="106" t="s">
        <v>1757</v>
      </c>
      <c r="I19" s="149" t="s">
        <v>1777</v>
      </c>
      <c r="J19" s="59">
        <v>3</v>
      </c>
      <c r="K19" s="59">
        <v>2</v>
      </c>
      <c r="L19" s="41">
        <f t="shared" si="1"/>
        <v>6</v>
      </c>
      <c r="M19" s="149" t="s">
        <v>1770</v>
      </c>
      <c r="N19" s="61">
        <v>1</v>
      </c>
      <c r="O19" s="61">
        <v>2</v>
      </c>
      <c r="P19" s="41">
        <f t="shared" si="0"/>
        <v>2</v>
      </c>
      <c r="Q19" s="79"/>
      <c r="R19" s="79"/>
      <c r="S19" s="79"/>
    </row>
    <row r="20" spans="1:19" s="146" customFormat="1" ht="52.95" customHeight="1" x14ac:dyDescent="0.4">
      <c r="A20" s="61">
        <v>15</v>
      </c>
      <c r="B20" s="80" t="s">
        <v>203</v>
      </c>
      <c r="C20" s="58" t="s">
        <v>1768</v>
      </c>
      <c r="D20" s="59" t="s">
        <v>1755</v>
      </c>
      <c r="E20" s="41" t="s">
        <v>280</v>
      </c>
      <c r="F20" s="61">
        <v>1.2</v>
      </c>
      <c r="G20" s="89" t="s">
        <v>52</v>
      </c>
      <c r="H20" s="106" t="s">
        <v>1779</v>
      </c>
      <c r="I20" s="149" t="s">
        <v>1780</v>
      </c>
      <c r="J20" s="59">
        <v>3</v>
      </c>
      <c r="K20" s="59">
        <v>2</v>
      </c>
      <c r="L20" s="41">
        <f t="shared" si="1"/>
        <v>6</v>
      </c>
      <c r="M20" s="149" t="s">
        <v>1770</v>
      </c>
      <c r="N20" s="61">
        <v>1</v>
      </c>
      <c r="O20" s="61">
        <v>2</v>
      </c>
      <c r="P20" s="41">
        <f t="shared" si="0"/>
        <v>2</v>
      </c>
      <c r="Q20" s="79"/>
      <c r="R20" s="79"/>
      <c r="S20" s="79"/>
    </row>
    <row r="21" spans="1:19" s="146" customFormat="1" ht="52.95" customHeight="1" x14ac:dyDescent="0.4">
      <c r="A21" s="61">
        <v>16</v>
      </c>
      <c r="B21" s="80" t="s">
        <v>203</v>
      </c>
      <c r="C21" s="58" t="s">
        <v>1768</v>
      </c>
      <c r="D21" s="59" t="s">
        <v>1755</v>
      </c>
      <c r="E21" s="41" t="s">
        <v>280</v>
      </c>
      <c r="F21" s="61">
        <v>1.2</v>
      </c>
      <c r="G21" s="89" t="s">
        <v>52</v>
      </c>
      <c r="H21" s="106" t="s">
        <v>1781</v>
      </c>
      <c r="I21" s="149" t="s">
        <v>1780</v>
      </c>
      <c r="J21" s="59">
        <v>3</v>
      </c>
      <c r="K21" s="59">
        <v>2</v>
      </c>
      <c r="L21" s="41">
        <f t="shared" si="1"/>
        <v>6</v>
      </c>
      <c r="M21" s="149" t="s">
        <v>1770</v>
      </c>
      <c r="N21" s="61">
        <v>1</v>
      </c>
      <c r="O21" s="61">
        <v>2</v>
      </c>
      <c r="P21" s="41">
        <f t="shared" si="0"/>
        <v>2</v>
      </c>
      <c r="Q21" s="79"/>
      <c r="R21" s="79"/>
      <c r="S21" s="79"/>
    </row>
    <row r="22" spans="1:19" s="146" customFormat="1" ht="52.95" customHeight="1" x14ac:dyDescent="0.4">
      <c r="A22" s="61">
        <v>17</v>
      </c>
      <c r="B22" s="80" t="s">
        <v>203</v>
      </c>
      <c r="C22" s="85" t="s">
        <v>1761</v>
      </c>
      <c r="D22" s="59" t="s">
        <v>1755</v>
      </c>
      <c r="E22" s="41" t="s">
        <v>280</v>
      </c>
      <c r="F22" s="41">
        <v>1.1000000000000001</v>
      </c>
      <c r="G22" s="58" t="s">
        <v>1751</v>
      </c>
      <c r="H22" s="149" t="s">
        <v>1782</v>
      </c>
      <c r="I22" s="149" t="s">
        <v>1777</v>
      </c>
      <c r="J22" s="41">
        <v>1</v>
      </c>
      <c r="K22" s="41">
        <v>2</v>
      </c>
      <c r="L22" s="41">
        <f t="shared" si="1"/>
        <v>2</v>
      </c>
      <c r="M22" s="149" t="s">
        <v>1770</v>
      </c>
      <c r="N22" s="41">
        <v>1</v>
      </c>
      <c r="O22" s="41">
        <v>1</v>
      </c>
      <c r="P22" s="41">
        <f t="shared" si="0"/>
        <v>1</v>
      </c>
      <c r="Q22" s="88"/>
      <c r="R22" s="79"/>
      <c r="S22" s="79"/>
    </row>
    <row r="23" spans="1:19" ht="25.2" customHeight="1" x14ac:dyDescent="0.4">
      <c r="A23" s="389" t="s">
        <v>185</v>
      </c>
      <c r="B23" s="390"/>
      <c r="C23" s="391"/>
      <c r="D23" s="398" t="s">
        <v>186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2"/>
      <c r="B24" s="393"/>
      <c r="C24" s="394"/>
      <c r="D24" s="398" t="s">
        <v>188</v>
      </c>
      <c r="E24" s="399"/>
      <c r="F24" s="400"/>
      <c r="G24" s="401"/>
      <c r="H24" s="401"/>
      <c r="I24" s="401"/>
      <c r="J24" s="401"/>
      <c r="K24" s="401"/>
      <c r="L24" s="401"/>
      <c r="M24" s="402"/>
      <c r="N24" s="51" t="s">
        <v>187</v>
      </c>
      <c r="O24" s="52"/>
      <c r="P24" s="52"/>
      <c r="Q24" s="52"/>
      <c r="R24" s="52"/>
      <c r="S24" s="53"/>
    </row>
    <row r="25" spans="1:19" ht="25.2" customHeight="1" x14ac:dyDescent="0.4">
      <c r="A25" s="392"/>
      <c r="B25" s="393"/>
      <c r="C25" s="394"/>
      <c r="D25" s="398" t="s">
        <v>130</v>
      </c>
      <c r="E25" s="399"/>
      <c r="F25" s="400"/>
      <c r="G25" s="401"/>
      <c r="H25" s="401"/>
      <c r="I25" s="401"/>
      <c r="J25" s="401"/>
      <c r="K25" s="401"/>
      <c r="L25" s="401"/>
      <c r="M25" s="402"/>
      <c r="N25" s="51" t="s">
        <v>187</v>
      </c>
      <c r="O25" s="52"/>
      <c r="P25" s="52"/>
      <c r="Q25" s="52"/>
      <c r="R25" s="52"/>
      <c r="S25" s="53"/>
    </row>
    <row r="26" spans="1:19" ht="25.2" customHeight="1" x14ac:dyDescent="0.4">
      <c r="A26" s="392"/>
      <c r="B26" s="393"/>
      <c r="C26" s="394"/>
      <c r="D26" s="398" t="s">
        <v>189</v>
      </c>
      <c r="E26" s="399"/>
      <c r="F26" s="400"/>
      <c r="G26" s="401"/>
      <c r="H26" s="401"/>
      <c r="I26" s="401"/>
      <c r="J26" s="401"/>
      <c r="K26" s="401"/>
      <c r="L26" s="401"/>
      <c r="M26" s="402"/>
      <c r="N26" s="51" t="s">
        <v>187</v>
      </c>
      <c r="O26" s="52"/>
      <c r="P26" s="52"/>
      <c r="Q26" s="52"/>
      <c r="R26" s="52"/>
      <c r="S26" s="53"/>
    </row>
    <row r="27" spans="1:19" ht="25.2" customHeight="1" x14ac:dyDescent="0.4">
      <c r="A27" s="395"/>
      <c r="B27" s="396"/>
      <c r="C27" s="397"/>
      <c r="D27" s="398" t="s">
        <v>190</v>
      </c>
      <c r="E27" s="399"/>
      <c r="F27" s="400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1578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1453</v>
      </c>
      <c r="D6" s="41" t="s">
        <v>1454</v>
      </c>
      <c r="E6" s="41" t="s">
        <v>458</v>
      </c>
      <c r="F6" s="41">
        <v>1.3</v>
      </c>
      <c r="G6" s="86" t="s">
        <v>53</v>
      </c>
      <c r="H6" s="57" t="s">
        <v>498</v>
      </c>
      <c r="I6" s="54" t="s">
        <v>718</v>
      </c>
      <c r="J6" s="41">
        <v>4</v>
      </c>
      <c r="K6" s="41">
        <v>1</v>
      </c>
      <c r="L6" s="41">
        <f>J6*K6</f>
        <v>4</v>
      </c>
      <c r="M6" s="87" t="s">
        <v>719</v>
      </c>
      <c r="N6" s="41">
        <v>3</v>
      </c>
      <c r="O6" s="41">
        <v>1</v>
      </c>
      <c r="P6" s="41">
        <f>N6*O6</f>
        <v>3</v>
      </c>
      <c r="Q6" s="79"/>
      <c r="R6" s="79" t="s">
        <v>1579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1453</v>
      </c>
      <c r="D7" s="41" t="s">
        <v>1454</v>
      </c>
      <c r="E7" s="41" t="s">
        <v>458</v>
      </c>
      <c r="F7" s="41">
        <v>1.3</v>
      </c>
      <c r="G7" s="87" t="s">
        <v>65</v>
      </c>
      <c r="H7" s="57" t="s">
        <v>1456</v>
      </c>
      <c r="I7" s="54" t="s">
        <v>718</v>
      </c>
      <c r="J7" s="41">
        <v>2</v>
      </c>
      <c r="K7" s="41">
        <v>3</v>
      </c>
      <c r="L7" s="41">
        <f t="shared" ref="L7:L25" si="0">J7*K7</f>
        <v>6</v>
      </c>
      <c r="M7" s="87" t="s">
        <v>1457</v>
      </c>
      <c r="N7" s="41">
        <v>1</v>
      </c>
      <c r="O7" s="41">
        <v>3</v>
      </c>
      <c r="P7" s="41">
        <f t="shared" ref="P7:P25" si="1">N7*O7</f>
        <v>3</v>
      </c>
      <c r="Q7" s="79"/>
      <c r="R7" s="79" t="s">
        <v>1579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1458</v>
      </c>
      <c r="D8" s="41" t="s">
        <v>1459</v>
      </c>
      <c r="E8" s="41" t="s">
        <v>458</v>
      </c>
      <c r="F8" s="41">
        <v>4.0999999999999996</v>
      </c>
      <c r="G8" s="87" t="s">
        <v>64</v>
      </c>
      <c r="H8" s="57" t="s">
        <v>1460</v>
      </c>
      <c r="I8" s="54" t="s">
        <v>718</v>
      </c>
      <c r="J8" s="41">
        <v>2</v>
      </c>
      <c r="K8" s="41">
        <v>3</v>
      </c>
      <c r="L8" s="41">
        <f t="shared" si="0"/>
        <v>6</v>
      </c>
      <c r="M8" s="87" t="s">
        <v>1457</v>
      </c>
      <c r="N8" s="41">
        <v>1</v>
      </c>
      <c r="O8" s="41">
        <v>3</v>
      </c>
      <c r="P8" s="41">
        <f t="shared" si="1"/>
        <v>3</v>
      </c>
      <c r="Q8" s="79"/>
      <c r="R8" s="79" t="s">
        <v>1579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1458</v>
      </c>
      <c r="D9" s="41" t="s">
        <v>1459</v>
      </c>
      <c r="E9" s="41" t="s">
        <v>458</v>
      </c>
      <c r="F9" s="41">
        <v>4.2</v>
      </c>
      <c r="G9" s="87" t="s">
        <v>65</v>
      </c>
      <c r="H9" s="57" t="s">
        <v>1461</v>
      </c>
      <c r="I9" s="54" t="s">
        <v>718</v>
      </c>
      <c r="J9" s="41">
        <v>2</v>
      </c>
      <c r="K9" s="41">
        <v>3</v>
      </c>
      <c r="L9" s="41">
        <f t="shared" si="0"/>
        <v>6</v>
      </c>
      <c r="M9" s="87" t="s">
        <v>1457</v>
      </c>
      <c r="N9" s="41">
        <v>1</v>
      </c>
      <c r="O9" s="41">
        <v>3</v>
      </c>
      <c r="P9" s="41">
        <f t="shared" si="1"/>
        <v>3</v>
      </c>
      <c r="Q9" s="79"/>
      <c r="R9" s="79" t="s">
        <v>1579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1462</v>
      </c>
      <c r="D10" s="41" t="s">
        <v>1463</v>
      </c>
      <c r="E10" s="41" t="s">
        <v>458</v>
      </c>
      <c r="F10" s="41">
        <v>1.3</v>
      </c>
      <c r="G10" s="87" t="s">
        <v>51</v>
      </c>
      <c r="H10" s="57" t="s">
        <v>1464</v>
      </c>
      <c r="I10" s="54" t="s">
        <v>1465</v>
      </c>
      <c r="J10" s="41">
        <v>2</v>
      </c>
      <c r="K10" s="41">
        <v>3</v>
      </c>
      <c r="L10" s="41">
        <f t="shared" si="0"/>
        <v>6</v>
      </c>
      <c r="M10" s="87" t="s">
        <v>1457</v>
      </c>
      <c r="N10" s="41">
        <v>1</v>
      </c>
      <c r="O10" s="41">
        <v>3</v>
      </c>
      <c r="P10" s="41">
        <f t="shared" si="1"/>
        <v>3</v>
      </c>
      <c r="Q10" s="79"/>
      <c r="R10" s="79" t="s">
        <v>1579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1462</v>
      </c>
      <c r="D11" s="41" t="s">
        <v>1463</v>
      </c>
      <c r="E11" s="41" t="s">
        <v>458</v>
      </c>
      <c r="F11" s="41">
        <v>1.3</v>
      </c>
      <c r="G11" s="86" t="s">
        <v>65</v>
      </c>
      <c r="H11" s="57" t="s">
        <v>1466</v>
      </c>
      <c r="I11" s="54" t="s">
        <v>1465</v>
      </c>
      <c r="J11" s="41">
        <v>2</v>
      </c>
      <c r="K11" s="41">
        <v>3</v>
      </c>
      <c r="L11" s="41">
        <f t="shared" si="0"/>
        <v>6</v>
      </c>
      <c r="M11" s="86" t="s">
        <v>1457</v>
      </c>
      <c r="N11" s="41">
        <v>1</v>
      </c>
      <c r="O11" s="41">
        <v>3</v>
      </c>
      <c r="P11" s="41">
        <f t="shared" si="1"/>
        <v>3</v>
      </c>
      <c r="Q11" s="79"/>
      <c r="R11" s="79" t="s">
        <v>1579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1467</v>
      </c>
      <c r="D12" s="41" t="s">
        <v>1468</v>
      </c>
      <c r="E12" s="41" t="s">
        <v>458</v>
      </c>
      <c r="F12" s="2">
        <v>1.2</v>
      </c>
      <c r="G12" s="97" t="s">
        <v>61</v>
      </c>
      <c r="H12" s="57" t="s">
        <v>1469</v>
      </c>
      <c r="I12" s="98" t="s">
        <v>1088</v>
      </c>
      <c r="J12" s="41">
        <v>2</v>
      </c>
      <c r="K12" s="41">
        <v>3</v>
      </c>
      <c r="L12" s="41">
        <f t="shared" si="0"/>
        <v>6</v>
      </c>
      <c r="M12" s="86" t="s">
        <v>1470</v>
      </c>
      <c r="N12" s="41">
        <v>1</v>
      </c>
      <c r="O12" s="41">
        <v>3</v>
      </c>
      <c r="P12" s="41">
        <f t="shared" si="1"/>
        <v>3</v>
      </c>
      <c r="Q12" s="79"/>
      <c r="R12" s="79" t="s">
        <v>1579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1467</v>
      </c>
      <c r="D13" s="41" t="s">
        <v>1468</v>
      </c>
      <c r="E13" s="41" t="s">
        <v>458</v>
      </c>
      <c r="F13" s="41">
        <v>1.3</v>
      </c>
      <c r="G13" s="86" t="s">
        <v>86</v>
      </c>
      <c r="H13" s="57" t="s">
        <v>1471</v>
      </c>
      <c r="I13" s="54" t="s">
        <v>890</v>
      </c>
      <c r="J13" s="41">
        <v>2</v>
      </c>
      <c r="K13" s="41">
        <v>3</v>
      </c>
      <c r="L13" s="41">
        <f t="shared" si="0"/>
        <v>6</v>
      </c>
      <c r="M13" s="86" t="s">
        <v>1472</v>
      </c>
      <c r="N13" s="41">
        <v>1</v>
      </c>
      <c r="O13" s="41">
        <v>3</v>
      </c>
      <c r="P13" s="41">
        <f t="shared" si="1"/>
        <v>3</v>
      </c>
      <c r="Q13" s="88"/>
      <c r="R13" s="79" t="s">
        <v>1579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1467</v>
      </c>
      <c r="D14" s="41" t="s">
        <v>1468</v>
      </c>
      <c r="E14" s="41" t="s">
        <v>458</v>
      </c>
      <c r="F14" s="41">
        <v>1.5</v>
      </c>
      <c r="G14" s="87" t="s">
        <v>64</v>
      </c>
      <c r="H14" s="57" t="s">
        <v>1473</v>
      </c>
      <c r="I14" s="54" t="s">
        <v>1088</v>
      </c>
      <c r="J14" s="41">
        <v>3</v>
      </c>
      <c r="K14" s="41">
        <v>1</v>
      </c>
      <c r="L14" s="41">
        <f t="shared" si="0"/>
        <v>3</v>
      </c>
      <c r="M14" s="87" t="s">
        <v>1474</v>
      </c>
      <c r="N14" s="41">
        <v>2</v>
      </c>
      <c r="O14" s="41">
        <v>1</v>
      </c>
      <c r="P14" s="41">
        <f t="shared" si="1"/>
        <v>2</v>
      </c>
      <c r="Q14" s="79"/>
      <c r="R14" s="79" t="s">
        <v>1579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1467</v>
      </c>
      <c r="D15" s="41" t="s">
        <v>1475</v>
      </c>
      <c r="E15" s="41" t="s">
        <v>458</v>
      </c>
      <c r="F15" s="41">
        <v>1.6</v>
      </c>
      <c r="G15" s="86" t="s">
        <v>65</v>
      </c>
      <c r="H15" s="57" t="s">
        <v>1476</v>
      </c>
      <c r="I15" s="54" t="s">
        <v>718</v>
      </c>
      <c r="J15" s="41">
        <v>3</v>
      </c>
      <c r="K15" s="41">
        <v>1</v>
      </c>
      <c r="L15" s="41">
        <f t="shared" si="0"/>
        <v>3</v>
      </c>
      <c r="M15" s="86" t="s">
        <v>1457</v>
      </c>
      <c r="N15" s="41">
        <v>2</v>
      </c>
      <c r="O15" s="41">
        <v>1</v>
      </c>
      <c r="P15" s="41">
        <f t="shared" si="1"/>
        <v>2</v>
      </c>
      <c r="Q15" s="88"/>
      <c r="R15" s="79" t="s">
        <v>1579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1477</v>
      </c>
      <c r="D16" s="41" t="s">
        <v>1468</v>
      </c>
      <c r="E16" s="41" t="s">
        <v>458</v>
      </c>
      <c r="F16" s="41">
        <v>1.4</v>
      </c>
      <c r="G16" s="86" t="s">
        <v>54</v>
      </c>
      <c r="H16" s="57" t="s">
        <v>1062</v>
      </c>
      <c r="I16" s="54" t="s">
        <v>1474</v>
      </c>
      <c r="J16" s="41">
        <v>2</v>
      </c>
      <c r="K16" s="41">
        <v>2</v>
      </c>
      <c r="L16" s="41">
        <f t="shared" si="0"/>
        <v>4</v>
      </c>
      <c r="M16" s="86" t="s">
        <v>1478</v>
      </c>
      <c r="N16" s="41">
        <v>1</v>
      </c>
      <c r="O16" s="41">
        <v>2</v>
      </c>
      <c r="P16" s="41">
        <f t="shared" si="1"/>
        <v>2</v>
      </c>
      <c r="Q16" s="88"/>
      <c r="R16" s="79" t="s">
        <v>1579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1477</v>
      </c>
      <c r="D17" s="41" t="s">
        <v>1468</v>
      </c>
      <c r="E17" s="41" t="s">
        <v>458</v>
      </c>
      <c r="F17" s="41">
        <v>1.5</v>
      </c>
      <c r="G17" s="86" t="s">
        <v>55</v>
      </c>
      <c r="H17" s="57" t="s">
        <v>1479</v>
      </c>
      <c r="I17" s="54" t="s">
        <v>1088</v>
      </c>
      <c r="J17" s="41">
        <v>3</v>
      </c>
      <c r="K17" s="41">
        <v>3</v>
      </c>
      <c r="L17" s="41">
        <f t="shared" si="0"/>
        <v>9</v>
      </c>
      <c r="M17" s="87" t="s">
        <v>1470</v>
      </c>
      <c r="N17" s="41">
        <v>2</v>
      </c>
      <c r="O17" s="41">
        <v>3</v>
      </c>
      <c r="P17" s="41">
        <f t="shared" si="1"/>
        <v>6</v>
      </c>
      <c r="Q17" s="88"/>
      <c r="R17" s="79" t="s">
        <v>1579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1477</v>
      </c>
      <c r="D18" s="41" t="s">
        <v>1468</v>
      </c>
      <c r="E18" s="41" t="s">
        <v>458</v>
      </c>
      <c r="F18" s="41">
        <v>4.0999999999999996</v>
      </c>
      <c r="G18" s="87" t="s">
        <v>64</v>
      </c>
      <c r="H18" s="57" t="s">
        <v>1473</v>
      </c>
      <c r="I18" s="54" t="s">
        <v>1088</v>
      </c>
      <c r="J18" s="41">
        <v>3</v>
      </c>
      <c r="K18" s="41">
        <v>1</v>
      </c>
      <c r="L18" s="41">
        <f t="shared" si="0"/>
        <v>3</v>
      </c>
      <c r="M18" s="87" t="s">
        <v>1470</v>
      </c>
      <c r="N18" s="41">
        <v>2</v>
      </c>
      <c r="O18" s="41">
        <v>1</v>
      </c>
      <c r="P18" s="41">
        <f t="shared" si="1"/>
        <v>2</v>
      </c>
      <c r="Q18" s="79"/>
      <c r="R18" s="79" t="s">
        <v>1579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1477</v>
      </c>
      <c r="D19" s="41" t="s">
        <v>1468</v>
      </c>
      <c r="E19" s="41" t="s">
        <v>458</v>
      </c>
      <c r="F19" s="41">
        <v>3.2</v>
      </c>
      <c r="G19" s="86" t="s">
        <v>61</v>
      </c>
      <c r="H19" s="57" t="s">
        <v>1469</v>
      </c>
      <c r="I19" s="54" t="s">
        <v>1088</v>
      </c>
      <c r="J19" s="41">
        <v>2</v>
      </c>
      <c r="K19" s="41">
        <v>3</v>
      </c>
      <c r="L19" s="41">
        <f t="shared" si="0"/>
        <v>6</v>
      </c>
      <c r="M19" s="86" t="s">
        <v>1470</v>
      </c>
      <c r="N19" s="41">
        <v>1</v>
      </c>
      <c r="O19" s="41">
        <v>3</v>
      </c>
      <c r="P19" s="41">
        <f t="shared" si="1"/>
        <v>3</v>
      </c>
      <c r="Q19" s="79"/>
      <c r="R19" s="79" t="s">
        <v>1579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1480</v>
      </c>
      <c r="D20" s="41" t="s">
        <v>1468</v>
      </c>
      <c r="E20" s="41" t="s">
        <v>458</v>
      </c>
      <c r="F20" s="2">
        <v>1.4</v>
      </c>
      <c r="G20" s="97" t="s">
        <v>54</v>
      </c>
      <c r="H20" s="57" t="s">
        <v>1481</v>
      </c>
      <c r="I20" s="98" t="s">
        <v>1482</v>
      </c>
      <c r="J20" s="41">
        <v>2</v>
      </c>
      <c r="K20" s="41">
        <v>4</v>
      </c>
      <c r="L20" s="41">
        <f t="shared" si="0"/>
        <v>8</v>
      </c>
      <c r="M20" s="86" t="s">
        <v>1474</v>
      </c>
      <c r="N20" s="41">
        <v>1</v>
      </c>
      <c r="O20" s="41">
        <v>4</v>
      </c>
      <c r="P20" s="41">
        <f t="shared" si="1"/>
        <v>4</v>
      </c>
      <c r="Q20" s="79"/>
      <c r="R20" s="79" t="s">
        <v>1579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1480</v>
      </c>
      <c r="D21" s="41" t="s">
        <v>1064</v>
      </c>
      <c r="E21" s="41" t="s">
        <v>458</v>
      </c>
      <c r="F21" s="41">
        <v>1.4</v>
      </c>
      <c r="G21" s="86" t="s">
        <v>54</v>
      </c>
      <c r="H21" s="57" t="s">
        <v>1065</v>
      </c>
      <c r="I21" s="54" t="s">
        <v>1482</v>
      </c>
      <c r="J21" s="41">
        <v>3</v>
      </c>
      <c r="K21" s="41">
        <v>3</v>
      </c>
      <c r="L21" s="41">
        <f t="shared" si="0"/>
        <v>9</v>
      </c>
      <c r="M21" s="86" t="s">
        <v>1474</v>
      </c>
      <c r="N21" s="41">
        <v>2</v>
      </c>
      <c r="O21" s="41">
        <v>3</v>
      </c>
      <c r="P21" s="41">
        <f t="shared" si="1"/>
        <v>6</v>
      </c>
      <c r="Q21" s="88"/>
      <c r="R21" s="79" t="s">
        <v>1579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1483</v>
      </c>
      <c r="D22" s="41" t="s">
        <v>1468</v>
      </c>
      <c r="E22" s="41" t="s">
        <v>458</v>
      </c>
      <c r="F22" s="41">
        <v>1.1000000000000001</v>
      </c>
      <c r="G22" s="87" t="s">
        <v>51</v>
      </c>
      <c r="H22" s="57" t="s">
        <v>1484</v>
      </c>
      <c r="I22" s="54" t="s">
        <v>1482</v>
      </c>
      <c r="J22" s="41">
        <v>3</v>
      </c>
      <c r="K22" s="41">
        <v>3</v>
      </c>
      <c r="L22" s="41">
        <f t="shared" si="0"/>
        <v>9</v>
      </c>
      <c r="M22" s="87" t="s">
        <v>1474</v>
      </c>
      <c r="N22" s="41">
        <v>2</v>
      </c>
      <c r="O22" s="41">
        <v>3</v>
      </c>
      <c r="P22" s="41">
        <f t="shared" si="1"/>
        <v>6</v>
      </c>
      <c r="Q22" s="79"/>
      <c r="R22" s="79" t="s">
        <v>1579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1483</v>
      </c>
      <c r="D23" s="41" t="s">
        <v>1468</v>
      </c>
      <c r="E23" s="41" t="s">
        <v>1485</v>
      </c>
      <c r="F23" s="41">
        <v>1.5</v>
      </c>
      <c r="G23" s="86" t="s">
        <v>90</v>
      </c>
      <c r="H23" s="57" t="s">
        <v>1486</v>
      </c>
      <c r="I23" s="54" t="s">
        <v>1482</v>
      </c>
      <c r="J23" s="41">
        <v>3</v>
      </c>
      <c r="K23" s="41">
        <v>3</v>
      </c>
      <c r="L23" s="41">
        <f t="shared" si="0"/>
        <v>9</v>
      </c>
      <c r="M23" s="86" t="s">
        <v>1487</v>
      </c>
      <c r="N23" s="41">
        <v>3</v>
      </c>
      <c r="O23" s="41">
        <v>2</v>
      </c>
      <c r="P23" s="41">
        <f t="shared" si="1"/>
        <v>6</v>
      </c>
      <c r="Q23" s="88"/>
      <c r="R23" s="79" t="s">
        <v>1579</v>
      </c>
      <c r="S23" s="79"/>
    </row>
    <row r="24" spans="1:19" ht="52.95" customHeight="1" x14ac:dyDescent="0.4">
      <c r="A24" s="2">
        <v>17</v>
      </c>
      <c r="B24" s="80" t="s">
        <v>203</v>
      </c>
      <c r="C24" s="85" t="s">
        <v>1483</v>
      </c>
      <c r="D24" s="41" t="s">
        <v>1468</v>
      </c>
      <c r="E24" s="41" t="s">
        <v>1488</v>
      </c>
      <c r="F24" s="41">
        <v>1.1000000000000001</v>
      </c>
      <c r="G24" s="87" t="s">
        <v>74</v>
      </c>
      <c r="H24" s="57" t="s">
        <v>1489</v>
      </c>
      <c r="I24" s="54" t="s">
        <v>1482</v>
      </c>
      <c r="J24" s="41">
        <v>3</v>
      </c>
      <c r="K24" s="41">
        <v>2</v>
      </c>
      <c r="L24" s="41">
        <f t="shared" si="0"/>
        <v>6</v>
      </c>
      <c r="M24" s="87" t="s">
        <v>1490</v>
      </c>
      <c r="N24" s="41">
        <v>2</v>
      </c>
      <c r="O24" s="41">
        <v>2</v>
      </c>
      <c r="P24" s="41">
        <f t="shared" si="1"/>
        <v>4</v>
      </c>
      <c r="Q24" s="79"/>
      <c r="R24" s="79" t="s">
        <v>1579</v>
      </c>
      <c r="S24" s="79"/>
    </row>
    <row r="25" spans="1:19" ht="52.95" customHeight="1" x14ac:dyDescent="0.4">
      <c r="A25" s="2">
        <v>18</v>
      </c>
      <c r="B25" s="80" t="s">
        <v>203</v>
      </c>
      <c r="C25" s="85" t="s">
        <v>1483</v>
      </c>
      <c r="D25" s="41" t="s">
        <v>1468</v>
      </c>
      <c r="E25" s="41" t="s">
        <v>458</v>
      </c>
      <c r="F25" s="41">
        <v>6.3</v>
      </c>
      <c r="G25" s="86" t="s">
        <v>82</v>
      </c>
      <c r="H25" s="57" t="s">
        <v>1491</v>
      </c>
      <c r="I25" s="54" t="s">
        <v>1492</v>
      </c>
      <c r="J25" s="41">
        <v>4</v>
      </c>
      <c r="K25" s="41">
        <v>2</v>
      </c>
      <c r="L25" s="41">
        <f t="shared" si="0"/>
        <v>8</v>
      </c>
      <c r="M25" s="86" t="s">
        <v>1493</v>
      </c>
      <c r="N25" s="41">
        <v>4</v>
      </c>
      <c r="O25" s="41">
        <v>1</v>
      </c>
      <c r="P25" s="41">
        <f t="shared" si="1"/>
        <v>4</v>
      </c>
      <c r="Q25" s="88"/>
      <c r="R25" s="79" t="s">
        <v>1579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>
        <v>3</v>
      </c>
      <c r="K26" s="41">
        <v>2</v>
      </c>
      <c r="L26" s="41"/>
      <c r="M26" s="86"/>
      <c r="N26" s="41">
        <v>2</v>
      </c>
      <c r="O26" s="41">
        <v>2</v>
      </c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>
        <v>3</v>
      </c>
      <c r="K27" s="41">
        <v>2</v>
      </c>
      <c r="L27" s="41"/>
      <c r="M27" s="87"/>
      <c r="N27" s="41">
        <v>2</v>
      </c>
      <c r="O27" s="41">
        <v>2</v>
      </c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389" t="s">
        <v>185</v>
      </c>
      <c r="B29" s="390"/>
      <c r="C29" s="39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51" t="s">
        <v>187</v>
      </c>
      <c r="O29" s="52" t="s">
        <v>1573</v>
      </c>
      <c r="P29" s="52"/>
      <c r="Q29" s="52"/>
      <c r="R29" s="52"/>
      <c r="S29" s="53"/>
    </row>
    <row r="30" spans="1:19" ht="25.2" customHeight="1" x14ac:dyDescent="0.4">
      <c r="A30" s="392"/>
      <c r="B30" s="393"/>
      <c r="C30" s="39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51" t="s">
        <v>187</v>
      </c>
      <c r="O30" s="52" t="s">
        <v>1574</v>
      </c>
      <c r="P30" s="52"/>
      <c r="Q30" s="52"/>
      <c r="R30" s="52"/>
      <c r="S30" s="53"/>
    </row>
    <row r="31" spans="1:19" ht="25.2" customHeight="1" x14ac:dyDescent="0.4">
      <c r="A31" s="392"/>
      <c r="B31" s="393"/>
      <c r="C31" s="39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51" t="s">
        <v>187</v>
      </c>
      <c r="O31" s="52" t="s">
        <v>1575</v>
      </c>
      <c r="P31" s="52"/>
      <c r="Q31" s="52"/>
      <c r="R31" s="52"/>
      <c r="S31" s="53"/>
    </row>
    <row r="32" spans="1:19" ht="25.2" customHeight="1" x14ac:dyDescent="0.4">
      <c r="A32" s="392"/>
      <c r="B32" s="393"/>
      <c r="C32" s="39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51" t="s">
        <v>187</v>
      </c>
      <c r="O32" s="52" t="s">
        <v>1571</v>
      </c>
      <c r="P32" s="52"/>
      <c r="Q32" s="52"/>
      <c r="R32" s="52"/>
      <c r="S32" s="53"/>
    </row>
    <row r="33" spans="1:19" ht="25.2" customHeight="1" x14ac:dyDescent="0.4">
      <c r="A33" s="395"/>
      <c r="B33" s="396"/>
      <c r="C33" s="39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1582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14" t="s">
        <v>227</v>
      </c>
      <c r="C6" s="84" t="s">
        <v>1585</v>
      </c>
      <c r="D6" s="41" t="s">
        <v>1586</v>
      </c>
      <c r="E6" s="41"/>
      <c r="F6" s="76">
        <v>1.3</v>
      </c>
      <c r="G6" s="84" t="s">
        <v>1587</v>
      </c>
      <c r="H6" s="57" t="s">
        <v>1588</v>
      </c>
      <c r="I6" s="77" t="s">
        <v>1589</v>
      </c>
      <c r="J6" s="119">
        <v>3</v>
      </c>
      <c r="K6" s="119">
        <v>1</v>
      </c>
      <c r="L6" s="76">
        <f t="shared" ref="L6:L10" si="0">J6*K6</f>
        <v>3</v>
      </c>
      <c r="M6" s="77" t="s">
        <v>1590</v>
      </c>
      <c r="N6" s="76">
        <v>1</v>
      </c>
      <c r="O6" s="76">
        <v>1</v>
      </c>
      <c r="P6" s="76">
        <f t="shared" ref="P6:P10" si="1">N6*O6</f>
        <v>1</v>
      </c>
      <c r="Q6" s="76"/>
      <c r="R6" s="41"/>
      <c r="S6" s="41"/>
    </row>
    <row r="7" spans="1:19" ht="52.95" customHeight="1" x14ac:dyDescent="0.4">
      <c r="A7" s="2">
        <v>2</v>
      </c>
      <c r="B7" s="74" t="s">
        <v>227</v>
      </c>
      <c r="C7" s="88" t="s">
        <v>1591</v>
      </c>
      <c r="D7" s="41"/>
      <c r="E7" s="41" t="s">
        <v>1592</v>
      </c>
      <c r="F7" s="41">
        <v>2.1</v>
      </c>
      <c r="G7" s="62" t="s">
        <v>1310</v>
      </c>
      <c r="H7" s="57" t="s">
        <v>1593</v>
      </c>
      <c r="I7" s="54" t="s">
        <v>1594</v>
      </c>
      <c r="J7" s="41">
        <v>1</v>
      </c>
      <c r="K7" s="41">
        <v>4</v>
      </c>
      <c r="L7" s="76">
        <f t="shared" si="0"/>
        <v>4</v>
      </c>
      <c r="M7" s="57" t="s">
        <v>1595</v>
      </c>
      <c r="N7" s="41">
        <v>1</v>
      </c>
      <c r="O7" s="41">
        <v>4</v>
      </c>
      <c r="P7" s="76">
        <f t="shared" si="1"/>
        <v>4</v>
      </c>
      <c r="Q7" s="76"/>
      <c r="R7" s="79"/>
      <c r="S7" s="79"/>
    </row>
    <row r="8" spans="1:19" ht="52.95" customHeight="1" x14ac:dyDescent="0.4">
      <c r="A8" s="2">
        <v>3</v>
      </c>
      <c r="B8" s="80" t="s">
        <v>227</v>
      </c>
      <c r="C8" s="88" t="s">
        <v>1596</v>
      </c>
      <c r="D8" s="41"/>
      <c r="E8" s="41" t="s">
        <v>1592</v>
      </c>
      <c r="F8" s="41">
        <v>6.1</v>
      </c>
      <c r="G8" s="62" t="s">
        <v>1597</v>
      </c>
      <c r="H8" s="101" t="s">
        <v>1598</v>
      </c>
      <c r="I8" s="54" t="s">
        <v>1599</v>
      </c>
      <c r="J8" s="41">
        <v>3</v>
      </c>
      <c r="K8" s="41">
        <v>1</v>
      </c>
      <c r="L8" s="76">
        <f t="shared" si="0"/>
        <v>3</v>
      </c>
      <c r="M8" s="57" t="s">
        <v>1600</v>
      </c>
      <c r="N8" s="41">
        <v>1</v>
      </c>
      <c r="O8" s="41">
        <v>1</v>
      </c>
      <c r="P8" s="76">
        <f t="shared" si="1"/>
        <v>1</v>
      </c>
      <c r="Q8" s="76"/>
      <c r="R8" s="79"/>
      <c r="S8" s="79"/>
    </row>
    <row r="9" spans="1:19" ht="52.95" customHeight="1" x14ac:dyDescent="0.4">
      <c r="A9" s="2">
        <v>4</v>
      </c>
      <c r="B9" s="80" t="s">
        <v>227</v>
      </c>
      <c r="C9" s="120" t="s">
        <v>1601</v>
      </c>
      <c r="D9" s="41"/>
      <c r="E9" s="41"/>
      <c r="F9" s="41">
        <v>6.6</v>
      </c>
      <c r="G9" s="62" t="s">
        <v>90</v>
      </c>
      <c r="H9" s="57" t="s">
        <v>1602</v>
      </c>
      <c r="I9" s="54" t="s">
        <v>1603</v>
      </c>
      <c r="J9" s="41">
        <v>1</v>
      </c>
      <c r="K9" s="41">
        <v>4</v>
      </c>
      <c r="L9" s="76">
        <f t="shared" si="0"/>
        <v>4</v>
      </c>
      <c r="M9" s="101" t="s">
        <v>1604</v>
      </c>
      <c r="N9" s="41">
        <v>1</v>
      </c>
      <c r="O9" s="41">
        <v>4</v>
      </c>
      <c r="P9" s="76">
        <f t="shared" si="1"/>
        <v>4</v>
      </c>
      <c r="Q9" s="88"/>
      <c r="R9" s="79"/>
      <c r="S9" s="79"/>
    </row>
    <row r="10" spans="1:19" ht="52.95" customHeight="1" x14ac:dyDescent="0.4">
      <c r="A10" s="2">
        <v>5</v>
      </c>
      <c r="B10" s="80" t="s">
        <v>227</v>
      </c>
      <c r="C10" s="120" t="s">
        <v>1605</v>
      </c>
      <c r="D10" s="41"/>
      <c r="E10" s="41"/>
      <c r="F10" s="41">
        <v>7.1</v>
      </c>
      <c r="G10" s="62" t="s">
        <v>1606</v>
      </c>
      <c r="H10" s="57" t="s">
        <v>1607</v>
      </c>
      <c r="I10" s="54" t="s">
        <v>1608</v>
      </c>
      <c r="J10" s="41">
        <v>2</v>
      </c>
      <c r="K10" s="41">
        <v>1</v>
      </c>
      <c r="L10" s="76">
        <f t="shared" si="0"/>
        <v>2</v>
      </c>
      <c r="M10" s="57" t="s">
        <v>1609</v>
      </c>
      <c r="N10" s="41">
        <v>1</v>
      </c>
      <c r="O10" s="41">
        <v>1</v>
      </c>
      <c r="P10" s="76">
        <f t="shared" si="1"/>
        <v>1</v>
      </c>
      <c r="Q10" s="88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1631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9">
        <v>1</v>
      </c>
      <c r="B6" s="58" t="s">
        <v>17</v>
      </c>
      <c r="C6" s="58" t="s">
        <v>1610</v>
      </c>
      <c r="D6" s="122" t="s">
        <v>1611</v>
      </c>
      <c r="E6" s="59" t="s">
        <v>280</v>
      </c>
      <c r="F6" s="41">
        <v>1.3</v>
      </c>
      <c r="G6" s="86" t="s">
        <v>53</v>
      </c>
      <c r="H6" s="86" t="s">
        <v>1612</v>
      </c>
      <c r="I6" s="54" t="s">
        <v>1613</v>
      </c>
      <c r="J6" s="41">
        <v>1</v>
      </c>
      <c r="K6" s="41">
        <v>4</v>
      </c>
      <c r="L6" s="41">
        <v>4</v>
      </c>
      <c r="M6" s="54" t="s">
        <v>1614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9">
        <v>2</v>
      </c>
      <c r="B7" s="58" t="s">
        <v>227</v>
      </c>
      <c r="C7" s="58" t="s">
        <v>1615</v>
      </c>
      <c r="D7" s="122" t="s">
        <v>193</v>
      </c>
      <c r="E7" s="59" t="s">
        <v>280</v>
      </c>
      <c r="F7" s="41">
        <v>7.1</v>
      </c>
      <c r="G7" s="86" t="s">
        <v>84</v>
      </c>
      <c r="H7" s="86" t="s">
        <v>1616</v>
      </c>
      <c r="I7" s="54" t="s">
        <v>1613</v>
      </c>
      <c r="J7" s="41">
        <v>1</v>
      </c>
      <c r="K7" s="41">
        <v>2</v>
      </c>
      <c r="L7" s="41">
        <v>2</v>
      </c>
      <c r="M7" s="54" t="s">
        <v>1617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59">
        <v>3</v>
      </c>
      <c r="B8" s="58" t="s">
        <v>228</v>
      </c>
      <c r="C8" s="58" t="s">
        <v>1618</v>
      </c>
      <c r="D8" s="122" t="s">
        <v>193</v>
      </c>
      <c r="E8" s="59" t="s">
        <v>280</v>
      </c>
      <c r="F8" s="41">
        <v>7.2</v>
      </c>
      <c r="G8" s="86" t="s">
        <v>85</v>
      </c>
      <c r="H8" s="86" t="s">
        <v>1616</v>
      </c>
      <c r="I8" s="54" t="s">
        <v>1613</v>
      </c>
      <c r="J8" s="41">
        <v>1</v>
      </c>
      <c r="K8" s="41">
        <v>1</v>
      </c>
      <c r="L8" s="41">
        <v>1</v>
      </c>
      <c r="M8" s="54" t="s">
        <v>1617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59">
        <v>4</v>
      </c>
      <c r="B9" s="58" t="s">
        <v>228</v>
      </c>
      <c r="C9" s="58" t="s">
        <v>1619</v>
      </c>
      <c r="D9" s="122" t="s">
        <v>193</v>
      </c>
      <c r="E9" s="59" t="s">
        <v>280</v>
      </c>
      <c r="F9" s="41">
        <v>2.1</v>
      </c>
      <c r="G9" s="86" t="s">
        <v>57</v>
      </c>
      <c r="H9" s="86" t="s">
        <v>1620</v>
      </c>
      <c r="I9" s="54" t="s">
        <v>1613</v>
      </c>
      <c r="J9" s="41">
        <v>1</v>
      </c>
      <c r="K9" s="41">
        <v>3</v>
      </c>
      <c r="L9" s="41">
        <v>3</v>
      </c>
      <c r="M9" s="54" t="s">
        <v>1621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59">
        <v>5</v>
      </c>
      <c r="B10" s="58" t="s">
        <v>203</v>
      </c>
      <c r="C10" s="58" t="s">
        <v>1622</v>
      </c>
      <c r="D10" s="122" t="s">
        <v>193</v>
      </c>
      <c r="E10" s="59" t="s">
        <v>280</v>
      </c>
      <c r="F10" s="41">
        <v>1.1000000000000001</v>
      </c>
      <c r="G10" s="86" t="s">
        <v>51</v>
      </c>
      <c r="H10" s="86" t="s">
        <v>1623</v>
      </c>
      <c r="I10" s="54" t="s">
        <v>1613</v>
      </c>
      <c r="J10" s="41">
        <v>1</v>
      </c>
      <c r="K10" s="41">
        <v>4</v>
      </c>
      <c r="L10" s="41">
        <v>4</v>
      </c>
      <c r="M10" s="54" t="s">
        <v>688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58" t="s">
        <v>203</v>
      </c>
      <c r="C11" s="58" t="s">
        <v>621</v>
      </c>
      <c r="D11" s="59" t="s">
        <v>280</v>
      </c>
      <c r="E11" s="59" t="s">
        <v>280</v>
      </c>
      <c r="F11" s="41">
        <v>1.4</v>
      </c>
      <c r="G11" s="86" t="s">
        <v>54</v>
      </c>
      <c r="H11" s="86" t="s">
        <v>1624</v>
      </c>
      <c r="I11" s="54" t="s">
        <v>1613</v>
      </c>
      <c r="J11" s="41">
        <v>1</v>
      </c>
      <c r="K11" s="41">
        <v>3</v>
      </c>
      <c r="L11" s="41">
        <v>3</v>
      </c>
      <c r="M11" s="54" t="s">
        <v>688</v>
      </c>
      <c r="N11" s="41">
        <v>1</v>
      </c>
      <c r="O11" s="41">
        <v>1</v>
      </c>
      <c r="P11" s="41">
        <v>1</v>
      </c>
      <c r="Q11" s="79"/>
      <c r="R11" s="79"/>
      <c r="S11" s="79"/>
    </row>
    <row r="12" spans="1:19" ht="52.95" customHeight="1" x14ac:dyDescent="0.4">
      <c r="A12" s="2">
        <v>7</v>
      </c>
      <c r="B12" s="58" t="s">
        <v>203</v>
      </c>
      <c r="C12" s="58" t="s">
        <v>1625</v>
      </c>
      <c r="D12" s="122" t="s">
        <v>193</v>
      </c>
      <c r="E12" s="59" t="s">
        <v>280</v>
      </c>
      <c r="F12" s="41">
        <v>6.7</v>
      </c>
      <c r="G12" s="86" t="s">
        <v>94</v>
      </c>
      <c r="H12" s="86" t="s">
        <v>1626</v>
      </c>
      <c r="I12" s="54" t="s">
        <v>1613</v>
      </c>
      <c r="J12" s="41">
        <v>2</v>
      </c>
      <c r="K12" s="41">
        <v>3</v>
      </c>
      <c r="L12" s="41">
        <v>6</v>
      </c>
      <c r="M12" s="54" t="s">
        <v>1627</v>
      </c>
      <c r="N12" s="41">
        <v>1</v>
      </c>
      <c r="O12" s="41">
        <v>1</v>
      </c>
      <c r="P12" s="41">
        <v>1</v>
      </c>
      <c r="Q12" s="79"/>
      <c r="R12" s="79"/>
      <c r="S12" s="79"/>
    </row>
    <row r="13" spans="1:19" ht="52.95" customHeight="1" x14ac:dyDescent="0.4">
      <c r="A13" s="2">
        <v>8</v>
      </c>
      <c r="B13" s="58" t="s">
        <v>203</v>
      </c>
      <c r="C13" s="58" t="s">
        <v>1628</v>
      </c>
      <c r="D13" s="59" t="s">
        <v>280</v>
      </c>
      <c r="E13" s="59" t="s">
        <v>280</v>
      </c>
      <c r="F13" s="41">
        <v>3.2</v>
      </c>
      <c r="G13" s="86" t="s">
        <v>61</v>
      </c>
      <c r="H13" s="86" t="s">
        <v>1629</v>
      </c>
      <c r="I13" s="54" t="s">
        <v>1613</v>
      </c>
      <c r="J13" s="41">
        <v>2</v>
      </c>
      <c r="K13" s="41">
        <v>3</v>
      </c>
      <c r="L13" s="41">
        <v>6</v>
      </c>
      <c r="M13" s="54" t="s">
        <v>1630</v>
      </c>
      <c r="N13" s="41">
        <v>1</v>
      </c>
      <c r="O13" s="41">
        <v>1</v>
      </c>
      <c r="P13" s="41">
        <v>1</v>
      </c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1667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41" t="s">
        <v>17</v>
      </c>
      <c r="C6" s="142" t="s">
        <v>1650</v>
      </c>
      <c r="D6" s="139" t="s">
        <v>393</v>
      </c>
      <c r="E6" s="139" t="s">
        <v>1298</v>
      </c>
      <c r="F6" s="41">
        <v>1.3</v>
      </c>
      <c r="G6" s="86" t="s">
        <v>53</v>
      </c>
      <c r="H6" s="57" t="s">
        <v>1651</v>
      </c>
      <c r="I6" s="54" t="s">
        <v>1580</v>
      </c>
      <c r="J6" s="41">
        <v>3</v>
      </c>
      <c r="K6" s="41">
        <v>4</v>
      </c>
      <c r="L6" s="41">
        <v>12</v>
      </c>
      <c r="M6" s="101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41" t="s">
        <v>227</v>
      </c>
      <c r="C7" s="142" t="s">
        <v>1652</v>
      </c>
      <c r="D7" s="142" t="s">
        <v>1653</v>
      </c>
      <c r="E7" s="139" t="s">
        <v>1298</v>
      </c>
      <c r="F7" s="41">
        <v>1.3</v>
      </c>
      <c r="G7" s="86" t="s">
        <v>53</v>
      </c>
      <c r="H7" s="57" t="s">
        <v>1654</v>
      </c>
      <c r="I7" s="54" t="s">
        <v>1580</v>
      </c>
      <c r="J7" s="41">
        <v>3</v>
      </c>
      <c r="K7" s="41">
        <v>4</v>
      </c>
      <c r="L7" s="41">
        <v>12</v>
      </c>
      <c r="M7" s="101" t="s">
        <v>177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2">
        <v>3</v>
      </c>
      <c r="B8" s="141" t="s">
        <v>227</v>
      </c>
      <c r="C8" s="142" t="s">
        <v>1655</v>
      </c>
      <c r="D8" s="142" t="s">
        <v>193</v>
      </c>
      <c r="E8" s="139" t="s">
        <v>1298</v>
      </c>
      <c r="F8" s="41">
        <v>7.1</v>
      </c>
      <c r="G8" s="87" t="s">
        <v>415</v>
      </c>
      <c r="H8" s="57" t="s">
        <v>1656</v>
      </c>
      <c r="I8" s="54" t="s">
        <v>1580</v>
      </c>
      <c r="J8" s="41">
        <v>1</v>
      </c>
      <c r="K8" s="41">
        <v>1</v>
      </c>
      <c r="L8" s="41">
        <v>12</v>
      </c>
      <c r="M8" s="101" t="s">
        <v>1657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2">
        <v>4</v>
      </c>
      <c r="B9" s="141" t="s">
        <v>228</v>
      </c>
      <c r="C9" s="142" t="s">
        <v>1658</v>
      </c>
      <c r="D9" s="142" t="s">
        <v>193</v>
      </c>
      <c r="E9" s="139" t="s">
        <v>1298</v>
      </c>
      <c r="F9" s="41">
        <v>2.1</v>
      </c>
      <c r="G9" s="87" t="s">
        <v>57</v>
      </c>
      <c r="H9" s="57" t="s">
        <v>372</v>
      </c>
      <c r="I9" s="54" t="s">
        <v>1580</v>
      </c>
      <c r="J9" s="41">
        <v>3</v>
      </c>
      <c r="K9" s="41">
        <v>4</v>
      </c>
      <c r="L9" s="41">
        <v>12</v>
      </c>
      <c r="M9" s="57" t="s">
        <v>1659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2">
        <v>5</v>
      </c>
      <c r="B10" s="141" t="s">
        <v>203</v>
      </c>
      <c r="C10" s="142" t="s">
        <v>1660</v>
      </c>
      <c r="D10" s="142" t="s">
        <v>1661</v>
      </c>
      <c r="E10" s="139" t="s">
        <v>1298</v>
      </c>
      <c r="F10" s="41">
        <v>7.2</v>
      </c>
      <c r="G10" s="87" t="s">
        <v>1183</v>
      </c>
      <c r="H10" s="57" t="s">
        <v>1662</v>
      </c>
      <c r="I10" s="54" t="s">
        <v>1580</v>
      </c>
      <c r="J10" s="41">
        <v>1</v>
      </c>
      <c r="K10" s="41">
        <v>1</v>
      </c>
      <c r="L10" s="41">
        <v>1</v>
      </c>
      <c r="M10" s="57" t="s">
        <v>1663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141" t="s">
        <v>203</v>
      </c>
      <c r="C11" s="142" t="s">
        <v>1664</v>
      </c>
      <c r="D11" s="139" t="s">
        <v>1665</v>
      </c>
      <c r="E11" s="139" t="s">
        <v>1298</v>
      </c>
      <c r="F11" s="41">
        <v>3.2</v>
      </c>
      <c r="G11" s="87" t="s">
        <v>61</v>
      </c>
      <c r="H11" s="57" t="s">
        <v>1666</v>
      </c>
      <c r="I11" s="54" t="s">
        <v>1580</v>
      </c>
      <c r="J11" s="41">
        <v>2</v>
      </c>
      <c r="K11" s="41">
        <v>1</v>
      </c>
      <c r="L11" s="41">
        <v>2</v>
      </c>
      <c r="M11" s="57" t="s">
        <v>1627</v>
      </c>
      <c r="N11" s="41">
        <v>1</v>
      </c>
      <c r="O11" s="41">
        <v>1</v>
      </c>
      <c r="P11" s="41">
        <v>1</v>
      </c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1667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14" t="s">
        <v>17</v>
      </c>
      <c r="C6" s="86" t="s">
        <v>1668</v>
      </c>
      <c r="D6" s="41" t="s">
        <v>570</v>
      </c>
      <c r="E6" s="41" t="s">
        <v>1034</v>
      </c>
      <c r="F6" s="41">
        <v>1.4</v>
      </c>
      <c r="G6" s="86" t="s">
        <v>54</v>
      </c>
      <c r="H6" s="57" t="s">
        <v>1788</v>
      </c>
      <c r="I6" s="54" t="s">
        <v>1584</v>
      </c>
      <c r="J6" s="41">
        <v>2</v>
      </c>
      <c r="K6" s="41">
        <v>1</v>
      </c>
      <c r="L6" s="41">
        <v>1</v>
      </c>
      <c r="M6" s="87" t="s">
        <v>1789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74" t="s">
        <v>401</v>
      </c>
      <c r="C7" s="85" t="s">
        <v>1583</v>
      </c>
      <c r="D7" s="41" t="s">
        <v>570</v>
      </c>
      <c r="E7" s="41" t="s">
        <v>1034</v>
      </c>
      <c r="F7" s="41">
        <v>7.1</v>
      </c>
      <c r="G7" s="86" t="s">
        <v>1268</v>
      </c>
      <c r="H7" s="57" t="s">
        <v>1669</v>
      </c>
      <c r="I7" s="54" t="s">
        <v>1580</v>
      </c>
      <c r="J7" s="41">
        <v>2</v>
      </c>
      <c r="K7" s="41">
        <v>1</v>
      </c>
      <c r="L7" s="41">
        <v>1</v>
      </c>
      <c r="M7" s="87" t="s">
        <v>1581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2">
        <v>3</v>
      </c>
      <c r="B8" s="80" t="s">
        <v>203</v>
      </c>
      <c r="C8" s="85" t="s">
        <v>1670</v>
      </c>
      <c r="D8" s="41" t="s">
        <v>1671</v>
      </c>
      <c r="E8" s="41" t="s">
        <v>1034</v>
      </c>
      <c r="F8" s="41">
        <v>6.7</v>
      </c>
      <c r="G8" s="87" t="s">
        <v>1672</v>
      </c>
      <c r="H8" s="57" t="s">
        <v>1673</v>
      </c>
      <c r="I8" s="54" t="s">
        <v>1580</v>
      </c>
      <c r="J8" s="41">
        <v>2</v>
      </c>
      <c r="K8" s="41">
        <v>1</v>
      </c>
      <c r="L8" s="41">
        <v>1</v>
      </c>
      <c r="M8" s="87" t="s">
        <v>1674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2">
        <v>4</v>
      </c>
      <c r="B9" s="80" t="s">
        <v>203</v>
      </c>
      <c r="C9" s="85" t="s">
        <v>1675</v>
      </c>
      <c r="D9" s="41" t="s">
        <v>1676</v>
      </c>
      <c r="E9" s="41" t="s">
        <v>1034</v>
      </c>
      <c r="F9" s="41">
        <v>1.1000000000000001</v>
      </c>
      <c r="G9" s="87" t="s">
        <v>1677</v>
      </c>
      <c r="H9" s="57" t="s">
        <v>1678</v>
      </c>
      <c r="I9" s="54" t="s">
        <v>1580</v>
      </c>
      <c r="J9" s="41">
        <v>1</v>
      </c>
      <c r="K9" s="41">
        <v>1</v>
      </c>
      <c r="L9" s="41">
        <v>1</v>
      </c>
      <c r="M9" s="87" t="s">
        <v>751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2">
        <v>5</v>
      </c>
      <c r="B10" s="80" t="s">
        <v>203</v>
      </c>
      <c r="C10" s="85" t="s">
        <v>1679</v>
      </c>
      <c r="D10" s="41" t="s">
        <v>1641</v>
      </c>
      <c r="E10" s="41" t="s">
        <v>1034</v>
      </c>
      <c r="F10" s="41">
        <v>3.2</v>
      </c>
      <c r="G10" s="87" t="s">
        <v>1680</v>
      </c>
      <c r="H10" s="57" t="s">
        <v>1681</v>
      </c>
      <c r="I10" s="54" t="s">
        <v>1580</v>
      </c>
      <c r="J10" s="41">
        <v>2</v>
      </c>
      <c r="K10" s="41">
        <v>1</v>
      </c>
      <c r="L10" s="41">
        <v>1</v>
      </c>
      <c r="M10" s="87" t="s">
        <v>1648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389" t="s">
        <v>185</v>
      </c>
      <c r="B20" s="390"/>
      <c r="C20" s="39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392"/>
      <c r="B21" s="393"/>
      <c r="C21" s="39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392"/>
      <c r="B22" s="393"/>
      <c r="C22" s="39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392"/>
      <c r="B23" s="393"/>
      <c r="C23" s="39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395"/>
      <c r="B24" s="396"/>
      <c r="C24" s="39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1791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104">
        <v>1</v>
      </c>
      <c r="B6" s="60" t="s">
        <v>1726</v>
      </c>
      <c r="C6" s="74" t="s">
        <v>175</v>
      </c>
      <c r="D6" s="80" t="s">
        <v>393</v>
      </c>
      <c r="E6" s="41" t="s">
        <v>191</v>
      </c>
      <c r="F6" s="41">
        <v>1.3</v>
      </c>
      <c r="G6" s="89" t="s">
        <v>196</v>
      </c>
      <c r="H6" s="107" t="s">
        <v>281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79"/>
      <c r="R6" s="79"/>
      <c r="S6" s="79"/>
    </row>
    <row r="7" spans="1:19" ht="52.95" customHeight="1" x14ac:dyDescent="0.4">
      <c r="A7" s="104">
        <v>2</v>
      </c>
      <c r="B7" s="70" t="s">
        <v>17</v>
      </c>
      <c r="C7" s="74" t="s">
        <v>286</v>
      </c>
      <c r="D7" s="80" t="s">
        <v>193</v>
      </c>
      <c r="E7" s="41" t="s">
        <v>191</v>
      </c>
      <c r="F7" s="41">
        <v>4.2</v>
      </c>
      <c r="G7" s="89" t="s">
        <v>471</v>
      </c>
      <c r="H7" s="107" t="s">
        <v>287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1727</v>
      </c>
      <c r="N7" s="41">
        <v>1</v>
      </c>
      <c r="O7" s="41">
        <v>3</v>
      </c>
      <c r="P7" s="41">
        <f t="shared" ref="P7:P32" si="1">N7*O7</f>
        <v>3</v>
      </c>
      <c r="Q7" s="79"/>
      <c r="R7" s="79"/>
      <c r="S7" s="79"/>
    </row>
    <row r="8" spans="1:19" ht="52.95" customHeight="1" x14ac:dyDescent="0.4">
      <c r="A8" s="104">
        <v>3</v>
      </c>
      <c r="B8" s="70" t="s">
        <v>17</v>
      </c>
      <c r="C8" s="74" t="s">
        <v>1728</v>
      </c>
      <c r="D8" s="59" t="s">
        <v>1729</v>
      </c>
      <c r="E8" s="41" t="s">
        <v>191</v>
      </c>
      <c r="F8" s="41">
        <v>1.2</v>
      </c>
      <c r="G8" s="89" t="s">
        <v>52</v>
      </c>
      <c r="H8" s="107" t="s">
        <v>1730</v>
      </c>
      <c r="I8" s="54" t="s">
        <v>323</v>
      </c>
      <c r="J8" s="143">
        <v>4</v>
      </c>
      <c r="K8" s="143">
        <v>4</v>
      </c>
      <c r="L8" s="41">
        <f t="shared" si="0"/>
        <v>16</v>
      </c>
      <c r="M8" s="54" t="s">
        <v>1727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104">
        <v>4</v>
      </c>
      <c r="B9" s="70" t="s">
        <v>227</v>
      </c>
      <c r="C9" s="93" t="s">
        <v>1787</v>
      </c>
      <c r="D9" s="59" t="s">
        <v>193</v>
      </c>
      <c r="E9" s="41" t="s">
        <v>191</v>
      </c>
      <c r="F9" s="41">
        <v>1.3</v>
      </c>
      <c r="G9" s="74" t="s">
        <v>53</v>
      </c>
      <c r="H9" s="106" t="s">
        <v>1731</v>
      </c>
      <c r="I9" s="54" t="s">
        <v>296</v>
      </c>
      <c r="J9" s="143">
        <v>3</v>
      </c>
      <c r="K9" s="143">
        <v>3</v>
      </c>
      <c r="L9" s="41">
        <f t="shared" si="0"/>
        <v>9</v>
      </c>
      <c r="M9" s="114" t="s">
        <v>1792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104">
        <v>5</v>
      </c>
      <c r="B10" s="70" t="s">
        <v>228</v>
      </c>
      <c r="C10" s="93" t="s">
        <v>1733</v>
      </c>
      <c r="D10" s="59" t="s">
        <v>570</v>
      </c>
      <c r="E10" s="41" t="s">
        <v>191</v>
      </c>
      <c r="F10" s="41">
        <v>2.1</v>
      </c>
      <c r="G10" s="74" t="s">
        <v>701</v>
      </c>
      <c r="H10" s="106" t="s">
        <v>372</v>
      </c>
      <c r="I10" s="54" t="s">
        <v>296</v>
      </c>
      <c r="J10" s="143">
        <v>2</v>
      </c>
      <c r="K10" s="143">
        <v>2</v>
      </c>
      <c r="L10" s="41">
        <f t="shared" si="0"/>
        <v>4</v>
      </c>
      <c r="M10" s="114" t="s">
        <v>1734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104">
        <v>6</v>
      </c>
      <c r="B11" s="70" t="s">
        <v>228</v>
      </c>
      <c r="C11" s="93" t="s">
        <v>1698</v>
      </c>
      <c r="D11" s="59" t="s">
        <v>193</v>
      </c>
      <c r="E11" s="41" t="s">
        <v>191</v>
      </c>
      <c r="F11" s="41">
        <v>1.2</v>
      </c>
      <c r="G11" s="74" t="s">
        <v>52</v>
      </c>
      <c r="H11" s="106" t="s">
        <v>1703</v>
      </c>
      <c r="I11" s="54" t="s">
        <v>296</v>
      </c>
      <c r="J11" s="143">
        <v>2</v>
      </c>
      <c r="K11" s="143">
        <v>2</v>
      </c>
      <c r="L11" s="41">
        <f t="shared" si="0"/>
        <v>4</v>
      </c>
      <c r="M11" s="114" t="s">
        <v>1734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104">
        <v>7</v>
      </c>
      <c r="B12" s="70" t="s">
        <v>228</v>
      </c>
      <c r="C12" s="93" t="s">
        <v>1735</v>
      </c>
      <c r="D12" s="59" t="s">
        <v>193</v>
      </c>
      <c r="E12" s="41" t="s">
        <v>191</v>
      </c>
      <c r="F12" s="41">
        <v>2.1</v>
      </c>
      <c r="G12" s="74" t="s">
        <v>701</v>
      </c>
      <c r="H12" s="106" t="s">
        <v>372</v>
      </c>
      <c r="I12" s="54" t="s">
        <v>296</v>
      </c>
      <c r="J12" s="143">
        <v>2</v>
      </c>
      <c r="K12" s="143">
        <v>2</v>
      </c>
      <c r="L12" s="41">
        <f t="shared" si="0"/>
        <v>4</v>
      </c>
      <c r="M12" s="114" t="s">
        <v>1734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104">
        <v>8</v>
      </c>
      <c r="B13" s="70" t="s">
        <v>228</v>
      </c>
      <c r="C13" s="93" t="s">
        <v>1736</v>
      </c>
      <c r="D13" s="59" t="s">
        <v>193</v>
      </c>
      <c r="E13" s="41" t="s">
        <v>191</v>
      </c>
      <c r="F13" s="41">
        <v>7.3</v>
      </c>
      <c r="G13" s="74" t="s">
        <v>86</v>
      </c>
      <c r="H13" s="106" t="s">
        <v>1708</v>
      </c>
      <c r="I13" s="54" t="s">
        <v>296</v>
      </c>
      <c r="J13" s="143">
        <v>2</v>
      </c>
      <c r="K13" s="143">
        <v>2</v>
      </c>
      <c r="L13" s="41">
        <f t="shared" si="0"/>
        <v>4</v>
      </c>
      <c r="M13" s="114" t="s">
        <v>1732</v>
      </c>
      <c r="N13" s="41">
        <v>1</v>
      </c>
      <c r="O13" s="41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104">
        <v>9</v>
      </c>
      <c r="B14" s="70" t="s">
        <v>203</v>
      </c>
      <c r="C14" s="58" t="s">
        <v>1737</v>
      </c>
      <c r="D14" s="60" t="s">
        <v>1763</v>
      </c>
      <c r="E14" s="41" t="s">
        <v>191</v>
      </c>
      <c r="F14" s="61">
        <v>2.1</v>
      </c>
      <c r="G14" s="74" t="s">
        <v>57</v>
      </c>
      <c r="H14" s="106" t="s">
        <v>1739</v>
      </c>
      <c r="I14" s="54" t="s">
        <v>296</v>
      </c>
      <c r="J14" s="59">
        <v>3</v>
      </c>
      <c r="K14" s="59">
        <v>2</v>
      </c>
      <c r="L14" s="41">
        <f t="shared" si="0"/>
        <v>6</v>
      </c>
      <c r="M14" s="114" t="s">
        <v>1734</v>
      </c>
      <c r="N14" s="61">
        <v>1</v>
      </c>
      <c r="O14" s="61">
        <v>2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104">
        <v>10</v>
      </c>
      <c r="B15" s="70" t="s">
        <v>203</v>
      </c>
      <c r="C15" s="58" t="s">
        <v>1764</v>
      </c>
      <c r="D15" s="59" t="s">
        <v>1765</v>
      </c>
      <c r="E15" s="41" t="s">
        <v>191</v>
      </c>
      <c r="F15" s="61">
        <v>1.1000000000000001</v>
      </c>
      <c r="G15" s="74" t="s">
        <v>1740</v>
      </c>
      <c r="H15" s="106" t="s">
        <v>1714</v>
      </c>
      <c r="I15" s="54" t="s">
        <v>1742</v>
      </c>
      <c r="J15" s="59">
        <v>3</v>
      </c>
      <c r="K15" s="59">
        <v>3</v>
      </c>
      <c r="L15" s="41">
        <f t="shared" si="0"/>
        <v>9</v>
      </c>
      <c r="M15" s="114" t="s">
        <v>1734</v>
      </c>
      <c r="N15" s="41">
        <v>1</v>
      </c>
      <c r="O15" s="41">
        <v>3</v>
      </c>
      <c r="P15" s="41">
        <f t="shared" si="1"/>
        <v>3</v>
      </c>
      <c r="Q15" s="79"/>
      <c r="R15" s="79"/>
      <c r="S15" s="79"/>
    </row>
    <row r="16" spans="1:19" ht="52.95" customHeight="1" x14ac:dyDescent="0.4">
      <c r="A16" s="104">
        <v>11</v>
      </c>
      <c r="B16" s="70" t="s">
        <v>203</v>
      </c>
      <c r="C16" s="58" t="s">
        <v>1764</v>
      </c>
      <c r="D16" s="59" t="s">
        <v>1765</v>
      </c>
      <c r="E16" s="41" t="s">
        <v>191</v>
      </c>
      <c r="F16" s="61">
        <v>1.6</v>
      </c>
      <c r="G16" s="74" t="s">
        <v>56</v>
      </c>
      <c r="H16" s="106" t="s">
        <v>1766</v>
      </c>
      <c r="I16" s="54" t="s">
        <v>1742</v>
      </c>
      <c r="J16" s="59">
        <v>3</v>
      </c>
      <c r="K16" s="59">
        <v>3</v>
      </c>
      <c r="L16" s="41">
        <f t="shared" si="0"/>
        <v>9</v>
      </c>
      <c r="M16" s="114" t="s">
        <v>1734</v>
      </c>
      <c r="N16" s="61">
        <v>1</v>
      </c>
      <c r="O16" s="61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104">
        <v>12</v>
      </c>
      <c r="B17" s="70" t="s">
        <v>203</v>
      </c>
      <c r="C17" s="58" t="s">
        <v>1737</v>
      </c>
      <c r="D17" s="59" t="s">
        <v>1738</v>
      </c>
      <c r="E17" s="41" t="s">
        <v>191</v>
      </c>
      <c r="F17" s="61">
        <v>1.3</v>
      </c>
      <c r="G17" s="74" t="s">
        <v>1740</v>
      </c>
      <c r="H17" s="106" t="s">
        <v>1741</v>
      </c>
      <c r="I17" s="54" t="s">
        <v>1742</v>
      </c>
      <c r="J17" s="59">
        <v>3</v>
      </c>
      <c r="K17" s="59">
        <v>2</v>
      </c>
      <c r="L17" s="41">
        <f t="shared" si="0"/>
        <v>6</v>
      </c>
      <c r="M17" s="114" t="s">
        <v>1734</v>
      </c>
      <c r="N17" s="61">
        <v>1</v>
      </c>
      <c r="O17" s="61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104">
        <v>13</v>
      </c>
      <c r="B18" s="70" t="s">
        <v>203</v>
      </c>
      <c r="C18" s="58" t="s">
        <v>1737</v>
      </c>
      <c r="D18" s="59" t="s">
        <v>1738</v>
      </c>
      <c r="E18" s="41" t="s">
        <v>191</v>
      </c>
      <c r="F18" s="61">
        <v>1.1000000000000001</v>
      </c>
      <c r="G18" s="74" t="s">
        <v>1743</v>
      </c>
      <c r="H18" s="106" t="s">
        <v>1722</v>
      </c>
      <c r="I18" s="54" t="s">
        <v>1742</v>
      </c>
      <c r="J18" s="59">
        <v>3</v>
      </c>
      <c r="K18" s="59">
        <v>2</v>
      </c>
      <c r="L18" s="41">
        <f t="shared" si="0"/>
        <v>6</v>
      </c>
      <c r="M18" s="114" t="s">
        <v>1734</v>
      </c>
      <c r="N18" s="61">
        <v>1</v>
      </c>
      <c r="O18" s="61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104">
        <v>14</v>
      </c>
      <c r="B19" s="70" t="s">
        <v>203</v>
      </c>
      <c r="C19" s="58" t="s">
        <v>1737</v>
      </c>
      <c r="D19" s="59" t="s">
        <v>1738</v>
      </c>
      <c r="E19" s="41" t="s">
        <v>191</v>
      </c>
      <c r="F19" s="61">
        <v>1.1000000000000001</v>
      </c>
      <c r="G19" s="74" t="s">
        <v>1740</v>
      </c>
      <c r="H19" s="106" t="s">
        <v>1725</v>
      </c>
      <c r="I19" s="54" t="s">
        <v>1742</v>
      </c>
      <c r="J19" s="59">
        <v>3</v>
      </c>
      <c r="K19" s="59">
        <v>2</v>
      </c>
      <c r="L19" s="41">
        <f t="shared" si="0"/>
        <v>6</v>
      </c>
      <c r="M19" s="114" t="s">
        <v>1734</v>
      </c>
      <c r="N19" s="61">
        <v>1</v>
      </c>
      <c r="O19" s="61">
        <v>2</v>
      </c>
      <c r="P19" s="41">
        <f t="shared" si="1"/>
        <v>2</v>
      </c>
      <c r="Q19" s="88"/>
      <c r="R19" s="79"/>
      <c r="S19" s="79"/>
    </row>
    <row r="20" spans="1:19" ht="52.95" customHeight="1" x14ac:dyDescent="0.4">
      <c r="A20" s="104">
        <v>15</v>
      </c>
      <c r="B20" s="70" t="s">
        <v>203</v>
      </c>
      <c r="C20" s="58" t="s">
        <v>1720</v>
      </c>
      <c r="D20" s="59" t="s">
        <v>1738</v>
      </c>
      <c r="E20" s="41" t="s">
        <v>191</v>
      </c>
      <c r="F20" s="61">
        <v>1.4</v>
      </c>
      <c r="G20" s="74" t="s">
        <v>54</v>
      </c>
      <c r="H20" s="106" t="s">
        <v>1744</v>
      </c>
      <c r="I20" s="54" t="s">
        <v>1742</v>
      </c>
      <c r="J20" s="59">
        <v>3</v>
      </c>
      <c r="K20" s="59">
        <v>2</v>
      </c>
      <c r="L20" s="41">
        <f t="shared" si="0"/>
        <v>6</v>
      </c>
      <c r="M20" s="114" t="s">
        <v>1734</v>
      </c>
      <c r="N20" s="61">
        <v>1</v>
      </c>
      <c r="O20" s="61">
        <v>2</v>
      </c>
      <c r="P20" s="41">
        <f t="shared" si="1"/>
        <v>2</v>
      </c>
      <c r="Q20" s="79"/>
      <c r="R20" s="79"/>
      <c r="S20" s="79"/>
    </row>
    <row r="21" spans="1:19" ht="52.95" customHeight="1" x14ac:dyDescent="0.4">
      <c r="A21" s="104">
        <v>16</v>
      </c>
      <c r="B21" s="70" t="s">
        <v>203</v>
      </c>
      <c r="C21" s="58" t="s">
        <v>1720</v>
      </c>
      <c r="D21" s="59" t="s">
        <v>1738</v>
      </c>
      <c r="E21" s="41" t="s">
        <v>191</v>
      </c>
      <c r="F21" s="61">
        <v>1.3</v>
      </c>
      <c r="G21" s="74" t="s">
        <v>196</v>
      </c>
      <c r="H21" s="106" t="s">
        <v>1745</v>
      </c>
      <c r="I21" s="54" t="s">
        <v>1742</v>
      </c>
      <c r="J21" s="59">
        <v>3</v>
      </c>
      <c r="K21" s="59">
        <v>2</v>
      </c>
      <c r="L21" s="41">
        <f t="shared" si="0"/>
        <v>6</v>
      </c>
      <c r="M21" s="114" t="s">
        <v>1734</v>
      </c>
      <c r="N21" s="61">
        <v>1</v>
      </c>
      <c r="O21" s="61">
        <v>2</v>
      </c>
      <c r="P21" s="41">
        <f t="shared" si="1"/>
        <v>2</v>
      </c>
      <c r="Q21" s="88"/>
      <c r="R21" s="79"/>
      <c r="S21" s="79"/>
    </row>
    <row r="22" spans="1:19" ht="52.95" customHeight="1" x14ac:dyDescent="0.4">
      <c r="A22" s="104">
        <v>17</v>
      </c>
      <c r="B22" s="70" t="s">
        <v>203</v>
      </c>
      <c r="C22" s="58" t="s">
        <v>1720</v>
      </c>
      <c r="D22" s="60" t="s">
        <v>1746</v>
      </c>
      <c r="E22" s="41" t="s">
        <v>191</v>
      </c>
      <c r="F22" s="61">
        <v>1.6</v>
      </c>
      <c r="G22" s="74" t="s">
        <v>56</v>
      </c>
      <c r="H22" s="106" t="s">
        <v>1747</v>
      </c>
      <c r="I22" s="54" t="s">
        <v>1742</v>
      </c>
      <c r="J22" s="59">
        <v>3</v>
      </c>
      <c r="K22" s="59">
        <v>2</v>
      </c>
      <c r="L22" s="41">
        <f t="shared" si="0"/>
        <v>6</v>
      </c>
      <c r="M22" s="114" t="s">
        <v>1734</v>
      </c>
      <c r="N22" s="61">
        <v>1</v>
      </c>
      <c r="O22" s="61">
        <v>2</v>
      </c>
      <c r="P22" s="41">
        <f t="shared" si="1"/>
        <v>2</v>
      </c>
      <c r="Q22" s="88"/>
      <c r="R22" s="79"/>
      <c r="S22" s="79"/>
    </row>
    <row r="23" spans="1:19" ht="52.95" customHeight="1" x14ac:dyDescent="0.4">
      <c r="A23" s="104">
        <v>18</v>
      </c>
      <c r="B23" s="70" t="s">
        <v>203</v>
      </c>
      <c r="C23" s="58" t="s">
        <v>1720</v>
      </c>
      <c r="D23" s="60" t="s">
        <v>1748</v>
      </c>
      <c r="E23" s="41" t="s">
        <v>191</v>
      </c>
      <c r="F23" s="61">
        <v>1.1000000000000001</v>
      </c>
      <c r="G23" s="74" t="s">
        <v>1740</v>
      </c>
      <c r="H23" s="106" t="s">
        <v>1749</v>
      </c>
      <c r="I23" s="54" t="s">
        <v>1742</v>
      </c>
      <c r="J23" s="59">
        <v>3</v>
      </c>
      <c r="K23" s="59">
        <v>2</v>
      </c>
      <c r="L23" s="41">
        <f t="shared" si="0"/>
        <v>6</v>
      </c>
      <c r="M23" s="114" t="s">
        <v>1734</v>
      </c>
      <c r="N23" s="61">
        <v>1</v>
      </c>
      <c r="O23" s="61">
        <v>2</v>
      </c>
      <c r="P23" s="41">
        <f t="shared" si="1"/>
        <v>2</v>
      </c>
      <c r="Q23" s="88"/>
      <c r="R23" s="79"/>
      <c r="S23" s="79"/>
    </row>
    <row r="24" spans="1:19" ht="52.95" customHeight="1" x14ac:dyDescent="0.4">
      <c r="A24" s="104">
        <v>19</v>
      </c>
      <c r="B24" s="70" t="s">
        <v>203</v>
      </c>
      <c r="C24" s="58" t="s">
        <v>1783</v>
      </c>
      <c r="D24" s="59" t="s">
        <v>570</v>
      </c>
      <c r="E24" s="41" t="s">
        <v>191</v>
      </c>
      <c r="F24" s="61">
        <v>1.1000000000000001</v>
      </c>
      <c r="G24" s="74" t="s">
        <v>1751</v>
      </c>
      <c r="H24" s="106" t="s">
        <v>1752</v>
      </c>
      <c r="I24" s="54" t="s">
        <v>1742</v>
      </c>
      <c r="J24" s="59">
        <v>3</v>
      </c>
      <c r="K24" s="59">
        <v>2</v>
      </c>
      <c r="L24" s="41">
        <f t="shared" si="0"/>
        <v>6</v>
      </c>
      <c r="M24" s="114" t="s">
        <v>1734</v>
      </c>
      <c r="N24" s="61">
        <v>1</v>
      </c>
      <c r="O24" s="61">
        <v>2</v>
      </c>
      <c r="P24" s="41">
        <f t="shared" si="1"/>
        <v>2</v>
      </c>
      <c r="Q24" s="88"/>
      <c r="R24" s="79"/>
      <c r="S24" s="79"/>
    </row>
    <row r="25" spans="1:19" ht="52.95" customHeight="1" x14ac:dyDescent="0.4">
      <c r="A25" s="104">
        <v>20</v>
      </c>
      <c r="B25" s="70" t="s">
        <v>203</v>
      </c>
      <c r="C25" s="58" t="s">
        <v>1784</v>
      </c>
      <c r="D25" s="59" t="s">
        <v>570</v>
      </c>
      <c r="E25" s="41" t="s">
        <v>191</v>
      </c>
      <c r="F25" s="61">
        <v>1.6</v>
      </c>
      <c r="G25" s="74" t="s">
        <v>56</v>
      </c>
      <c r="H25" s="106" t="s">
        <v>1753</v>
      </c>
      <c r="I25" s="54" t="s">
        <v>1742</v>
      </c>
      <c r="J25" s="59">
        <v>3</v>
      </c>
      <c r="K25" s="59">
        <v>2</v>
      </c>
      <c r="L25" s="41">
        <f t="shared" si="0"/>
        <v>6</v>
      </c>
      <c r="M25" s="114" t="s">
        <v>1734</v>
      </c>
      <c r="N25" s="61">
        <v>1</v>
      </c>
      <c r="O25" s="61">
        <v>2</v>
      </c>
      <c r="P25" s="41">
        <f t="shared" si="1"/>
        <v>2</v>
      </c>
      <c r="Q25" s="88"/>
      <c r="R25" s="79"/>
      <c r="S25" s="79"/>
    </row>
    <row r="26" spans="1:19" ht="52.95" customHeight="1" x14ac:dyDescent="0.4">
      <c r="A26" s="104">
        <v>21</v>
      </c>
      <c r="B26" s="70" t="s">
        <v>203</v>
      </c>
      <c r="C26" s="58" t="s">
        <v>1784</v>
      </c>
      <c r="D26" s="59" t="s">
        <v>570</v>
      </c>
      <c r="E26" s="41" t="s">
        <v>191</v>
      </c>
      <c r="F26" s="61">
        <v>1.6</v>
      </c>
      <c r="G26" s="74" t="s">
        <v>56</v>
      </c>
      <c r="H26" s="106" t="s">
        <v>1754</v>
      </c>
      <c r="I26" s="54" t="s">
        <v>1742</v>
      </c>
      <c r="J26" s="59">
        <v>3</v>
      </c>
      <c r="K26" s="59">
        <v>2</v>
      </c>
      <c r="L26" s="41">
        <f t="shared" si="0"/>
        <v>6</v>
      </c>
      <c r="M26" s="114" t="s">
        <v>1734</v>
      </c>
      <c r="N26" s="61">
        <v>1</v>
      </c>
      <c r="O26" s="61">
        <v>2</v>
      </c>
      <c r="P26" s="41">
        <f t="shared" si="1"/>
        <v>2</v>
      </c>
      <c r="Q26" s="88"/>
      <c r="R26" s="79"/>
      <c r="S26" s="79"/>
    </row>
    <row r="27" spans="1:19" ht="52.95" customHeight="1" x14ac:dyDescent="0.4">
      <c r="A27" s="104">
        <v>22</v>
      </c>
      <c r="B27" s="70" t="s">
        <v>203</v>
      </c>
      <c r="C27" s="58" t="s">
        <v>1785</v>
      </c>
      <c r="D27" s="59" t="s">
        <v>1755</v>
      </c>
      <c r="E27" s="41" t="s">
        <v>191</v>
      </c>
      <c r="F27" s="61">
        <v>1.3</v>
      </c>
      <c r="G27" s="74" t="s">
        <v>196</v>
      </c>
      <c r="H27" s="106" t="s">
        <v>1756</v>
      </c>
      <c r="I27" s="54" t="s">
        <v>1742</v>
      </c>
      <c r="J27" s="59">
        <v>3</v>
      </c>
      <c r="K27" s="59">
        <v>2</v>
      </c>
      <c r="L27" s="41">
        <f t="shared" si="0"/>
        <v>6</v>
      </c>
      <c r="M27" s="114" t="s">
        <v>1734</v>
      </c>
      <c r="N27" s="61">
        <v>1</v>
      </c>
      <c r="O27" s="61">
        <v>2</v>
      </c>
      <c r="P27" s="41">
        <f t="shared" si="1"/>
        <v>2</v>
      </c>
      <c r="Q27" s="88"/>
      <c r="R27" s="79"/>
      <c r="S27" s="79"/>
    </row>
    <row r="28" spans="1:19" ht="52.95" customHeight="1" x14ac:dyDescent="0.4">
      <c r="A28" s="104">
        <v>23</v>
      </c>
      <c r="B28" s="70" t="s">
        <v>203</v>
      </c>
      <c r="C28" s="58" t="s">
        <v>1768</v>
      </c>
      <c r="D28" s="59" t="s">
        <v>1755</v>
      </c>
      <c r="E28" s="41" t="s">
        <v>191</v>
      </c>
      <c r="F28" s="61">
        <v>1.1000000000000001</v>
      </c>
      <c r="G28" s="74" t="s">
        <v>1740</v>
      </c>
      <c r="H28" s="106" t="s">
        <v>1757</v>
      </c>
      <c r="I28" s="54" t="s">
        <v>1742</v>
      </c>
      <c r="J28" s="59">
        <v>3</v>
      </c>
      <c r="K28" s="59">
        <v>2</v>
      </c>
      <c r="L28" s="41">
        <f t="shared" si="0"/>
        <v>6</v>
      </c>
      <c r="M28" s="114" t="s">
        <v>1734</v>
      </c>
      <c r="N28" s="61">
        <v>1</v>
      </c>
      <c r="O28" s="61">
        <v>2</v>
      </c>
      <c r="P28" s="41">
        <f t="shared" si="1"/>
        <v>2</v>
      </c>
      <c r="Q28" s="88"/>
      <c r="R28" s="79"/>
      <c r="S28" s="79"/>
    </row>
    <row r="29" spans="1:19" ht="52.95" customHeight="1" x14ac:dyDescent="0.4">
      <c r="A29" s="104">
        <v>24</v>
      </c>
      <c r="B29" s="70" t="s">
        <v>203</v>
      </c>
      <c r="C29" s="58" t="s">
        <v>1768</v>
      </c>
      <c r="D29" s="59" t="s">
        <v>1755</v>
      </c>
      <c r="E29" s="41" t="s">
        <v>191</v>
      </c>
      <c r="F29" s="61">
        <v>1.2</v>
      </c>
      <c r="G29" s="89" t="s">
        <v>52</v>
      </c>
      <c r="H29" s="106" t="s">
        <v>1758</v>
      </c>
      <c r="I29" s="54" t="s">
        <v>1742</v>
      </c>
      <c r="J29" s="59">
        <v>3</v>
      </c>
      <c r="K29" s="59">
        <v>2</v>
      </c>
      <c r="L29" s="41">
        <f t="shared" si="0"/>
        <v>6</v>
      </c>
      <c r="M29" s="114" t="s">
        <v>1734</v>
      </c>
      <c r="N29" s="61">
        <v>1</v>
      </c>
      <c r="O29" s="61">
        <v>2</v>
      </c>
      <c r="P29" s="41">
        <f t="shared" si="1"/>
        <v>2</v>
      </c>
      <c r="Q29" s="88"/>
      <c r="R29" s="79"/>
      <c r="S29" s="79"/>
    </row>
    <row r="30" spans="1:19" ht="52.95" customHeight="1" x14ac:dyDescent="0.4">
      <c r="A30" s="104">
        <v>25</v>
      </c>
      <c r="B30" s="70" t="s">
        <v>203</v>
      </c>
      <c r="C30" s="58" t="s">
        <v>1768</v>
      </c>
      <c r="D30" s="59" t="s">
        <v>1755</v>
      </c>
      <c r="E30" s="41" t="s">
        <v>191</v>
      </c>
      <c r="F30" s="61">
        <v>1.6</v>
      </c>
      <c r="G30" s="74" t="s">
        <v>56</v>
      </c>
      <c r="H30" s="106" t="s">
        <v>1759</v>
      </c>
      <c r="I30" s="54" t="s">
        <v>1742</v>
      </c>
      <c r="J30" s="59">
        <v>3</v>
      </c>
      <c r="K30" s="59">
        <v>2</v>
      </c>
      <c r="L30" s="41">
        <f t="shared" si="0"/>
        <v>6</v>
      </c>
      <c r="M30" s="114" t="s">
        <v>1734</v>
      </c>
      <c r="N30" s="61">
        <v>1</v>
      </c>
      <c r="O30" s="61">
        <v>2</v>
      </c>
      <c r="P30" s="41">
        <f t="shared" si="1"/>
        <v>2</v>
      </c>
      <c r="Q30" s="88"/>
      <c r="R30" s="79"/>
      <c r="S30" s="79"/>
    </row>
    <row r="31" spans="1:19" ht="52.95" customHeight="1" x14ac:dyDescent="0.4">
      <c r="A31" s="104">
        <v>26</v>
      </c>
      <c r="B31" s="70" t="s">
        <v>203</v>
      </c>
      <c r="C31" s="58" t="s">
        <v>1768</v>
      </c>
      <c r="D31" s="59" t="s">
        <v>1755</v>
      </c>
      <c r="E31" s="41" t="s">
        <v>191</v>
      </c>
      <c r="F31" s="61">
        <v>6.1</v>
      </c>
      <c r="G31" s="74" t="s">
        <v>80</v>
      </c>
      <c r="H31" s="106" t="s">
        <v>1760</v>
      </c>
      <c r="I31" s="54" t="s">
        <v>1742</v>
      </c>
      <c r="J31" s="59">
        <v>3</v>
      </c>
      <c r="K31" s="59">
        <v>2</v>
      </c>
      <c r="L31" s="41">
        <f t="shared" si="0"/>
        <v>6</v>
      </c>
      <c r="M31" s="114" t="s">
        <v>1734</v>
      </c>
      <c r="N31" s="61">
        <v>1</v>
      </c>
      <c r="O31" s="61">
        <v>2</v>
      </c>
      <c r="P31" s="41">
        <f t="shared" si="1"/>
        <v>2</v>
      </c>
      <c r="Q31" s="88"/>
      <c r="R31" s="79"/>
      <c r="S31" s="79"/>
    </row>
    <row r="32" spans="1:19" ht="52.95" customHeight="1" x14ac:dyDescent="0.4">
      <c r="A32" s="104">
        <v>27</v>
      </c>
      <c r="B32" s="70" t="s">
        <v>203</v>
      </c>
      <c r="C32" s="58" t="s">
        <v>1761</v>
      </c>
      <c r="D32" s="59" t="s">
        <v>1755</v>
      </c>
      <c r="E32" s="41" t="s">
        <v>191</v>
      </c>
      <c r="F32" s="61">
        <v>1.1000000000000001</v>
      </c>
      <c r="G32" s="74" t="s">
        <v>1751</v>
      </c>
      <c r="H32" s="106" t="s">
        <v>1762</v>
      </c>
      <c r="I32" s="54" t="s">
        <v>1742</v>
      </c>
      <c r="J32" s="59">
        <v>3</v>
      </c>
      <c r="K32" s="59">
        <v>3</v>
      </c>
      <c r="L32" s="41">
        <f t="shared" si="0"/>
        <v>9</v>
      </c>
      <c r="M32" s="114" t="s">
        <v>1734</v>
      </c>
      <c r="N32" s="61">
        <v>2</v>
      </c>
      <c r="O32" s="61">
        <v>3</v>
      </c>
      <c r="P32" s="41">
        <f t="shared" si="1"/>
        <v>6</v>
      </c>
      <c r="Q32" s="88"/>
      <c r="R32" s="79"/>
      <c r="S32" s="79"/>
    </row>
    <row r="33" spans="1:19" ht="52.95" customHeight="1" x14ac:dyDescent="0.4">
      <c r="A33" s="2"/>
      <c r="B33" s="80"/>
      <c r="C33" s="85"/>
      <c r="D33" s="41"/>
      <c r="E33" s="41"/>
      <c r="F33" s="41"/>
      <c r="G33" s="86"/>
      <c r="H33" s="54"/>
      <c r="I33" s="54"/>
      <c r="J33" s="41"/>
      <c r="K33" s="41"/>
      <c r="L33" s="41"/>
      <c r="M33" s="86"/>
      <c r="N33" s="41"/>
      <c r="O33" s="41"/>
      <c r="P33" s="41"/>
      <c r="Q33" s="88"/>
      <c r="R33" s="79"/>
      <c r="S33" s="79"/>
    </row>
    <row r="34" spans="1:19" ht="52.95" customHeight="1" x14ac:dyDescent="0.4">
      <c r="A34" s="2"/>
      <c r="B34" s="80"/>
      <c r="C34" s="85"/>
      <c r="D34" s="41"/>
      <c r="E34" s="41"/>
      <c r="F34" s="41"/>
      <c r="G34" s="86"/>
      <c r="H34" s="57"/>
      <c r="I34" s="54"/>
      <c r="J34" s="41"/>
      <c r="K34" s="41"/>
      <c r="L34" s="41"/>
      <c r="M34" s="87"/>
      <c r="N34" s="41"/>
      <c r="O34" s="41"/>
      <c r="P34" s="41"/>
      <c r="Q34" s="88"/>
      <c r="R34" s="79"/>
      <c r="S34" s="79"/>
    </row>
    <row r="35" spans="1:19" ht="52.95" customHeight="1" x14ac:dyDescent="0.4">
      <c r="A35" s="2"/>
      <c r="B35" s="80"/>
      <c r="C35" s="85"/>
      <c r="D35" s="41"/>
      <c r="E35" s="41"/>
      <c r="F35" s="41"/>
      <c r="G35" s="87"/>
      <c r="H35" s="57"/>
      <c r="I35" s="54"/>
      <c r="J35" s="41"/>
      <c r="K35" s="41"/>
      <c r="L35" s="41"/>
      <c r="M35" s="87"/>
      <c r="N35" s="41"/>
      <c r="O35" s="41"/>
      <c r="P35" s="41"/>
      <c r="Q35" s="88"/>
      <c r="R35" s="79"/>
      <c r="S35" s="79"/>
    </row>
    <row r="36" spans="1:19" ht="25.2" customHeight="1" x14ac:dyDescent="0.4">
      <c r="A36" s="389" t="s">
        <v>185</v>
      </c>
      <c r="B36" s="390"/>
      <c r="C36" s="391"/>
      <c r="D36" s="398" t="s">
        <v>186</v>
      </c>
      <c r="E36" s="399"/>
      <c r="F36" s="400"/>
      <c r="G36" s="401"/>
      <c r="H36" s="401"/>
      <c r="I36" s="401"/>
      <c r="J36" s="401"/>
      <c r="K36" s="401"/>
      <c r="L36" s="401"/>
      <c r="M36" s="402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392"/>
      <c r="B37" s="393"/>
      <c r="C37" s="394"/>
      <c r="D37" s="398" t="s">
        <v>188</v>
      </c>
      <c r="E37" s="399"/>
      <c r="F37" s="400"/>
      <c r="G37" s="401"/>
      <c r="H37" s="401"/>
      <c r="I37" s="401"/>
      <c r="J37" s="401"/>
      <c r="K37" s="401"/>
      <c r="L37" s="401"/>
      <c r="M37" s="402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392"/>
      <c r="B38" s="393"/>
      <c r="C38" s="394"/>
      <c r="D38" s="398" t="s">
        <v>130</v>
      </c>
      <c r="E38" s="399"/>
      <c r="F38" s="400"/>
      <c r="G38" s="401"/>
      <c r="H38" s="401"/>
      <c r="I38" s="401"/>
      <c r="J38" s="401"/>
      <c r="K38" s="401"/>
      <c r="L38" s="401"/>
      <c r="M38" s="402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392"/>
      <c r="B39" s="393"/>
      <c r="C39" s="394"/>
      <c r="D39" s="398" t="s">
        <v>189</v>
      </c>
      <c r="E39" s="399"/>
      <c r="F39" s="400"/>
      <c r="G39" s="401"/>
      <c r="H39" s="401"/>
      <c r="I39" s="401"/>
      <c r="J39" s="401"/>
      <c r="K39" s="401"/>
      <c r="L39" s="401"/>
      <c r="M39" s="402"/>
      <c r="N39" s="51" t="s">
        <v>187</v>
      </c>
      <c r="O39" s="52"/>
      <c r="P39" s="52"/>
      <c r="Q39" s="52"/>
      <c r="R39" s="52"/>
      <c r="S39" s="53"/>
    </row>
    <row r="40" spans="1:19" ht="25.2" customHeight="1" x14ac:dyDescent="0.4">
      <c r="A40" s="395"/>
      <c r="B40" s="396"/>
      <c r="C40" s="397"/>
      <c r="D40" s="398" t="s">
        <v>190</v>
      </c>
      <c r="E40" s="399"/>
      <c r="F40" s="400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5" bestFit="1" customWidth="1"/>
    <col min="6" max="6" width="6" style="135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6" t="s">
        <v>1451</v>
      </c>
      <c r="B1" s="407"/>
      <c r="C1" s="408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6" t="s">
        <v>11</v>
      </c>
      <c r="B2" s="407"/>
      <c r="C2" s="408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03" t="s">
        <v>4</v>
      </c>
      <c r="B3" s="403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04"/>
      <c r="B4" s="404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125">
        <v>1</v>
      </c>
      <c r="B5" s="125"/>
      <c r="C5" s="126" t="s">
        <v>175</v>
      </c>
      <c r="D5" s="127" t="s">
        <v>184</v>
      </c>
      <c r="E5" s="127"/>
      <c r="F5" s="128">
        <v>1.3</v>
      </c>
      <c r="G5" s="126" t="s">
        <v>53</v>
      </c>
      <c r="H5" s="129" t="s">
        <v>179</v>
      </c>
      <c r="I5" s="130" t="s">
        <v>176</v>
      </c>
      <c r="J5" s="131">
        <v>4</v>
      </c>
      <c r="K5" s="131">
        <v>4</v>
      </c>
      <c r="L5" s="128">
        <f>J5*K5</f>
        <v>16</v>
      </c>
      <c r="M5" s="130" t="s">
        <v>177</v>
      </c>
      <c r="N5" s="128">
        <v>2</v>
      </c>
      <c r="O5" s="128">
        <v>4</v>
      </c>
      <c r="P5" s="128">
        <f>N5*O5</f>
        <v>8</v>
      </c>
      <c r="Q5" s="128" t="s">
        <v>180</v>
      </c>
      <c r="R5" s="128" t="s">
        <v>181</v>
      </c>
      <c r="S5" s="130"/>
    </row>
    <row r="6" spans="1:19" ht="34.5" customHeight="1" x14ac:dyDescent="0.4">
      <c r="A6" s="59">
        <v>1</v>
      </c>
      <c r="B6" s="74" t="s">
        <v>1295</v>
      </c>
      <c r="C6" s="58" t="s">
        <v>1296</v>
      </c>
      <c r="D6" s="59" t="s">
        <v>1297</v>
      </c>
      <c r="E6" s="59" t="s">
        <v>1298</v>
      </c>
      <c r="F6" s="59">
        <v>1.6</v>
      </c>
      <c r="G6" s="136" t="s">
        <v>1299</v>
      </c>
      <c r="H6" s="137" t="s">
        <v>1300</v>
      </c>
      <c r="I6" s="137" t="s">
        <v>1301</v>
      </c>
      <c r="J6" s="136">
        <v>2</v>
      </c>
      <c r="K6" s="136">
        <v>3</v>
      </c>
      <c r="L6" s="136">
        <f>J6*K6</f>
        <v>6</v>
      </c>
      <c r="M6" s="138" t="s">
        <v>1302</v>
      </c>
      <c r="N6" s="136">
        <v>2</v>
      </c>
      <c r="O6" s="136">
        <v>2</v>
      </c>
      <c r="P6" s="136">
        <f>N6*O6</f>
        <v>4</v>
      </c>
      <c r="Q6" s="137" t="s">
        <v>1303</v>
      </c>
      <c r="R6" s="136" t="s">
        <v>1304</v>
      </c>
      <c r="S6" s="136" t="s">
        <v>1305</v>
      </c>
    </row>
    <row r="7" spans="1:19" ht="61.2" customHeight="1" x14ac:dyDescent="0.4">
      <c r="A7" s="2">
        <v>2</v>
      </c>
      <c r="B7" s="74" t="s">
        <v>1295</v>
      </c>
      <c r="C7" s="58" t="s">
        <v>1296</v>
      </c>
      <c r="D7" s="59" t="s">
        <v>1297</v>
      </c>
      <c r="E7" s="59" t="s">
        <v>1298</v>
      </c>
      <c r="F7" s="59">
        <v>1.5</v>
      </c>
      <c r="G7" s="136" t="s">
        <v>1306</v>
      </c>
      <c r="H7" s="137" t="s">
        <v>1307</v>
      </c>
      <c r="I7" s="137" t="s">
        <v>1308</v>
      </c>
      <c r="J7" s="136">
        <v>3</v>
      </c>
      <c r="K7" s="136">
        <v>2</v>
      </c>
      <c r="L7" s="136">
        <f t="shared" ref="L7:L19" si="0">J7*K7</f>
        <v>6</v>
      </c>
      <c r="M7" s="138" t="s">
        <v>1309</v>
      </c>
      <c r="N7" s="136">
        <v>2</v>
      </c>
      <c r="O7" s="136">
        <v>2</v>
      </c>
      <c r="P7" s="136">
        <f t="shared" ref="P7:P19" si="1">N7*O7</f>
        <v>4</v>
      </c>
      <c r="Q7" s="137" t="s">
        <v>1303</v>
      </c>
      <c r="R7" s="136" t="s">
        <v>1304</v>
      </c>
      <c r="S7" s="79"/>
    </row>
    <row r="8" spans="1:19" ht="73.2" customHeight="1" x14ac:dyDescent="0.4">
      <c r="A8" s="59">
        <v>3</v>
      </c>
      <c r="B8" s="74" t="s">
        <v>1295</v>
      </c>
      <c r="C8" s="58" t="s">
        <v>1296</v>
      </c>
      <c r="D8" s="59" t="s">
        <v>1297</v>
      </c>
      <c r="E8" s="59" t="s">
        <v>1298</v>
      </c>
      <c r="F8" s="59">
        <v>2.1</v>
      </c>
      <c r="G8" s="136" t="s">
        <v>1310</v>
      </c>
      <c r="H8" s="137" t="s">
        <v>1311</v>
      </c>
      <c r="I8" s="137" t="s">
        <v>1312</v>
      </c>
      <c r="J8" s="136">
        <v>2</v>
      </c>
      <c r="K8" s="136">
        <v>4</v>
      </c>
      <c r="L8" s="136">
        <f t="shared" si="0"/>
        <v>8</v>
      </c>
      <c r="M8" s="138" t="s">
        <v>1313</v>
      </c>
      <c r="N8" s="136">
        <v>1</v>
      </c>
      <c r="O8" s="136">
        <v>3</v>
      </c>
      <c r="P8" s="136">
        <f t="shared" si="1"/>
        <v>3</v>
      </c>
      <c r="Q8" s="137" t="s">
        <v>1303</v>
      </c>
      <c r="R8" s="136" t="s">
        <v>1314</v>
      </c>
      <c r="S8" s="79"/>
    </row>
    <row r="9" spans="1:19" ht="34.5" customHeight="1" x14ac:dyDescent="0.4">
      <c r="A9" s="2">
        <v>4</v>
      </c>
      <c r="B9" s="74" t="s">
        <v>1295</v>
      </c>
      <c r="C9" s="58" t="s">
        <v>1315</v>
      </c>
      <c r="D9" s="59" t="s">
        <v>1297</v>
      </c>
      <c r="E9" s="59" t="s">
        <v>1298</v>
      </c>
      <c r="F9" s="59">
        <v>1.6</v>
      </c>
      <c r="G9" s="136" t="s">
        <v>1299</v>
      </c>
      <c r="H9" s="137" t="s">
        <v>1316</v>
      </c>
      <c r="I9" s="137" t="s">
        <v>1301</v>
      </c>
      <c r="J9" s="136">
        <v>2</v>
      </c>
      <c r="K9" s="136">
        <v>3</v>
      </c>
      <c r="L9" s="136">
        <f t="shared" si="0"/>
        <v>6</v>
      </c>
      <c r="M9" s="138" t="s">
        <v>1302</v>
      </c>
      <c r="N9" s="136">
        <v>2</v>
      </c>
      <c r="O9" s="136">
        <v>2</v>
      </c>
      <c r="P9" s="136">
        <f t="shared" si="1"/>
        <v>4</v>
      </c>
      <c r="Q9" s="137" t="s">
        <v>1303</v>
      </c>
      <c r="R9" s="136" t="s">
        <v>1304</v>
      </c>
      <c r="S9" s="79"/>
    </row>
    <row r="10" spans="1:19" ht="60.6" customHeight="1" x14ac:dyDescent="0.4">
      <c r="A10" s="59">
        <v>5</v>
      </c>
      <c r="B10" s="74" t="s">
        <v>1295</v>
      </c>
      <c r="C10" s="58" t="s">
        <v>1315</v>
      </c>
      <c r="D10" s="59" t="s">
        <v>1297</v>
      </c>
      <c r="E10" s="59" t="s">
        <v>1298</v>
      </c>
      <c r="F10" s="59">
        <v>1.5</v>
      </c>
      <c r="G10" s="136" t="s">
        <v>1306</v>
      </c>
      <c r="H10" s="137" t="s">
        <v>1317</v>
      </c>
      <c r="I10" s="137" t="s">
        <v>1308</v>
      </c>
      <c r="J10" s="136">
        <v>3</v>
      </c>
      <c r="K10" s="136">
        <v>2</v>
      </c>
      <c r="L10" s="136">
        <f t="shared" si="0"/>
        <v>6</v>
      </c>
      <c r="M10" s="138" t="s">
        <v>1309</v>
      </c>
      <c r="N10" s="136">
        <v>2</v>
      </c>
      <c r="O10" s="136">
        <v>2</v>
      </c>
      <c r="P10" s="136">
        <f t="shared" si="1"/>
        <v>4</v>
      </c>
      <c r="Q10" s="137" t="s">
        <v>1303</v>
      </c>
      <c r="R10" s="136" t="s">
        <v>1304</v>
      </c>
      <c r="S10" s="79"/>
    </row>
    <row r="11" spans="1:19" ht="81" customHeight="1" x14ac:dyDescent="0.4">
      <c r="A11" s="2">
        <v>6</v>
      </c>
      <c r="B11" s="74" t="s">
        <v>1295</v>
      </c>
      <c r="C11" s="58" t="s">
        <v>1315</v>
      </c>
      <c r="D11" s="59" t="s">
        <v>1297</v>
      </c>
      <c r="E11" s="59" t="s">
        <v>1298</v>
      </c>
      <c r="F11" s="59">
        <v>2.1</v>
      </c>
      <c r="G11" s="136" t="s">
        <v>1310</v>
      </c>
      <c r="H11" s="137" t="s">
        <v>1311</v>
      </c>
      <c r="I11" s="137" t="s">
        <v>1312</v>
      </c>
      <c r="J11" s="136">
        <v>2</v>
      </c>
      <c r="K11" s="136">
        <v>4</v>
      </c>
      <c r="L11" s="136">
        <f t="shared" si="0"/>
        <v>8</v>
      </c>
      <c r="M11" s="138" t="s">
        <v>1313</v>
      </c>
      <c r="N11" s="136">
        <v>1</v>
      </c>
      <c r="O11" s="136">
        <v>3</v>
      </c>
      <c r="P11" s="136">
        <f t="shared" si="1"/>
        <v>3</v>
      </c>
      <c r="Q11" s="137" t="s">
        <v>1303</v>
      </c>
      <c r="R11" s="136" t="s">
        <v>1314</v>
      </c>
      <c r="S11" s="79"/>
    </row>
    <row r="12" spans="1:19" ht="60.6" customHeight="1" x14ac:dyDescent="0.4">
      <c r="A12" s="59">
        <v>7</v>
      </c>
      <c r="B12" s="74" t="s">
        <v>1295</v>
      </c>
      <c r="C12" s="58" t="s">
        <v>1318</v>
      </c>
      <c r="D12" s="59" t="s">
        <v>1297</v>
      </c>
      <c r="E12" s="59" t="s">
        <v>1298</v>
      </c>
      <c r="F12" s="59">
        <v>1.5</v>
      </c>
      <c r="G12" s="136" t="s">
        <v>1306</v>
      </c>
      <c r="H12" s="137" t="s">
        <v>1319</v>
      </c>
      <c r="I12" s="137" t="s">
        <v>1308</v>
      </c>
      <c r="J12" s="136">
        <v>3</v>
      </c>
      <c r="K12" s="136">
        <v>2</v>
      </c>
      <c r="L12" s="136">
        <f t="shared" si="0"/>
        <v>6</v>
      </c>
      <c r="M12" s="138" t="s">
        <v>1309</v>
      </c>
      <c r="N12" s="136">
        <v>2</v>
      </c>
      <c r="O12" s="136">
        <v>2</v>
      </c>
      <c r="P12" s="136">
        <f t="shared" si="1"/>
        <v>4</v>
      </c>
      <c r="Q12" s="137" t="s">
        <v>1303</v>
      </c>
      <c r="R12" s="136" t="s">
        <v>1320</v>
      </c>
      <c r="S12" s="79"/>
    </row>
    <row r="13" spans="1:19" ht="60.6" customHeight="1" x14ac:dyDescent="0.4">
      <c r="A13" s="2">
        <v>8</v>
      </c>
      <c r="B13" s="74" t="s">
        <v>1295</v>
      </c>
      <c r="C13" s="58" t="s">
        <v>1318</v>
      </c>
      <c r="D13" s="59" t="s">
        <v>1297</v>
      </c>
      <c r="E13" s="59" t="s">
        <v>1298</v>
      </c>
      <c r="F13" s="59">
        <v>2.1</v>
      </c>
      <c r="G13" s="136" t="s">
        <v>1310</v>
      </c>
      <c r="H13" s="137" t="s">
        <v>1321</v>
      </c>
      <c r="I13" s="137" t="s">
        <v>1312</v>
      </c>
      <c r="J13" s="136">
        <v>2</v>
      </c>
      <c r="K13" s="136">
        <v>4</v>
      </c>
      <c r="L13" s="136">
        <f t="shared" si="0"/>
        <v>8</v>
      </c>
      <c r="M13" s="138" t="s">
        <v>1313</v>
      </c>
      <c r="N13" s="136">
        <v>1</v>
      </c>
      <c r="O13" s="136">
        <v>3</v>
      </c>
      <c r="P13" s="136">
        <f t="shared" si="1"/>
        <v>3</v>
      </c>
      <c r="Q13" s="137" t="s">
        <v>1303</v>
      </c>
      <c r="R13" s="136" t="s">
        <v>1320</v>
      </c>
      <c r="S13" s="79"/>
    </row>
    <row r="14" spans="1:19" ht="43.95" customHeight="1" x14ac:dyDescent="0.4">
      <c r="A14" s="59">
        <v>9</v>
      </c>
      <c r="B14" s="74" t="s">
        <v>1295</v>
      </c>
      <c r="C14" s="58" t="s">
        <v>1322</v>
      </c>
      <c r="D14" s="59" t="s">
        <v>1297</v>
      </c>
      <c r="E14" s="59" t="s">
        <v>1298</v>
      </c>
      <c r="F14" s="59">
        <v>3.3</v>
      </c>
      <c r="G14" s="136" t="s">
        <v>1323</v>
      </c>
      <c r="H14" s="137" t="s">
        <v>1324</v>
      </c>
      <c r="I14" s="137" t="s">
        <v>1325</v>
      </c>
      <c r="J14" s="136">
        <v>2</v>
      </c>
      <c r="K14" s="136">
        <v>4</v>
      </c>
      <c r="L14" s="136">
        <f t="shared" si="0"/>
        <v>8</v>
      </c>
      <c r="M14" s="138" t="s">
        <v>1326</v>
      </c>
      <c r="N14" s="136">
        <v>1</v>
      </c>
      <c r="O14" s="136">
        <v>4</v>
      </c>
      <c r="P14" s="136">
        <f t="shared" si="1"/>
        <v>4</v>
      </c>
      <c r="Q14" s="137" t="s">
        <v>1327</v>
      </c>
      <c r="R14" s="136" t="s">
        <v>1304</v>
      </c>
      <c r="S14" s="79"/>
    </row>
    <row r="15" spans="1:19" ht="34.5" customHeight="1" x14ac:dyDescent="0.4">
      <c r="A15" s="2">
        <v>10</v>
      </c>
      <c r="B15" s="74" t="s">
        <v>1295</v>
      </c>
      <c r="C15" s="58" t="s">
        <v>1322</v>
      </c>
      <c r="D15" s="59" t="s">
        <v>1297</v>
      </c>
      <c r="E15" s="59" t="s">
        <v>1298</v>
      </c>
      <c r="F15" s="59">
        <v>1.6</v>
      </c>
      <c r="G15" s="136" t="s">
        <v>1299</v>
      </c>
      <c r="H15" s="137" t="s">
        <v>1328</v>
      </c>
      <c r="I15" s="137" t="s">
        <v>1301</v>
      </c>
      <c r="J15" s="136">
        <v>2</v>
      </c>
      <c r="K15" s="136">
        <v>3</v>
      </c>
      <c r="L15" s="136">
        <f t="shared" si="0"/>
        <v>6</v>
      </c>
      <c r="M15" s="138" t="s">
        <v>1302</v>
      </c>
      <c r="N15" s="136">
        <v>2</v>
      </c>
      <c r="O15" s="136">
        <v>2</v>
      </c>
      <c r="P15" s="136">
        <f t="shared" si="1"/>
        <v>4</v>
      </c>
      <c r="Q15" s="137" t="s">
        <v>1303</v>
      </c>
      <c r="R15" s="136" t="s">
        <v>1304</v>
      </c>
      <c r="S15" s="79"/>
    </row>
    <row r="16" spans="1:19" ht="34.5" customHeight="1" x14ac:dyDescent="0.4">
      <c r="A16" s="59">
        <v>11</v>
      </c>
      <c r="B16" s="74" t="s">
        <v>1329</v>
      </c>
      <c r="C16" s="58" t="s">
        <v>1330</v>
      </c>
      <c r="D16" s="59" t="s">
        <v>1297</v>
      </c>
      <c r="E16" s="59" t="s">
        <v>1298</v>
      </c>
      <c r="F16" s="59">
        <v>1.6</v>
      </c>
      <c r="G16" s="136" t="s">
        <v>1299</v>
      </c>
      <c r="H16" s="137" t="s">
        <v>1331</v>
      </c>
      <c r="I16" s="137" t="s">
        <v>1301</v>
      </c>
      <c r="J16" s="136">
        <v>2</v>
      </c>
      <c r="K16" s="136">
        <v>3</v>
      </c>
      <c r="L16" s="136">
        <f t="shared" si="0"/>
        <v>6</v>
      </c>
      <c r="M16" s="138" t="s">
        <v>1302</v>
      </c>
      <c r="N16" s="136">
        <v>2</v>
      </c>
      <c r="O16" s="136">
        <v>2</v>
      </c>
      <c r="P16" s="136">
        <f t="shared" si="1"/>
        <v>4</v>
      </c>
      <c r="Q16" s="137" t="s">
        <v>1303</v>
      </c>
      <c r="R16" s="136" t="s">
        <v>1314</v>
      </c>
      <c r="S16" s="79"/>
    </row>
    <row r="17" spans="1:19" ht="78.599999999999994" customHeight="1" x14ac:dyDescent="0.4">
      <c r="A17" s="2">
        <v>12</v>
      </c>
      <c r="B17" s="74" t="s">
        <v>1329</v>
      </c>
      <c r="C17" s="58" t="s">
        <v>1330</v>
      </c>
      <c r="D17" s="59" t="s">
        <v>1297</v>
      </c>
      <c r="E17" s="59" t="s">
        <v>1298</v>
      </c>
      <c r="F17" s="59">
        <v>2.1</v>
      </c>
      <c r="G17" s="136" t="s">
        <v>1310</v>
      </c>
      <c r="H17" s="137" t="s">
        <v>1332</v>
      </c>
      <c r="I17" s="137" t="s">
        <v>1312</v>
      </c>
      <c r="J17" s="136">
        <v>2</v>
      </c>
      <c r="K17" s="136">
        <v>3</v>
      </c>
      <c r="L17" s="136">
        <f t="shared" si="0"/>
        <v>6</v>
      </c>
      <c r="M17" s="138" t="s">
        <v>1313</v>
      </c>
      <c r="N17" s="136">
        <v>1</v>
      </c>
      <c r="O17" s="136">
        <v>3</v>
      </c>
      <c r="P17" s="136">
        <f t="shared" si="1"/>
        <v>3</v>
      </c>
      <c r="Q17" s="137" t="s">
        <v>1303</v>
      </c>
      <c r="R17" s="136" t="s">
        <v>1314</v>
      </c>
      <c r="S17" s="79"/>
    </row>
    <row r="18" spans="1:19" ht="78.599999999999994" customHeight="1" x14ac:dyDescent="0.4">
      <c r="A18" s="59">
        <v>13</v>
      </c>
      <c r="B18" s="74" t="s">
        <v>1329</v>
      </c>
      <c r="C18" s="58" t="s">
        <v>1330</v>
      </c>
      <c r="D18" s="59" t="s">
        <v>1297</v>
      </c>
      <c r="E18" s="59" t="s">
        <v>1298</v>
      </c>
      <c r="F18" s="59">
        <v>2.1</v>
      </c>
      <c r="G18" s="136" t="s">
        <v>1310</v>
      </c>
      <c r="H18" s="137" t="s">
        <v>1333</v>
      </c>
      <c r="I18" s="137" t="s">
        <v>1312</v>
      </c>
      <c r="J18" s="136">
        <v>2</v>
      </c>
      <c r="K18" s="136">
        <v>3</v>
      </c>
      <c r="L18" s="136">
        <f t="shared" si="0"/>
        <v>6</v>
      </c>
      <c r="M18" s="138" t="s">
        <v>1334</v>
      </c>
      <c r="N18" s="136">
        <v>1</v>
      </c>
      <c r="O18" s="136">
        <v>3</v>
      </c>
      <c r="P18" s="136">
        <f t="shared" si="1"/>
        <v>3</v>
      </c>
      <c r="Q18" s="137" t="s">
        <v>1303</v>
      </c>
      <c r="R18" s="136" t="s">
        <v>1314</v>
      </c>
      <c r="S18" s="79"/>
    </row>
    <row r="19" spans="1:19" ht="78.599999999999994" customHeight="1" x14ac:dyDescent="0.4">
      <c r="A19" s="2">
        <v>14</v>
      </c>
      <c r="B19" s="74" t="s">
        <v>1329</v>
      </c>
      <c r="C19" s="58" t="s">
        <v>1330</v>
      </c>
      <c r="D19" s="59" t="s">
        <v>1297</v>
      </c>
      <c r="E19" s="59" t="s">
        <v>1298</v>
      </c>
      <c r="F19" s="59">
        <v>2.1</v>
      </c>
      <c r="G19" s="136" t="s">
        <v>1310</v>
      </c>
      <c r="H19" s="137" t="s">
        <v>1335</v>
      </c>
      <c r="I19" s="137" t="s">
        <v>1312</v>
      </c>
      <c r="J19" s="136">
        <v>2</v>
      </c>
      <c r="K19" s="136">
        <v>3</v>
      </c>
      <c r="L19" s="136">
        <f t="shared" si="0"/>
        <v>6</v>
      </c>
      <c r="M19" s="138" t="s">
        <v>1313</v>
      </c>
      <c r="N19" s="136">
        <v>1</v>
      </c>
      <c r="O19" s="136">
        <v>3</v>
      </c>
      <c r="P19" s="136">
        <f t="shared" si="1"/>
        <v>3</v>
      </c>
      <c r="Q19" s="137" t="s">
        <v>1303</v>
      </c>
      <c r="R19" s="136" t="s">
        <v>1314</v>
      </c>
      <c r="S19" s="79"/>
    </row>
    <row r="20" spans="1:19" ht="61.2" customHeight="1" x14ac:dyDescent="0.4">
      <c r="A20" s="59">
        <v>15</v>
      </c>
      <c r="B20" s="74" t="s">
        <v>1336</v>
      </c>
      <c r="C20" s="58" t="s">
        <v>1337</v>
      </c>
      <c r="D20" s="59" t="s">
        <v>1297</v>
      </c>
      <c r="E20" s="59" t="s">
        <v>1298</v>
      </c>
      <c r="F20" s="59">
        <v>1.3</v>
      </c>
      <c r="G20" s="136" t="s">
        <v>1338</v>
      </c>
      <c r="H20" s="137" t="s">
        <v>1339</v>
      </c>
      <c r="I20" s="137" t="s">
        <v>1340</v>
      </c>
      <c r="J20" s="136">
        <v>2</v>
      </c>
      <c r="K20" s="136">
        <v>3</v>
      </c>
      <c r="L20" s="136">
        <f>J20*K20</f>
        <v>6</v>
      </c>
      <c r="M20" s="138" t="s">
        <v>1341</v>
      </c>
      <c r="N20" s="136">
        <v>1</v>
      </c>
      <c r="O20" s="136">
        <v>3</v>
      </c>
      <c r="P20" s="136">
        <f>N20*O20</f>
        <v>3</v>
      </c>
      <c r="Q20" s="137" t="s">
        <v>1303</v>
      </c>
      <c r="R20" s="136" t="s">
        <v>1320</v>
      </c>
      <c r="S20" s="79"/>
    </row>
    <row r="21" spans="1:19" ht="34.5" customHeight="1" x14ac:dyDescent="0.4">
      <c r="A21" s="2">
        <v>16</v>
      </c>
      <c r="B21" s="74" t="s">
        <v>1336</v>
      </c>
      <c r="C21" s="58" t="s">
        <v>1337</v>
      </c>
      <c r="D21" s="59" t="s">
        <v>1297</v>
      </c>
      <c r="E21" s="59" t="s">
        <v>1298</v>
      </c>
      <c r="F21" s="59">
        <v>1.6</v>
      </c>
      <c r="G21" s="136" t="s">
        <v>1299</v>
      </c>
      <c r="H21" s="137" t="s">
        <v>1342</v>
      </c>
      <c r="I21" s="138" t="s">
        <v>1343</v>
      </c>
      <c r="J21" s="136">
        <v>2</v>
      </c>
      <c r="K21" s="136">
        <v>4</v>
      </c>
      <c r="L21" s="136">
        <f t="shared" ref="L21:L27" si="2">J21*K21</f>
        <v>8</v>
      </c>
      <c r="M21" s="138" t="s">
        <v>1302</v>
      </c>
      <c r="N21" s="136">
        <v>1</v>
      </c>
      <c r="O21" s="136">
        <v>3</v>
      </c>
      <c r="P21" s="136">
        <f t="shared" ref="P21:P27" si="3">N21*O21</f>
        <v>3</v>
      </c>
      <c r="Q21" s="137" t="s">
        <v>1303</v>
      </c>
      <c r="R21" s="136" t="s">
        <v>1320</v>
      </c>
      <c r="S21" s="79"/>
    </row>
    <row r="22" spans="1:19" ht="78.599999999999994" customHeight="1" x14ac:dyDescent="0.4">
      <c r="A22" s="59">
        <v>17</v>
      </c>
      <c r="B22" s="74" t="s">
        <v>1336</v>
      </c>
      <c r="C22" s="58" t="s">
        <v>1337</v>
      </c>
      <c r="D22" s="59" t="s">
        <v>1297</v>
      </c>
      <c r="E22" s="59" t="s">
        <v>1298</v>
      </c>
      <c r="F22" s="59">
        <v>2.1</v>
      </c>
      <c r="G22" s="136" t="s">
        <v>1310</v>
      </c>
      <c r="H22" s="137" t="s">
        <v>1344</v>
      </c>
      <c r="I22" s="137" t="s">
        <v>1312</v>
      </c>
      <c r="J22" s="136">
        <v>2</v>
      </c>
      <c r="K22" s="136">
        <v>4</v>
      </c>
      <c r="L22" s="136">
        <f t="shared" si="2"/>
        <v>8</v>
      </c>
      <c r="M22" s="138" t="s">
        <v>1313</v>
      </c>
      <c r="N22" s="136">
        <v>1</v>
      </c>
      <c r="O22" s="136">
        <v>3</v>
      </c>
      <c r="P22" s="136">
        <f t="shared" si="3"/>
        <v>3</v>
      </c>
      <c r="Q22" s="137" t="s">
        <v>1303</v>
      </c>
      <c r="R22" s="136" t="s">
        <v>1314</v>
      </c>
      <c r="S22" s="79"/>
    </row>
    <row r="23" spans="1:19" ht="34.5" customHeight="1" x14ac:dyDescent="0.4">
      <c r="A23" s="2">
        <v>18</v>
      </c>
      <c r="B23" s="74" t="s">
        <v>1336</v>
      </c>
      <c r="C23" s="58" t="s">
        <v>1337</v>
      </c>
      <c r="D23" s="59" t="s">
        <v>1297</v>
      </c>
      <c r="E23" s="59" t="s">
        <v>1298</v>
      </c>
      <c r="F23" s="59">
        <v>1.4</v>
      </c>
      <c r="G23" s="136" t="s">
        <v>1345</v>
      </c>
      <c r="H23" s="137" t="s">
        <v>1346</v>
      </c>
      <c r="I23" s="137" t="s">
        <v>1340</v>
      </c>
      <c r="J23" s="136">
        <v>2</v>
      </c>
      <c r="K23" s="136">
        <v>3</v>
      </c>
      <c r="L23" s="136">
        <f t="shared" si="2"/>
        <v>6</v>
      </c>
      <c r="M23" s="138" t="s">
        <v>1347</v>
      </c>
      <c r="N23" s="136">
        <v>1</v>
      </c>
      <c r="O23" s="136">
        <v>2</v>
      </c>
      <c r="P23" s="136">
        <f t="shared" si="3"/>
        <v>2</v>
      </c>
      <c r="Q23" s="137" t="s">
        <v>1303</v>
      </c>
      <c r="R23" s="136" t="s">
        <v>1320</v>
      </c>
      <c r="S23" s="79"/>
    </row>
    <row r="24" spans="1:19" ht="34.5" customHeight="1" x14ac:dyDescent="0.4">
      <c r="A24" s="59">
        <v>19</v>
      </c>
      <c r="B24" s="74" t="s">
        <v>1336</v>
      </c>
      <c r="C24" s="58" t="s">
        <v>1348</v>
      </c>
      <c r="D24" s="59" t="s">
        <v>1297</v>
      </c>
      <c r="E24" s="59" t="s">
        <v>1298</v>
      </c>
      <c r="F24" s="60" t="s">
        <v>1349</v>
      </c>
      <c r="G24" s="136" t="s">
        <v>1350</v>
      </c>
      <c r="H24" s="137" t="s">
        <v>1351</v>
      </c>
      <c r="I24" s="137" t="s">
        <v>1352</v>
      </c>
      <c r="J24" s="136">
        <v>2</v>
      </c>
      <c r="K24" s="136">
        <v>4</v>
      </c>
      <c r="L24" s="136">
        <f t="shared" si="2"/>
        <v>8</v>
      </c>
      <c r="M24" s="138" t="s">
        <v>1353</v>
      </c>
      <c r="N24" s="136">
        <v>1</v>
      </c>
      <c r="O24" s="136">
        <v>3</v>
      </c>
      <c r="P24" s="136">
        <f t="shared" si="3"/>
        <v>3</v>
      </c>
      <c r="Q24" s="137" t="s">
        <v>1303</v>
      </c>
      <c r="R24" s="136" t="s">
        <v>1304</v>
      </c>
      <c r="S24" s="79"/>
    </row>
    <row r="25" spans="1:19" ht="34.5" customHeight="1" x14ac:dyDescent="0.4">
      <c r="A25" s="2">
        <v>20</v>
      </c>
      <c r="B25" s="74" t="s">
        <v>1336</v>
      </c>
      <c r="C25" s="58" t="s">
        <v>1348</v>
      </c>
      <c r="D25" s="59" t="s">
        <v>1297</v>
      </c>
      <c r="E25" s="59" t="s">
        <v>1298</v>
      </c>
      <c r="F25" s="59">
        <v>1.4</v>
      </c>
      <c r="G25" s="136" t="s">
        <v>1345</v>
      </c>
      <c r="H25" s="137" t="s">
        <v>1354</v>
      </c>
      <c r="I25" s="137" t="s">
        <v>1355</v>
      </c>
      <c r="J25" s="136">
        <v>2</v>
      </c>
      <c r="K25" s="136">
        <v>3</v>
      </c>
      <c r="L25" s="136">
        <f t="shared" si="2"/>
        <v>6</v>
      </c>
      <c r="M25" s="138" t="s">
        <v>1353</v>
      </c>
      <c r="N25" s="136">
        <v>1</v>
      </c>
      <c r="O25" s="136">
        <v>3</v>
      </c>
      <c r="P25" s="136">
        <f t="shared" si="3"/>
        <v>3</v>
      </c>
      <c r="Q25" s="137" t="s">
        <v>1303</v>
      </c>
      <c r="R25" s="136" t="s">
        <v>1356</v>
      </c>
      <c r="S25" s="79"/>
    </row>
    <row r="26" spans="1:19" ht="34.5" customHeight="1" x14ac:dyDescent="0.4">
      <c r="A26" s="59">
        <v>21</v>
      </c>
      <c r="B26" s="74" t="s">
        <v>1336</v>
      </c>
      <c r="C26" s="58" t="s">
        <v>1348</v>
      </c>
      <c r="D26" s="59" t="s">
        <v>1297</v>
      </c>
      <c r="E26" s="59" t="s">
        <v>1298</v>
      </c>
      <c r="F26" s="59">
        <v>1.4</v>
      </c>
      <c r="G26" s="136" t="s">
        <v>1345</v>
      </c>
      <c r="H26" s="137" t="s">
        <v>1357</v>
      </c>
      <c r="I26" s="137" t="s">
        <v>1358</v>
      </c>
      <c r="J26" s="136">
        <v>2</v>
      </c>
      <c r="K26" s="136">
        <v>3</v>
      </c>
      <c r="L26" s="136">
        <f t="shared" si="2"/>
        <v>6</v>
      </c>
      <c r="M26" s="138" t="s">
        <v>1359</v>
      </c>
      <c r="N26" s="136">
        <v>1</v>
      </c>
      <c r="O26" s="136">
        <v>3</v>
      </c>
      <c r="P26" s="136">
        <f t="shared" si="3"/>
        <v>3</v>
      </c>
      <c r="Q26" s="137" t="s">
        <v>1303</v>
      </c>
      <c r="R26" s="136" t="s">
        <v>1356</v>
      </c>
      <c r="S26" s="79"/>
    </row>
    <row r="27" spans="1:19" ht="34.5" customHeight="1" x14ac:dyDescent="0.4">
      <c r="A27" s="2">
        <v>22</v>
      </c>
      <c r="B27" s="74" t="s">
        <v>1360</v>
      </c>
      <c r="C27" s="58" t="s">
        <v>1361</v>
      </c>
      <c r="D27" s="59" t="s">
        <v>1297</v>
      </c>
      <c r="E27" s="59" t="s">
        <v>1298</v>
      </c>
      <c r="F27" s="59">
        <v>1.6</v>
      </c>
      <c r="G27" s="136" t="s">
        <v>1299</v>
      </c>
      <c r="H27" s="137" t="s">
        <v>1362</v>
      </c>
      <c r="I27" s="137" t="s">
        <v>1340</v>
      </c>
      <c r="J27" s="136">
        <v>2</v>
      </c>
      <c r="K27" s="136">
        <v>3</v>
      </c>
      <c r="L27" s="136">
        <f t="shared" si="2"/>
        <v>6</v>
      </c>
      <c r="M27" s="138" t="s">
        <v>1302</v>
      </c>
      <c r="N27" s="136">
        <v>1</v>
      </c>
      <c r="O27" s="136">
        <v>2</v>
      </c>
      <c r="P27" s="136">
        <f t="shared" si="3"/>
        <v>2</v>
      </c>
      <c r="Q27" s="137" t="s">
        <v>1303</v>
      </c>
      <c r="R27" s="136" t="s">
        <v>1320</v>
      </c>
      <c r="S27" s="79"/>
    </row>
    <row r="28" spans="1:19" ht="25.2" customHeight="1" x14ac:dyDescent="0.4">
      <c r="A28" s="472" t="s">
        <v>185</v>
      </c>
      <c r="B28" s="473"/>
      <c r="C28" s="474"/>
      <c r="D28" s="467" t="s">
        <v>186</v>
      </c>
      <c r="E28" s="468"/>
      <c r="F28" s="469"/>
      <c r="G28" s="470"/>
      <c r="H28" s="470"/>
      <c r="I28" s="470"/>
      <c r="J28" s="470"/>
      <c r="K28" s="470"/>
      <c r="L28" s="470"/>
      <c r="M28" s="471"/>
      <c r="N28" s="132" t="s">
        <v>1363</v>
      </c>
      <c r="O28" s="133"/>
      <c r="P28" s="133"/>
      <c r="Q28" s="133"/>
      <c r="R28" s="133"/>
      <c r="S28" s="134"/>
    </row>
    <row r="29" spans="1:19" ht="25.2" customHeight="1" x14ac:dyDescent="0.4">
      <c r="A29" s="475"/>
      <c r="B29" s="476"/>
      <c r="C29" s="477"/>
      <c r="D29" s="467" t="s">
        <v>188</v>
      </c>
      <c r="E29" s="468"/>
      <c r="F29" s="469"/>
      <c r="G29" s="470"/>
      <c r="H29" s="470"/>
      <c r="I29" s="470"/>
      <c r="J29" s="470"/>
      <c r="K29" s="470"/>
      <c r="L29" s="470"/>
      <c r="M29" s="471"/>
      <c r="N29" s="132" t="s">
        <v>1363</v>
      </c>
      <c r="O29" s="133"/>
      <c r="P29" s="133"/>
      <c r="Q29" s="133"/>
      <c r="R29" s="133"/>
      <c r="S29" s="134"/>
    </row>
    <row r="30" spans="1:19" ht="25.2" customHeight="1" x14ac:dyDescent="0.4">
      <c r="A30" s="475"/>
      <c r="B30" s="476"/>
      <c r="C30" s="477"/>
      <c r="D30" s="467" t="s">
        <v>130</v>
      </c>
      <c r="E30" s="468"/>
      <c r="F30" s="469"/>
      <c r="G30" s="470"/>
      <c r="H30" s="470"/>
      <c r="I30" s="470"/>
      <c r="J30" s="470"/>
      <c r="K30" s="470"/>
      <c r="L30" s="470"/>
      <c r="M30" s="471"/>
      <c r="N30" s="132" t="s">
        <v>1363</v>
      </c>
      <c r="O30" s="133"/>
      <c r="P30" s="133"/>
      <c r="Q30" s="133"/>
      <c r="R30" s="133"/>
      <c r="S30" s="134"/>
    </row>
    <row r="31" spans="1:19" ht="25.2" customHeight="1" x14ac:dyDescent="0.4">
      <c r="A31" s="475"/>
      <c r="B31" s="476"/>
      <c r="C31" s="477"/>
      <c r="D31" s="467" t="s">
        <v>189</v>
      </c>
      <c r="E31" s="468"/>
      <c r="F31" s="469"/>
      <c r="G31" s="470"/>
      <c r="H31" s="470"/>
      <c r="I31" s="470"/>
      <c r="J31" s="470"/>
      <c r="K31" s="470"/>
      <c r="L31" s="470"/>
      <c r="M31" s="471"/>
      <c r="N31" s="132" t="s">
        <v>1363</v>
      </c>
      <c r="O31" s="133"/>
      <c r="P31" s="133"/>
      <c r="Q31" s="133"/>
      <c r="R31" s="133"/>
      <c r="S31" s="134"/>
    </row>
    <row r="32" spans="1:19" ht="25.2" customHeight="1" x14ac:dyDescent="0.4">
      <c r="A32" s="478"/>
      <c r="B32" s="479"/>
      <c r="C32" s="480"/>
      <c r="D32" s="467" t="s">
        <v>190</v>
      </c>
      <c r="E32" s="468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1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6" t="s">
        <v>1452</v>
      </c>
      <c r="B1" s="376"/>
      <c r="C1" s="376"/>
      <c r="D1" s="409" t="s">
        <v>274</v>
      </c>
      <c r="E1" s="410"/>
      <c r="F1" s="410"/>
      <c r="G1" s="410"/>
      <c r="H1" s="410"/>
      <c r="I1" s="410"/>
      <c r="J1" s="410"/>
      <c r="K1" s="410"/>
      <c r="L1" s="410"/>
      <c r="M1" s="411"/>
      <c r="N1" s="376" t="s">
        <v>12</v>
      </c>
      <c r="O1" s="376"/>
      <c r="P1" s="376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376" t="s">
        <v>11</v>
      </c>
      <c r="B2" s="376"/>
      <c r="C2" s="376"/>
      <c r="D2" s="412"/>
      <c r="E2" s="413"/>
      <c r="F2" s="413"/>
      <c r="G2" s="413"/>
      <c r="H2" s="413"/>
      <c r="I2" s="413"/>
      <c r="J2" s="413"/>
      <c r="K2" s="413"/>
      <c r="L2" s="413"/>
      <c r="M2" s="414"/>
      <c r="N2" s="376" t="s">
        <v>991</v>
      </c>
      <c r="O2" s="376"/>
      <c r="P2" s="376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81" t="s">
        <v>4</v>
      </c>
      <c r="B3" s="481" t="s">
        <v>16</v>
      </c>
      <c r="C3" s="376" t="s">
        <v>0</v>
      </c>
      <c r="D3" s="377" t="s">
        <v>182</v>
      </c>
      <c r="E3" s="377" t="s">
        <v>183</v>
      </c>
      <c r="F3" s="382" t="s">
        <v>276</v>
      </c>
      <c r="G3" s="383"/>
      <c r="H3" s="383"/>
      <c r="I3" s="377" t="s">
        <v>14</v>
      </c>
      <c r="J3" s="379" t="s">
        <v>8</v>
      </c>
      <c r="K3" s="379"/>
      <c r="L3" s="379"/>
      <c r="M3" s="380" t="s">
        <v>277</v>
      </c>
      <c r="N3" s="382" t="s">
        <v>10</v>
      </c>
      <c r="O3" s="383"/>
      <c r="P3" s="384"/>
      <c r="Q3" s="374" t="s">
        <v>2</v>
      </c>
      <c r="R3" s="376" t="s">
        <v>1</v>
      </c>
      <c r="S3" s="374" t="s">
        <v>13</v>
      </c>
    </row>
    <row r="4" spans="1:19" ht="33" customHeight="1" x14ac:dyDescent="0.4">
      <c r="A4" s="481"/>
      <c r="B4" s="481"/>
      <c r="C4" s="376"/>
      <c r="D4" s="405"/>
      <c r="E4" s="405"/>
      <c r="F4" s="69" t="s">
        <v>15</v>
      </c>
      <c r="G4" s="72" t="s">
        <v>7</v>
      </c>
      <c r="H4" s="73" t="s">
        <v>3</v>
      </c>
      <c r="I4" s="378"/>
      <c r="J4" s="71" t="s">
        <v>5</v>
      </c>
      <c r="K4" s="71" t="s">
        <v>6</v>
      </c>
      <c r="L4" s="71" t="s">
        <v>9</v>
      </c>
      <c r="M4" s="381"/>
      <c r="N4" s="69" t="s">
        <v>5</v>
      </c>
      <c r="O4" s="69" t="s">
        <v>6</v>
      </c>
      <c r="P4" s="69" t="s">
        <v>9</v>
      </c>
      <c r="Q4" s="375"/>
      <c r="R4" s="376"/>
      <c r="S4" s="375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112" t="s">
        <v>1373</v>
      </c>
      <c r="C6" s="85" t="s">
        <v>1374</v>
      </c>
      <c r="D6" s="90" t="s">
        <v>1375</v>
      </c>
      <c r="E6" s="41" t="s">
        <v>1034</v>
      </c>
      <c r="F6" s="41">
        <v>1.1000000000000001</v>
      </c>
      <c r="G6" s="86" t="s">
        <v>1376</v>
      </c>
      <c r="H6" s="57" t="s">
        <v>1377</v>
      </c>
      <c r="I6" s="54" t="s">
        <v>1378</v>
      </c>
      <c r="J6" s="41">
        <v>2</v>
      </c>
      <c r="K6" s="41">
        <v>2</v>
      </c>
      <c r="L6" s="41">
        <f>J6*K6</f>
        <v>4</v>
      </c>
      <c r="M6" s="87"/>
      <c r="N6" s="41"/>
      <c r="O6" s="41"/>
      <c r="P6" s="41"/>
      <c r="Q6" s="79"/>
      <c r="R6" s="79"/>
      <c r="S6" s="79"/>
    </row>
    <row r="7" spans="1:19" ht="52.95" customHeight="1" x14ac:dyDescent="0.4">
      <c r="A7" s="2">
        <v>2</v>
      </c>
      <c r="B7" s="112" t="s">
        <v>1373</v>
      </c>
      <c r="C7" s="85" t="s">
        <v>1374</v>
      </c>
      <c r="D7" s="90" t="s">
        <v>1375</v>
      </c>
      <c r="E7" s="41" t="s">
        <v>1034</v>
      </c>
      <c r="F7" s="41">
        <v>1.6</v>
      </c>
      <c r="G7" s="87" t="s">
        <v>1379</v>
      </c>
      <c r="H7" s="57" t="s">
        <v>1380</v>
      </c>
      <c r="I7" s="54" t="s">
        <v>1381</v>
      </c>
      <c r="J7" s="41">
        <v>2</v>
      </c>
      <c r="K7" s="41">
        <v>3</v>
      </c>
      <c r="L7" s="41">
        <f t="shared" ref="L7:L46" si="0">J7*K7</f>
        <v>6</v>
      </c>
      <c r="M7" s="87" t="s">
        <v>1364</v>
      </c>
      <c r="N7" s="41">
        <v>2</v>
      </c>
      <c r="O7" s="41">
        <v>2</v>
      </c>
      <c r="P7" s="41">
        <v>4</v>
      </c>
      <c r="Q7" s="79" t="s">
        <v>1382</v>
      </c>
      <c r="R7" s="79" t="s">
        <v>1383</v>
      </c>
      <c r="S7" s="79"/>
    </row>
    <row r="8" spans="1:19" ht="52.95" customHeight="1" x14ac:dyDescent="0.4">
      <c r="A8" s="2">
        <v>3</v>
      </c>
      <c r="B8" s="112" t="s">
        <v>1373</v>
      </c>
      <c r="C8" s="85" t="s">
        <v>1374</v>
      </c>
      <c r="D8" s="90" t="s">
        <v>1375</v>
      </c>
      <c r="E8" s="41" t="s">
        <v>1034</v>
      </c>
      <c r="F8" s="41">
        <v>1.5</v>
      </c>
      <c r="G8" s="87" t="s">
        <v>1384</v>
      </c>
      <c r="H8" s="57" t="s">
        <v>1385</v>
      </c>
      <c r="I8" s="54" t="s">
        <v>1386</v>
      </c>
      <c r="J8" s="41">
        <v>3</v>
      </c>
      <c r="K8" s="41">
        <v>2</v>
      </c>
      <c r="L8" s="41">
        <f t="shared" si="0"/>
        <v>6</v>
      </c>
      <c r="M8" s="87" t="s">
        <v>1365</v>
      </c>
      <c r="N8" s="41">
        <v>2</v>
      </c>
      <c r="O8" s="41">
        <v>2</v>
      </c>
      <c r="P8" s="41">
        <v>4</v>
      </c>
      <c r="Q8" s="79" t="s">
        <v>1382</v>
      </c>
      <c r="R8" s="79" t="s">
        <v>1383</v>
      </c>
      <c r="S8" s="79"/>
    </row>
    <row r="9" spans="1:19" ht="72.75" customHeight="1" x14ac:dyDescent="0.4">
      <c r="A9" s="2">
        <v>4</v>
      </c>
      <c r="B9" s="112" t="s">
        <v>1373</v>
      </c>
      <c r="C9" s="85" t="s">
        <v>1374</v>
      </c>
      <c r="D9" s="90" t="s">
        <v>1375</v>
      </c>
      <c r="E9" s="41" t="s">
        <v>1034</v>
      </c>
      <c r="F9" s="41">
        <v>2.1</v>
      </c>
      <c r="G9" s="87" t="s">
        <v>1387</v>
      </c>
      <c r="H9" s="57" t="s">
        <v>1388</v>
      </c>
      <c r="I9" s="54" t="s">
        <v>1389</v>
      </c>
      <c r="J9" s="41">
        <v>2</v>
      </c>
      <c r="K9" s="41">
        <v>4</v>
      </c>
      <c r="L9" s="41">
        <f t="shared" si="0"/>
        <v>8</v>
      </c>
      <c r="M9" s="87" t="s">
        <v>1366</v>
      </c>
      <c r="N9" s="41">
        <v>1</v>
      </c>
      <c r="O9" s="41">
        <v>3</v>
      </c>
      <c r="P9" s="41">
        <v>3</v>
      </c>
      <c r="Q9" s="79" t="s">
        <v>1382</v>
      </c>
      <c r="R9" s="79" t="s">
        <v>1390</v>
      </c>
      <c r="S9" s="79"/>
    </row>
    <row r="10" spans="1:19" ht="52.95" customHeight="1" x14ac:dyDescent="0.4">
      <c r="A10" s="2">
        <v>5</v>
      </c>
      <c r="B10" s="112" t="s">
        <v>1373</v>
      </c>
      <c r="C10" s="85" t="s">
        <v>1374</v>
      </c>
      <c r="D10" s="90" t="s">
        <v>1375</v>
      </c>
      <c r="E10" s="41" t="s">
        <v>1034</v>
      </c>
      <c r="F10" s="41">
        <v>5.8</v>
      </c>
      <c r="G10" s="87" t="s">
        <v>1391</v>
      </c>
      <c r="H10" s="57" t="s">
        <v>1392</v>
      </c>
      <c r="I10" s="54" t="s">
        <v>1393</v>
      </c>
      <c r="J10" s="41">
        <v>1</v>
      </c>
      <c r="K10" s="41">
        <v>4</v>
      </c>
      <c r="L10" s="41">
        <f t="shared" si="0"/>
        <v>4</v>
      </c>
      <c r="M10" s="87"/>
      <c r="N10" s="41"/>
      <c r="O10" s="41"/>
      <c r="P10" s="41"/>
      <c r="Q10" s="79"/>
      <c r="R10" s="79"/>
      <c r="S10" s="79"/>
    </row>
    <row r="11" spans="1:19" ht="52.95" customHeight="1" x14ac:dyDescent="0.4">
      <c r="A11" s="2">
        <v>6</v>
      </c>
      <c r="B11" s="112" t="s">
        <v>1373</v>
      </c>
      <c r="C11" s="85" t="s">
        <v>1374</v>
      </c>
      <c r="D11" s="90" t="s">
        <v>1375</v>
      </c>
      <c r="E11" s="41" t="s">
        <v>1034</v>
      </c>
      <c r="F11" s="41">
        <v>3.2</v>
      </c>
      <c r="G11" s="87" t="s">
        <v>1394</v>
      </c>
      <c r="H11" s="57" t="s">
        <v>1395</v>
      </c>
      <c r="I11" s="54" t="s">
        <v>1396</v>
      </c>
      <c r="J11" s="41">
        <v>2</v>
      </c>
      <c r="K11" s="41">
        <v>2</v>
      </c>
      <c r="L11" s="41">
        <f t="shared" si="0"/>
        <v>4</v>
      </c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112" t="s">
        <v>1373</v>
      </c>
      <c r="C12" s="85" t="s">
        <v>1397</v>
      </c>
      <c r="D12" s="90" t="s">
        <v>1375</v>
      </c>
      <c r="E12" s="41" t="s">
        <v>1034</v>
      </c>
      <c r="F12" s="41">
        <v>1.1000000000000001</v>
      </c>
      <c r="G12" s="87" t="s">
        <v>1376</v>
      </c>
      <c r="H12" s="57" t="s">
        <v>1377</v>
      </c>
      <c r="I12" s="54" t="s">
        <v>1378</v>
      </c>
      <c r="J12" s="41">
        <v>2</v>
      </c>
      <c r="K12" s="41">
        <v>2</v>
      </c>
      <c r="L12" s="41">
        <f t="shared" si="0"/>
        <v>4</v>
      </c>
      <c r="M12" s="87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112" t="s">
        <v>1373</v>
      </c>
      <c r="C13" s="85" t="s">
        <v>1397</v>
      </c>
      <c r="D13" s="90" t="s">
        <v>1375</v>
      </c>
      <c r="E13" s="41" t="s">
        <v>1034</v>
      </c>
      <c r="F13" s="41">
        <v>1.6</v>
      </c>
      <c r="G13" s="87" t="s">
        <v>1379</v>
      </c>
      <c r="H13" s="57" t="s">
        <v>1398</v>
      </c>
      <c r="I13" s="54" t="s">
        <v>1381</v>
      </c>
      <c r="J13" s="41">
        <v>2</v>
      </c>
      <c r="K13" s="41">
        <v>3</v>
      </c>
      <c r="L13" s="41">
        <v>6</v>
      </c>
      <c r="M13" s="87" t="s">
        <v>1364</v>
      </c>
      <c r="N13" s="41">
        <v>2</v>
      </c>
      <c r="O13" s="41">
        <v>2</v>
      </c>
      <c r="P13" s="41">
        <v>4</v>
      </c>
      <c r="Q13" s="79" t="s">
        <v>1382</v>
      </c>
      <c r="R13" s="79" t="s">
        <v>1383</v>
      </c>
      <c r="S13" s="79"/>
    </row>
    <row r="14" spans="1:19" ht="52.95" customHeight="1" x14ac:dyDescent="0.4">
      <c r="A14" s="2">
        <v>9</v>
      </c>
      <c r="B14" s="112" t="s">
        <v>1373</v>
      </c>
      <c r="C14" s="85" t="s">
        <v>1397</v>
      </c>
      <c r="D14" s="90" t="s">
        <v>1375</v>
      </c>
      <c r="E14" s="41" t="s">
        <v>1034</v>
      </c>
      <c r="F14" s="41">
        <v>1.5</v>
      </c>
      <c r="G14" s="87" t="s">
        <v>1384</v>
      </c>
      <c r="H14" s="57" t="s">
        <v>1399</v>
      </c>
      <c r="I14" s="54" t="s">
        <v>1386</v>
      </c>
      <c r="J14" s="41">
        <v>3</v>
      </c>
      <c r="K14" s="41">
        <v>2</v>
      </c>
      <c r="L14" s="41">
        <v>6</v>
      </c>
      <c r="M14" s="87" t="s">
        <v>1365</v>
      </c>
      <c r="N14" s="41">
        <v>2</v>
      </c>
      <c r="O14" s="41">
        <v>2</v>
      </c>
      <c r="P14" s="41">
        <v>4</v>
      </c>
      <c r="Q14" s="79" t="s">
        <v>1382</v>
      </c>
      <c r="R14" s="79" t="s">
        <v>1383</v>
      </c>
      <c r="S14" s="79"/>
    </row>
    <row r="15" spans="1:19" ht="52.95" customHeight="1" x14ac:dyDescent="0.4">
      <c r="A15" s="2">
        <v>10</v>
      </c>
      <c r="B15" s="112" t="s">
        <v>1373</v>
      </c>
      <c r="C15" s="85" t="s">
        <v>1397</v>
      </c>
      <c r="D15" s="90" t="s">
        <v>1375</v>
      </c>
      <c r="E15" s="41" t="s">
        <v>1400</v>
      </c>
      <c r="F15" s="41">
        <v>5.8</v>
      </c>
      <c r="G15" s="87" t="s">
        <v>1401</v>
      </c>
      <c r="H15" s="57" t="s">
        <v>1402</v>
      </c>
      <c r="I15" s="54" t="s">
        <v>1403</v>
      </c>
      <c r="J15" s="41">
        <v>1</v>
      </c>
      <c r="K15" s="41">
        <v>4</v>
      </c>
      <c r="L15" s="41">
        <f t="shared" si="0"/>
        <v>4</v>
      </c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112" t="s">
        <v>1373</v>
      </c>
      <c r="C16" s="85" t="s">
        <v>1397</v>
      </c>
      <c r="D16" s="90" t="s">
        <v>1375</v>
      </c>
      <c r="E16" s="41" t="s">
        <v>1400</v>
      </c>
      <c r="F16" s="41">
        <v>5.0999999999999996</v>
      </c>
      <c r="G16" s="87" t="s">
        <v>1404</v>
      </c>
      <c r="H16" s="57" t="s">
        <v>1405</v>
      </c>
      <c r="I16" s="54" t="s">
        <v>1406</v>
      </c>
      <c r="J16" s="41">
        <v>1</v>
      </c>
      <c r="K16" s="41">
        <v>4</v>
      </c>
      <c r="L16" s="41">
        <f t="shared" si="0"/>
        <v>4</v>
      </c>
      <c r="M16" s="87"/>
      <c r="N16" s="41"/>
      <c r="O16" s="41"/>
      <c r="P16" s="41"/>
      <c r="Q16" s="79"/>
      <c r="R16" s="79"/>
      <c r="S16" s="79"/>
    </row>
    <row r="17" spans="1:19" ht="77.25" customHeight="1" x14ac:dyDescent="0.4">
      <c r="A17" s="2">
        <v>12</v>
      </c>
      <c r="B17" s="112" t="s">
        <v>1373</v>
      </c>
      <c r="C17" s="85" t="s">
        <v>1397</v>
      </c>
      <c r="D17" s="90" t="s">
        <v>1375</v>
      </c>
      <c r="E17" s="41" t="s">
        <v>1034</v>
      </c>
      <c r="F17" s="41">
        <v>2.1</v>
      </c>
      <c r="G17" s="87" t="s">
        <v>1387</v>
      </c>
      <c r="H17" s="140" t="s">
        <v>1311</v>
      </c>
      <c r="I17" s="54" t="s">
        <v>1312</v>
      </c>
      <c r="J17" s="41">
        <v>2</v>
      </c>
      <c r="K17" s="41">
        <v>4</v>
      </c>
      <c r="L17" s="41">
        <f t="shared" si="0"/>
        <v>8</v>
      </c>
      <c r="M17" s="87" t="s">
        <v>1366</v>
      </c>
      <c r="N17" s="41">
        <v>1</v>
      </c>
      <c r="O17" s="41">
        <v>3</v>
      </c>
      <c r="P17" s="41">
        <v>3</v>
      </c>
      <c r="Q17" s="79" t="s">
        <v>1382</v>
      </c>
      <c r="R17" s="79" t="s">
        <v>1390</v>
      </c>
      <c r="S17" s="79"/>
    </row>
    <row r="18" spans="1:19" ht="52.95" customHeight="1" x14ac:dyDescent="0.4">
      <c r="A18" s="2">
        <v>13</v>
      </c>
      <c r="B18" s="112" t="s">
        <v>1373</v>
      </c>
      <c r="C18" s="85" t="s">
        <v>1397</v>
      </c>
      <c r="D18" s="90" t="s">
        <v>1375</v>
      </c>
      <c r="E18" s="41" t="s">
        <v>1034</v>
      </c>
      <c r="F18" s="41">
        <v>5.8</v>
      </c>
      <c r="G18" s="87" t="s">
        <v>1391</v>
      </c>
      <c r="H18" s="57" t="s">
        <v>1407</v>
      </c>
      <c r="I18" s="54" t="s">
        <v>1393</v>
      </c>
      <c r="J18" s="41">
        <v>1</v>
      </c>
      <c r="K18" s="41">
        <v>4</v>
      </c>
      <c r="L18" s="41">
        <f t="shared" si="0"/>
        <v>4</v>
      </c>
      <c r="M18" s="87"/>
      <c r="N18" s="41"/>
      <c r="O18" s="41"/>
      <c r="P18" s="41"/>
      <c r="Q18" s="79"/>
      <c r="R18" s="79"/>
      <c r="S18" s="79"/>
    </row>
    <row r="19" spans="1:19" ht="52.95" customHeight="1" x14ac:dyDescent="0.4">
      <c r="A19" s="2">
        <v>14</v>
      </c>
      <c r="B19" s="112" t="s">
        <v>1373</v>
      </c>
      <c r="C19" s="85" t="s">
        <v>1408</v>
      </c>
      <c r="D19" s="90" t="s">
        <v>1375</v>
      </c>
      <c r="E19" s="41" t="s">
        <v>1034</v>
      </c>
      <c r="F19" s="41">
        <v>1.1000000000000001</v>
      </c>
      <c r="G19" s="87" t="s">
        <v>1376</v>
      </c>
      <c r="H19" s="57" t="s">
        <v>1377</v>
      </c>
      <c r="I19" s="54" t="s">
        <v>1378</v>
      </c>
      <c r="J19" s="41">
        <v>2</v>
      </c>
      <c r="K19" s="41">
        <v>2</v>
      </c>
      <c r="L19" s="41">
        <f t="shared" si="0"/>
        <v>4</v>
      </c>
      <c r="M19" s="87"/>
      <c r="N19" s="41"/>
      <c r="O19" s="41"/>
      <c r="P19" s="41"/>
      <c r="Q19" s="79"/>
      <c r="R19" s="79"/>
      <c r="S19" s="79"/>
    </row>
    <row r="20" spans="1:19" ht="52.95" customHeight="1" x14ac:dyDescent="0.4">
      <c r="A20" s="2">
        <v>15</v>
      </c>
      <c r="B20" s="112" t="s">
        <v>1373</v>
      </c>
      <c r="C20" s="85" t="s">
        <v>1408</v>
      </c>
      <c r="D20" s="90" t="s">
        <v>1375</v>
      </c>
      <c r="E20" s="41" t="s">
        <v>1034</v>
      </c>
      <c r="F20" s="41">
        <v>3.2</v>
      </c>
      <c r="G20" s="87" t="s">
        <v>1394</v>
      </c>
      <c r="H20" s="57" t="s">
        <v>1395</v>
      </c>
      <c r="I20" s="54" t="s">
        <v>1409</v>
      </c>
      <c r="J20" s="41">
        <v>2</v>
      </c>
      <c r="K20" s="41">
        <v>2</v>
      </c>
      <c r="L20" s="41">
        <f t="shared" si="0"/>
        <v>4</v>
      </c>
      <c r="M20" s="87"/>
      <c r="N20" s="41"/>
      <c r="O20" s="41"/>
      <c r="P20" s="41"/>
      <c r="Q20" s="79"/>
      <c r="R20" s="79"/>
      <c r="S20" s="79"/>
    </row>
    <row r="21" spans="1:19" ht="52.95" customHeight="1" x14ac:dyDescent="0.4">
      <c r="A21" s="2">
        <v>16</v>
      </c>
      <c r="B21" s="112" t="s">
        <v>1373</v>
      </c>
      <c r="C21" s="85" t="s">
        <v>1408</v>
      </c>
      <c r="D21" s="90" t="s">
        <v>1375</v>
      </c>
      <c r="E21" s="41" t="s">
        <v>1034</v>
      </c>
      <c r="F21" s="41">
        <v>1.5</v>
      </c>
      <c r="G21" s="87" t="s">
        <v>1384</v>
      </c>
      <c r="H21" s="140" t="s">
        <v>1319</v>
      </c>
      <c r="I21" s="137" t="s">
        <v>1308</v>
      </c>
      <c r="J21" s="41">
        <v>3</v>
      </c>
      <c r="K21" s="41">
        <v>2</v>
      </c>
      <c r="L21" s="41">
        <f t="shared" si="0"/>
        <v>6</v>
      </c>
      <c r="M21" s="87" t="s">
        <v>1365</v>
      </c>
      <c r="N21" s="41">
        <v>2</v>
      </c>
      <c r="O21" s="41">
        <v>2</v>
      </c>
      <c r="P21" s="41">
        <v>4</v>
      </c>
      <c r="Q21" s="79" t="s">
        <v>1410</v>
      </c>
      <c r="R21" s="79" t="s">
        <v>1383</v>
      </c>
      <c r="S21" s="79"/>
    </row>
    <row r="22" spans="1:19" ht="52.95" customHeight="1" x14ac:dyDescent="0.4">
      <c r="A22" s="2">
        <v>17</v>
      </c>
      <c r="B22" s="112" t="s">
        <v>1373</v>
      </c>
      <c r="C22" s="85" t="s">
        <v>1408</v>
      </c>
      <c r="D22" s="90" t="s">
        <v>1375</v>
      </c>
      <c r="E22" s="41" t="s">
        <v>1034</v>
      </c>
      <c r="F22" s="41">
        <v>2.1</v>
      </c>
      <c r="G22" s="87" t="s">
        <v>1387</v>
      </c>
      <c r="H22" s="140" t="s">
        <v>1321</v>
      </c>
      <c r="I22" s="137" t="s">
        <v>1389</v>
      </c>
      <c r="J22" s="41">
        <v>2</v>
      </c>
      <c r="K22" s="41">
        <v>4</v>
      </c>
      <c r="L22" s="41">
        <f t="shared" si="0"/>
        <v>8</v>
      </c>
      <c r="M22" s="87" t="s">
        <v>1366</v>
      </c>
      <c r="N22" s="41">
        <v>1</v>
      </c>
      <c r="O22" s="41">
        <v>3</v>
      </c>
      <c r="P22" s="41">
        <v>3</v>
      </c>
      <c r="Q22" s="79" t="s">
        <v>1410</v>
      </c>
      <c r="R22" s="79" t="s">
        <v>1390</v>
      </c>
      <c r="S22" s="79"/>
    </row>
    <row r="23" spans="1:19" ht="52.95" customHeight="1" x14ac:dyDescent="0.4">
      <c r="A23" s="2">
        <v>18</v>
      </c>
      <c r="B23" s="112" t="s">
        <v>1373</v>
      </c>
      <c r="C23" s="85" t="s">
        <v>1408</v>
      </c>
      <c r="D23" s="90" t="s">
        <v>1375</v>
      </c>
      <c r="E23" s="41" t="s">
        <v>1034</v>
      </c>
      <c r="F23" s="41">
        <v>5.8</v>
      </c>
      <c r="G23" s="87" t="s">
        <v>1391</v>
      </c>
      <c r="H23" s="140" t="s">
        <v>1411</v>
      </c>
      <c r="I23" s="137" t="s">
        <v>1393</v>
      </c>
      <c r="J23" s="41">
        <v>1</v>
      </c>
      <c r="K23" s="41">
        <v>4</v>
      </c>
      <c r="L23" s="41">
        <f t="shared" si="0"/>
        <v>4</v>
      </c>
      <c r="M23" s="87"/>
      <c r="N23" s="41"/>
      <c r="O23" s="41"/>
      <c r="P23" s="41"/>
      <c r="Q23" s="79"/>
      <c r="R23" s="79"/>
      <c r="S23" s="79"/>
    </row>
    <row r="24" spans="1:19" ht="52.95" customHeight="1" x14ac:dyDescent="0.4">
      <c r="A24" s="2">
        <v>19</v>
      </c>
      <c r="B24" s="112" t="s">
        <v>1373</v>
      </c>
      <c r="C24" s="85" t="s">
        <v>1408</v>
      </c>
      <c r="D24" s="90" t="s">
        <v>1375</v>
      </c>
      <c r="E24" s="41" t="s">
        <v>1034</v>
      </c>
      <c r="F24" s="41">
        <v>6.3</v>
      </c>
      <c r="G24" s="87" t="s">
        <v>985</v>
      </c>
      <c r="H24" s="140" t="s">
        <v>1412</v>
      </c>
      <c r="I24" s="137" t="s">
        <v>1244</v>
      </c>
      <c r="J24" s="41">
        <v>2</v>
      </c>
      <c r="K24" s="41">
        <v>2</v>
      </c>
      <c r="L24" s="41">
        <f t="shared" si="0"/>
        <v>4</v>
      </c>
      <c r="M24" s="87"/>
      <c r="N24" s="41"/>
      <c r="O24" s="41"/>
      <c r="P24" s="41"/>
      <c r="Q24" s="79"/>
      <c r="R24" s="79"/>
      <c r="S24" s="79"/>
    </row>
    <row r="25" spans="1:19" ht="52.95" customHeight="1" x14ac:dyDescent="0.4">
      <c r="A25" s="2">
        <v>20</v>
      </c>
      <c r="B25" s="112" t="s">
        <v>1373</v>
      </c>
      <c r="C25" s="85" t="s">
        <v>1413</v>
      </c>
      <c r="D25" s="90" t="s">
        <v>1375</v>
      </c>
      <c r="E25" s="41" t="s">
        <v>1034</v>
      </c>
      <c r="F25" s="41">
        <v>3.3</v>
      </c>
      <c r="G25" s="87" t="s">
        <v>1414</v>
      </c>
      <c r="H25" s="140" t="s">
        <v>1415</v>
      </c>
      <c r="I25" s="137" t="s">
        <v>1416</v>
      </c>
      <c r="J25" s="41">
        <v>2</v>
      </c>
      <c r="K25" s="41">
        <v>4</v>
      </c>
      <c r="L25" s="41">
        <f t="shared" si="0"/>
        <v>8</v>
      </c>
      <c r="M25" s="87" t="s">
        <v>1372</v>
      </c>
      <c r="N25" s="41">
        <v>1</v>
      </c>
      <c r="O25" s="41">
        <v>4</v>
      </c>
      <c r="P25" s="41">
        <v>4</v>
      </c>
      <c r="Q25" s="79" t="s">
        <v>1382</v>
      </c>
      <c r="R25" s="79" t="s">
        <v>1383</v>
      </c>
      <c r="S25" s="79"/>
    </row>
    <row r="26" spans="1:19" ht="52.95" customHeight="1" x14ac:dyDescent="0.4">
      <c r="A26" s="2">
        <v>21</v>
      </c>
      <c r="B26" s="112" t="s">
        <v>1373</v>
      </c>
      <c r="C26" s="85" t="s">
        <v>1413</v>
      </c>
      <c r="D26" s="90" t="s">
        <v>1375</v>
      </c>
      <c r="E26" s="41" t="s">
        <v>1034</v>
      </c>
      <c r="F26" s="41">
        <v>1.6</v>
      </c>
      <c r="G26" s="87" t="s">
        <v>1379</v>
      </c>
      <c r="H26" s="140" t="s">
        <v>1417</v>
      </c>
      <c r="I26" s="137" t="s">
        <v>1381</v>
      </c>
      <c r="J26" s="41">
        <v>2</v>
      </c>
      <c r="K26" s="41">
        <v>3</v>
      </c>
      <c r="L26" s="41">
        <f t="shared" si="0"/>
        <v>6</v>
      </c>
      <c r="M26" s="87" t="s">
        <v>1364</v>
      </c>
      <c r="N26" s="41">
        <v>2</v>
      </c>
      <c r="O26" s="41">
        <v>2</v>
      </c>
      <c r="P26" s="41">
        <v>4</v>
      </c>
      <c r="Q26" s="79" t="s">
        <v>1382</v>
      </c>
      <c r="R26" s="79" t="s">
        <v>1383</v>
      </c>
      <c r="S26" s="79"/>
    </row>
    <row r="27" spans="1:19" ht="52.95" customHeight="1" x14ac:dyDescent="0.4">
      <c r="A27" s="2">
        <v>22</v>
      </c>
      <c r="B27" s="112" t="s">
        <v>1329</v>
      </c>
      <c r="C27" s="85" t="s">
        <v>1418</v>
      </c>
      <c r="D27" s="90" t="s">
        <v>1375</v>
      </c>
      <c r="E27" s="41" t="s">
        <v>1034</v>
      </c>
      <c r="F27" s="41">
        <v>1.6</v>
      </c>
      <c r="G27" s="87" t="s">
        <v>1379</v>
      </c>
      <c r="H27" s="140" t="s">
        <v>1419</v>
      </c>
      <c r="I27" s="137" t="s">
        <v>1381</v>
      </c>
      <c r="J27" s="41">
        <v>2</v>
      </c>
      <c r="K27" s="41">
        <v>3</v>
      </c>
      <c r="L27" s="41">
        <f t="shared" si="0"/>
        <v>6</v>
      </c>
      <c r="M27" s="87" t="s">
        <v>1364</v>
      </c>
      <c r="N27" s="41">
        <v>2</v>
      </c>
      <c r="O27" s="41">
        <v>2</v>
      </c>
      <c r="P27" s="41">
        <v>4</v>
      </c>
      <c r="Q27" s="79" t="s">
        <v>1382</v>
      </c>
      <c r="R27" s="79" t="s">
        <v>1390</v>
      </c>
      <c r="S27" s="79"/>
    </row>
    <row r="28" spans="1:19" ht="52.95" customHeight="1" x14ac:dyDescent="0.4">
      <c r="A28" s="2">
        <v>23</v>
      </c>
      <c r="B28" s="112" t="s">
        <v>1329</v>
      </c>
      <c r="C28" s="85" t="s">
        <v>1418</v>
      </c>
      <c r="D28" s="90" t="s">
        <v>1375</v>
      </c>
      <c r="E28" s="41" t="s">
        <v>1034</v>
      </c>
      <c r="F28" s="41">
        <v>1.2</v>
      </c>
      <c r="G28" s="87" t="s">
        <v>1420</v>
      </c>
      <c r="H28" s="140" t="s">
        <v>1421</v>
      </c>
      <c r="I28" s="137" t="s">
        <v>1422</v>
      </c>
      <c r="J28" s="41">
        <v>2</v>
      </c>
      <c r="K28" s="41">
        <v>2</v>
      </c>
      <c r="L28" s="41">
        <f t="shared" si="0"/>
        <v>4</v>
      </c>
      <c r="M28" s="87"/>
      <c r="N28" s="41"/>
      <c r="O28" s="41"/>
      <c r="P28" s="41"/>
      <c r="Q28" s="79"/>
      <c r="R28" s="79"/>
      <c r="S28" s="79"/>
    </row>
    <row r="29" spans="1:19" ht="66.75" customHeight="1" x14ac:dyDescent="0.4">
      <c r="A29" s="2">
        <v>24</v>
      </c>
      <c r="B29" s="112" t="s">
        <v>1329</v>
      </c>
      <c r="C29" s="85" t="s">
        <v>1418</v>
      </c>
      <c r="D29" s="90" t="s">
        <v>1375</v>
      </c>
      <c r="E29" s="41" t="s">
        <v>1034</v>
      </c>
      <c r="F29" s="41">
        <v>2.1</v>
      </c>
      <c r="G29" s="87" t="s">
        <v>1387</v>
      </c>
      <c r="H29" s="140" t="s">
        <v>1332</v>
      </c>
      <c r="I29" s="137" t="s">
        <v>1389</v>
      </c>
      <c r="J29" s="41">
        <v>2</v>
      </c>
      <c r="K29" s="41">
        <v>3</v>
      </c>
      <c r="L29" s="41">
        <f t="shared" si="0"/>
        <v>6</v>
      </c>
      <c r="M29" s="87" t="s">
        <v>1366</v>
      </c>
      <c r="N29" s="41">
        <v>1</v>
      </c>
      <c r="O29" s="41">
        <v>3</v>
      </c>
      <c r="P29" s="41">
        <v>3</v>
      </c>
      <c r="Q29" s="79" t="s">
        <v>1382</v>
      </c>
      <c r="R29" s="79" t="s">
        <v>1390</v>
      </c>
      <c r="S29" s="79"/>
    </row>
    <row r="30" spans="1:19" ht="52.5" customHeight="1" x14ac:dyDescent="0.4">
      <c r="A30" s="2">
        <v>25</v>
      </c>
      <c r="B30" s="112" t="s">
        <v>1329</v>
      </c>
      <c r="C30" s="85" t="s">
        <v>1418</v>
      </c>
      <c r="D30" s="90" t="s">
        <v>1375</v>
      </c>
      <c r="E30" s="41" t="s">
        <v>1034</v>
      </c>
      <c r="F30" s="41">
        <v>2.1</v>
      </c>
      <c r="G30" s="87" t="s">
        <v>1387</v>
      </c>
      <c r="H30" s="140" t="s">
        <v>1333</v>
      </c>
      <c r="I30" s="137" t="s">
        <v>1389</v>
      </c>
      <c r="J30" s="41">
        <v>2</v>
      </c>
      <c r="K30" s="41">
        <v>3</v>
      </c>
      <c r="L30" s="41">
        <f t="shared" si="0"/>
        <v>6</v>
      </c>
      <c r="M30" s="87" t="s">
        <v>1371</v>
      </c>
      <c r="N30" s="41">
        <v>1</v>
      </c>
      <c r="O30" s="41">
        <v>3</v>
      </c>
      <c r="P30" s="41">
        <v>3</v>
      </c>
      <c r="Q30" s="79" t="s">
        <v>1382</v>
      </c>
      <c r="R30" s="79" t="s">
        <v>1390</v>
      </c>
      <c r="S30" s="79"/>
    </row>
    <row r="31" spans="1:19" ht="67.5" customHeight="1" x14ac:dyDescent="0.4">
      <c r="A31" s="2">
        <v>26</v>
      </c>
      <c r="B31" s="112" t="s">
        <v>1329</v>
      </c>
      <c r="C31" s="85" t="s">
        <v>1418</v>
      </c>
      <c r="D31" s="90" t="s">
        <v>1375</v>
      </c>
      <c r="E31" s="41" t="s">
        <v>1034</v>
      </c>
      <c r="F31" s="41">
        <v>2.1</v>
      </c>
      <c r="G31" s="87" t="s">
        <v>1387</v>
      </c>
      <c r="H31" s="140" t="s">
        <v>1335</v>
      </c>
      <c r="I31" s="137" t="s">
        <v>1389</v>
      </c>
      <c r="J31" s="41">
        <v>2</v>
      </c>
      <c r="K31" s="41">
        <v>4</v>
      </c>
      <c r="L31" s="41">
        <f t="shared" si="0"/>
        <v>8</v>
      </c>
      <c r="M31" s="87" t="s">
        <v>1366</v>
      </c>
      <c r="N31" s="41">
        <v>1</v>
      </c>
      <c r="O31" s="41">
        <v>3</v>
      </c>
      <c r="P31" s="41">
        <v>3</v>
      </c>
      <c r="Q31" s="79" t="s">
        <v>1382</v>
      </c>
      <c r="R31" s="79" t="s">
        <v>1390</v>
      </c>
      <c r="S31" s="79"/>
    </row>
    <row r="32" spans="1:19" ht="52.95" customHeight="1" x14ac:dyDescent="0.4">
      <c r="A32" s="2">
        <v>27</v>
      </c>
      <c r="B32" s="112" t="s">
        <v>1329</v>
      </c>
      <c r="C32" s="85" t="s">
        <v>1418</v>
      </c>
      <c r="D32" s="90" t="s">
        <v>1375</v>
      </c>
      <c r="E32" s="41" t="s">
        <v>1034</v>
      </c>
      <c r="F32" s="41">
        <v>5.8</v>
      </c>
      <c r="G32" s="87" t="s">
        <v>1423</v>
      </c>
      <c r="H32" s="140" t="s">
        <v>1424</v>
      </c>
      <c r="I32" s="137" t="s">
        <v>1425</v>
      </c>
      <c r="J32" s="41">
        <v>1</v>
      </c>
      <c r="K32" s="41">
        <v>4</v>
      </c>
      <c r="L32" s="41">
        <f t="shared" si="0"/>
        <v>4</v>
      </c>
      <c r="M32" s="87"/>
      <c r="N32" s="41"/>
      <c r="O32" s="41"/>
      <c r="P32" s="41"/>
      <c r="Q32" s="79"/>
      <c r="R32" s="79"/>
      <c r="S32" s="79"/>
    </row>
    <row r="33" spans="1:19" ht="52.95" customHeight="1" x14ac:dyDescent="0.4">
      <c r="A33" s="2">
        <v>28</v>
      </c>
      <c r="B33" s="112" t="s">
        <v>1329</v>
      </c>
      <c r="C33" s="85" t="s">
        <v>1418</v>
      </c>
      <c r="D33" s="90" t="s">
        <v>1375</v>
      </c>
      <c r="E33" s="41" t="s">
        <v>1034</v>
      </c>
      <c r="F33" s="41">
        <v>5.8</v>
      </c>
      <c r="G33" s="87" t="s">
        <v>1401</v>
      </c>
      <c r="H33" s="140" t="s">
        <v>1426</v>
      </c>
      <c r="I33" s="137" t="s">
        <v>1427</v>
      </c>
      <c r="J33" s="41">
        <v>1</v>
      </c>
      <c r="K33" s="41">
        <v>4</v>
      </c>
      <c r="L33" s="41">
        <f t="shared" si="0"/>
        <v>4</v>
      </c>
      <c r="M33" s="87"/>
      <c r="N33" s="41"/>
      <c r="O33" s="41"/>
      <c r="P33" s="41"/>
      <c r="Q33" s="79"/>
      <c r="R33" s="79"/>
      <c r="S33" s="79"/>
    </row>
    <row r="34" spans="1:19" ht="52.95" customHeight="1" x14ac:dyDescent="0.4">
      <c r="A34" s="2">
        <v>29</v>
      </c>
      <c r="B34" s="112" t="s">
        <v>1329</v>
      </c>
      <c r="C34" s="85" t="s">
        <v>1418</v>
      </c>
      <c r="D34" s="90" t="s">
        <v>1375</v>
      </c>
      <c r="E34" s="41" t="s">
        <v>1034</v>
      </c>
      <c r="F34" s="41">
        <v>2.1</v>
      </c>
      <c r="G34" s="87" t="s">
        <v>1387</v>
      </c>
      <c r="H34" s="140" t="s">
        <v>1428</v>
      </c>
      <c r="I34" s="137" t="s">
        <v>1429</v>
      </c>
      <c r="J34" s="41">
        <v>1</v>
      </c>
      <c r="K34" s="41">
        <v>4</v>
      </c>
      <c r="L34" s="41">
        <f t="shared" si="0"/>
        <v>4</v>
      </c>
      <c r="M34" s="87"/>
      <c r="N34" s="41"/>
      <c r="O34" s="41"/>
      <c r="P34" s="41"/>
      <c r="Q34" s="79"/>
      <c r="R34" s="79"/>
      <c r="S34" s="79"/>
    </row>
    <row r="35" spans="1:19" ht="71.25" customHeight="1" x14ac:dyDescent="0.4">
      <c r="A35" s="2">
        <v>30</v>
      </c>
      <c r="B35" s="112" t="s">
        <v>1336</v>
      </c>
      <c r="C35" s="85" t="s">
        <v>1430</v>
      </c>
      <c r="D35" s="90" t="s">
        <v>1375</v>
      </c>
      <c r="E35" s="41" t="s">
        <v>1034</v>
      </c>
      <c r="F35" s="41">
        <v>1.3</v>
      </c>
      <c r="G35" s="87" t="s">
        <v>1431</v>
      </c>
      <c r="H35" s="140" t="s">
        <v>1339</v>
      </c>
      <c r="I35" s="137" t="s">
        <v>1432</v>
      </c>
      <c r="J35" s="41">
        <v>2</v>
      </c>
      <c r="K35" s="41">
        <v>3</v>
      </c>
      <c r="L35" s="41">
        <f t="shared" si="0"/>
        <v>6</v>
      </c>
      <c r="M35" s="87" t="s">
        <v>1370</v>
      </c>
      <c r="N35" s="41">
        <v>1</v>
      </c>
      <c r="O35" s="41">
        <v>3</v>
      </c>
      <c r="P35" s="41">
        <v>3</v>
      </c>
      <c r="Q35" s="79" t="s">
        <v>1382</v>
      </c>
      <c r="R35" s="79" t="s">
        <v>1383</v>
      </c>
      <c r="S35" s="79"/>
    </row>
    <row r="36" spans="1:19" ht="52.95" customHeight="1" x14ac:dyDescent="0.4">
      <c r="A36" s="2">
        <v>31</v>
      </c>
      <c r="B36" s="112" t="s">
        <v>1336</v>
      </c>
      <c r="C36" s="85" t="s">
        <v>1430</v>
      </c>
      <c r="D36" s="90" t="s">
        <v>1375</v>
      </c>
      <c r="E36" s="41" t="s">
        <v>1034</v>
      </c>
      <c r="F36" s="41">
        <v>1.6</v>
      </c>
      <c r="G36" s="87" t="s">
        <v>1379</v>
      </c>
      <c r="H36" s="140" t="s">
        <v>1342</v>
      </c>
      <c r="I36" s="137" t="s">
        <v>1433</v>
      </c>
      <c r="J36" s="41">
        <v>2</v>
      </c>
      <c r="K36" s="41">
        <v>4</v>
      </c>
      <c r="L36" s="41">
        <f t="shared" si="0"/>
        <v>8</v>
      </c>
      <c r="M36" s="87" t="s">
        <v>1364</v>
      </c>
      <c r="N36" s="41">
        <v>1</v>
      </c>
      <c r="O36" s="41">
        <v>3</v>
      </c>
      <c r="P36" s="41">
        <v>3</v>
      </c>
      <c r="Q36" s="79" t="s">
        <v>1382</v>
      </c>
      <c r="R36" s="79" t="s">
        <v>1383</v>
      </c>
      <c r="S36" s="79"/>
    </row>
    <row r="37" spans="1:19" ht="73.5" customHeight="1" x14ac:dyDescent="0.4">
      <c r="A37" s="2">
        <v>32</v>
      </c>
      <c r="B37" s="112" t="s">
        <v>1336</v>
      </c>
      <c r="C37" s="85" t="s">
        <v>1430</v>
      </c>
      <c r="D37" s="90" t="s">
        <v>1375</v>
      </c>
      <c r="E37" s="41" t="s">
        <v>1034</v>
      </c>
      <c r="F37" s="41">
        <v>2.1</v>
      </c>
      <c r="G37" s="86" t="s">
        <v>1387</v>
      </c>
      <c r="H37" s="140" t="s">
        <v>1344</v>
      </c>
      <c r="I37" s="137" t="s">
        <v>1389</v>
      </c>
      <c r="J37" s="41">
        <v>2</v>
      </c>
      <c r="K37" s="41">
        <v>4</v>
      </c>
      <c r="L37" s="41">
        <f t="shared" si="0"/>
        <v>8</v>
      </c>
      <c r="M37" s="86" t="s">
        <v>1366</v>
      </c>
      <c r="N37" s="41">
        <v>1</v>
      </c>
      <c r="O37" s="41">
        <v>3</v>
      </c>
      <c r="P37" s="41">
        <v>3</v>
      </c>
      <c r="Q37" s="79" t="s">
        <v>1382</v>
      </c>
      <c r="R37" s="79" t="s">
        <v>1390</v>
      </c>
      <c r="S37" s="79"/>
    </row>
    <row r="38" spans="1:19" ht="67.5" customHeight="1" x14ac:dyDescent="0.4">
      <c r="A38" s="2">
        <v>33</v>
      </c>
      <c r="B38" s="112" t="s">
        <v>1336</v>
      </c>
      <c r="C38" s="85" t="s">
        <v>1430</v>
      </c>
      <c r="D38" s="90" t="s">
        <v>1375</v>
      </c>
      <c r="E38" s="41" t="s">
        <v>1034</v>
      </c>
      <c r="F38" s="41">
        <v>3.2</v>
      </c>
      <c r="G38" s="86" t="s">
        <v>1434</v>
      </c>
      <c r="H38" s="140" t="s">
        <v>1346</v>
      </c>
      <c r="I38" s="137" t="s">
        <v>1432</v>
      </c>
      <c r="J38" s="41">
        <v>2</v>
      </c>
      <c r="K38" s="41">
        <v>3</v>
      </c>
      <c r="L38" s="41">
        <f t="shared" si="0"/>
        <v>6</v>
      </c>
      <c r="M38" s="86" t="s">
        <v>1369</v>
      </c>
      <c r="N38" s="41">
        <v>1</v>
      </c>
      <c r="O38" s="41">
        <v>2</v>
      </c>
      <c r="P38" s="41">
        <v>2</v>
      </c>
      <c r="Q38" s="79" t="s">
        <v>1382</v>
      </c>
      <c r="R38" s="79" t="s">
        <v>1383</v>
      </c>
      <c r="S38" s="79"/>
    </row>
    <row r="39" spans="1:19" ht="52.95" customHeight="1" x14ac:dyDescent="0.4">
      <c r="A39" s="2">
        <v>34</v>
      </c>
      <c r="B39" s="112" t="s">
        <v>1336</v>
      </c>
      <c r="C39" s="85" t="s">
        <v>1435</v>
      </c>
      <c r="D39" s="90" t="s">
        <v>1375</v>
      </c>
      <c r="E39" s="41" t="s">
        <v>1034</v>
      </c>
      <c r="F39" s="41">
        <v>1.3</v>
      </c>
      <c r="G39" s="86" t="s">
        <v>1436</v>
      </c>
      <c r="H39" s="140" t="s">
        <v>1351</v>
      </c>
      <c r="I39" s="137" t="s">
        <v>1437</v>
      </c>
      <c r="J39" s="41">
        <v>2</v>
      </c>
      <c r="K39" s="41">
        <v>4</v>
      </c>
      <c r="L39" s="41">
        <f t="shared" si="0"/>
        <v>8</v>
      </c>
      <c r="M39" s="86" t="s">
        <v>1368</v>
      </c>
      <c r="N39" s="41">
        <v>1</v>
      </c>
      <c r="O39" s="41">
        <v>3</v>
      </c>
      <c r="P39" s="41">
        <v>3</v>
      </c>
      <c r="Q39" s="79" t="s">
        <v>1382</v>
      </c>
      <c r="R39" s="79" t="s">
        <v>1383</v>
      </c>
      <c r="S39" s="79"/>
    </row>
    <row r="40" spans="1:19" ht="52.95" customHeight="1" x14ac:dyDescent="0.4">
      <c r="A40" s="2">
        <v>35</v>
      </c>
      <c r="B40" s="112" t="s">
        <v>1336</v>
      </c>
      <c r="C40" s="85" t="s">
        <v>1435</v>
      </c>
      <c r="D40" s="90" t="s">
        <v>1375</v>
      </c>
      <c r="E40" s="41" t="s">
        <v>1034</v>
      </c>
      <c r="F40" s="41">
        <v>4.0999999999999996</v>
      </c>
      <c r="G40" s="86" t="s">
        <v>1434</v>
      </c>
      <c r="H40" s="140" t="s">
        <v>1354</v>
      </c>
      <c r="I40" s="137" t="s">
        <v>1438</v>
      </c>
      <c r="J40" s="41">
        <v>2</v>
      </c>
      <c r="K40" s="41">
        <v>3</v>
      </c>
      <c r="L40" s="41">
        <f t="shared" si="0"/>
        <v>6</v>
      </c>
      <c r="M40" s="86" t="s">
        <v>1368</v>
      </c>
      <c r="N40" s="41">
        <v>1</v>
      </c>
      <c r="O40" s="41">
        <v>3</v>
      </c>
      <c r="P40" s="41">
        <v>3</v>
      </c>
      <c r="Q40" s="79" t="s">
        <v>1382</v>
      </c>
      <c r="R40" s="79" t="s">
        <v>1383</v>
      </c>
      <c r="S40" s="79"/>
    </row>
    <row r="41" spans="1:19" ht="52.95" customHeight="1" x14ac:dyDescent="0.4">
      <c r="A41" s="2">
        <v>36</v>
      </c>
      <c r="B41" s="112" t="s">
        <v>1336</v>
      </c>
      <c r="C41" s="85" t="s">
        <v>1435</v>
      </c>
      <c r="D41" s="90" t="s">
        <v>1375</v>
      </c>
      <c r="E41" s="41" t="s">
        <v>1034</v>
      </c>
      <c r="F41" s="41">
        <v>4.2</v>
      </c>
      <c r="G41" s="86" t="s">
        <v>1434</v>
      </c>
      <c r="H41" s="140" t="s">
        <v>1357</v>
      </c>
      <c r="I41" s="137" t="s">
        <v>1439</v>
      </c>
      <c r="J41" s="41">
        <v>2</v>
      </c>
      <c r="K41" s="41">
        <v>3</v>
      </c>
      <c r="L41" s="41">
        <f t="shared" si="0"/>
        <v>6</v>
      </c>
      <c r="M41" s="86" t="s">
        <v>1367</v>
      </c>
      <c r="N41" s="41">
        <v>1</v>
      </c>
      <c r="O41" s="41">
        <v>3</v>
      </c>
      <c r="P41" s="41">
        <v>3</v>
      </c>
      <c r="Q41" s="79" t="s">
        <v>1382</v>
      </c>
      <c r="R41" s="79" t="s">
        <v>1383</v>
      </c>
      <c r="S41" s="79"/>
    </row>
    <row r="42" spans="1:19" ht="52.95" customHeight="1" x14ac:dyDescent="0.4">
      <c r="A42" s="2">
        <v>37</v>
      </c>
      <c r="B42" s="112" t="s">
        <v>1336</v>
      </c>
      <c r="C42" s="85" t="s">
        <v>1440</v>
      </c>
      <c r="D42" s="90" t="s">
        <v>1375</v>
      </c>
      <c r="E42" s="41" t="s">
        <v>1034</v>
      </c>
      <c r="F42" s="41">
        <v>1.3</v>
      </c>
      <c r="G42" s="86" t="s">
        <v>1431</v>
      </c>
      <c r="H42" s="137" t="s">
        <v>1441</v>
      </c>
      <c r="I42" s="137" t="s">
        <v>1442</v>
      </c>
      <c r="J42" s="41">
        <v>1</v>
      </c>
      <c r="K42" s="41">
        <v>4</v>
      </c>
      <c r="L42" s="41">
        <f t="shared" si="0"/>
        <v>4</v>
      </c>
      <c r="M42" s="86"/>
      <c r="N42" s="41"/>
      <c r="O42" s="41"/>
      <c r="P42" s="41"/>
      <c r="Q42" s="79"/>
      <c r="R42" s="79"/>
      <c r="S42" s="79"/>
    </row>
    <row r="43" spans="1:19" ht="52.95" customHeight="1" x14ac:dyDescent="0.4">
      <c r="A43" s="2">
        <v>38</v>
      </c>
      <c r="B43" s="112" t="s">
        <v>1336</v>
      </c>
      <c r="C43" s="85" t="s">
        <v>1440</v>
      </c>
      <c r="D43" s="90" t="s">
        <v>1375</v>
      </c>
      <c r="E43" s="41" t="s">
        <v>1034</v>
      </c>
      <c r="F43" s="41">
        <v>1.5</v>
      </c>
      <c r="G43" s="86" t="s">
        <v>1384</v>
      </c>
      <c r="H43" s="137" t="s">
        <v>1443</v>
      </c>
      <c r="I43" s="137" t="s">
        <v>1444</v>
      </c>
      <c r="J43" s="41">
        <v>2</v>
      </c>
      <c r="K43" s="41">
        <v>2</v>
      </c>
      <c r="L43" s="41">
        <f t="shared" si="0"/>
        <v>4</v>
      </c>
      <c r="M43" s="86"/>
      <c r="N43" s="41"/>
      <c r="O43" s="41"/>
      <c r="P43" s="41"/>
      <c r="Q43" s="79"/>
      <c r="R43" s="79"/>
      <c r="S43" s="79"/>
    </row>
    <row r="44" spans="1:19" ht="52.95" customHeight="1" x14ac:dyDescent="0.4">
      <c r="A44" s="2">
        <v>39</v>
      </c>
      <c r="B44" s="112" t="s">
        <v>1336</v>
      </c>
      <c r="C44" s="85" t="s">
        <v>1440</v>
      </c>
      <c r="D44" s="90" t="s">
        <v>1375</v>
      </c>
      <c r="E44" s="41" t="s">
        <v>1034</v>
      </c>
      <c r="F44" s="41">
        <v>1.3</v>
      </c>
      <c r="G44" s="86" t="s">
        <v>1445</v>
      </c>
      <c r="H44" s="54" t="s">
        <v>1446</v>
      </c>
      <c r="I44" s="54" t="s">
        <v>1447</v>
      </c>
      <c r="J44" s="41">
        <v>2</v>
      </c>
      <c r="K44" s="41">
        <v>2</v>
      </c>
      <c r="L44" s="41">
        <f t="shared" si="0"/>
        <v>4</v>
      </c>
      <c r="M44" s="86"/>
      <c r="N44" s="41"/>
      <c r="O44" s="41"/>
      <c r="P44" s="41"/>
      <c r="Q44" s="79"/>
      <c r="R44" s="79"/>
      <c r="S44" s="79"/>
    </row>
    <row r="45" spans="1:19" ht="52.95" customHeight="1" x14ac:dyDescent="0.4">
      <c r="A45" s="2">
        <v>40</v>
      </c>
      <c r="B45" s="112" t="s">
        <v>1360</v>
      </c>
      <c r="C45" s="85" t="s">
        <v>1448</v>
      </c>
      <c r="D45" s="41" t="s">
        <v>1375</v>
      </c>
      <c r="E45" s="41" t="s">
        <v>1034</v>
      </c>
      <c r="F45" s="2">
        <v>1.6</v>
      </c>
      <c r="G45" s="97" t="s">
        <v>1379</v>
      </c>
      <c r="H45" s="98" t="s">
        <v>1449</v>
      </c>
      <c r="I45" s="98" t="s">
        <v>1432</v>
      </c>
      <c r="J45" s="2">
        <v>2</v>
      </c>
      <c r="K45" s="41">
        <v>3</v>
      </c>
      <c r="L45" s="41">
        <f t="shared" si="0"/>
        <v>6</v>
      </c>
      <c r="M45" s="86" t="s">
        <v>1364</v>
      </c>
      <c r="N45" s="41">
        <v>1</v>
      </c>
      <c r="O45" s="41">
        <v>2</v>
      </c>
      <c r="P45" s="41">
        <v>2</v>
      </c>
      <c r="Q45" s="79" t="s">
        <v>1382</v>
      </c>
      <c r="R45" s="79" t="s">
        <v>1383</v>
      </c>
      <c r="S45" s="79"/>
    </row>
    <row r="46" spans="1:19" ht="52.95" customHeight="1" x14ac:dyDescent="0.4">
      <c r="A46" s="2">
        <v>41</v>
      </c>
      <c r="B46" s="112" t="s">
        <v>1360</v>
      </c>
      <c r="C46" s="85" t="s">
        <v>1448</v>
      </c>
      <c r="D46" s="41" t="s">
        <v>1375</v>
      </c>
      <c r="E46" s="41" t="s">
        <v>1034</v>
      </c>
      <c r="F46" s="41">
        <v>1.2</v>
      </c>
      <c r="G46" s="86" t="s">
        <v>1420</v>
      </c>
      <c r="H46" s="54" t="s">
        <v>1450</v>
      </c>
      <c r="I46" s="54" t="s">
        <v>1409</v>
      </c>
      <c r="J46" s="41">
        <v>2</v>
      </c>
      <c r="K46" s="41">
        <v>2</v>
      </c>
      <c r="L46" s="41">
        <f t="shared" si="0"/>
        <v>4</v>
      </c>
      <c r="M46" s="86"/>
      <c r="N46" s="41"/>
      <c r="O46" s="41"/>
      <c r="P46" s="41"/>
      <c r="Q46" s="88"/>
      <c r="R46" s="79"/>
      <c r="S46" s="79"/>
    </row>
    <row r="47" spans="1:19" ht="25.2" customHeight="1" x14ac:dyDescent="0.4">
      <c r="A47" s="482" t="s">
        <v>185</v>
      </c>
      <c r="B47" s="482"/>
      <c r="C47" s="482"/>
      <c r="D47" s="398" t="s">
        <v>186</v>
      </c>
      <c r="E47" s="399"/>
      <c r="F47" s="400"/>
      <c r="G47" s="401"/>
      <c r="H47" s="401"/>
      <c r="I47" s="401"/>
      <c r="J47" s="401"/>
      <c r="K47" s="401"/>
      <c r="L47" s="401"/>
      <c r="M47" s="402"/>
      <c r="N47" s="51" t="s">
        <v>187</v>
      </c>
      <c r="O47" s="52"/>
      <c r="P47" s="52"/>
      <c r="Q47" s="52"/>
      <c r="R47" s="52"/>
      <c r="S47" s="53"/>
    </row>
    <row r="48" spans="1:19" ht="25.2" customHeight="1" x14ac:dyDescent="0.4">
      <c r="A48" s="482"/>
      <c r="B48" s="482"/>
      <c r="C48" s="482"/>
      <c r="D48" s="398" t="s">
        <v>188</v>
      </c>
      <c r="E48" s="399"/>
      <c r="F48" s="400"/>
      <c r="G48" s="401"/>
      <c r="H48" s="401"/>
      <c r="I48" s="401"/>
      <c r="J48" s="401"/>
      <c r="K48" s="401"/>
      <c r="L48" s="401"/>
      <c r="M48" s="402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482"/>
      <c r="B49" s="482"/>
      <c r="C49" s="482"/>
      <c r="D49" s="398" t="s">
        <v>130</v>
      </c>
      <c r="E49" s="399"/>
      <c r="F49" s="400"/>
      <c r="G49" s="401"/>
      <c r="H49" s="401"/>
      <c r="I49" s="401"/>
      <c r="J49" s="401"/>
      <c r="K49" s="401"/>
      <c r="L49" s="401"/>
      <c r="M49" s="402"/>
      <c r="N49" s="51" t="s">
        <v>187</v>
      </c>
      <c r="O49" s="52"/>
      <c r="P49" s="52"/>
      <c r="Q49" s="52"/>
      <c r="R49" s="52"/>
      <c r="S49" s="53"/>
    </row>
    <row r="50" spans="1:19" ht="25.2" customHeight="1" x14ac:dyDescent="0.4">
      <c r="A50" s="482"/>
      <c r="B50" s="482"/>
      <c r="C50" s="482"/>
      <c r="D50" s="398" t="s">
        <v>189</v>
      </c>
      <c r="E50" s="399"/>
      <c r="F50" s="400"/>
      <c r="G50" s="401"/>
      <c r="H50" s="401"/>
      <c r="I50" s="401"/>
      <c r="J50" s="401"/>
      <c r="K50" s="401"/>
      <c r="L50" s="401"/>
      <c r="M50" s="402"/>
      <c r="N50" s="51" t="s">
        <v>187</v>
      </c>
      <c r="O50" s="52"/>
      <c r="P50" s="52"/>
      <c r="Q50" s="52"/>
      <c r="R50" s="52"/>
      <c r="S50" s="53"/>
    </row>
    <row r="51" spans="1:19" ht="25.2" customHeight="1" x14ac:dyDescent="0.4">
      <c r="A51" s="482"/>
      <c r="B51" s="482"/>
      <c r="C51" s="482"/>
      <c r="D51" s="398" t="s">
        <v>190</v>
      </c>
      <c r="E51" s="399"/>
      <c r="F51" s="400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4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23</vt:i4>
      </vt:variant>
    </vt:vector>
  </HeadingPairs>
  <TitlesOfParts>
    <vt:vector size="65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예시)스토커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'4. 전체공사일정표(최초, 정기)'!Print_Area</vt:lpstr>
      <vt:lpstr>RNG_ACTUAL_END_DATE_COL_NAME</vt:lpstr>
      <vt:lpstr>RNG_ACTUAL_RATE_COL_NAME</vt:lpstr>
      <vt:lpstr>RNG_ACTUAL_START_DATE_COL_NAME</vt:lpstr>
      <vt:lpstr>RNG_ACTUAL_TOTAL_DURATION_COL_NAME</vt:lpstr>
      <vt:lpstr>RNG_ACTUAL_TOTAL_WORKLOAD_COL_NAME</vt:lpstr>
      <vt:lpstr>RNG_CALENDAR_COL_NAME</vt:lpstr>
      <vt:lpstr>RNG_DELIVERABLES_COL_NAME</vt:lpstr>
      <vt:lpstr>RNG_END_DATE_COL_NAME</vt:lpstr>
      <vt:lpstr>RNG_ETC_COL_NAME</vt:lpstr>
      <vt:lpstr>RNG_GANTT_AREA_FIRST_COL_NAME</vt:lpstr>
      <vt:lpstr>RNG_PLAN_DURATION_COL_NAME</vt:lpstr>
      <vt:lpstr>RNG_PLAN_RATE_COL_NAME</vt:lpstr>
      <vt:lpstr>RNG_PLAN_WORKLOAD_COL_NAME</vt:lpstr>
      <vt:lpstr>RNG_RESOURCE_COL_NAME</vt:lpstr>
      <vt:lpstr>RNG_RESOURCE_WEIGHT_COL_NAME</vt:lpstr>
      <vt:lpstr>RNG_START_DATE_COL_NAME</vt:lpstr>
      <vt:lpstr>RNG_TASK_FIRST_COL_NAME</vt:lpstr>
      <vt:lpstr>RNG_TOTAL_DURATION_COL_NAME</vt:lpstr>
      <vt:lpstr>RNG_TOTAL_WORKLOAD_COL_NAME</vt:lpstr>
      <vt:lpstr>RNG_WBS_AREA_LAST_COL_NAME</vt:lpstr>
      <vt:lpstr>RNG_WBS_COL_NAME</vt:lpstr>
      <vt:lpstr>RNG_WBS_LEVEL_COL_NAME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이찬희(물류PM3팀/과장/-)</cp:lastModifiedBy>
  <cp:lastPrinted>2021-11-30T00:32:52Z</cp:lastPrinted>
  <dcterms:created xsi:type="dcterms:W3CDTF">2016-01-18T02:47:57Z</dcterms:created>
  <dcterms:modified xsi:type="dcterms:W3CDTF">2022-09-13T00:30:24Z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