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T:\00_7P211022ARECV_SKIET 폴란드 PH3,4 후단물류자동화CV\제작\TCL\"/>
    </mc:Choice>
  </mc:AlternateContent>
  <bookViews>
    <workbookView xWindow="0" yWindow="0" windowWidth="28800" windowHeight="12252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)" sheetId="114" r:id="rId4"/>
    <sheet name="5.위험성평가표(최초)" sheetId="113" r:id="rId5"/>
    <sheet name="6. 참조자료(유해위험요인, 위험성추정)" sheetId="20" r:id="rId6"/>
  </sheets>
  <externalReferences>
    <externalReference r:id="rId7"/>
  </externalReferences>
  <definedNames>
    <definedName name="_xlnm._FilterDatabase" localSheetId="3" hidden="1">'4. 전체공사일정표(최초,)'!$A$1:$AE$4</definedName>
    <definedName name="ACTUAL_RATE">[1]Progress!$B$21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LANNED_RATE">[1]Progress!$B$18</definedName>
    <definedName name="_xlnm.Print_Area" localSheetId="3">'4. 전체공사일정표(최초,)'!$D$1:$EQ$359</definedName>
    <definedName name="RNG_ACTUAL_END_DATE_COL_NAME">'4. 전체공사일정표(최초,)'!$X$3</definedName>
    <definedName name="RNG_ACTUAL_RATE_COL_NAME">'4. 전체공사일정표(최초,)'!$AE$3</definedName>
    <definedName name="RNG_ACTUAL_START_DATE_COL_NAME">'4. 전체공사일정표(최초,)'!$W$3</definedName>
    <definedName name="RNG_ACTUAL_TOTAL_DURATION_COL_NAME">'4. 전체공사일정표(최초,)'!$Z$3</definedName>
    <definedName name="RNG_ACTUAL_TOTAL_WORKLOAD_COL_NAME">'4. 전체공사일정표(최초,)'!$Y$3</definedName>
    <definedName name="RNG_CALENDAR_COL_NAME">'4. 전체공사일정표(최초,)'!$R$3</definedName>
    <definedName name="RNG_DELIVERABLES_COL_NAME">'4. 전체공사일정표(최초,)'!$AC$3</definedName>
    <definedName name="RNG_END_DATE_COL_NAME">'4. 전체공사일정표(최초,)'!$Q$3</definedName>
    <definedName name="RNG_ETC_COL_NAME">'4. 전체공사일정표(최초,)'!$O$3</definedName>
    <definedName name="RNG_GANTT_AREA_FIRST_COL_NAME">'4. 전체공사일정표(최초,)'!$AF$4</definedName>
    <definedName name="RNG_PLAN_DURATION_COL_NAME">'4. 전체공사일정표(최초,)'!$V$3</definedName>
    <definedName name="RNG_PLAN_RATE_COL_NAME">'4. 전체공사일정표(최초,)'!$AD$3</definedName>
    <definedName name="RNG_PLAN_WORKLOAD_COL_NAME">'4. 전체공사일정표(최초,)'!$T$3</definedName>
    <definedName name="RNG_RESOURCE_COL_NAME">'4. 전체공사일정표(최초,)'!$AB$3</definedName>
    <definedName name="RNG_RESOURCE_WEIGHT_COL_NAME">'4. 전체공사일정표(최초,)'!$AA$3</definedName>
    <definedName name="RNG_START_DATE_COL_NAME">'4. 전체공사일정표(최초,)'!$P$3</definedName>
    <definedName name="RNG_TASK_FIRST_COL_NAME">'4. 전체공사일정표(최초,)'!$E$3</definedName>
    <definedName name="RNG_TOTAL_DURATION_COL_NAME">'4. 전체공사일정표(최초,)'!$U$3</definedName>
    <definedName name="RNG_TOTAL_WORKLOAD_COL_NAME">'4. 전체공사일정표(최초,)'!$S$3</definedName>
    <definedName name="RNG_WBS_AREA_LAST_COL_NAME">'4. 전체공사일정표(최초,)'!$AE$3</definedName>
    <definedName name="RNG_WBS_COL_NAME">'4. 전체공사일정표(최초,)'!$D$3</definedName>
    <definedName name="RNG_WBS_LEVEL_COL_NAME">'4. 전체공사일정표(최초,)'!$C$3</definedName>
    <definedName name="Z_02FBC6E6_CD2B_48E2_BC55_64C05A10B473_.wvu.FilterData" localSheetId="3" hidden="1">'4. 전체공사일정표(최초,)'!$E$4:$W$4</definedName>
    <definedName name="Z_0A64F8D9_59E4_4471_A54B_AB6085820F8B_.wvu.FilterData" localSheetId="3" hidden="1">'4. 전체공사일정표(최초,)'!$E$4:$W$4</definedName>
    <definedName name="Z_0A64F8D9_59E4_4471_A54B_AB6085820F8B_.wvu.PrintArea" localSheetId="3" hidden="1">'4. 전체공사일정표(최초,)'!$E$4:$AE$4</definedName>
    <definedName name="Z_0B810681_CC81_4141_9F16_24B3FD4F0FB8_.wvu.FilterData" localSheetId="3" hidden="1">'4. 전체공사일정표(최초,)'!$E$4:$W$4</definedName>
    <definedName name="Z_0B810681_CC81_4141_9F16_24B3FD4F0FB8_.wvu.PrintArea" localSheetId="3" hidden="1">'4. 전체공사일정표(최초,)'!$E$4:$AE$4</definedName>
    <definedName name="Z_45F170B6_3544_43F8_BFC7_D657B723AABC_.wvu.FilterData" localSheetId="3" hidden="1">'4. 전체공사일정표(최초,)'!$E$4:$W$4</definedName>
    <definedName name="Z_45F170B6_3544_43F8_BFC7_D657B723AABC_.wvu.PrintArea" localSheetId="3" hidden="1">'4. 전체공사일정표(최초,)'!$E$4:$AE$4</definedName>
    <definedName name="Z_6C04A49A_6140_42F5_B660_358F3428D555_.wvu.FilterData" localSheetId="3" hidden="1">'4. 전체공사일정표(최초,)'!$E$4:$W$4</definedName>
    <definedName name="Z_6C04A49A_6140_42F5_B660_358F3428D555_.wvu.PrintArea" localSheetId="3" hidden="1">'4. 전체공사일정표(최초,)'!$E$4:$AE$4</definedName>
    <definedName name="Z_717B341C_ADF7_4494_8FE3_F9159C14788B_.wvu.FilterData" localSheetId="3" hidden="1">'4. 전체공사일정표(최초,)'!$E$4:$W$4</definedName>
    <definedName name="Z_96DEAA77_2828_4E97_975A_CF93EF5D9712_.wvu.FilterData" localSheetId="3" hidden="1">'4. 전체공사일정표(최초,)'!$E$4:$W$4</definedName>
    <definedName name="Z_AF9F6769_16BA_4444_B539_537212F9672A_.wvu.FilterData" localSheetId="3" hidden="1">'4. 전체공사일정표(최초,)'!$E$4:$W$4</definedName>
    <definedName name="Z_AF9F6769_16BA_4444_B539_537212F9672A_.wvu.PrintArea" localSheetId="3" hidden="1">'4. 전체공사일정표(최초,)'!$E$4:$AE$4</definedName>
    <definedName name="Z_B0AA3114_3257_4D99_8E15_F0A183B56293_.wvu.FilterData" localSheetId="3" hidden="1">'4. 전체공사일정표(최초,)'!$E$4:$W$4</definedName>
    <definedName name="Z_B4798534_C27D_422C_BD87_0A71D9C8BAA9_.wvu.FilterData" localSheetId="3" hidden="1">'4. 전체공사일정표(최초,)'!$E$4:$W$4</definedName>
    <definedName name="Z_C7B87852_3417_4B82_AD8F_04929FC46960_.wvu.FilterData" localSheetId="3" hidden="1">'4. 전체공사일정표(최초,)'!$E$4:$W$4</definedName>
    <definedName name="Z_CD147E05_78AB_4F1A_996E_7FAB0BB4629B_.wvu.FilterData" localSheetId="3" hidden="1">'4. 전체공사일정표(최초,)'!$E$4:$W$4</definedName>
    <definedName name="Z_F8F33EAC_6737_4237_A48D_05833D89E8C9_.wvu.FilterData" localSheetId="3" hidden="1">'4. 전체공사일정표(최초,)'!$E$4:$W$4</definedName>
    <definedName name="Z_F8F33EAC_6737_4237_A48D_05833D89E8C9_.wvu.PrintArea" localSheetId="3" hidden="1">'4. 전체공사일정표(최초,)'!$E$4:$AE$4</definedName>
    <definedName name="Z_FA644498_2FA7_4E23_AA15_463455A1D2EE_.wvu.FilterData" localSheetId="3" hidden="1">'4. 전체공사일정표(최초,)'!$E$4:$W$4</definedName>
  </definedNames>
  <calcPr calcId="162913"/>
</workbook>
</file>

<file path=xl/calcChain.xml><?xml version="1.0" encoding="utf-8"?>
<calcChain xmlns="http://schemas.openxmlformats.org/spreadsheetml/2006/main">
  <c r="P24" i="113" l="1"/>
  <c r="L24" i="113"/>
  <c r="P23" i="113"/>
  <c r="L23" i="113"/>
  <c r="P22" i="113"/>
  <c r="L22" i="113"/>
  <c r="P21" i="113"/>
  <c r="L21" i="113"/>
  <c r="P20" i="113"/>
  <c r="L20" i="113"/>
  <c r="P19" i="113"/>
  <c r="L19" i="113"/>
  <c r="P18" i="113"/>
  <c r="L18" i="113"/>
  <c r="P17" i="113"/>
  <c r="L17" i="113"/>
  <c r="P16" i="113"/>
  <c r="L16" i="113"/>
  <c r="P15" i="113"/>
  <c r="L15" i="113"/>
  <c r="P14" i="113"/>
  <c r="L14" i="113"/>
  <c r="P13" i="113"/>
  <c r="L13" i="113"/>
  <c r="P12" i="113"/>
  <c r="L12" i="113"/>
  <c r="P11" i="113"/>
  <c r="L11" i="113"/>
  <c r="P10" i="113"/>
  <c r="L10" i="113"/>
  <c r="P9" i="113"/>
  <c r="L9" i="113"/>
  <c r="P8" i="113"/>
  <c r="L8" i="113"/>
  <c r="P7" i="113"/>
  <c r="L7" i="113"/>
  <c r="P6" i="113"/>
  <c r="L6" i="113"/>
  <c r="L25" i="113"/>
  <c r="P25" i="113"/>
  <c r="L27" i="113"/>
  <c r="P27" i="113"/>
  <c r="L29" i="113"/>
  <c r="P29" i="113"/>
  <c r="L30" i="113"/>
  <c r="P30" i="113"/>
  <c r="L31" i="113"/>
  <c r="P31" i="113"/>
  <c r="C400" i="114" l="1"/>
  <c r="C399" i="114"/>
  <c r="C398" i="114"/>
  <c r="C397" i="114"/>
  <c r="C396" i="114"/>
  <c r="C395" i="114"/>
  <c r="C394" i="114"/>
  <c r="C393" i="114"/>
  <c r="C392" i="114"/>
  <c r="C391" i="114"/>
  <c r="C390" i="114"/>
  <c r="C389" i="114"/>
  <c r="C388" i="114"/>
  <c r="C387" i="114"/>
  <c r="C386" i="114"/>
  <c r="C385" i="114"/>
  <c r="C384" i="114"/>
  <c r="C383" i="114"/>
  <c r="C382" i="114"/>
  <c r="C381" i="114"/>
  <c r="C380" i="114"/>
  <c r="C379" i="114"/>
  <c r="C378" i="114"/>
  <c r="C377" i="114"/>
  <c r="C376" i="114"/>
  <c r="C375" i="114"/>
  <c r="C374" i="114"/>
  <c r="C373" i="114"/>
  <c r="C372" i="114"/>
  <c r="C371" i="114"/>
  <c r="C370" i="114"/>
  <c r="C369" i="114"/>
  <c r="C368" i="114"/>
  <c r="C367" i="114"/>
  <c r="C366" i="114"/>
  <c r="C365" i="114"/>
  <c r="C364" i="114"/>
  <c r="C363" i="114"/>
  <c r="C362" i="114"/>
  <c r="C361" i="114"/>
  <c r="C360" i="114"/>
  <c r="DT359" i="114"/>
  <c r="DO359" i="114"/>
  <c r="DM358" i="114"/>
  <c r="DT357" i="114"/>
  <c r="DM357" i="114"/>
  <c r="DV356" i="114"/>
  <c r="DQ356" i="114"/>
  <c r="DQ355" i="114"/>
  <c r="DM355" i="114"/>
  <c r="DV354" i="114"/>
  <c r="DM354" i="114"/>
  <c r="DT353" i="114"/>
  <c r="DO353" i="114"/>
  <c r="DL352" i="114"/>
  <c r="DT351" i="114"/>
  <c r="DL351" i="114"/>
  <c r="DT350" i="114"/>
  <c r="DO350" i="114"/>
  <c r="DO349" i="114"/>
  <c r="DK349" i="114"/>
  <c r="DT348" i="114"/>
  <c r="DK348" i="114"/>
  <c r="DV347" i="114"/>
  <c r="DM347" i="114"/>
  <c r="DM346" i="114"/>
  <c r="DG346" i="114"/>
  <c r="DV345" i="114"/>
  <c r="DG345" i="114"/>
  <c r="DT344" i="114"/>
  <c r="DO344" i="114"/>
  <c r="DM343" i="114"/>
  <c r="DT342" i="114"/>
  <c r="DM342" i="114"/>
  <c r="DT341" i="114"/>
  <c r="DO341" i="114"/>
  <c r="DM340" i="114"/>
  <c r="DT339" i="114"/>
  <c r="DM339" i="114"/>
  <c r="DT338" i="114"/>
  <c r="DO338" i="114"/>
  <c r="DO337" i="114"/>
  <c r="DK337" i="114"/>
  <c r="DT336" i="114"/>
  <c r="DK336" i="114"/>
  <c r="DT335" i="114"/>
  <c r="DO335" i="114"/>
  <c r="DO334" i="114"/>
  <c r="DK334" i="114"/>
  <c r="DT333" i="114"/>
  <c r="DK333" i="114"/>
  <c r="DV332" i="114"/>
  <c r="DM332" i="114"/>
  <c r="DM331" i="114"/>
  <c r="DF331" i="114"/>
  <c r="DV330" i="114"/>
  <c r="DF330" i="114"/>
  <c r="DV329" i="114"/>
  <c r="DF329" i="114"/>
  <c r="DM328" i="114"/>
  <c r="DI328" i="114"/>
  <c r="DI327" i="114"/>
  <c r="DE327" i="114"/>
  <c r="DM326" i="114"/>
  <c r="DE326" i="114"/>
  <c r="DC325" i="114"/>
  <c r="DE324" i="114"/>
  <c r="CZ324" i="114"/>
  <c r="DE323" i="114"/>
  <c r="CZ323" i="114"/>
  <c r="DB322" i="114"/>
  <c r="CX322" i="114"/>
  <c r="DB321" i="114"/>
  <c r="CX321" i="114"/>
  <c r="DM320" i="114"/>
  <c r="CX320" i="114"/>
  <c r="DG319" i="114"/>
  <c r="DC319" i="114"/>
  <c r="DC318" i="114"/>
  <c r="DB317" i="114"/>
  <c r="DG316" i="114"/>
  <c r="DB316" i="114"/>
  <c r="DA315" i="114"/>
  <c r="DD314" i="114"/>
  <c r="CY314" i="114"/>
  <c r="DD313" i="114"/>
  <c r="CY313" i="114"/>
  <c r="CV312" i="114"/>
  <c r="CY311" i="114"/>
  <c r="CX310" i="114"/>
  <c r="CY309" i="114"/>
  <c r="CR309" i="114"/>
  <c r="CX308" i="114"/>
  <c r="CQ308" i="114"/>
  <c r="DA307" i="114"/>
  <c r="CQ307" i="114"/>
  <c r="DG306" i="114"/>
  <c r="CQ306" i="114"/>
  <c r="DL305" i="114"/>
  <c r="DH305" i="114"/>
  <c r="DH304" i="114"/>
  <c r="DD304" i="114"/>
  <c r="DL303" i="114"/>
  <c r="DD303" i="114"/>
  <c r="DB302" i="114"/>
  <c r="DD301" i="114"/>
  <c r="CY301" i="114"/>
  <c r="DD300" i="114"/>
  <c r="CY300" i="114"/>
  <c r="CX299" i="114"/>
  <c r="CX298" i="114"/>
  <c r="DL297" i="114"/>
  <c r="CX297" i="114"/>
  <c r="DK296" i="114"/>
  <c r="DF296" i="114"/>
  <c r="DF295" i="114"/>
  <c r="DB295" i="114"/>
  <c r="DK294" i="114"/>
  <c r="DB294" i="114"/>
  <c r="CZ293" i="114"/>
  <c r="DB292" i="114"/>
  <c r="CX292" i="114"/>
  <c r="DB291" i="114"/>
  <c r="CX291" i="114"/>
  <c r="CX290" i="114"/>
  <c r="CS290" i="114"/>
  <c r="CX289" i="114"/>
  <c r="CS289" i="114"/>
  <c r="DK288" i="114"/>
  <c r="CS288" i="114"/>
  <c r="CW287" i="114"/>
  <c r="CV286" i="114"/>
  <c r="CV285" i="114"/>
  <c r="CV284" i="114"/>
  <c r="CU283" i="114"/>
  <c r="CT282" i="114"/>
  <c r="CT281" i="114"/>
  <c r="CR280" i="114"/>
  <c r="CU279" i="114"/>
  <c r="CP279" i="114"/>
  <c r="CU278" i="114"/>
  <c r="CP278" i="114"/>
  <c r="CY277" i="114"/>
  <c r="CP277" i="114"/>
  <c r="DK276" i="114"/>
  <c r="DK275" i="114"/>
  <c r="DE275" i="114"/>
  <c r="DE274" i="114"/>
  <c r="DA274" i="114"/>
  <c r="DM273" i="114"/>
  <c r="DA273" i="114"/>
  <c r="CY272" i="114"/>
  <c r="DB271" i="114"/>
  <c r="CW271" i="114"/>
  <c r="DB270" i="114"/>
  <c r="CW270" i="114"/>
  <c r="CX269" i="114"/>
  <c r="CT269" i="114"/>
  <c r="CX268" i="114"/>
  <c r="CT268" i="114"/>
  <c r="DM267" i="114"/>
  <c r="CT267" i="114"/>
  <c r="DM266" i="114"/>
  <c r="DH266" i="114"/>
  <c r="DK265" i="114"/>
  <c r="DB265" i="114"/>
  <c r="DB264" i="114"/>
  <c r="CX264" i="114"/>
  <c r="DM263" i="114"/>
  <c r="CX263" i="114"/>
  <c r="CX262" i="114"/>
  <c r="CS262" i="114"/>
  <c r="CZ261" i="114"/>
  <c r="CO261" i="114"/>
  <c r="CZ260" i="114"/>
  <c r="CO260" i="114"/>
  <c r="DB259" i="114"/>
  <c r="CX259" i="114"/>
  <c r="CO258" i="114"/>
  <c r="CX257" i="114"/>
  <c r="CO257" i="114"/>
  <c r="CS256" i="114"/>
  <c r="CK256" i="114"/>
  <c r="DB255" i="114"/>
  <c r="CK255" i="114"/>
  <c r="DM254" i="114"/>
  <c r="CK254" i="114"/>
  <c r="DO253" i="114"/>
  <c r="DK253" i="114"/>
  <c r="DK252" i="114"/>
  <c r="DE252" i="114"/>
  <c r="DE251" i="114"/>
  <c r="CZ251" i="114"/>
  <c r="DO250" i="114"/>
  <c r="CZ250" i="114"/>
  <c r="CY249" i="114"/>
  <c r="DA248" i="114"/>
  <c r="CV248" i="114"/>
  <c r="DA247" i="114"/>
  <c r="CV247" i="114"/>
  <c r="CX246" i="114"/>
  <c r="CS246" i="114"/>
  <c r="CX245" i="114"/>
  <c r="CS245" i="114"/>
  <c r="DO244" i="114"/>
  <c r="CS244" i="114"/>
  <c r="DB243" i="114"/>
  <c r="CY243" i="114"/>
  <c r="CX242" i="114"/>
  <c r="DB241" i="114"/>
  <c r="CX241" i="114"/>
  <c r="CY240" i="114"/>
  <c r="CY239" i="114"/>
  <c r="CU239" i="114"/>
  <c r="DA238" i="114"/>
  <c r="CU238" i="114"/>
  <c r="CY237" i="114"/>
  <c r="CU237" i="114"/>
  <c r="CU236" i="114"/>
  <c r="CP236" i="114"/>
  <c r="CY235" i="114"/>
  <c r="CP235" i="114"/>
  <c r="DB234" i="114"/>
  <c r="CP234" i="114"/>
  <c r="DE233" i="114"/>
  <c r="CS233" i="114"/>
  <c r="CX232" i="114"/>
  <c r="CR232" i="114"/>
  <c r="DE231" i="114"/>
  <c r="CR231" i="114"/>
  <c r="CV230" i="114"/>
  <c r="CY229" i="114"/>
  <c r="CV229" i="114"/>
  <c r="CY228" i="114"/>
  <c r="CV228" i="114"/>
  <c r="CW227" i="114"/>
  <c r="CS227" i="114"/>
  <c r="CU226" i="114"/>
  <c r="CN226" i="114"/>
  <c r="CS225" i="114"/>
  <c r="CM225" i="114"/>
  <c r="CW224" i="114"/>
  <c r="CM224" i="114"/>
  <c r="DE223" i="114"/>
  <c r="CM223" i="114"/>
  <c r="DO222" i="114"/>
  <c r="CK222" i="114"/>
  <c r="CM221" i="114"/>
  <c r="CB221" i="114"/>
  <c r="CQ220" i="114"/>
  <c r="CX219" i="114"/>
  <c r="CR218" i="114"/>
  <c r="CP217" i="114"/>
  <c r="CR216" i="114"/>
  <c r="CO215" i="114"/>
  <c r="CK215" i="114"/>
  <c r="CQ214" i="114"/>
  <c r="CO213" i="114"/>
  <c r="CU212" i="114"/>
  <c r="CM212" i="114"/>
  <c r="CX211" i="114"/>
  <c r="CB211" i="114"/>
  <c r="CX210" i="114"/>
  <c r="CG210" i="114"/>
  <c r="EG209" i="114"/>
  <c r="CE209" i="114"/>
  <c r="EG208" i="114"/>
  <c r="CE208" i="114"/>
  <c r="CK207" i="114"/>
  <c r="BX207" i="114"/>
  <c r="CF206" i="114"/>
  <c r="BX206" i="114"/>
  <c r="CK205" i="114"/>
  <c r="BX205" i="114"/>
  <c r="CS204" i="114"/>
  <c r="CD204" i="114"/>
  <c r="CD203" i="114"/>
  <c r="CS202" i="114"/>
  <c r="CD202" i="114"/>
  <c r="CX201" i="114"/>
  <c r="CL201" i="114"/>
  <c r="CK200" i="114"/>
  <c r="CX199" i="114"/>
  <c r="CK199" i="114"/>
  <c r="CR198" i="114"/>
  <c r="CE198" i="114"/>
  <c r="CD197" i="114"/>
  <c r="CR196" i="114"/>
  <c r="CD196" i="114"/>
  <c r="CR195" i="114"/>
  <c r="BZ195" i="114"/>
  <c r="CE194" i="114"/>
  <c r="BZ194" i="114"/>
  <c r="CR193" i="114"/>
  <c r="BZ193" i="114"/>
  <c r="CO192" i="114"/>
  <c r="CA192" i="114"/>
  <c r="CA191" i="114"/>
  <c r="CO190" i="114"/>
  <c r="CA190" i="114"/>
  <c r="CN189" i="114"/>
  <c r="BX189" i="114"/>
  <c r="CA188" i="114"/>
  <c r="BX188" i="114"/>
  <c r="CN187" i="114"/>
  <c r="BX187" i="114"/>
  <c r="CO186" i="114"/>
  <c r="CC186" i="114"/>
  <c r="CB185" i="114"/>
  <c r="CO184" i="114"/>
  <c r="CB184" i="114"/>
  <c r="CO183" i="114"/>
  <c r="CD183" i="114"/>
  <c r="CC182" i="114"/>
  <c r="CO181" i="114"/>
  <c r="CC181" i="114"/>
  <c r="CU180" i="114"/>
  <c r="BZ180" i="114"/>
  <c r="CH179" i="114"/>
  <c r="BZ179" i="114"/>
  <c r="CU178" i="114"/>
  <c r="BZ178" i="114"/>
  <c r="CX177" i="114"/>
  <c r="BX177" i="114"/>
  <c r="CB176" i="114"/>
  <c r="CB175" i="114"/>
  <c r="CF174" i="114"/>
  <c r="CB174" i="114"/>
  <c r="CF173" i="114"/>
  <c r="CB173" i="114"/>
  <c r="CI172" i="114"/>
  <c r="CI171" i="114"/>
  <c r="CB170" i="114"/>
  <c r="CB169" i="114"/>
  <c r="CE168" i="114"/>
  <c r="BX168" i="114"/>
  <c r="CE167" i="114"/>
  <c r="BX167" i="114"/>
  <c r="BY166" i="114"/>
  <c r="BY165" i="114"/>
  <c r="BY164" i="114"/>
  <c r="BY162" i="114"/>
  <c r="BZ161" i="114"/>
  <c r="BZ160" i="114"/>
  <c r="CD159" i="114"/>
  <c r="CD158" i="114"/>
  <c r="CH157" i="114"/>
  <c r="BX157" i="114"/>
  <c r="CH156" i="114"/>
  <c r="BX156" i="114"/>
  <c r="CK155" i="114"/>
  <c r="BX155" i="114"/>
  <c r="BX154" i="114"/>
  <c r="BZ153" i="114"/>
  <c r="BS153" i="114"/>
  <c r="BS152" i="114"/>
  <c r="BM152" i="114"/>
  <c r="BS151" i="114"/>
  <c r="BH151" i="114"/>
  <c r="BO150" i="114"/>
  <c r="BB150" i="114"/>
  <c r="BQ149" i="114"/>
  <c r="AQ149" i="114"/>
  <c r="BZ148" i="114"/>
  <c r="AQ148" i="114"/>
  <c r="CA147" i="114"/>
  <c r="CC146" i="114"/>
  <c r="BY146" i="114"/>
  <c r="CB145" i="114"/>
  <c r="BW145" i="114"/>
  <c r="CA144" i="114"/>
  <c r="BV144" i="114"/>
  <c r="BZ143" i="114"/>
  <c r="BT143" i="114"/>
  <c r="CO142" i="114"/>
  <c r="CF142" i="114"/>
  <c r="CB141" i="114"/>
  <c r="BT141" i="114"/>
  <c r="BM140" i="114"/>
  <c r="AM140" i="114"/>
  <c r="CO139" i="114"/>
  <c r="AM139" i="114"/>
  <c r="CI138" i="114"/>
  <c r="CI137" i="114"/>
  <c r="CE137" i="114"/>
  <c r="CE136" i="114"/>
  <c r="BZ136" i="114"/>
  <c r="BZ135" i="114"/>
  <c r="BS135" i="114"/>
  <c r="CB134" i="114"/>
  <c r="BM134" i="114"/>
  <c r="BR133" i="114"/>
  <c r="BK133" i="114"/>
  <c r="CB132" i="114"/>
  <c r="AQ132" i="114"/>
  <c r="CK131" i="114"/>
  <c r="AQ131" i="114"/>
  <c r="CA130" i="114"/>
  <c r="CA129" i="114"/>
  <c r="BV129" i="114"/>
  <c r="BS128" i="114"/>
  <c r="BU127" i="114"/>
  <c r="BP127" i="114"/>
  <c r="BO126" i="114"/>
  <c r="BH126" i="114"/>
  <c r="BQ125" i="114"/>
  <c r="AQ125" i="114"/>
  <c r="CB124" i="114"/>
  <c r="AQ124" i="114"/>
  <c r="BY123" i="114"/>
  <c r="CE122" i="114"/>
  <c r="BY122" i="114"/>
  <c r="CD121" i="114"/>
  <c r="BW121" i="114"/>
  <c r="CC120" i="114"/>
  <c r="BV120" i="114"/>
  <c r="BZ119" i="114"/>
  <c r="BT119" i="114"/>
  <c r="CO118" i="114"/>
  <c r="CE118" i="114"/>
  <c r="BW117" i="114"/>
  <c r="BI117" i="114"/>
  <c r="BM116" i="114"/>
  <c r="AM116" i="114"/>
  <c r="CO115" i="114"/>
  <c r="AM115" i="114"/>
  <c r="BX114" i="114"/>
  <c r="BY113" i="114"/>
  <c r="BU113" i="114"/>
  <c r="BV112" i="114"/>
  <c r="BO112" i="114"/>
  <c r="BQ111" i="114"/>
  <c r="BJ111" i="114"/>
  <c r="BO110" i="114"/>
  <c r="BH110" i="114"/>
  <c r="BQ109" i="114"/>
  <c r="BB109" i="114"/>
  <c r="BY108" i="114"/>
  <c r="BB108" i="114"/>
  <c r="CB107" i="114"/>
  <c r="CB106" i="114"/>
  <c r="BX106" i="114"/>
  <c r="BX105" i="114"/>
  <c r="BQ105" i="114"/>
  <c r="BV104" i="114"/>
  <c r="BM104" i="114"/>
  <c r="BX103" i="114"/>
  <c r="BM103" i="114"/>
  <c r="BS102" i="114"/>
  <c r="BF102" i="114"/>
  <c r="BQ101" i="114"/>
  <c r="AQ101" i="114"/>
  <c r="CD100" i="114"/>
  <c r="AQ100" i="114"/>
  <c r="BZ99" i="114"/>
  <c r="BZ98" i="114"/>
  <c r="BV98" i="114"/>
  <c r="BV97" i="114"/>
  <c r="BR97" i="114"/>
  <c r="BS96" i="114"/>
  <c r="BO96" i="114"/>
  <c r="BO95" i="114"/>
  <c r="BH95" i="114"/>
  <c r="BQ94" i="114"/>
  <c r="AQ94" i="114"/>
  <c r="CA93" i="114"/>
  <c r="AQ93" i="114"/>
  <c r="CB92" i="114"/>
  <c r="CB91" i="114"/>
  <c r="BX91" i="114"/>
  <c r="CA90" i="114"/>
  <c r="BP90" i="114"/>
  <c r="BV89" i="114"/>
  <c r="BM89" i="114"/>
  <c r="BR88" i="114"/>
  <c r="BH88" i="114"/>
  <c r="BQ87" i="114"/>
  <c r="AQ87" i="114"/>
  <c r="CD86" i="114"/>
  <c r="AQ86" i="114"/>
  <c r="BY85" i="114"/>
  <c r="CE84" i="114"/>
  <c r="BY84" i="114"/>
  <c r="CD83" i="114"/>
  <c r="BW83" i="114"/>
  <c r="CC82" i="114"/>
  <c r="BV82" i="114"/>
  <c r="BZ81" i="114"/>
  <c r="BT81" i="114"/>
  <c r="CO80" i="114"/>
  <c r="CE80" i="114"/>
  <c r="BW79" i="114"/>
  <c r="BI79" i="114"/>
  <c r="BM78" i="114"/>
  <c r="AM78" i="114"/>
  <c r="CO77" i="114"/>
  <c r="AM77" i="114"/>
  <c r="CO76" i="114"/>
  <c r="AM76" i="114"/>
  <c r="BF75" i="114"/>
  <c r="AZ75" i="114"/>
  <c r="AZ74" i="114"/>
  <c r="AU74" i="114"/>
  <c r="AU73" i="114"/>
  <c r="AO73" i="114"/>
  <c r="BF72" i="114"/>
  <c r="AO72" i="114"/>
  <c r="BE71" i="114"/>
  <c r="AQ70" i="114"/>
  <c r="AH70" i="114"/>
  <c r="BF69" i="114"/>
  <c r="AH69" i="114"/>
  <c r="BB68" i="114"/>
  <c r="AX68" i="114"/>
  <c r="AX67" i="114"/>
  <c r="AS67" i="114"/>
  <c r="AS66" i="114"/>
  <c r="AK66" i="114"/>
  <c r="BB65" i="114"/>
  <c r="AK65" i="114"/>
  <c r="BB64" i="114"/>
  <c r="AF64" i="114"/>
  <c r="AP63" i="114"/>
  <c r="AH63" i="114"/>
  <c r="BB62" i="114"/>
  <c r="AF62" i="114"/>
  <c r="BK61" i="114"/>
  <c r="BE61" i="114"/>
  <c r="BE60" i="114"/>
  <c r="BB60" i="114"/>
  <c r="BB59" i="114"/>
  <c r="AO59" i="114"/>
  <c r="BK58" i="114"/>
  <c r="AO58" i="114"/>
  <c r="BE57" i="114"/>
  <c r="AQ56" i="114"/>
  <c r="AH56" i="114"/>
  <c r="BK55" i="114"/>
  <c r="AH55" i="114"/>
  <c r="BF54" i="114"/>
  <c r="AU54" i="114"/>
  <c r="AS53" i="114"/>
  <c r="AS52" i="114"/>
  <c r="AO52" i="114"/>
  <c r="BF51" i="114"/>
  <c r="AO51" i="114"/>
  <c r="BE50" i="114"/>
  <c r="AQ49" i="114"/>
  <c r="AH49" i="114"/>
  <c r="BF48" i="114"/>
  <c r="AH48" i="114"/>
  <c r="BB47" i="114"/>
  <c r="AX47" i="114"/>
  <c r="AX46" i="114"/>
  <c r="AS46" i="114"/>
  <c r="AS45" i="114"/>
  <c r="AK45" i="114"/>
  <c r="BB44" i="114"/>
  <c r="AK44" i="114"/>
  <c r="BB43" i="114"/>
  <c r="AF43" i="114"/>
  <c r="AP42" i="114"/>
  <c r="AH42" i="114"/>
  <c r="BB41" i="114"/>
  <c r="AF41" i="114"/>
  <c r="BF40" i="114"/>
  <c r="AU40" i="114"/>
  <c r="AS39" i="114"/>
  <c r="AS38" i="114"/>
  <c r="AO38" i="114"/>
  <c r="BF37" i="114"/>
  <c r="AO37" i="114"/>
  <c r="BE36" i="114"/>
  <c r="AQ35" i="114"/>
  <c r="AH35" i="114"/>
  <c r="BF34" i="114"/>
  <c r="AH34" i="114"/>
  <c r="AP33" i="114"/>
  <c r="AP32" i="114"/>
  <c r="AU31" i="114"/>
  <c r="AP31" i="114"/>
  <c r="AU30" i="114"/>
  <c r="AP30" i="114"/>
  <c r="AU29" i="114"/>
  <c r="AQ28" i="114"/>
  <c r="AH28" i="114"/>
  <c r="AX27" i="114"/>
  <c r="AH27" i="114"/>
  <c r="BF26" i="114"/>
  <c r="AU26" i="114"/>
  <c r="AS25" i="114"/>
  <c r="AS24" i="114"/>
  <c r="AO24" i="114"/>
  <c r="BF23" i="114"/>
  <c r="AO23" i="114"/>
  <c r="BE22" i="114"/>
  <c r="AQ21" i="114"/>
  <c r="AH21" i="114"/>
  <c r="BF20" i="114"/>
  <c r="AH20" i="114"/>
  <c r="BF19" i="114"/>
  <c r="AU19" i="114"/>
  <c r="AS18" i="114"/>
  <c r="AS17" i="114"/>
  <c r="AO17" i="114"/>
  <c r="BF16" i="114"/>
  <c r="AO16" i="114"/>
  <c r="BE15" i="114"/>
  <c r="AQ14" i="114"/>
  <c r="AH14" i="114"/>
  <c r="BF13" i="114"/>
  <c r="AH13" i="114"/>
  <c r="BB12" i="114"/>
  <c r="AX12" i="114"/>
  <c r="AX11" i="114"/>
  <c r="AS11" i="114"/>
  <c r="AS10" i="114"/>
  <c r="AK10" i="114"/>
  <c r="BB9" i="114"/>
  <c r="AK9" i="114"/>
  <c r="BB8" i="114"/>
  <c r="AF8" i="114"/>
  <c r="AP7" i="114"/>
  <c r="AH7" i="114"/>
  <c r="BB6" i="114"/>
  <c r="AF6" i="114"/>
  <c r="BK5" i="114"/>
  <c r="AF5" i="114"/>
  <c r="AE2" i="114" a="1"/>
  <c r="AE1" i="114" a="1"/>
  <c r="AE1" i="114" l="1"/>
  <c r="AE2" i="114"/>
  <c r="P5" i="113" l="1"/>
  <c r="L5" i="113"/>
</calcChain>
</file>

<file path=xl/sharedStrings.xml><?xml version="1.0" encoding="utf-8"?>
<sst xmlns="http://schemas.openxmlformats.org/spreadsheetml/2006/main" count="1439" uniqueCount="884">
  <si>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</si>
  <si>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</si>
  <si>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</si>
  <si>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</si>
  <si>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</si>
  <si>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</si>
  <si>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</si>
  <si>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</si>
  <si>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</si>
  <si>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</si>
  <si>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</si>
  <si>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</si>
  <si>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</si>
  <si>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</si>
  <si>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</si>
  <si>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</si>
  <si>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</si>
  <si>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</si>
  <si>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</si>
  <si>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</si>
  <si>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</si>
  <si>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</si>
  <si>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</si>
  <si>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</si>
  <si>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</si>
  <si>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</si>
  <si>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</si>
  <si>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</si>
  <si>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</si>
  <si>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</si>
  <si>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</si>
  <si>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</si>
  <si>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</si>
  <si>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</si>
  <si>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</si>
  <si>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</si>
  <si>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</si>
  <si>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</si>
  <si>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</si>
  <si>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</si>
  <si>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</si>
  <si>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</si>
  <si>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</si>
  <si>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</si>
  <si>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</si>
  <si>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</si>
  <si>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</si>
  <si>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</si>
  <si>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</si>
  <si>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</si>
  <si>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</si>
  <si>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</si>
  <si>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</si>
  <si>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</si>
  <si>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</si>
  <si>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</si>
  <si>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</si>
  <si>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</si>
  <si>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</si>
  <si>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</si>
  <si>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</si>
  <si>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</si>
  <si>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</si>
  <si>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</si>
  <si>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</si>
  <si>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</si>
  <si>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</si>
  <si>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</si>
  <si>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</si>
  <si>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</si>
  <si>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</si>
  <si>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</si>
  <si>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</si>
  <si>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</si>
  <si>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</si>
  <si>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</si>
  <si>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</si>
  <si>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</si>
  <si>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</si>
  <si>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</si>
  <si>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</si>
  <si>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</si>
  <si>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</si>
  <si>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</si>
  <si>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</si>
  <si>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</si>
  <si>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</si>
  <si>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</si>
  <si>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</si>
  <si>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</si>
  <si>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</si>
  <si>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</si>
  <si>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</si>
  <si>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</si>
  <si>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</si>
  <si>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</si>
  <si>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</si>
  <si>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</si>
  <si>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</si>
  <si>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</si>
  <si>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</si>
  <si>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</si>
  <si>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</si>
  <si>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</si>
  <si>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</si>
  <si>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</si>
  <si>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</si>
  <si>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</si>
  <si>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</si>
  <si>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</si>
  <si>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</si>
  <si>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</si>
  <si>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</si>
  <si>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</si>
  <si>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</si>
  <si>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</si>
  <si>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</si>
  <si>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</si>
  <si>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</si>
  <si>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</si>
  <si>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</si>
  <si>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</si>
  <si>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</si>
  <si>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</si>
  <si>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</si>
  <si>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</si>
  <si>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</si>
  <si>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</si>
  <si>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</si>
  <si>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1. 위험성 평가 실시 계획(공사개요)</t>
    <phoneticPr fontId="13" type="noConversion"/>
  </si>
  <si>
    <t>안전관리자</t>
    <phoneticPr fontId="1" type="noConversion"/>
  </si>
  <si>
    <t>2. 위험성 평가 조직 구성</t>
    <phoneticPr fontId="13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</si>
  <si>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</si>
  <si>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</si>
  <si>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</si>
  <si>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</si>
  <si>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</si>
  <si>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</si>
  <si>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</si>
  <si>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</si>
  <si>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</si>
  <si>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</si>
  <si>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</si>
  <si>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</si>
  <si>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</si>
  <si>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</si>
  <si>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</si>
  <si>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</si>
  <si>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</si>
  <si>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</si>
  <si>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</si>
  <si>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</si>
  <si>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</si>
  <si>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</si>
  <si>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</si>
  <si>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</si>
  <si>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</si>
  <si>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</si>
  <si>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</si>
  <si>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</si>
  <si>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</si>
  <si>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</si>
  <si>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</si>
  <si>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</si>
  <si>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</si>
  <si>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</si>
  <si>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</si>
  <si>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</si>
  <si>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</si>
  <si>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</si>
  <si>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</si>
  <si>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</si>
  <si>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</si>
  <si>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</si>
  <si>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</si>
  <si>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</si>
  <si>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</si>
  <si>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</si>
  <si>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</si>
  <si>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</si>
  <si>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</si>
  <si>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</si>
  <si>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</si>
  <si>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</si>
  <si>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</si>
  <si>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</si>
  <si>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</si>
  <si>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</si>
  <si>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</si>
  <si>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</si>
  <si>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</si>
  <si>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</si>
  <si>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시운전</t>
  </si>
  <si>
    <t>체결 작업 중 자재 및 공구 낙하</t>
    <phoneticPr fontId="1" type="noConversion"/>
  </si>
  <si>
    <t>2. 반입 자재 운반 및 이동</t>
    <phoneticPr fontId="1" type="noConversion"/>
  </si>
  <si>
    <t>작성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</si>
  <si>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</si>
  <si>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</si>
  <si>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</si>
  <si>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</si>
  <si>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</si>
  <si>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</si>
  <si>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</si>
  <si>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</si>
  <si>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작업(조작)도구</t>
    <phoneticPr fontId="1" type="noConversion"/>
  </si>
  <si>
    <t>지게차</t>
    <phoneticPr fontId="1" type="noConversion"/>
  </si>
  <si>
    <t>설비(장비)전장(전기)</t>
  </si>
  <si>
    <t>수공구</t>
  </si>
  <si>
    <t>1. 지게차를 이용한 자재 반입</t>
    <phoneticPr fontId="1" type="noConversion"/>
  </si>
  <si>
    <t>충돌 위험 부분</t>
    <phoneticPr fontId="1" type="noConversion"/>
  </si>
  <si>
    <t>감전(안전전압초과)</t>
    <phoneticPr fontId="1" type="noConversion"/>
  </si>
  <si>
    <t>함마드릴등의 전동공구 사용간 부주의로 인한 절상, 신체손상위험</t>
  </si>
  <si>
    <t>잘못된 작업으로 인한 감전사고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</si>
  <si>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</si>
  <si>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</si>
  <si>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</si>
  <si>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</si>
  <si>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</si>
  <si>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도면에의한 결선</t>
    <phoneticPr fontId="13" type="noConversion"/>
  </si>
  <si>
    <t>1. I/O CHECK 작업</t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</si>
  <si>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</si>
  <si>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</si>
  <si>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</si>
  <si>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</si>
  <si>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</si>
  <si>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</si>
  <si>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화성 조광일G
아산 고병준S</t>
    <phoneticPr fontId="1" type="noConversion"/>
  </si>
  <si>
    <t>화성 권혜지S
아산 윤은지S</t>
    <phoneticPr fontId="1" type="noConversion"/>
  </si>
  <si>
    <r>
      <t>&lt;공종명&gt;</t>
    </r>
    <r>
      <rPr>
        <sz val="11"/>
        <color theme="0" tint="-0.34998626667073579"/>
        <rFont val="맑은 고딕"/>
        <family val="3"/>
        <charset val="129"/>
        <scheme val="minor"/>
      </rPr>
      <t xml:space="preserve"> (기구)</t>
    </r>
    <phoneticPr fontId="1" type="noConversion"/>
  </si>
  <si>
    <r>
      <t xml:space="preserve">&lt;공종명&gt; </t>
    </r>
    <r>
      <rPr>
        <sz val="11"/>
        <color theme="0" tint="-0.34998626667073579"/>
        <rFont val="맑은 고딕"/>
        <family val="3"/>
        <charset val="129"/>
        <scheme val="minor"/>
      </rPr>
      <t>(전장)</t>
    </r>
    <phoneticPr fontId="1" type="noConversion"/>
  </si>
  <si>
    <r>
      <t xml:space="preserve">&lt;공종명&gt; </t>
    </r>
    <r>
      <rPr>
        <sz val="11"/>
        <color theme="0" tint="-0.34998626667073579"/>
        <rFont val="맑은 고딕"/>
        <family val="3"/>
        <charset val="129"/>
        <scheme val="minor"/>
      </rPr>
      <t>(제어)</t>
    </r>
    <phoneticPr fontId="1" type="noConversion"/>
  </si>
  <si>
    <t>협력사책임자</t>
    <phoneticPr fontId="1" type="noConversion"/>
  </si>
  <si>
    <t>근로자
관리감독자</t>
    <phoneticPr fontId="1" type="noConversion"/>
  </si>
  <si>
    <t>PJT : SKIET 폴란드 PH3,4 후단물류 자동화</t>
    <phoneticPr fontId="1" type="noConversion"/>
  </si>
  <si>
    <t>(PJT Code : 7P211022ARECV )</t>
    <phoneticPr fontId="1" type="noConversion"/>
  </si>
  <si>
    <t>SFA 물류 PM3팀</t>
    <phoneticPr fontId="13" type="noConversion"/>
  </si>
  <si>
    <t>추인호</t>
    <phoneticPr fontId="13" type="noConversion"/>
  </si>
  <si>
    <t>SKIET 폴란드 PH3,4 후단물류자동화</t>
    <phoneticPr fontId="13" type="noConversion"/>
  </si>
  <si>
    <t>추인호 / 010-9520-5558</t>
    <phoneticPr fontId="13" type="noConversion"/>
  </si>
  <si>
    <t>SKIET</t>
    <phoneticPr fontId="13" type="noConversion"/>
  </si>
  <si>
    <t>전동 지게차 1대</t>
    <phoneticPr fontId="1" type="noConversion"/>
  </si>
  <si>
    <t>TCL</t>
    <phoneticPr fontId="13" type="noConversion"/>
  </si>
  <si>
    <t>추인호K</t>
    <phoneticPr fontId="1" type="noConversion"/>
  </si>
  <si>
    <t>-</t>
    <phoneticPr fontId="1" type="noConversion"/>
  </si>
  <si>
    <t>상부작업 시 추락 위험</t>
    <phoneticPr fontId="1" type="noConversion"/>
  </si>
  <si>
    <t>공정명: CV 및 이재기 조립</t>
    <phoneticPr fontId="1" type="noConversion"/>
  </si>
  <si>
    <t>SKIET 폴란드 PH3,4 후단물류 자동화</t>
    <phoneticPr fontId="32" type="noConversion"/>
  </si>
  <si>
    <r>
      <t xml:space="preserve">XLGantt 4.5.0 ©XLWorks 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주별보기</t>
    </r>
    <r>
      <rPr>
        <b/>
        <sz val="9"/>
        <color rgb="FFFF8800"/>
        <rFont val="Calibri"/>
        <family val="2"/>
      </rPr>
      <t xml:space="preserve">, Zoom 100%, </t>
    </r>
    <r>
      <rPr>
        <b/>
        <sz val="9"/>
        <color rgb="FFFF8800"/>
        <rFont val="돋움"/>
        <family val="3"/>
        <charset val="129"/>
      </rPr>
      <t>계산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옵션</t>
    </r>
    <r>
      <rPr>
        <b/>
        <sz val="9"/>
        <color rgb="FFFF8800"/>
        <rFont val="Calibri"/>
        <family val="2"/>
      </rPr>
      <t xml:space="preserve"> : </t>
    </r>
    <r>
      <rPr>
        <b/>
        <sz val="9"/>
        <color rgb="FFFF8800"/>
        <rFont val="돋움"/>
        <family val="3"/>
        <charset val="129"/>
      </rPr>
      <t>자동</t>
    </r>
  </si>
  <si>
    <t>총괄PM:강우종 부장</t>
  </si>
  <si>
    <t>W1</t>
  </si>
  <si>
    <t>W5</t>
  </si>
  <si>
    <t>W9</t>
  </si>
  <si>
    <t>W13</t>
  </si>
  <si>
    <t>W17</t>
  </si>
  <si>
    <t>W21</t>
  </si>
  <si>
    <t>W25</t>
  </si>
  <si>
    <t>W29</t>
  </si>
  <si>
    <t>W33</t>
  </si>
  <si>
    <t>W37</t>
  </si>
  <si>
    <t>W41</t>
  </si>
  <si>
    <t>W45</t>
  </si>
  <si>
    <t>W49</t>
  </si>
  <si>
    <t>W53</t>
  </si>
  <si>
    <t>W57</t>
  </si>
  <si>
    <t>W61</t>
  </si>
  <si>
    <t>W65</t>
  </si>
  <si>
    <t>W69</t>
  </si>
  <si>
    <t>W73</t>
  </si>
  <si>
    <t>W77</t>
  </si>
  <si>
    <t>W81</t>
  </si>
  <si>
    <t>W85</t>
  </si>
  <si>
    <t>W89</t>
  </si>
  <si>
    <t>W93</t>
  </si>
  <si>
    <t>W97</t>
  </si>
  <si>
    <t>W101</t>
  </si>
  <si>
    <t>W105</t>
  </si>
  <si>
    <t>reserved</t>
    <phoneticPr fontId="32" type="noConversion"/>
  </si>
  <si>
    <t>task_group</t>
    <phoneticPr fontId="32" type="noConversion"/>
  </si>
  <si>
    <t>wbs_level</t>
    <phoneticPr fontId="32" type="noConversion"/>
  </si>
  <si>
    <t>WBS</t>
    <phoneticPr fontId="32" type="noConversion"/>
  </si>
  <si>
    <t>작업*</t>
    <phoneticPr fontId="32" type="noConversion"/>
  </si>
  <si>
    <t>비고</t>
    <phoneticPr fontId="32" type="noConversion"/>
  </si>
  <si>
    <t>시작일*</t>
    <phoneticPr fontId="32" type="noConversion"/>
  </si>
  <si>
    <t>완료일*</t>
    <phoneticPr fontId="32" type="noConversion"/>
  </si>
  <si>
    <t>Calendar</t>
    <phoneticPr fontId="32" type="noConversion"/>
  </si>
  <si>
    <t>총_x000D_
작업량</t>
    <phoneticPr fontId="32" type="noConversion"/>
  </si>
  <si>
    <t>계획_x000D_
작업량</t>
    <phoneticPr fontId="32" type="noConversion"/>
  </si>
  <si>
    <t>총_x000D_
기간</t>
    <phoneticPr fontId="32" type="noConversion"/>
  </si>
  <si>
    <t>계획_x000D_
기간</t>
    <phoneticPr fontId="32" type="noConversion"/>
  </si>
  <si>
    <t>실제_x000D_
시작일</t>
    <phoneticPr fontId="32" type="noConversion"/>
  </si>
  <si>
    <t>실제_x000D_
완료일</t>
    <phoneticPr fontId="32" type="noConversion"/>
  </si>
  <si>
    <t>실제_x000D_
총작업량</t>
    <phoneticPr fontId="32" type="noConversion"/>
  </si>
  <si>
    <t>실제_x000D_
총기간</t>
    <phoneticPr fontId="32" type="noConversion"/>
  </si>
  <si>
    <t>가중치</t>
    <phoneticPr fontId="32" type="noConversion"/>
  </si>
  <si>
    <t>담당</t>
    <phoneticPr fontId="32" type="noConversion"/>
  </si>
  <si>
    <t>산출물</t>
    <phoneticPr fontId="32" type="noConversion"/>
  </si>
  <si>
    <t>계획</t>
    <phoneticPr fontId="32" type="noConversion"/>
  </si>
  <si>
    <t>실적*</t>
    <phoneticPr fontId="32" type="noConversion"/>
  </si>
  <si>
    <t>12/26
W53</t>
  </si>
  <si>
    <t>2022
W5</t>
  </si>
  <si>
    <t>02/20
W9</t>
  </si>
  <si>
    <t>03/20
W13</t>
  </si>
  <si>
    <t>04/17
W17</t>
  </si>
  <si>
    <t>05/15
W21</t>
  </si>
  <si>
    <t>06/12
W25</t>
  </si>
  <si>
    <t>07/10
W29</t>
  </si>
  <si>
    <t>08/07
W33</t>
  </si>
  <si>
    <t>09/04
W37</t>
  </si>
  <si>
    <t>10/02
W41</t>
  </si>
  <si>
    <t>10/30
W45</t>
  </si>
  <si>
    <t>11/27
W49</t>
  </si>
  <si>
    <t>12/25
W53</t>
  </si>
  <si>
    <t>2023
W4</t>
  </si>
  <si>
    <t>02/19
W8</t>
  </si>
  <si>
    <t>03/19
W12</t>
  </si>
  <si>
    <t>04/16
W16</t>
  </si>
  <si>
    <t>05/14
W20</t>
  </si>
  <si>
    <t>06/11
W24</t>
  </si>
  <si>
    <t>07/09
W28</t>
  </si>
  <si>
    <t>08/06
W32</t>
  </si>
  <si>
    <t>09/03
W36</t>
  </si>
  <si>
    <t>10/01
W40</t>
  </si>
  <si>
    <t>10/29
W44</t>
  </si>
  <si>
    <t>11/26
W48</t>
  </si>
  <si>
    <t>12/24
W52</t>
  </si>
  <si>
    <t>G</t>
  </si>
  <si>
    <t>1</t>
  </si>
  <si>
    <t>설계</t>
  </si>
  <si>
    <t>1.1</t>
  </si>
  <si>
    <t>BUFFER STK</t>
  </si>
  <si>
    <t>1T</t>
  </si>
  <si>
    <t>1.1.1</t>
  </si>
  <si>
    <t>Layout</t>
  </si>
  <si>
    <t>1.1.2</t>
  </si>
  <si>
    <t>설계DR</t>
  </si>
  <si>
    <t>1.1.3</t>
  </si>
  <si>
    <t>상세설계</t>
  </si>
  <si>
    <t>1.1.3.1</t>
  </si>
  <si>
    <t>Concept</t>
  </si>
  <si>
    <t>1.1.3.2</t>
  </si>
  <si>
    <t>Ass'y</t>
  </si>
  <si>
    <t>1.1.3.3</t>
  </si>
  <si>
    <t>Part</t>
  </si>
  <si>
    <t>1.2</t>
  </si>
  <si>
    <t>BUFFER 입출고 물류</t>
  </si>
  <si>
    <t>3T</t>
  </si>
  <si>
    <t>1.2.1</t>
  </si>
  <si>
    <t>1.2.2</t>
  </si>
  <si>
    <t>1.2.3</t>
  </si>
  <si>
    <t>1.2.3.1</t>
  </si>
  <si>
    <t>1.2.3.2</t>
  </si>
  <si>
    <t>1.2.3.3</t>
  </si>
  <si>
    <t>1.3</t>
  </si>
  <si>
    <t>외관검사기 물류</t>
  </si>
  <si>
    <t>1.3.1</t>
  </si>
  <si>
    <t>1.3.2</t>
  </si>
  <si>
    <t>1.3.3</t>
  </si>
  <si>
    <t>1.3.3.1</t>
  </si>
  <si>
    <t>1.3.3.2</t>
  </si>
  <si>
    <t>1.3.3.3</t>
  </si>
  <si>
    <t>1.4</t>
  </si>
  <si>
    <t>OHT</t>
  </si>
  <si>
    <t>1.4.1</t>
  </si>
  <si>
    <t>1.4.2</t>
  </si>
  <si>
    <t>1.4.3</t>
  </si>
  <si>
    <t>1.4.3.1</t>
  </si>
  <si>
    <t>RAIL</t>
  </si>
  <si>
    <t>1.4.3.2</t>
  </si>
  <si>
    <t>VEHICLE</t>
  </si>
  <si>
    <t>1.4.3.3</t>
  </si>
  <si>
    <t>MTL</t>
  </si>
  <si>
    <t>1.5</t>
  </si>
  <si>
    <t>CCS 물류</t>
  </si>
  <si>
    <t>1.5.1</t>
  </si>
  <si>
    <t>1.5.2</t>
  </si>
  <si>
    <t>1.5.3</t>
  </si>
  <si>
    <t>1.5.3.1</t>
  </si>
  <si>
    <t>1.5.3.2</t>
  </si>
  <si>
    <t>1.5.3.3</t>
  </si>
  <si>
    <t>1.6</t>
  </si>
  <si>
    <t>OVEN &amp; OVEN STK</t>
  </si>
  <si>
    <t>1.6.1</t>
  </si>
  <si>
    <t>1.6.2</t>
  </si>
  <si>
    <t>1.6.3</t>
  </si>
  <si>
    <t>1.6.3.1</t>
  </si>
  <si>
    <t>1.6.3.2</t>
  </si>
  <si>
    <t>1.6.3.3</t>
  </si>
  <si>
    <t>1.7</t>
  </si>
  <si>
    <t xml:space="preserve">OVEN 연결물류 </t>
  </si>
  <si>
    <t>1.7.1</t>
  </si>
  <si>
    <t>1.7.2</t>
  </si>
  <si>
    <t>1.7.3</t>
  </si>
  <si>
    <t>1.7.3.1</t>
  </si>
  <si>
    <t>1.7.3.2</t>
  </si>
  <si>
    <t>1.7.3.3</t>
  </si>
  <si>
    <t>1.8</t>
  </si>
  <si>
    <t>CCS 포장물류</t>
  </si>
  <si>
    <t>1.8.1</t>
  </si>
  <si>
    <t>1.8.2</t>
  </si>
  <si>
    <t>1.8.3</t>
  </si>
  <si>
    <t>1.8.3.1</t>
  </si>
  <si>
    <t>1.8.3.2</t>
  </si>
  <si>
    <t>1.8.3.3</t>
  </si>
  <si>
    <t>1.9</t>
  </si>
  <si>
    <t>완제품 창고</t>
  </si>
  <si>
    <t>1.9.1</t>
  </si>
  <si>
    <t>1.9.2</t>
  </si>
  <si>
    <t>1.9.3</t>
  </si>
  <si>
    <t>1.9.3.1</t>
  </si>
  <si>
    <t>1.9.3.2</t>
  </si>
  <si>
    <t>1.9.3.3</t>
  </si>
  <si>
    <t>1.10</t>
  </si>
  <si>
    <t>완제품 창고 연결물류</t>
  </si>
  <si>
    <t>1.10.1</t>
  </si>
  <si>
    <t>1.10.2</t>
  </si>
  <si>
    <t>1.10.3</t>
  </si>
  <si>
    <t>1.10.3.1</t>
  </si>
  <si>
    <t>1.10.3.2</t>
  </si>
  <si>
    <t>1.10.3.3</t>
  </si>
  <si>
    <t>2</t>
  </si>
  <si>
    <t>제작</t>
  </si>
  <si>
    <t>2.1</t>
  </si>
  <si>
    <t>2.1.1</t>
  </si>
  <si>
    <t>구매품 발주 및 입고</t>
  </si>
  <si>
    <t>2.1.2</t>
  </si>
  <si>
    <t>가공 및 제작 (국내)</t>
  </si>
  <si>
    <t>2.1.3</t>
  </si>
  <si>
    <t>가공 및 제작 (현지)</t>
  </si>
  <si>
    <t>2.1.4</t>
  </si>
  <si>
    <t>기구 조립</t>
  </si>
  <si>
    <t>2.1.5</t>
  </si>
  <si>
    <t>전장 배선</t>
  </si>
  <si>
    <t>2.1.6</t>
  </si>
  <si>
    <t>단동 TEST</t>
  </si>
  <si>
    <t>2.1.7</t>
  </si>
  <si>
    <t>연동 TEST</t>
  </si>
  <si>
    <t>2.1.8</t>
  </si>
  <si>
    <t>고객사 검수</t>
  </si>
  <si>
    <t>i</t>
  </si>
  <si>
    <t>2.2</t>
  </si>
  <si>
    <t>2.2.1</t>
  </si>
  <si>
    <t>2.2.2</t>
  </si>
  <si>
    <t>가공 및 제작</t>
  </si>
  <si>
    <t>2.2.3</t>
  </si>
  <si>
    <t>2.2.4</t>
  </si>
  <si>
    <t>2.2.5</t>
  </si>
  <si>
    <t>2.2.6</t>
  </si>
  <si>
    <t>2.3</t>
  </si>
  <si>
    <t>2.3.1</t>
  </si>
  <si>
    <t>2.3.2</t>
  </si>
  <si>
    <t>2.3.3</t>
  </si>
  <si>
    <t>2.3.4</t>
  </si>
  <si>
    <t>2.3.5</t>
  </si>
  <si>
    <t>2.3.6</t>
  </si>
  <si>
    <t>2.4</t>
  </si>
  <si>
    <t>2.4.1</t>
  </si>
  <si>
    <t>2.4.2</t>
  </si>
  <si>
    <t>2.4.3</t>
  </si>
  <si>
    <t>기구조립(RAIL)</t>
  </si>
  <si>
    <t>2.4.4</t>
  </si>
  <si>
    <t>기구 조립 (VEHICLE, MTL)</t>
  </si>
  <si>
    <t>2.4.5</t>
  </si>
  <si>
    <t>전장 배선 (VEHICLE, MTL)</t>
  </si>
  <si>
    <t>2.4.6</t>
  </si>
  <si>
    <t>단동 TEST (VEHICLE, MTL)</t>
  </si>
  <si>
    <t>2.4.7</t>
  </si>
  <si>
    <t>고객사 검수 (VEHICLE, MTL)</t>
  </si>
  <si>
    <t>2.5</t>
  </si>
  <si>
    <t>2.5.1</t>
  </si>
  <si>
    <t>2.5.2</t>
  </si>
  <si>
    <t>2.5.3</t>
  </si>
  <si>
    <t>2.5.4</t>
  </si>
  <si>
    <t>2.5.5</t>
  </si>
  <si>
    <t>2.5.6</t>
  </si>
  <si>
    <t>2.6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</si>
  <si>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</si>
  <si>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</si>
  <si>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</si>
  <si>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</si>
  <si>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</si>
  <si>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</si>
  <si>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</si>
  <si>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</si>
  <si>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2.7</t>
  </si>
  <si>
    <t>2.7.1</t>
  </si>
  <si>
    <t>2.7.2</t>
  </si>
  <si>
    <t>2.7.3</t>
  </si>
  <si>
    <t>2.7.4</t>
  </si>
  <si>
    <t>2.7.5</t>
  </si>
  <si>
    <t>2.7.6</t>
  </si>
  <si>
    <t>2.8</t>
  </si>
  <si>
    <t>2.8.1</t>
  </si>
  <si>
    <t>2.8.2</t>
  </si>
  <si>
    <t>2.8.3</t>
  </si>
  <si>
    <t>2.8.4</t>
  </si>
  <si>
    <t>2.8.5</t>
  </si>
  <si>
    <t>2.8.6</t>
  </si>
  <si>
    <t>2.8.7</t>
  </si>
  <si>
    <t>2.9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</si>
  <si>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</si>
  <si>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</si>
  <si>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</si>
  <si>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</si>
  <si>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</si>
  <si>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</si>
  <si>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</si>
  <si>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</si>
  <si>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2.10</t>
  </si>
  <si>
    <t>2.10.1</t>
  </si>
  <si>
    <t>2.10.2</t>
  </si>
  <si>
    <t>2.10.3</t>
  </si>
  <si>
    <t>2.10.4</t>
  </si>
  <si>
    <t>2.10.5</t>
  </si>
  <si>
    <t>2.10.6</t>
  </si>
  <si>
    <t>3</t>
  </si>
  <si>
    <t>출하</t>
  </si>
  <si>
    <t>3.1</t>
  </si>
  <si>
    <t>3.1.1</t>
  </si>
  <si>
    <t>해체/포장</t>
  </si>
  <si>
    <t>3.2</t>
  </si>
  <si>
    <t>3.2.1</t>
  </si>
  <si>
    <t>3.3</t>
  </si>
  <si>
    <t>3.3.1</t>
  </si>
  <si>
    <t>3.4</t>
  </si>
  <si>
    <t>3.4.1</t>
  </si>
  <si>
    <t>해체/포장 (RAIL)</t>
  </si>
  <si>
    <t>3.4.2</t>
  </si>
  <si>
    <t>해체/포장 (VEHICLE, MTL)</t>
  </si>
  <si>
    <t>3.5</t>
  </si>
  <si>
    <t>3.5.1</t>
  </si>
  <si>
    <t>3.6</t>
  </si>
  <si>
    <t>3.6.1</t>
  </si>
  <si>
    <t>3.7</t>
  </si>
  <si>
    <t>3.7.1</t>
  </si>
  <si>
    <t>3.8</t>
  </si>
  <si>
    <t>3.8.1</t>
  </si>
  <si>
    <t>3.9</t>
  </si>
  <si>
    <t>3.9.1</t>
  </si>
  <si>
    <t>3.10</t>
  </si>
  <si>
    <t>3.10.1</t>
  </si>
  <si>
    <t>4</t>
  </si>
  <si>
    <t>FOB</t>
  </si>
  <si>
    <t>4.1</t>
  </si>
  <si>
    <t>4.1.1</t>
  </si>
  <si>
    <t>출하 선적</t>
  </si>
  <si>
    <t>4.1.2</t>
  </si>
  <si>
    <t>화물이동</t>
  </si>
  <si>
    <t>4.2</t>
  </si>
  <si>
    <t>4.2.1</t>
  </si>
  <si>
    <t>4.2.2</t>
  </si>
  <si>
    <t>4.3</t>
  </si>
  <si>
    <t>4.3.1</t>
  </si>
  <si>
    <t>4.3.2</t>
  </si>
  <si>
    <t>4.4</t>
  </si>
  <si>
    <t>4.4.1</t>
  </si>
  <si>
    <t>출하 선적 (Rail 우선 출하)</t>
  </si>
  <si>
    <t>4.4.2</t>
  </si>
  <si>
    <t>4.5</t>
  </si>
  <si>
    <t>4.5.1</t>
  </si>
  <si>
    <t>4.5.2</t>
  </si>
  <si>
    <t>4.6</t>
  </si>
  <si>
    <t>4.6.1</t>
  </si>
  <si>
    <t>4.6.2</t>
  </si>
  <si>
    <t>4.7</t>
  </si>
  <si>
    <t>4.7.1</t>
  </si>
  <si>
    <t>4.7.2</t>
  </si>
  <si>
    <t>4.8</t>
  </si>
  <si>
    <t>4.8.1</t>
  </si>
  <si>
    <t>4.8.2</t>
  </si>
  <si>
    <t>4.9</t>
  </si>
  <si>
    <t>4.9.1</t>
  </si>
  <si>
    <t>4.9.2</t>
  </si>
  <si>
    <t>4.10</t>
  </si>
  <si>
    <t>4.10.1</t>
  </si>
  <si>
    <t>4.10.2</t>
  </si>
  <si>
    <t>5</t>
  </si>
  <si>
    <t>현장 가설</t>
  </si>
  <si>
    <t>5.1</t>
  </si>
  <si>
    <t>현장 임시 사무실 설치 및 사용</t>
  </si>
  <si>
    <t>5.2</t>
  </si>
  <si>
    <t>야적장 화물 반입</t>
  </si>
  <si>
    <t>6</t>
  </si>
  <si>
    <t>하역 및 반입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</si>
  <si>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</si>
  <si>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</si>
  <si>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</si>
  <si>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</si>
  <si>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</si>
  <si>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</si>
  <si>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</si>
  <si>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</si>
  <si>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</si>
  <si>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</si>
  <si>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</t>
  </si>
  <si>
    <t>현장 SET-UP</t>
  </si>
  <si>
    <t>7.1</t>
  </si>
  <si>
    <t>7.1.1</t>
  </si>
  <si>
    <t>기구</t>
  </si>
  <si>
    <t>7.1.1.1</t>
  </si>
  <si>
    <t>RACK 설치(STK09-12)</t>
  </si>
  <si>
    <t>7.1.1.2</t>
  </si>
  <si>
    <t>RACK 설치(STK13-16)</t>
  </si>
  <si>
    <t>7.1.1.3</t>
  </si>
  <si>
    <t>RM 설치</t>
  </si>
  <si>
    <t>7.1.2</t>
  </si>
  <si>
    <t>전장</t>
  </si>
  <si>
    <t>7.1.2.1</t>
  </si>
  <si>
    <t>전장 배선 및 CPS 설치</t>
  </si>
  <si>
    <t>7.1.2.2</t>
  </si>
  <si>
    <t>UT Hook up/Turn on</t>
  </si>
  <si>
    <t>7.1.3</t>
  </si>
  <si>
    <t>제어</t>
  </si>
  <si>
    <t>7.1.3.1</t>
  </si>
  <si>
    <t>I/O CHECK</t>
  </si>
  <si>
    <t>7.1.3.2</t>
  </si>
  <si>
    <t>TEACHING 및 단동 TEST</t>
  </si>
  <si>
    <t>7.2</t>
  </si>
  <si>
    <t>7.2.1</t>
  </si>
  <si>
    <t>7.2.1.1</t>
  </si>
  <si>
    <t>입구단 설치</t>
  </si>
  <si>
    <t>7.2.1.2</t>
  </si>
  <si>
    <t>출구단 설치</t>
  </si>
  <si>
    <t>7.2.2</t>
  </si>
  <si>
    <t>7.2.2.1</t>
  </si>
  <si>
    <t xml:space="preserve">전장 배선 </t>
  </si>
  <si>
    <t>7.2.2.2</t>
  </si>
  <si>
    <t>7.2.3</t>
  </si>
  <si>
    <t>7.2.3.1</t>
  </si>
  <si>
    <t>7.2.3.2</t>
  </si>
  <si>
    <t>7.3</t>
  </si>
  <si>
    <t>7.3.1</t>
  </si>
  <si>
    <t>7.3.1.1</t>
  </si>
  <si>
    <t>정위치 및 LEVELING</t>
  </si>
  <si>
    <t>7.3.2</t>
  </si>
  <si>
    <t>7.3.2.1</t>
  </si>
  <si>
    <t>7.3.2.2</t>
  </si>
  <si>
    <t>7.3.3</t>
  </si>
  <si>
    <t>7.3.3.1</t>
  </si>
  <si>
    <t>7.3.3.2</t>
  </si>
  <si>
    <t>7.3.3.3</t>
  </si>
  <si>
    <t>EQ TEST</t>
  </si>
  <si>
    <t>7.4</t>
  </si>
  <si>
    <t>7.4.1</t>
  </si>
  <si>
    <t>7.4.1.1</t>
  </si>
  <si>
    <t>상부레일설치</t>
  </si>
  <si>
    <t>7.4.1.2</t>
  </si>
  <si>
    <t>하부 안전 펜스 설치</t>
  </si>
  <si>
    <t>7.4.1.3</t>
  </si>
  <si>
    <t>MTL 설치</t>
  </si>
  <si>
    <t>7.4.1.4</t>
  </si>
  <si>
    <t>OHT 양중</t>
  </si>
  <si>
    <t>7.4.2</t>
  </si>
  <si>
    <t>7.4.2.1</t>
  </si>
  <si>
    <t>CPS 설치</t>
  </si>
  <si>
    <t>7.4.2.2</t>
  </si>
  <si>
    <t>7.4.3</t>
  </si>
  <si>
    <t>7.4.3.1</t>
  </si>
  <si>
    <t>IO 체크</t>
  </si>
  <si>
    <t>7.4.3.2</t>
  </si>
  <si>
    <t>단동 테스트</t>
  </si>
  <si>
    <t>7.4.3.3</t>
  </si>
  <si>
    <t>OHT 티칭</t>
  </si>
  <si>
    <t>7.5</t>
  </si>
  <si>
    <t>7.5.1</t>
  </si>
  <si>
    <t>7.5.1.1</t>
  </si>
  <si>
    <t>7.5.2</t>
  </si>
  <si>
    <t>7.5.2.1</t>
  </si>
  <si>
    <t>전장 SET-UP</t>
  </si>
  <si>
    <t>7.5.2.2</t>
  </si>
  <si>
    <t>7.5.3</t>
  </si>
  <si>
    <t>7.5.3.1</t>
  </si>
  <si>
    <t>7.5.3.2</t>
  </si>
  <si>
    <t>TEACHING 및 단동 테스트</t>
  </si>
  <si>
    <t>7.5.3.3</t>
  </si>
  <si>
    <t>7.6</t>
  </si>
  <si>
    <t>7.6.1</t>
  </si>
  <si>
    <t>7.6.1.1</t>
  </si>
  <si>
    <t>OVEN 설치</t>
  </si>
  <si>
    <t>7.6.1.2</t>
  </si>
  <si>
    <t>7.6.2</t>
  </si>
  <si>
    <t>7.6.2.1</t>
  </si>
  <si>
    <t>7.6.2.2</t>
  </si>
  <si>
    <t>7.6.3</t>
  </si>
  <si>
    <t>7.6.3.1</t>
  </si>
  <si>
    <t>7.6.3.2</t>
  </si>
  <si>
    <t>7.6.3.3</t>
  </si>
  <si>
    <t>STK 티칭</t>
  </si>
  <si>
    <t>7.7</t>
  </si>
  <si>
    <t>7.7.1</t>
  </si>
  <si>
    <t>7.7.1.1</t>
  </si>
  <si>
    <t>7.7.2</t>
  </si>
  <si>
    <t>7.7.2.1</t>
  </si>
  <si>
    <t>7.7.2.2</t>
  </si>
  <si>
    <t>7.7.3</t>
  </si>
  <si>
    <t>7.7.3.1</t>
  </si>
  <si>
    <t>7.7.3.2</t>
  </si>
  <si>
    <t>7.8</t>
  </si>
  <si>
    <t>7.8.1</t>
  </si>
  <si>
    <t>7.8.1.1</t>
  </si>
  <si>
    <t>7.8.2</t>
  </si>
  <si>
    <t>7.8.2.1</t>
  </si>
  <si>
    <t>7.8.2.2</t>
  </si>
  <si>
    <t>7.8.3</t>
  </si>
  <si>
    <t>7.8.3.1</t>
  </si>
  <si>
    <t>7.8.3.2</t>
  </si>
  <si>
    <t>7.9</t>
  </si>
  <si>
    <t>7.9.1</t>
  </si>
  <si>
    <t>7.9.1.1</t>
  </si>
  <si>
    <t>RACK 설치(S/C01-02)</t>
  </si>
  <si>
    <t>7.9.1.2</t>
  </si>
  <si>
    <t>RACK 설치(S/C03-05)</t>
  </si>
  <si>
    <t>7.9.1.3</t>
  </si>
  <si>
    <t>sprinkler 설치(S/C01-02)</t>
  </si>
  <si>
    <t>7.9.1.4</t>
  </si>
  <si>
    <t>sprinkler 설치(S/C03-05)</t>
  </si>
  <si>
    <t>7.9.1.5</t>
  </si>
  <si>
    <t>S/C 설치</t>
  </si>
  <si>
    <t>7.9.2</t>
  </si>
  <si>
    <t>7.9.2.1</t>
  </si>
  <si>
    <t>7.9.2.2</t>
  </si>
  <si>
    <t>7.9.3</t>
  </si>
  <si>
    <t>7.9.3.1</t>
  </si>
  <si>
    <t>7.9.3.2</t>
  </si>
  <si>
    <t>7.9.3.3</t>
  </si>
  <si>
    <t>7.10</t>
  </si>
  <si>
    <t>7.10.1</t>
  </si>
  <si>
    <t>7.10.1.1</t>
  </si>
  <si>
    <t>7.10.2</t>
  </si>
  <si>
    <t>7.10.2.1</t>
  </si>
  <si>
    <t>7.10.2.2</t>
  </si>
  <si>
    <t>7.10.3</t>
  </si>
  <si>
    <t>7.10.3.1</t>
  </si>
  <si>
    <t>7.10.3.2</t>
  </si>
  <si>
    <t>8</t>
  </si>
  <si>
    <t>연동TEST</t>
  </si>
  <si>
    <t>8.1</t>
  </si>
  <si>
    <t>8.1.1</t>
  </si>
  <si>
    <t>SCS Test</t>
  </si>
  <si>
    <t>8.1.2</t>
  </si>
  <si>
    <t>WMS Test</t>
  </si>
  <si>
    <t>8.2</t>
  </si>
  <si>
    <t>8.2.1</t>
  </si>
  <si>
    <t>8.2.2</t>
  </si>
  <si>
    <t>8.3</t>
  </si>
  <si>
    <t>8.3.1</t>
  </si>
  <si>
    <t>8.3.2</t>
  </si>
  <si>
    <t>8.4</t>
  </si>
  <si>
    <t>8.4.1</t>
  </si>
  <si>
    <t>OCS Test</t>
  </si>
  <si>
    <t>8.4.2</t>
  </si>
  <si>
    <t>8.5</t>
  </si>
  <si>
    <t>8.5.1</t>
  </si>
  <si>
    <t>8.5.2</t>
  </si>
  <si>
    <t>8.6</t>
  </si>
  <si>
    <t>8.6.1</t>
  </si>
  <si>
    <t>8.6.2</t>
  </si>
  <si>
    <t>8.7</t>
  </si>
  <si>
    <t>8.7.1</t>
  </si>
  <si>
    <t>8.7.2</t>
  </si>
  <si>
    <t>8.8</t>
  </si>
  <si>
    <t>8.8.1</t>
  </si>
  <si>
    <t>WCS Test</t>
  </si>
  <si>
    <t>8.8.2</t>
  </si>
  <si>
    <t>8.9</t>
  </si>
  <si>
    <t>8.9.1</t>
  </si>
  <si>
    <t>8.9.2</t>
  </si>
  <si>
    <t>8.10</t>
  </si>
  <si>
    <t>8.10.1</t>
  </si>
  <si>
    <t>8.10.2</t>
  </si>
  <si>
    <t>선우기술</t>
    <phoneticPr fontId="13" type="noConversion"/>
  </si>
  <si>
    <t>제어/시운전</t>
    <phoneticPr fontId="13" type="noConversion"/>
  </si>
  <si>
    <t>이대영K</t>
    <phoneticPr fontId="1" type="noConversion"/>
  </si>
  <si>
    <t>-. C/V 및 이재기 조립
-. 전장 작업
-. 시운전</t>
    <phoneticPr fontId="1" type="noConversion"/>
  </si>
  <si>
    <t>디오투</t>
    <phoneticPr fontId="13" type="noConversion"/>
  </si>
  <si>
    <t xml:space="preserve">전장 배선 </t>
    <phoneticPr fontId="13" type="noConversion"/>
  </si>
  <si>
    <t>세명FA</t>
    <phoneticPr fontId="13" type="noConversion"/>
  </si>
  <si>
    <t>선우 김성환K
세명FA 신인교K</t>
    <phoneticPr fontId="1" type="noConversion"/>
  </si>
  <si>
    <t>\ 18,000,000,000 (미정)</t>
    <phoneticPr fontId="13" type="noConversion"/>
  </si>
  <si>
    <t>22.9.1 - 23.2.28</t>
    <phoneticPr fontId="13" type="noConversion"/>
  </si>
  <si>
    <t>C/V 및 이재기 제작 조립</t>
    <phoneticPr fontId="13" type="noConversion"/>
  </si>
  <si>
    <t>추인호K/PM3T
이형구D/제어1T
이성준K/제어6T</t>
    <phoneticPr fontId="13" type="noConversion"/>
  </si>
  <si>
    <t>이성준K
이형구D</t>
    <phoneticPr fontId="1" type="noConversion"/>
  </si>
  <si>
    <t>오효성G</t>
    <phoneticPr fontId="1" type="noConversion"/>
  </si>
  <si>
    <t>15명</t>
    <phoneticPr fontId="13" type="noConversion"/>
  </si>
  <si>
    <t>2. 전장품 취부</t>
    <phoneticPr fontId="1" type="noConversion"/>
  </si>
  <si>
    <t>수공구</t>
    <phoneticPr fontId="1" type="noConversion"/>
  </si>
  <si>
    <t>함마드릴등의 전동공구 사용간 부주의로 인한 절상, 신체손상위험</t>
    <phoneticPr fontId="1" type="noConversion"/>
  </si>
  <si>
    <t>보호장구 착용</t>
    <phoneticPr fontId="1" type="noConversion"/>
  </si>
  <si>
    <t>진동이 작은 드릴 사용</t>
    <phoneticPr fontId="1" type="noConversion"/>
  </si>
  <si>
    <t>사다리, 수공구</t>
    <phoneticPr fontId="1" type="noConversion"/>
  </si>
  <si>
    <t>3. CABLE 포설</t>
    <phoneticPr fontId="1" type="noConversion"/>
  </si>
  <si>
    <t>4. 상부 작업</t>
    <phoneticPr fontId="1" type="noConversion"/>
  </si>
  <si>
    <t>5. CABLE CONNECTION 작업</t>
    <phoneticPr fontId="1" type="noConversion"/>
  </si>
  <si>
    <t>없음</t>
  </si>
  <si>
    <t>협착위험 부분(감김, 끼임)</t>
  </si>
  <si>
    <t>물품 운반시 물품에 의사 사상 발생</t>
    <phoneticPr fontId="1" type="noConversion"/>
  </si>
  <si>
    <t>지게차</t>
  </si>
  <si>
    <t>운반차량에서 자재 하역시 하역된 자재 구름 및 전도되며 협착발생</t>
    <phoneticPr fontId="1" type="noConversion"/>
  </si>
  <si>
    <t>지게차, 파렛트카, 대차</t>
    <phoneticPr fontId="1" type="noConversion"/>
  </si>
  <si>
    <t>기계·설비의 낙하, 비래, 전복, 붕괴, 전도위험 부분</t>
  </si>
  <si>
    <t>작업공간의 협소로 충돌 및 전도 발생</t>
    <phoneticPr fontId="1" type="noConversion"/>
  </si>
  <si>
    <t>자재 적재시 불안전하게 적재하여 붕괴, 도괴</t>
    <phoneticPr fontId="1" type="noConversion"/>
  </si>
  <si>
    <t>자재 운반중 자재 낙하</t>
    <phoneticPr fontId="1" type="noConversion"/>
  </si>
  <si>
    <t>설비(장비)설치_기구</t>
  </si>
  <si>
    <t>1. GANTRY 이재기 조립              2. 외팔 이재기 조립</t>
    <phoneticPr fontId="1" type="noConversion"/>
  </si>
  <si>
    <t>천장크레인</t>
    <phoneticPr fontId="1" type="noConversion"/>
  </si>
  <si>
    <t>자재 인양중 인양로프 끊어져 자재 낙하</t>
    <phoneticPr fontId="1" type="noConversion"/>
  </si>
  <si>
    <t>1.로프 및 와이어 등 상태 점검</t>
    <phoneticPr fontId="1" type="noConversion"/>
  </si>
  <si>
    <t>1.로프 및 와이어 등 상태 점검                         2.오랜된 제품 전량 폐기</t>
    <phoneticPr fontId="1" type="noConversion"/>
  </si>
  <si>
    <t>인양 로트 후크에서 탈락되어 물체 낙하</t>
    <phoneticPr fontId="1" type="noConversion"/>
  </si>
  <si>
    <t>1.점검 SHEET 작성, 수시 점검</t>
    <phoneticPr fontId="1" type="noConversion"/>
  </si>
  <si>
    <t>충돌위험 부분</t>
  </si>
  <si>
    <t>인양 로프 1줄 걸이 or 수평 유지되지 않아 인양중 인양물에 출동</t>
    <phoneticPr fontId="1" type="noConversion"/>
  </si>
  <si>
    <t>1.2줄 걸이 결속 및 수평 유지하여 천천히 작업</t>
    <phoneticPr fontId="1" type="noConversion"/>
  </si>
  <si>
    <t>운반차량 후진중 근로자 충돌</t>
    <phoneticPr fontId="1" type="noConversion"/>
  </si>
  <si>
    <t>1.작업구역 출입금지                  2.유도자 배치                         3.후진경보음,경광등 설치</t>
    <phoneticPr fontId="1" type="noConversion"/>
  </si>
  <si>
    <t>대차</t>
    <phoneticPr fontId="1" type="noConversion"/>
  </si>
  <si>
    <t>넘어짐(미끄러짐, 걸림, 헛디딤)</t>
  </si>
  <si>
    <t>인력으로 소운반중 바닥 돌출물에 걸려 넘어짐</t>
    <phoneticPr fontId="1" type="noConversion"/>
  </si>
  <si>
    <t>1.한역,운반용 기구사용               2.인력운반 지양                     3.근로자 이동동선상 돌출물 제거</t>
    <phoneticPr fontId="1" type="noConversion"/>
  </si>
  <si>
    <t>체결 작업 중 자재 및 공구 낙하</t>
  </si>
  <si>
    <t>1.작업 구역 설정 및 인원 통제</t>
    <phoneticPr fontId="1" type="noConversion"/>
  </si>
  <si>
    <t>핸드그라인더</t>
  </si>
  <si>
    <t>위험한표면(절단, 베임, 긁힘)</t>
  </si>
  <si>
    <t>가공 작업 중 연삭 숫돌 균열 및 충격으로 인한 파손, 파편 작업자 강타</t>
  </si>
  <si>
    <t>화재/폭발 위험</t>
  </si>
  <si>
    <t>가공 작업 중 불꼴 비산으로 인한 가연성 물질과의 화재 및 폭발</t>
  </si>
  <si>
    <t>1.소화기 비치</t>
    <phoneticPr fontId="1" type="noConversion"/>
  </si>
  <si>
    <t>근로자 실수(휴먼 에러)</t>
  </si>
  <si>
    <t>근로자의 착각, 피로 누적 및 전일 음주 등 사유로 인한 조작 실수 및 충돌 등</t>
  </si>
  <si>
    <t>3. 작업장 이동</t>
    <phoneticPr fontId="1" type="noConversion"/>
  </si>
  <si>
    <t>공간 및 이동통로</t>
  </si>
  <si>
    <t>지게차 안전통로의 미확보로 인한 충돌</t>
    <phoneticPr fontId="1" type="noConversion"/>
  </si>
  <si>
    <t>1. 이동 동선 미표시</t>
    <phoneticPr fontId="1" type="noConversion"/>
  </si>
  <si>
    <t>1.지게차 이동동선 표시</t>
    <phoneticPr fontId="1" type="noConversion"/>
  </si>
  <si>
    <t>4. 사업장내 작업</t>
    <phoneticPr fontId="1" type="noConversion"/>
  </si>
  <si>
    <t>조직 안전문화</t>
  </si>
  <si>
    <t>개인 안전 보호구 미착용하고 작업중 부딪히는 등</t>
    <phoneticPr fontId="1" type="noConversion"/>
  </si>
  <si>
    <t>중량물 취급작업</t>
  </si>
  <si>
    <t>중량물 운반중 요통 등 근골격계 질환 발생</t>
    <phoneticPr fontId="1" type="noConversion"/>
  </si>
  <si>
    <t>안전보건교육 실시</t>
    <phoneticPr fontId="1" type="noConversion"/>
  </si>
  <si>
    <t>1. 설비 테스트</t>
    <phoneticPr fontId="1" type="noConversion"/>
  </si>
  <si>
    <t>가동중인 설치에 의한 출동 사고</t>
    <phoneticPr fontId="1" type="noConversion"/>
  </si>
  <si>
    <t>기타</t>
    <phoneticPr fontId="1" type="noConversion"/>
  </si>
  <si>
    <t>1. 지게차 점검</t>
    <phoneticPr fontId="1" type="noConversion"/>
  </si>
  <si>
    <t>감전(안전전압 초과)</t>
  </si>
  <si>
    <t>충전기 피복 파손으로 인한 감전 사고</t>
  </si>
  <si>
    <t>1.충전기 피복 수시 확인</t>
    <phoneticPr fontId="1" type="noConversion"/>
  </si>
  <si>
    <t>2022. 09. 27.</t>
    <phoneticPr fontId="1" type="noConversion"/>
  </si>
  <si>
    <t>2022. 10. 07.</t>
    <phoneticPr fontId="1" type="noConversion"/>
  </si>
  <si>
    <t>일우비앤비 (충청남도 천안시 서북구 성환읍 지족향길 10)</t>
    <phoneticPr fontId="13" type="noConversion"/>
  </si>
  <si>
    <t>신세기</t>
    <phoneticPr fontId="13" type="noConversion"/>
  </si>
  <si>
    <t>천장 크레인 1대</t>
    <phoneticPr fontId="13" type="noConversion"/>
  </si>
  <si>
    <t>김동현 부장</t>
    <phoneticPr fontId="1" type="noConversion"/>
  </si>
  <si>
    <t>발판형 사다리</t>
    <phoneticPr fontId="1" type="noConversion"/>
  </si>
  <si>
    <t>1.2줄 걸이 결속 및 수평 유지하여 천천히 작업                                            2.관리자 1인 감독하에 작업 진행</t>
    <phoneticPr fontId="1" type="noConversion"/>
  </si>
  <si>
    <t>1.작업구역 출입금지                  
2.관리자 1인 감독하에 작업 진행
3.후진경보음,경광등 설치</t>
    <phoneticPr fontId="1" type="noConversion"/>
  </si>
  <si>
    <t>1.한역,운반용 기구사용               
2.인력운반 지양                       
3.근로자 이동동선상 돌출물 제거        
4.주변 환경 정리 정돈 철저</t>
    <phoneticPr fontId="1" type="noConversion"/>
  </si>
  <si>
    <t>1.작업 전,후 숫돌 직경 확인           
2.방호덮개 부착                                   3.보안경지급</t>
    <phoneticPr fontId="1" type="noConversion"/>
  </si>
  <si>
    <t>1.작업공간 가연성 물질 유무 확인     
2.소화기 비치                          
3.불티비산방지 장치 설치</t>
    <phoneticPr fontId="1" type="noConversion"/>
  </si>
  <si>
    <t>1.작업전 근로자 상태확인</t>
    <phoneticPr fontId="1" type="noConversion"/>
  </si>
  <si>
    <t>1.보호구(안전모, 안전화) 지급         
2.보호구(안전모, 안전화) 착용         
3.안전보건교육 실시</t>
    <phoneticPr fontId="1" type="noConversion"/>
  </si>
  <si>
    <t>1.관리자 상주 하에 작업 진행                     
2.하역구역 관계 근로자외 출입 금지</t>
    <phoneticPr fontId="1" type="noConversion"/>
  </si>
  <si>
    <t>1.관리자 상주 하에 작업 진행                 2.하역구역 관계 근로자외 출입 금지</t>
    <phoneticPr fontId="1" type="noConversion"/>
  </si>
  <si>
    <t>1.관리자 상주 하에 작업 진행                    2.하역구역 관계 근로자외 출입 금지</t>
    <phoneticPr fontId="1" type="noConversion"/>
  </si>
  <si>
    <t xml:space="preserve">1.견고한 기반위 적재                  
2.불안정한 높이로 적재 금지           
3.편하중 생기지 않도록 함            
4.관리자 상주 하에 작업 진행  </t>
    <phoneticPr fontId="1" type="noConversion"/>
  </si>
  <si>
    <t xml:space="preserve">1.적합한 팔레트 및 운반기반 사용       
2.운반 전 결속 검사                    
3.지게차과적 금지, 운전자 시야 확보   
4.관리자 상주하에 작업 진행 </t>
    <phoneticPr fontId="1" type="noConversion"/>
  </si>
  <si>
    <t>추락위험 부분</t>
    <phoneticPr fontId="1" type="noConversion"/>
  </si>
  <si>
    <t>하역구역 관계 근로자외 출입 금지</t>
    <phoneticPr fontId="1" type="noConversion"/>
  </si>
  <si>
    <t>보관구역 관계 근로자외 출입 금지</t>
    <phoneticPr fontId="1" type="noConversion"/>
  </si>
  <si>
    <t>1.견고한 기반위 적재               2.불안정한 높이로 적재 금지        
3.편하중 생기지 않도록 함</t>
    <phoneticPr fontId="1" type="noConversion"/>
  </si>
  <si>
    <t>1.적합한 팔레트 및 운반기반 사용       
2.운반전 결속 검사                     3.지게차과적 금지, 운전자 시야 확보</t>
    <phoneticPr fontId="1" type="noConversion"/>
  </si>
  <si>
    <t>1.작업전 연결부 체결상태 확인          
2.인양장비 후크 해지방지 장치 점검</t>
    <phoneticPr fontId="1" type="noConversion"/>
  </si>
  <si>
    <t>1.작업 전,후 숫돌 직경 확인        
2.방호덮개 부착</t>
    <phoneticPr fontId="1" type="noConversion"/>
  </si>
  <si>
    <t>작업전 근로자 상태확인</t>
    <phoneticPr fontId="1" type="noConversion"/>
  </si>
  <si>
    <t>1.보호구(안전모, 안전화) 지급       
2.보호구(안전모, 안전화) 착용</t>
    <phoneticPr fontId="1" type="noConversion"/>
  </si>
  <si>
    <t>1.근골격계에 부담을 주지 않도록 조치 
2.근로자 중량물 취급 교육</t>
    <phoneticPr fontId="1" type="noConversion"/>
  </si>
  <si>
    <t>눈관리표시</t>
    <phoneticPr fontId="1" type="noConversion"/>
  </si>
  <si>
    <t>1.눈관리표시                                          2.안전 구역 표시 (시운전 구역 표시)</t>
    <phoneticPr fontId="1" type="noConversion"/>
  </si>
  <si>
    <t>1.충전기 피복 수시 확인              
2.파손 시 절연 조치                                    3.점검 SHEET 작성, 수시 점검</t>
    <phoneticPr fontId="1" type="noConversion"/>
  </si>
  <si>
    <t>2인 1조 작업 진행</t>
    <phoneticPr fontId="1" type="noConversion"/>
  </si>
  <si>
    <t>작업 구역 설정 및 인원 통제</t>
    <phoneticPr fontId="1" type="noConversion"/>
  </si>
  <si>
    <t>1.작업 구역 설정 및 인원 통제
2.자재/공구 이탈 방지 끈 체결
3.2M 이상 발판 작업시 설비 안전로프 설치 후 안전고리 체결</t>
    <phoneticPr fontId="1" type="noConversion"/>
  </si>
  <si>
    <t>1.작업 구역 설정 및 인원 통제          
2.자재/공구 이탈 방지 끈 체결
3.2M 이상 발판 작업시 설비 안전로프 설치 후 안전고리 체결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</si>
</sst>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176" formatCode="0_);[Red]\(0\)"/>
    <numFmt numFmtId="177" formatCode="0.0_);[Red]\(0.0\)"/>
    <numFmt numFmtId="178" formatCode="0.0"/>
    <numFmt numFmtId="179" formatCode="dd"/>
  </numFmts>
  <fonts count="6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</font>
    <font>
      <b/>
      <sz val="16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3"/>
      <color rgb="FFFF8800"/>
      <name val="Calibri"/>
      <family val="2"/>
    </font>
    <font>
      <b/>
      <sz val="9"/>
      <color rgb="FFFF8800"/>
      <name val="Calibri"/>
      <family val="2"/>
    </font>
    <font>
      <b/>
      <sz val="9"/>
      <color rgb="FFFF8800"/>
      <name val="돋움"/>
      <family val="3"/>
      <charset val="129"/>
    </font>
    <font>
      <sz val="9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8800"/>
      <name val="Calibri"/>
      <family val="2"/>
    </font>
    <font>
      <sz val="8"/>
      <color theme="0"/>
      <name val="Calibri"/>
      <family val="2"/>
    </font>
    <font>
      <sz val="8"/>
      <color rgb="FFFF8800"/>
      <name val="Calibri"/>
      <family val="2"/>
    </font>
    <font>
      <sz val="9"/>
      <color rgb="FFFF8800"/>
      <name val="맑은 고딕"/>
      <family val="3"/>
      <charset val="129"/>
      <scheme val="minor"/>
    </font>
    <font>
      <sz val="9"/>
      <color rgb="FF0066FF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rgb="FFFF0000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00FF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1" fillId="0" borderId="0"/>
    <xf numFmtId="9" fontId="12" fillId="0" borderId="0" applyFont="0" applyFill="0" applyBorder="0" applyAlignment="0" applyProtection="0">
      <alignment vertical="center"/>
    </xf>
    <xf numFmtId="0" fontId="12" fillId="0" borderId="0"/>
  </cellStyleXfs>
  <cellXfs count="4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7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42" fillId="13" borderId="0" xfId="6" applyFont="1" applyFill="1" applyBorder="1" applyAlignment="1">
      <alignment horizontal="left" vertical="top"/>
    </xf>
    <xf numFmtId="0" fontId="42" fillId="13" borderId="0" xfId="6" applyFont="1" applyFill="1" applyBorder="1" applyAlignment="1">
      <alignment horizontal="left" vertical="center"/>
    </xf>
    <xf numFmtId="0" fontId="43" fillId="13" borderId="0" xfId="6" applyFont="1" applyFill="1" applyBorder="1" applyAlignment="1">
      <alignment horizontal="left" vertical="top"/>
    </xf>
    <xf numFmtId="0" fontId="44" fillId="13" borderId="0" xfId="6" applyFont="1" applyFill="1" applyBorder="1" applyAlignment="1">
      <alignment vertical="center"/>
    </xf>
    <xf numFmtId="0" fontId="44" fillId="13" borderId="0" xfId="6" applyFont="1" applyFill="1" applyBorder="1" applyAlignment="1">
      <alignment horizontal="center" vertical="center"/>
    </xf>
    <xf numFmtId="14" fontId="44" fillId="13" borderId="0" xfId="6" applyNumberFormat="1" applyFont="1" applyFill="1" applyBorder="1" applyAlignment="1">
      <alignment vertical="top"/>
    </xf>
    <xf numFmtId="14" fontId="45" fillId="13" borderId="0" xfId="6" applyNumberFormat="1" applyFont="1" applyFill="1" applyBorder="1" applyAlignment="1">
      <alignment horizontal="left" vertical="top" wrapText="1"/>
    </xf>
    <xf numFmtId="177" fontId="46" fillId="13" borderId="0" xfId="6" applyNumberFormat="1" applyFont="1" applyFill="1" applyBorder="1" applyAlignment="1">
      <alignment horizontal="center" vertical="top"/>
    </xf>
    <xf numFmtId="177" fontId="42" fillId="13" borderId="0" xfId="6" applyNumberFormat="1" applyFont="1" applyFill="1" applyBorder="1" applyAlignment="1">
      <alignment horizontal="center" vertical="top"/>
    </xf>
    <xf numFmtId="177" fontId="44" fillId="13" borderId="0" xfId="6" applyNumberFormat="1" applyFont="1" applyFill="1" applyBorder="1" applyAlignment="1">
      <alignment horizontal="center" vertical="top"/>
    </xf>
    <xf numFmtId="14" fontId="44" fillId="13" borderId="0" xfId="6" applyNumberFormat="1" applyFont="1" applyFill="1" applyBorder="1" applyAlignment="1">
      <alignment horizontal="center" vertical="top"/>
    </xf>
    <xf numFmtId="1" fontId="44" fillId="13" borderId="0" xfId="6" applyNumberFormat="1" applyFont="1" applyFill="1" applyBorder="1" applyAlignment="1">
      <alignment horizontal="center" vertical="top"/>
    </xf>
    <xf numFmtId="0" fontId="46" fillId="13" borderId="0" xfId="7" applyFont="1" applyFill="1" applyBorder="1" applyAlignment="1">
      <alignment vertical="top" wrapText="1"/>
    </xf>
    <xf numFmtId="0" fontId="46" fillId="13" borderId="0" xfId="7" applyNumberFormat="1" applyFont="1" applyFill="1" applyBorder="1" applyAlignment="1">
      <alignment horizontal="center" vertical="top"/>
    </xf>
    <xf numFmtId="0" fontId="46" fillId="13" borderId="0" xfId="7" applyFont="1" applyFill="1" applyBorder="1" applyAlignment="1">
      <alignment vertical="top"/>
    </xf>
    <xf numFmtId="0" fontId="43" fillId="13" borderId="0" xfId="7" applyFont="1" applyFill="1" applyBorder="1" applyAlignment="1">
      <alignment horizontal="right" vertical="top"/>
    </xf>
    <xf numFmtId="0" fontId="48" fillId="13" borderId="0" xfId="7" applyFont="1" applyFill="1" applyBorder="1" applyAlignment="1">
      <alignment horizontal="right" vertical="center"/>
    </xf>
    <xf numFmtId="0" fontId="49" fillId="13" borderId="0" xfId="7" applyFont="1" applyFill="1" applyBorder="1" applyAlignment="1">
      <alignment horizontal="left" vertical="center"/>
    </xf>
    <xf numFmtId="0" fontId="47" fillId="13" borderId="0" xfId="7" applyFill="1" applyBorder="1" applyAlignment="1">
      <alignment horizontal="left" vertical="center"/>
    </xf>
    <xf numFmtId="0" fontId="29" fillId="13" borderId="0" xfId="6" applyFont="1" applyFill="1" applyBorder="1" applyAlignment="1">
      <alignment horizontal="left" vertical="center"/>
    </xf>
    <xf numFmtId="0" fontId="52" fillId="13" borderId="0" xfId="7" applyNumberFormat="1" applyFont="1" applyFill="1" applyBorder="1" applyAlignment="1">
      <alignment horizontal="right" vertical="center"/>
    </xf>
    <xf numFmtId="10" fontId="52" fillId="13" borderId="0" xfId="8" applyNumberFormat="1" applyFont="1" applyFill="1" applyBorder="1" applyAlignment="1">
      <alignment horizontal="right" vertical="center"/>
    </xf>
    <xf numFmtId="0" fontId="52" fillId="13" borderId="0" xfId="7" applyNumberFormat="1" applyFont="1" applyFill="1" applyBorder="1" applyAlignment="1">
      <alignment horizontal="center" vertical="center"/>
    </xf>
    <xf numFmtId="177" fontId="52" fillId="13" borderId="0" xfId="7" applyNumberFormat="1" applyFont="1" applyFill="1" applyBorder="1" applyAlignment="1">
      <alignment horizontal="right" vertical="center"/>
    </xf>
    <xf numFmtId="0" fontId="53" fillId="13" borderId="0" xfId="7" applyNumberFormat="1" applyFont="1" applyFill="1" applyBorder="1" applyAlignment="1">
      <alignment vertical="top"/>
    </xf>
    <xf numFmtId="0" fontId="53" fillId="13" borderId="0" xfId="7" applyNumberFormat="1" applyFont="1" applyFill="1" applyBorder="1" applyAlignment="1">
      <alignment horizontal="right" vertical="top"/>
    </xf>
    <xf numFmtId="0" fontId="54" fillId="13" borderId="0" xfId="6" applyFont="1" applyFill="1" applyBorder="1" applyAlignment="1">
      <alignment horizontal="left" vertical="center"/>
    </xf>
    <xf numFmtId="0" fontId="29" fillId="0" borderId="0" xfId="6" applyFont="1" applyFill="1" applyBorder="1" applyAlignment="1">
      <alignment horizontal="left" vertical="center"/>
    </xf>
    <xf numFmtId="179" fontId="56" fillId="15" borderId="86" xfId="9" applyNumberFormat="1" applyFont="1" applyFill="1" applyBorder="1" applyAlignment="1" applyProtection="1">
      <alignment horizontal="center" vertical="center"/>
    </xf>
    <xf numFmtId="179" fontId="56" fillId="15" borderId="87" xfId="9" applyNumberFormat="1" applyFont="1" applyFill="1" applyBorder="1" applyAlignment="1" applyProtection="1">
      <alignment horizontal="center" vertical="center"/>
    </xf>
    <xf numFmtId="0" fontId="56" fillId="15" borderId="87" xfId="9" applyFont="1" applyFill="1" applyBorder="1" applyAlignment="1" applyProtection="1">
      <alignment horizontal="left" vertical="center"/>
    </xf>
    <xf numFmtId="0" fontId="56" fillId="15" borderId="88" xfId="9" applyFont="1" applyFill="1" applyBorder="1" applyAlignment="1" applyProtection="1">
      <alignment horizontal="left" vertical="center"/>
    </xf>
    <xf numFmtId="0" fontId="57" fillId="0" borderId="0" xfId="9" applyFont="1" applyFill="1" applyBorder="1" applyAlignment="1" applyProtection="1">
      <alignment horizontal="left" vertical="center"/>
    </xf>
    <xf numFmtId="0" fontId="29" fillId="0" borderId="0" xfId="9" applyFont="1" applyFill="1" applyBorder="1" applyAlignment="1" applyProtection="1">
      <alignment horizontal="left" vertical="center"/>
    </xf>
    <xf numFmtId="0" fontId="29" fillId="0" borderId="89" xfId="9" applyFont="1" applyFill="1" applyBorder="1" applyAlignment="1" applyProtection="1">
      <alignment vertical="top"/>
      <protection locked="0"/>
    </xf>
    <xf numFmtId="0" fontId="29" fillId="0" borderId="89" xfId="9" quotePrefix="1" applyFont="1" applyFill="1" applyBorder="1" applyAlignment="1" applyProtection="1">
      <alignment horizontal="right" vertical="top"/>
      <protection locked="0"/>
    </xf>
    <xf numFmtId="0" fontId="29" fillId="0" borderId="89" xfId="9" applyFont="1" applyFill="1" applyBorder="1" applyAlignment="1" applyProtection="1">
      <alignment horizontal="left" vertical="top"/>
      <protection locked="0"/>
    </xf>
    <xf numFmtId="0" fontId="29" fillId="0" borderId="89" xfId="9" applyFont="1" applyFill="1" applyBorder="1" applyAlignment="1" applyProtection="1">
      <alignment horizontal="center" vertical="top"/>
      <protection locked="0"/>
    </xf>
    <xf numFmtId="14" fontId="29" fillId="9" borderId="89" xfId="9" applyNumberFormat="1" applyFont="1" applyFill="1" applyBorder="1" applyAlignment="1" applyProtection="1">
      <alignment horizontal="center" vertical="top"/>
      <protection locked="0"/>
    </xf>
    <xf numFmtId="0" fontId="29" fillId="0" borderId="89" xfId="9" applyNumberFormat="1" applyFont="1" applyFill="1" applyBorder="1" applyAlignment="1" applyProtection="1">
      <alignment horizontal="left" vertical="top"/>
      <protection locked="0"/>
    </xf>
    <xf numFmtId="177" fontId="29" fillId="0" borderId="89" xfId="9" applyNumberFormat="1" applyFont="1" applyFill="1" applyBorder="1" applyAlignment="1" applyProtection="1">
      <alignment horizontal="center" vertical="top"/>
      <protection locked="0"/>
    </xf>
    <xf numFmtId="14" fontId="29" fillId="0" borderId="89" xfId="9" applyNumberFormat="1" applyFont="1" applyFill="1" applyBorder="1" applyAlignment="1" applyProtection="1">
      <alignment horizontal="center" vertical="top"/>
      <protection locked="0"/>
    </xf>
    <xf numFmtId="178" fontId="29" fillId="0" borderId="89" xfId="9" applyNumberFormat="1" applyFont="1" applyFill="1" applyBorder="1" applyAlignment="1" applyProtection="1">
      <alignment horizontal="center" vertical="top"/>
      <protection locked="0"/>
    </xf>
    <xf numFmtId="1" fontId="29" fillId="0" borderId="89" xfId="9" applyNumberFormat="1" applyFont="1" applyFill="1" applyBorder="1" applyAlignment="1" applyProtection="1">
      <alignment horizontal="center" vertical="top"/>
      <protection locked="0"/>
    </xf>
    <xf numFmtId="0" fontId="29" fillId="0" borderId="89" xfId="9" applyNumberFormat="1" applyFont="1" applyFill="1" applyBorder="1" applyAlignment="1" applyProtection="1">
      <alignment horizontal="center" vertical="top"/>
      <protection locked="0"/>
    </xf>
    <xf numFmtId="14" fontId="29" fillId="0" borderId="89" xfId="9" applyNumberFormat="1" applyFont="1" applyFill="1" applyBorder="1" applyAlignment="1" applyProtection="1">
      <alignment horizontal="left" vertical="top"/>
      <protection locked="0"/>
    </xf>
    <xf numFmtId="10" fontId="29" fillId="0" borderId="89" xfId="10" applyNumberFormat="1" applyFont="1" applyFill="1" applyBorder="1" applyAlignment="1" applyProtection="1">
      <alignment horizontal="right" vertical="top" wrapText="1"/>
      <protection locked="0"/>
    </xf>
    <xf numFmtId="10" fontId="35" fillId="10" borderId="90" xfId="10" applyNumberFormat="1" applyFont="1" applyFill="1" applyBorder="1" applyAlignment="1" applyProtection="1">
      <alignment horizontal="right" vertical="top"/>
      <protection locked="0"/>
    </xf>
    <xf numFmtId="0" fontId="29" fillId="0" borderId="91" xfId="9" applyFont="1" applyFill="1" applyBorder="1" applyAlignment="1" applyProtection="1">
      <alignment horizontal="left" vertical="center"/>
      <protection locked="0"/>
    </xf>
    <xf numFmtId="0" fontId="29" fillId="0" borderId="92" xfId="9" applyFont="1" applyFill="1" applyBorder="1" applyAlignment="1" applyProtection="1">
      <alignment horizontal="left" vertical="center"/>
      <protection locked="0"/>
    </xf>
    <xf numFmtId="0" fontId="29" fillId="0" borderId="93" xfId="9" applyFont="1" applyFill="1" applyBorder="1" applyAlignment="1" applyProtection="1">
      <alignment horizontal="left" vertical="center"/>
      <protection locked="0"/>
    </xf>
    <xf numFmtId="0" fontId="29" fillId="0" borderId="94" xfId="9" applyFont="1" applyFill="1" applyBorder="1" applyAlignment="1" applyProtection="1">
      <alignment horizontal="left" vertical="center"/>
      <protection locked="0"/>
    </xf>
    <xf numFmtId="10" fontId="29" fillId="10" borderId="90" xfId="10" applyNumberFormat="1" applyFont="1" applyFill="1" applyBorder="1" applyAlignment="1" applyProtection="1">
      <alignment horizontal="right" vertical="top"/>
      <protection locked="0"/>
    </xf>
    <xf numFmtId="0" fontId="58" fillId="0" borderId="89" xfId="9" applyFont="1" applyFill="1" applyBorder="1" applyAlignment="1" applyProtection="1">
      <alignment horizontal="left" vertical="top"/>
      <protection locked="0"/>
    </xf>
    <xf numFmtId="14" fontId="29" fillId="9" borderId="89" xfId="9" applyNumberFormat="1" applyFont="1" applyFill="1" applyBorder="1" applyAlignment="1" applyProtection="1">
      <alignment horizontal="left" vertical="top"/>
      <protection locked="0"/>
    </xf>
    <xf numFmtId="0" fontId="29" fillId="0" borderId="89" xfId="9" applyFont="1" applyFill="1" applyBorder="1" applyAlignment="1" applyProtection="1">
      <alignment horizontal="center" vertical="center"/>
      <protection locked="0"/>
    </xf>
    <xf numFmtId="0" fontId="29" fillId="0" borderId="89" xfId="9" applyFont="1" applyFill="1" applyBorder="1" applyAlignment="1" applyProtection="1">
      <alignment horizontal="left" vertical="center"/>
      <protection locked="0"/>
    </xf>
    <xf numFmtId="0" fontId="35" fillId="0" borderId="89" xfId="9" applyFont="1" applyFill="1" applyBorder="1" applyAlignment="1" applyProtection="1">
      <alignment horizontal="left" vertical="top"/>
      <protection locked="0"/>
    </xf>
    <xf numFmtId="0" fontId="29" fillId="9" borderId="89" xfId="9" applyFont="1" applyFill="1" applyBorder="1" applyAlignment="1" applyProtection="1">
      <alignment horizontal="left" vertical="top"/>
      <protection locked="0"/>
    </xf>
    <xf numFmtId="0" fontId="29" fillId="9" borderId="89" xfId="9" applyFont="1" applyFill="1" applyBorder="1" applyAlignment="1" applyProtection="1">
      <alignment horizontal="center" vertical="top"/>
      <protection locked="0"/>
    </xf>
    <xf numFmtId="0" fontId="29" fillId="9" borderId="89" xfId="9" applyNumberFormat="1" applyFont="1" applyFill="1" applyBorder="1" applyAlignment="1" applyProtection="1">
      <alignment horizontal="left" vertical="top"/>
      <protection locked="0"/>
    </xf>
    <xf numFmtId="177" fontId="29" fillId="9" borderId="89" xfId="9" applyNumberFormat="1" applyFont="1" applyFill="1" applyBorder="1" applyAlignment="1" applyProtection="1">
      <alignment horizontal="center" vertical="top"/>
      <protection locked="0"/>
    </xf>
    <xf numFmtId="178" fontId="29" fillId="9" borderId="89" xfId="9" applyNumberFormat="1" applyFont="1" applyFill="1" applyBorder="1" applyAlignment="1" applyProtection="1">
      <alignment horizontal="center" vertical="top"/>
      <protection locked="0"/>
    </xf>
    <xf numFmtId="1" fontId="29" fillId="9" borderId="89" xfId="9" applyNumberFormat="1" applyFont="1" applyFill="1" applyBorder="1" applyAlignment="1" applyProtection="1">
      <alignment horizontal="center" vertical="top"/>
      <protection locked="0"/>
    </xf>
    <xf numFmtId="0" fontId="29" fillId="9" borderId="89" xfId="9" applyNumberFormat="1" applyFont="1" applyFill="1" applyBorder="1" applyAlignment="1" applyProtection="1">
      <alignment horizontal="center" vertical="top"/>
      <protection locked="0"/>
    </xf>
    <xf numFmtId="10" fontId="29" fillId="9" borderId="89" xfId="10" applyNumberFormat="1" applyFont="1" applyFill="1" applyBorder="1" applyAlignment="1" applyProtection="1">
      <alignment horizontal="right" vertical="top" wrapText="1"/>
      <protection locked="0"/>
    </xf>
    <xf numFmtId="0" fontId="58" fillId="9" borderId="89" xfId="9" applyFont="1" applyFill="1" applyBorder="1" applyAlignment="1" applyProtection="1">
      <alignment horizontal="left" vertical="top"/>
      <protection locked="0"/>
    </xf>
    <xf numFmtId="10" fontId="29" fillId="13" borderId="90" xfId="10" applyNumberFormat="1" applyFont="1" applyFill="1" applyBorder="1" applyAlignment="1" applyProtection="1">
      <alignment horizontal="right" vertical="top"/>
      <protection locked="0"/>
    </xf>
    <xf numFmtId="14" fontId="29" fillId="11" borderId="89" xfId="9" applyNumberFormat="1" applyFont="1" applyFill="1" applyBorder="1" applyAlignment="1" applyProtection="1">
      <alignment horizontal="center" vertical="top"/>
      <protection locked="0"/>
    </xf>
    <xf numFmtId="0" fontId="33" fillId="0" borderId="89" xfId="9" applyFont="1" applyFill="1" applyBorder="1" applyAlignment="1" applyProtection="1">
      <alignment horizontal="left" vertical="top"/>
      <protection locked="0"/>
    </xf>
    <xf numFmtId="10" fontId="35" fillId="13" borderId="90" xfId="10" applyNumberFormat="1" applyFont="1" applyFill="1" applyBorder="1" applyAlignment="1" applyProtection="1">
      <alignment horizontal="right" vertical="top"/>
      <protection locked="0"/>
    </xf>
    <xf numFmtId="14" fontId="35" fillId="0" borderId="89" xfId="9" applyNumberFormat="1" applyFont="1" applyFill="1" applyBorder="1" applyAlignment="1" applyProtection="1">
      <alignment horizontal="center" vertical="top"/>
      <protection locked="0"/>
    </xf>
    <xf numFmtId="0" fontId="35" fillId="0" borderId="89" xfId="9" applyNumberFormat="1" applyFont="1" applyFill="1" applyBorder="1" applyAlignment="1" applyProtection="1">
      <alignment horizontal="left" vertical="top"/>
      <protection locked="0"/>
    </xf>
    <xf numFmtId="177" fontId="35" fillId="0" borderId="89" xfId="9" applyNumberFormat="1" applyFont="1" applyFill="1" applyBorder="1" applyAlignment="1" applyProtection="1">
      <alignment horizontal="center" vertical="top"/>
      <protection locked="0"/>
    </xf>
    <xf numFmtId="178" fontId="35" fillId="0" borderId="89" xfId="9" applyNumberFormat="1" applyFont="1" applyFill="1" applyBorder="1" applyAlignment="1" applyProtection="1">
      <alignment horizontal="center" vertical="top"/>
      <protection locked="0"/>
    </xf>
    <xf numFmtId="1" fontId="35" fillId="0" borderId="89" xfId="9" applyNumberFormat="1" applyFont="1" applyFill="1" applyBorder="1" applyAlignment="1" applyProtection="1">
      <alignment horizontal="center" vertical="top"/>
      <protection locked="0"/>
    </xf>
    <xf numFmtId="0" fontId="35" fillId="0" borderId="89" xfId="9" applyNumberFormat="1" applyFont="1" applyFill="1" applyBorder="1" applyAlignment="1" applyProtection="1">
      <alignment horizontal="center" vertical="top"/>
      <protection locked="0"/>
    </xf>
    <xf numFmtId="14" fontId="35" fillId="0" borderId="89" xfId="9" applyNumberFormat="1" applyFont="1" applyFill="1" applyBorder="1" applyAlignment="1" applyProtection="1">
      <alignment horizontal="left" vertical="top"/>
      <protection locked="0"/>
    </xf>
    <xf numFmtId="10" fontId="35" fillId="0" borderId="89" xfId="10" applyNumberFormat="1" applyFont="1" applyFill="1" applyBorder="1" applyAlignment="1" applyProtection="1">
      <alignment horizontal="right" vertical="top" wrapText="1"/>
      <protection locked="0"/>
    </xf>
    <xf numFmtId="0" fontId="36" fillId="0" borderId="89" xfId="9" applyFont="1" applyFill="1" applyBorder="1" applyAlignment="1" applyProtection="1">
      <alignment horizontal="left" vertical="top"/>
      <protection locked="0"/>
    </xf>
    <xf numFmtId="10" fontId="29" fillId="0" borderId="90" xfId="10" applyNumberFormat="1" applyFont="1" applyFill="1" applyBorder="1" applyAlignment="1" applyProtection="1">
      <alignment horizontal="right" vertical="top"/>
      <protection locked="0"/>
    </xf>
    <xf numFmtId="0" fontId="59" fillId="9" borderId="89" xfId="9" applyFont="1" applyFill="1" applyBorder="1" applyAlignment="1" applyProtection="1">
      <alignment horizontal="left" vertical="top"/>
      <protection locked="0"/>
    </xf>
    <xf numFmtId="0" fontId="35" fillId="0" borderId="89" xfId="9" applyFont="1" applyFill="1" applyBorder="1" applyAlignment="1" applyProtection="1">
      <alignment horizontal="left" vertical="center"/>
      <protection locked="0"/>
    </xf>
    <xf numFmtId="0" fontId="60" fillId="0" borderId="89" xfId="11" applyFont="1" applyBorder="1" applyAlignment="1">
      <alignment horizontal="left" vertical="center"/>
    </xf>
    <xf numFmtId="0" fontId="61" fillId="0" borderId="89" xfId="9" applyFont="1" applyFill="1" applyBorder="1" applyAlignment="1" applyProtection="1">
      <alignment horizontal="left" vertical="top"/>
      <protection locked="0"/>
    </xf>
    <xf numFmtId="0" fontId="62" fillId="0" borderId="89" xfId="9" applyFont="1" applyFill="1" applyBorder="1" applyAlignment="1" applyProtection="1">
      <alignment horizontal="left" vertical="top"/>
      <protection locked="0"/>
    </xf>
    <xf numFmtId="0" fontId="29" fillId="0" borderId="95" xfId="9" applyFont="1" applyFill="1" applyBorder="1" applyAlignment="1" applyProtection="1">
      <alignment vertical="top"/>
      <protection locked="0"/>
    </xf>
    <xf numFmtId="0" fontId="29" fillId="0" borderId="95" xfId="9" quotePrefix="1" applyFont="1" applyFill="1" applyBorder="1" applyAlignment="1" applyProtection="1">
      <alignment horizontal="right" vertical="top"/>
      <protection locked="0"/>
    </xf>
    <xf numFmtId="0" fontId="29" fillId="0" borderId="95" xfId="9" applyFont="1" applyFill="1" applyBorder="1" applyAlignment="1" applyProtection="1">
      <alignment horizontal="left" vertical="top"/>
      <protection locked="0"/>
    </xf>
    <xf numFmtId="0" fontId="58" fillId="0" borderId="95" xfId="9" applyFont="1" applyFill="1" applyBorder="1" applyAlignment="1" applyProtection="1">
      <alignment horizontal="left" vertical="top"/>
      <protection locked="0"/>
    </xf>
    <xf numFmtId="0" fontId="62" fillId="0" borderId="95" xfId="9" applyFont="1" applyFill="1" applyBorder="1" applyAlignment="1" applyProtection="1">
      <alignment horizontal="left" vertical="top"/>
      <protection locked="0"/>
    </xf>
    <xf numFmtId="0" fontId="29" fillId="0" borderId="95" xfId="9" applyFont="1" applyFill="1" applyBorder="1" applyAlignment="1" applyProtection="1">
      <alignment horizontal="center" vertical="top"/>
      <protection locked="0"/>
    </xf>
    <xf numFmtId="14" fontId="29" fillId="9" borderId="95" xfId="9" applyNumberFormat="1" applyFont="1" applyFill="1" applyBorder="1" applyAlignment="1" applyProtection="1">
      <alignment horizontal="center" vertical="top"/>
      <protection locked="0"/>
    </xf>
    <xf numFmtId="0" fontId="29" fillId="0" borderId="95" xfId="9" applyNumberFormat="1" applyFont="1" applyFill="1" applyBorder="1" applyAlignment="1" applyProtection="1">
      <alignment horizontal="left" vertical="top"/>
      <protection locked="0"/>
    </xf>
    <xf numFmtId="177" fontId="29" fillId="0" borderId="95" xfId="9" applyNumberFormat="1" applyFont="1" applyFill="1" applyBorder="1" applyAlignment="1" applyProtection="1">
      <alignment horizontal="center" vertical="top"/>
      <protection locked="0"/>
    </xf>
    <xf numFmtId="14" fontId="29" fillId="0" borderId="95" xfId="9" applyNumberFormat="1" applyFont="1" applyFill="1" applyBorder="1" applyAlignment="1" applyProtection="1">
      <alignment horizontal="center" vertical="top"/>
      <protection locked="0"/>
    </xf>
    <xf numFmtId="178" fontId="29" fillId="0" borderId="95" xfId="9" applyNumberFormat="1" applyFont="1" applyFill="1" applyBorder="1" applyAlignment="1" applyProtection="1">
      <alignment horizontal="center" vertical="top"/>
      <protection locked="0"/>
    </xf>
    <xf numFmtId="1" fontId="29" fillId="0" borderId="95" xfId="9" applyNumberFormat="1" applyFont="1" applyFill="1" applyBorder="1" applyAlignment="1" applyProtection="1">
      <alignment horizontal="center" vertical="top"/>
      <protection locked="0"/>
    </xf>
    <xf numFmtId="0" fontId="29" fillId="0" borderId="95" xfId="9" applyNumberFormat="1" applyFont="1" applyFill="1" applyBorder="1" applyAlignment="1" applyProtection="1">
      <alignment horizontal="center" vertical="top"/>
      <protection locked="0"/>
    </xf>
    <xf numFmtId="14" fontId="29" fillId="0" borderId="95" xfId="9" applyNumberFormat="1" applyFont="1" applyFill="1" applyBorder="1" applyAlignment="1" applyProtection="1">
      <alignment horizontal="left" vertical="top"/>
      <protection locked="0"/>
    </xf>
    <xf numFmtId="10" fontId="29" fillId="0" borderId="95" xfId="10" applyNumberFormat="1" applyFont="1" applyFill="1" applyBorder="1" applyAlignment="1" applyProtection="1">
      <alignment horizontal="right" vertical="top" wrapText="1"/>
      <protection locked="0"/>
    </xf>
    <xf numFmtId="10" fontId="35" fillId="13" borderId="96" xfId="10" applyNumberFormat="1" applyFont="1" applyFill="1" applyBorder="1" applyAlignment="1" applyProtection="1">
      <alignment horizontal="right" vertical="top"/>
      <protection locked="0"/>
    </xf>
    <xf numFmtId="14" fontId="35" fillId="9" borderId="89" xfId="9" applyNumberFormat="1" applyFont="1" applyFill="1" applyBorder="1" applyAlignment="1" applyProtection="1">
      <alignment horizontal="center" vertical="top"/>
      <protection locked="0"/>
    </xf>
    <xf numFmtId="0" fontId="29" fillId="0" borderId="97" xfId="9" applyFont="1" applyFill="1" applyBorder="1" applyAlignment="1" applyProtection="1">
      <alignment vertical="top"/>
      <protection locked="0"/>
    </xf>
    <xf numFmtId="0" fontId="29" fillId="0" borderId="97" xfId="9" applyFont="1" applyFill="1" applyBorder="1" applyAlignment="1" applyProtection="1">
      <alignment horizontal="left" vertical="top"/>
      <protection locked="0"/>
    </xf>
    <xf numFmtId="0" fontId="29" fillId="0" borderId="97" xfId="9" applyFont="1" applyFill="1" applyBorder="1" applyAlignment="1" applyProtection="1">
      <alignment horizontal="center" vertical="top"/>
      <protection locked="0"/>
    </xf>
    <xf numFmtId="14" fontId="29" fillId="0" borderId="97" xfId="9" applyNumberFormat="1" applyFont="1" applyFill="1" applyBorder="1" applyAlignment="1" applyProtection="1">
      <alignment horizontal="center" vertical="top"/>
      <protection locked="0"/>
    </xf>
    <xf numFmtId="0" fontId="29" fillId="0" borderId="97" xfId="9" applyNumberFormat="1" applyFont="1" applyFill="1" applyBorder="1" applyAlignment="1" applyProtection="1">
      <alignment horizontal="left" vertical="top"/>
      <protection locked="0"/>
    </xf>
    <xf numFmtId="177" fontId="29" fillId="0" borderId="97" xfId="9" applyNumberFormat="1" applyFont="1" applyFill="1" applyBorder="1" applyAlignment="1" applyProtection="1">
      <alignment horizontal="center" vertical="top"/>
      <protection locked="0"/>
    </xf>
    <xf numFmtId="178" fontId="29" fillId="0" borderId="97" xfId="9" applyNumberFormat="1" applyFont="1" applyFill="1" applyBorder="1" applyAlignment="1" applyProtection="1">
      <alignment horizontal="center" vertical="top"/>
      <protection locked="0"/>
    </xf>
    <xf numFmtId="1" fontId="29" fillId="0" borderId="97" xfId="9" applyNumberFormat="1" applyFont="1" applyFill="1" applyBorder="1" applyAlignment="1" applyProtection="1">
      <alignment horizontal="center" vertical="top"/>
      <protection locked="0"/>
    </xf>
    <xf numFmtId="0" fontId="29" fillId="0" borderId="97" xfId="9" applyNumberFormat="1" applyFont="1" applyFill="1" applyBorder="1" applyAlignment="1" applyProtection="1">
      <alignment horizontal="center" vertical="top"/>
      <protection locked="0"/>
    </xf>
    <xf numFmtId="14" fontId="29" fillId="0" borderId="97" xfId="9" applyNumberFormat="1" applyFont="1" applyFill="1" applyBorder="1" applyAlignment="1" applyProtection="1">
      <alignment horizontal="left" vertical="top"/>
      <protection locked="0"/>
    </xf>
    <xf numFmtId="10" fontId="29" fillId="0" borderId="97" xfId="8" applyNumberFormat="1" applyFont="1" applyFill="1" applyBorder="1" applyAlignment="1" applyProtection="1">
      <alignment horizontal="right" vertical="top" wrapText="1"/>
      <protection locked="0"/>
    </xf>
    <xf numFmtId="10" fontId="29" fillId="0" borderId="97" xfId="8" applyNumberFormat="1" applyFont="1" applyFill="1" applyBorder="1" applyAlignment="1" applyProtection="1">
      <alignment horizontal="right" vertical="top"/>
      <protection locked="0"/>
    </xf>
    <xf numFmtId="0" fontId="29" fillId="0" borderId="98" xfId="9" applyFont="1" applyFill="1" applyBorder="1" applyAlignment="1" applyProtection="1">
      <alignment vertical="top"/>
      <protection locked="0"/>
    </xf>
    <xf numFmtId="0" fontId="29" fillId="0" borderId="98" xfId="9" applyFont="1" applyFill="1" applyBorder="1" applyAlignment="1" applyProtection="1">
      <alignment horizontal="left" vertical="top"/>
      <protection locked="0"/>
    </xf>
    <xf numFmtId="0" fontId="29" fillId="0" borderId="98" xfId="9" applyFont="1" applyFill="1" applyBorder="1" applyAlignment="1" applyProtection="1">
      <alignment horizontal="center" vertical="top"/>
      <protection locked="0"/>
    </xf>
    <xf numFmtId="14" fontId="29" fillId="0" borderId="98" xfId="9" applyNumberFormat="1" applyFont="1" applyFill="1" applyBorder="1" applyAlignment="1" applyProtection="1">
      <alignment horizontal="center" vertical="top"/>
      <protection locked="0"/>
    </xf>
    <xf numFmtId="0" fontId="29" fillId="0" borderId="98" xfId="9" applyNumberFormat="1" applyFont="1" applyFill="1" applyBorder="1" applyAlignment="1" applyProtection="1">
      <alignment horizontal="left" vertical="top"/>
      <protection locked="0"/>
    </xf>
    <xf numFmtId="177" fontId="29" fillId="0" borderId="98" xfId="9" applyNumberFormat="1" applyFont="1" applyFill="1" applyBorder="1" applyAlignment="1" applyProtection="1">
      <alignment horizontal="center" vertical="top"/>
      <protection locked="0"/>
    </xf>
    <xf numFmtId="178" fontId="29" fillId="0" borderId="98" xfId="9" applyNumberFormat="1" applyFont="1" applyFill="1" applyBorder="1" applyAlignment="1" applyProtection="1">
      <alignment horizontal="center" vertical="top"/>
      <protection locked="0"/>
    </xf>
    <xf numFmtId="1" fontId="29" fillId="0" borderId="98" xfId="9" applyNumberFormat="1" applyFont="1" applyFill="1" applyBorder="1" applyAlignment="1" applyProtection="1">
      <alignment horizontal="center" vertical="top"/>
      <protection locked="0"/>
    </xf>
    <xf numFmtId="0" fontId="29" fillId="0" borderId="98" xfId="9" applyNumberFormat="1" applyFont="1" applyFill="1" applyBorder="1" applyAlignment="1" applyProtection="1">
      <alignment horizontal="center" vertical="top"/>
      <protection locked="0"/>
    </xf>
    <xf numFmtId="14" fontId="29" fillId="0" borderId="98" xfId="9" applyNumberFormat="1" applyFont="1" applyFill="1" applyBorder="1" applyAlignment="1" applyProtection="1">
      <alignment horizontal="left" vertical="top"/>
      <protection locked="0"/>
    </xf>
    <xf numFmtId="10" fontId="29" fillId="0" borderId="98" xfId="8" applyNumberFormat="1" applyFont="1" applyFill="1" applyBorder="1" applyAlignment="1" applyProtection="1">
      <alignment horizontal="right" vertical="top" wrapText="1"/>
      <protection locked="0"/>
    </xf>
    <xf numFmtId="10" fontId="29" fillId="0" borderId="98" xfId="8" applyNumberFormat="1" applyFont="1" applyFill="1" applyBorder="1" applyAlignment="1" applyProtection="1">
      <alignment horizontal="right" vertical="top"/>
      <protection locked="0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" fillId="9" borderId="0" xfId="0" applyFont="1" applyFill="1">
      <alignment vertical="center"/>
    </xf>
    <xf numFmtId="0" fontId="4" fillId="0" borderId="1" xfId="5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5" xfId="1" applyFont="1" applyFill="1" applyBorder="1" applyAlignment="1">
      <alignment horizontal="center" vertical="center" wrapText="1"/>
    </xf>
    <xf numFmtId="0" fontId="30" fillId="0" borderId="76" xfId="1" applyFont="1" applyFill="1" applyBorder="1" applyAlignment="1">
      <alignment horizontal="center" vertical="center" wrapText="1"/>
    </xf>
    <xf numFmtId="0" fontId="30" fillId="0" borderId="77" xfId="1" applyFont="1" applyFill="1" applyBorder="1" applyAlignment="1">
      <alignment horizontal="center" vertical="center" wrapText="1"/>
    </xf>
    <xf numFmtId="0" fontId="30" fillId="0" borderId="78" xfId="1" applyFont="1" applyFill="1" applyBorder="1" applyAlignment="1">
      <alignment horizontal="center" vertical="center" wrapText="1"/>
    </xf>
    <xf numFmtId="0" fontId="30" fillId="0" borderId="79" xfId="1" applyFont="1" applyFill="1" applyBorder="1" applyAlignment="1">
      <alignment horizontal="center" vertical="center" wrapText="1"/>
    </xf>
    <xf numFmtId="0" fontId="30" fillId="0" borderId="80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5" fillId="15" borderId="87" xfId="6" applyFont="1" applyFill="1" applyBorder="1" applyAlignment="1">
      <alignment horizontal="left" vertical="center" wrapText="1"/>
    </xf>
    <xf numFmtId="0" fontId="55" fillId="15" borderId="87" xfId="6" applyFont="1" applyFill="1" applyBorder="1" applyAlignment="1">
      <alignment horizontal="left" vertical="center"/>
    </xf>
    <xf numFmtId="0" fontId="55" fillId="15" borderId="88" xfId="6" applyFont="1" applyFill="1" applyBorder="1" applyAlignment="1">
      <alignment horizontal="left" vertical="center"/>
    </xf>
    <xf numFmtId="14" fontId="34" fillId="16" borderId="84" xfId="9" applyNumberFormat="1" applyFont="1" applyFill="1" applyBorder="1" applyAlignment="1" applyProtection="1">
      <alignment horizontal="center" vertical="center"/>
    </xf>
    <xf numFmtId="14" fontId="34" fillId="17" borderId="84" xfId="9" applyNumberFormat="1" applyFont="1" applyFill="1" applyBorder="1" applyAlignment="1" applyProtection="1">
      <alignment horizontal="center" vertical="center"/>
    </xf>
    <xf numFmtId="0" fontId="34" fillId="16" borderId="84" xfId="9" applyFont="1" applyFill="1" applyBorder="1" applyAlignment="1" applyProtection="1">
      <alignment horizontal="center" vertical="center"/>
    </xf>
    <xf numFmtId="0" fontId="34" fillId="17" borderId="84" xfId="9" applyFont="1" applyFill="1" applyBorder="1" applyAlignment="1" applyProtection="1">
      <alignment horizontal="center" vertical="center"/>
    </xf>
    <xf numFmtId="10" fontId="34" fillId="15" borderId="84" xfId="8" applyNumberFormat="1" applyFont="1" applyFill="1" applyBorder="1" applyAlignment="1" applyProtection="1">
      <alignment horizontal="center" vertical="center" wrapText="1"/>
    </xf>
    <xf numFmtId="10" fontId="34" fillId="17" borderId="84" xfId="8" applyNumberFormat="1" applyFont="1" applyFill="1" applyBorder="1" applyAlignment="1" applyProtection="1">
      <alignment horizontal="center" vertical="center" wrapText="1"/>
    </xf>
    <xf numFmtId="10" fontId="34" fillId="16" borderId="85" xfId="8" applyNumberFormat="1" applyFont="1" applyFill="1" applyBorder="1" applyAlignment="1" applyProtection="1">
      <alignment horizontal="center" vertical="center" wrapText="1"/>
    </xf>
    <xf numFmtId="10" fontId="34" fillId="17" borderId="85" xfId="8" applyNumberFormat="1" applyFont="1" applyFill="1" applyBorder="1" applyAlignment="1" applyProtection="1">
      <alignment horizontal="center" vertical="center" wrapText="1"/>
    </xf>
    <xf numFmtId="0" fontId="55" fillId="15" borderId="86" xfId="6" applyFont="1" applyFill="1" applyBorder="1" applyAlignment="1">
      <alignment horizontal="left" vertical="center" wrapText="1"/>
    </xf>
    <xf numFmtId="176" fontId="34" fillId="16" borderId="84" xfId="9" applyNumberFormat="1" applyFont="1" applyFill="1" applyBorder="1" applyAlignment="1" applyProtection="1">
      <alignment horizontal="center" vertical="center"/>
    </xf>
    <xf numFmtId="176" fontId="34" fillId="17" borderId="84" xfId="9" applyNumberFormat="1" applyFont="1" applyFill="1" applyBorder="1" applyAlignment="1" applyProtection="1">
      <alignment horizontal="center" vertical="center"/>
    </xf>
    <xf numFmtId="0" fontId="34" fillId="16" borderId="84" xfId="9" applyNumberFormat="1" applyFont="1" applyFill="1" applyBorder="1" applyAlignment="1" applyProtection="1">
      <alignment horizontal="center" vertical="center"/>
    </xf>
    <xf numFmtId="0" fontId="34" fillId="17" borderId="84" xfId="9" applyNumberFormat="1" applyFont="1" applyFill="1" applyBorder="1" applyAlignment="1" applyProtection="1">
      <alignment horizontal="center" vertical="center"/>
    </xf>
    <xf numFmtId="177" fontId="34" fillId="15" borderId="84" xfId="9" applyNumberFormat="1" applyFont="1" applyFill="1" applyBorder="1" applyAlignment="1" applyProtection="1">
      <alignment horizontal="center" vertical="center" wrapText="1"/>
    </xf>
    <xf numFmtId="177" fontId="34" fillId="17" borderId="84" xfId="9" applyNumberFormat="1" applyFont="1" applyFill="1" applyBorder="1" applyAlignment="1" applyProtection="1">
      <alignment horizontal="center" vertical="center" wrapText="1"/>
    </xf>
    <xf numFmtId="177" fontId="34" fillId="15" borderId="84" xfId="9" applyNumberFormat="1" applyFont="1" applyFill="1" applyBorder="1" applyAlignment="1" applyProtection="1">
      <alignment horizontal="center" vertical="top" wrapText="1"/>
    </xf>
    <xf numFmtId="177" fontId="34" fillId="17" borderId="84" xfId="9" applyNumberFormat="1" applyFont="1" applyFill="1" applyBorder="1" applyAlignment="1" applyProtection="1">
      <alignment horizontal="center" vertical="top" wrapText="1"/>
    </xf>
    <xf numFmtId="14" fontId="34" fillId="16" borderId="84" xfId="9" applyNumberFormat="1" applyFont="1" applyFill="1" applyBorder="1" applyAlignment="1" applyProtection="1">
      <alignment horizontal="center" vertical="center" wrapText="1"/>
    </xf>
    <xf numFmtId="178" fontId="34" fillId="15" borderId="84" xfId="9" applyNumberFormat="1" applyFont="1" applyFill="1" applyBorder="1" applyAlignment="1" applyProtection="1">
      <alignment horizontal="center" vertical="center" wrapText="1"/>
    </xf>
    <xf numFmtId="178" fontId="34" fillId="17" borderId="84" xfId="9" applyNumberFormat="1" applyFont="1" applyFill="1" applyBorder="1" applyAlignment="1" applyProtection="1">
      <alignment horizontal="center" vertical="center" wrapText="1"/>
    </xf>
    <xf numFmtId="1" fontId="34" fillId="15" borderId="84" xfId="9" applyNumberFormat="1" applyFont="1" applyFill="1" applyBorder="1" applyAlignment="1" applyProtection="1">
      <alignment horizontal="center" vertical="center" wrapText="1"/>
    </xf>
    <xf numFmtId="1" fontId="34" fillId="17" borderId="84" xfId="9" applyNumberFormat="1" applyFont="1" applyFill="1" applyBorder="1" applyAlignment="1" applyProtection="1">
      <alignment horizontal="center" vertical="center" wrapText="1"/>
    </xf>
    <xf numFmtId="0" fontId="54" fillId="13" borderId="0" xfId="6" applyFont="1" applyFill="1" applyBorder="1" applyAlignment="1">
      <alignment horizontal="left" vertical="center"/>
    </xf>
    <xf numFmtId="0" fontId="34" fillId="14" borderId="83" xfId="9" applyFont="1" applyFill="1" applyBorder="1" applyAlignment="1" applyProtection="1">
      <alignment horizontal="center" vertical="center" wrapText="1"/>
    </xf>
    <xf numFmtId="0" fontId="34" fillId="14" borderId="0" xfId="9" applyFont="1" applyFill="1" applyBorder="1" applyAlignment="1" applyProtection="1">
      <alignment horizontal="center" vertical="center" wrapText="1"/>
    </xf>
    <xf numFmtId="0" fontId="34" fillId="14" borderId="84" xfId="9" applyFont="1" applyFill="1" applyBorder="1" applyAlignment="1" applyProtection="1">
      <alignment horizontal="center" vertical="center"/>
    </xf>
    <xf numFmtId="0" fontId="34" fillId="14" borderId="9" xfId="9" applyFont="1" applyFill="1" applyBorder="1" applyAlignment="1" applyProtection="1">
      <alignment horizontal="center" vertical="center"/>
    </xf>
    <xf numFmtId="0" fontId="34" fillId="14" borderId="84" xfId="9" applyFont="1" applyFill="1" applyBorder="1" applyAlignment="1" applyProtection="1">
      <alignment horizontal="center" vertical="center" wrapText="1"/>
    </xf>
    <xf numFmtId="0" fontId="34" fillId="15" borderId="84" xfId="9" applyFont="1" applyFill="1" applyBorder="1" applyAlignment="1" applyProtection="1">
      <alignment horizontal="center" vertical="center"/>
    </xf>
    <xf numFmtId="0" fontId="34" fillId="16" borderId="85" xfId="9" applyFont="1" applyFill="1" applyBorder="1" applyAlignment="1" applyProtection="1">
      <alignment horizontal="center" vertical="center"/>
    </xf>
    <xf numFmtId="0" fontId="34" fillId="17" borderId="0" xfId="9" applyFont="1" applyFill="1" applyBorder="1" applyAlignment="1" applyProtection="1">
      <alignment horizontal="center" vertical="center"/>
    </xf>
    <xf numFmtId="0" fontId="34" fillId="17" borderId="85" xfId="9" applyFont="1" applyFill="1" applyBorder="1" applyAlignment="1" applyProtection="1">
      <alignment horizontal="center" vertical="center"/>
    </xf>
    <xf numFmtId="0" fontId="52" fillId="13" borderId="0" xfId="8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12">
    <cellStyle name="강조색5 2" xfId="6"/>
    <cellStyle name="백분율 2" xfId="8"/>
    <cellStyle name="백분율 3" xfId="10"/>
    <cellStyle name="표준" xfId="0" builtinId="0"/>
    <cellStyle name="표준 16" xfId="4"/>
    <cellStyle name="표준 2" xfId="3"/>
    <cellStyle name="표준 2 2" xfId="1"/>
    <cellStyle name="표준 2 3" xfId="9"/>
    <cellStyle name="표준 3" xfId="5"/>
    <cellStyle name="표준 4" xfId="11"/>
    <cellStyle name="표준 8" xfId="2"/>
    <cellStyle name="하이퍼링크" xfId="7" builtinId="8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" name="연결선: 꺾임 3822">
          <a:extLst>
            <a:ext uri="{FF2B5EF4-FFF2-40B4-BE49-F238E27FC236}">
              <a16:creationId xmlns:a16="http://schemas.microsoft.com/office/drawing/2014/main" id="{001A3C5A-D18D-48E4-ABB8-72C6A2CAA0A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" name="연결선: 꺾임 14007">
          <a:extLst>
            <a:ext uri="{FF2B5EF4-FFF2-40B4-BE49-F238E27FC236}">
              <a16:creationId xmlns:a16="http://schemas.microsoft.com/office/drawing/2014/main" id="{4F5D8845-CA7E-497E-A8F4-40FA27ABE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" name="연결선: 꺾임 23032">
          <a:extLst>
            <a:ext uri="{FF2B5EF4-FFF2-40B4-BE49-F238E27FC236}">
              <a16:creationId xmlns:a16="http://schemas.microsoft.com/office/drawing/2014/main" id="{F2A0302E-BED7-45C3-B1F1-8D894C0958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" name="연결선: 꺾임 23037">
          <a:extLst>
            <a:ext uri="{FF2B5EF4-FFF2-40B4-BE49-F238E27FC236}">
              <a16:creationId xmlns:a16="http://schemas.microsoft.com/office/drawing/2014/main" id="{AE75C788-8D0C-40F2-9A8D-C17329F8B6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</xdr:row>
      <xdr:rowOff>76073</xdr:rowOff>
    </xdr:from>
    <xdr:to>
      <xdr:col>47</xdr:col>
      <xdr:colOff>0</xdr:colOff>
      <xdr:row>359</xdr:row>
      <xdr:rowOff>1</xdr:rowOff>
    </xdr:to>
    <xdr:cxnSp macro="">
      <xdr:nvCxnSpPr>
        <xdr:cNvPr id="6" name="직선 화살표 연결선 5"/>
        <xdr:cNvCxnSpPr/>
      </xdr:nvCxnSpPr>
      <xdr:spPr>
        <a:xfrm>
          <a:off x="9105900" y="754253"/>
          <a:ext cx="0" cy="54117368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</xdr:colOff>
      <xdr:row>3</xdr:row>
      <xdr:rowOff>76073</xdr:rowOff>
    </xdr:from>
    <xdr:to>
      <xdr:col>63</xdr:col>
      <xdr:colOff>1</xdr:colOff>
      <xdr:row>359</xdr:row>
      <xdr:rowOff>1</xdr:rowOff>
    </xdr:to>
    <xdr:cxnSp macro="">
      <xdr:nvCxnSpPr>
        <xdr:cNvPr id="7" name="직선 화살표 연결선 6"/>
        <xdr:cNvCxnSpPr/>
      </xdr:nvCxnSpPr>
      <xdr:spPr>
        <a:xfrm>
          <a:off x="11422381" y="754253"/>
          <a:ext cx="0" cy="54117368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</xdr:colOff>
      <xdr:row>3</xdr:row>
      <xdr:rowOff>76073</xdr:rowOff>
    </xdr:from>
    <xdr:to>
      <xdr:col>79</xdr:col>
      <xdr:colOff>1</xdr:colOff>
      <xdr:row>359</xdr:row>
      <xdr:rowOff>1</xdr:rowOff>
    </xdr:to>
    <xdr:cxnSp macro="">
      <xdr:nvCxnSpPr>
        <xdr:cNvPr id="8" name="직선 화살표 연결선 7"/>
        <xdr:cNvCxnSpPr/>
      </xdr:nvCxnSpPr>
      <xdr:spPr>
        <a:xfrm>
          <a:off x="13738861" y="754253"/>
          <a:ext cx="0" cy="54117368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</xdr:colOff>
      <xdr:row>3</xdr:row>
      <xdr:rowOff>76073</xdr:rowOff>
    </xdr:from>
    <xdr:to>
      <xdr:col>95</xdr:col>
      <xdr:colOff>1</xdr:colOff>
      <xdr:row>359</xdr:row>
      <xdr:rowOff>1</xdr:rowOff>
    </xdr:to>
    <xdr:cxnSp macro="">
      <xdr:nvCxnSpPr>
        <xdr:cNvPr id="9" name="직선 화살표 연결선 8"/>
        <xdr:cNvCxnSpPr/>
      </xdr:nvCxnSpPr>
      <xdr:spPr>
        <a:xfrm>
          <a:off x="16055341" y="754253"/>
          <a:ext cx="0" cy="54117368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</xdr:colOff>
      <xdr:row>3</xdr:row>
      <xdr:rowOff>76073</xdr:rowOff>
    </xdr:from>
    <xdr:to>
      <xdr:col>111</xdr:col>
      <xdr:colOff>1</xdr:colOff>
      <xdr:row>359</xdr:row>
      <xdr:rowOff>1</xdr:rowOff>
    </xdr:to>
    <xdr:cxnSp macro="">
      <xdr:nvCxnSpPr>
        <xdr:cNvPr id="10" name="직선 화살표 연결선 9"/>
        <xdr:cNvCxnSpPr/>
      </xdr:nvCxnSpPr>
      <xdr:spPr>
        <a:xfrm>
          <a:off x="18371821" y="754253"/>
          <a:ext cx="0" cy="54117368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1</xdr:colOff>
      <xdr:row>3</xdr:row>
      <xdr:rowOff>76073</xdr:rowOff>
    </xdr:from>
    <xdr:to>
      <xdr:col>127</xdr:col>
      <xdr:colOff>1</xdr:colOff>
      <xdr:row>359</xdr:row>
      <xdr:rowOff>1</xdr:rowOff>
    </xdr:to>
    <xdr:cxnSp macro="">
      <xdr:nvCxnSpPr>
        <xdr:cNvPr id="11" name="직선 화살표 연결선 10"/>
        <xdr:cNvCxnSpPr/>
      </xdr:nvCxnSpPr>
      <xdr:spPr>
        <a:xfrm>
          <a:off x="20688301" y="754253"/>
          <a:ext cx="0" cy="54117368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41366</xdr:colOff>
      <xdr:row>3</xdr:row>
      <xdr:rowOff>76073</xdr:rowOff>
    </xdr:from>
    <xdr:to>
      <xdr:col>60</xdr:col>
      <xdr:colOff>41366</xdr:colOff>
      <xdr:row>359</xdr:row>
      <xdr:rowOff>1</xdr:rowOff>
    </xdr:to>
    <xdr:cxnSp macro="">
      <xdr:nvCxnSpPr>
        <xdr:cNvPr id="12" name="직선 화살표 연결선 11"/>
        <xdr:cNvCxnSpPr/>
      </xdr:nvCxnSpPr>
      <xdr:spPr>
        <a:xfrm>
          <a:off x="11029406" y="754253"/>
          <a:ext cx="0" cy="54117368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103414</xdr:colOff>
      <xdr:row>358</xdr:row>
      <xdr:rowOff>19051</xdr:rowOff>
    </xdr:from>
    <xdr:to>
      <xdr:col>123</xdr:col>
      <xdr:colOff>1270</xdr:colOff>
      <xdr:row>358</xdr:row>
      <xdr:rowOff>133351</xdr:rowOff>
    </xdr:to>
    <xdr:sp macro="" textlink="">
      <xdr:nvSpPr>
        <xdr:cNvPr id="13" name="355"/>
        <xdr:cNvSpPr/>
      </xdr:nvSpPr>
      <xdr:spPr>
        <a:xfrm>
          <a:off x="19488694" y="547382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118</xdr:col>
      <xdr:colOff>103414</xdr:colOff>
      <xdr:row>358</xdr:row>
      <xdr:rowOff>76201</xdr:rowOff>
    </xdr:from>
    <xdr:to>
      <xdr:col>118</xdr:col>
      <xdr:colOff>103414</xdr:colOff>
      <xdr:row>358</xdr:row>
      <xdr:rowOff>76201</xdr:rowOff>
    </xdr:to>
    <xdr:cxnSp macro="">
      <xdr:nvCxnSpPr>
        <xdr:cNvPr id="14" name="직선 화살표 연결선 13"/>
        <xdr:cNvCxnSpPr/>
      </xdr:nvCxnSpPr>
      <xdr:spPr>
        <a:xfrm>
          <a:off x="19488694" y="54795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357</xdr:row>
      <xdr:rowOff>19051</xdr:rowOff>
    </xdr:from>
    <xdr:to>
      <xdr:col>118</xdr:col>
      <xdr:colOff>104684</xdr:colOff>
      <xdr:row>357</xdr:row>
      <xdr:rowOff>133351</xdr:rowOff>
    </xdr:to>
    <xdr:sp macro="" textlink="">
      <xdr:nvSpPr>
        <xdr:cNvPr id="15" name="354"/>
        <xdr:cNvSpPr/>
      </xdr:nvSpPr>
      <xdr:spPr>
        <a:xfrm>
          <a:off x="19157769" y="54585871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357</xdr:row>
      <xdr:rowOff>76201</xdr:rowOff>
    </xdr:from>
    <xdr:to>
      <xdr:col>116</xdr:col>
      <xdr:colOff>62049</xdr:colOff>
      <xdr:row>357</xdr:row>
      <xdr:rowOff>76201</xdr:rowOff>
    </xdr:to>
    <xdr:cxnSp macro="">
      <xdr:nvCxnSpPr>
        <xdr:cNvPr id="16" name="직선 화살표 연결선 15"/>
        <xdr:cNvCxnSpPr/>
      </xdr:nvCxnSpPr>
      <xdr:spPr>
        <a:xfrm>
          <a:off x="19157769" y="54643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356</xdr:row>
      <xdr:rowOff>19051</xdr:rowOff>
    </xdr:from>
    <xdr:to>
      <xdr:col>123</xdr:col>
      <xdr:colOff>1270</xdr:colOff>
      <xdr:row>356</xdr:row>
      <xdr:rowOff>133351</xdr:rowOff>
    </xdr:to>
    <xdr:sp macro="" textlink="">
      <xdr:nvSpPr>
        <xdr:cNvPr id="17" name="353"/>
        <xdr:cNvSpPr/>
      </xdr:nvSpPr>
      <xdr:spPr>
        <a:xfrm>
          <a:off x="19157769" y="54433471"/>
          <a:ext cx="9526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356</xdr:row>
      <xdr:rowOff>76201</xdr:rowOff>
    </xdr:from>
    <xdr:to>
      <xdr:col>116</xdr:col>
      <xdr:colOff>62049</xdr:colOff>
      <xdr:row>356</xdr:row>
      <xdr:rowOff>76201</xdr:rowOff>
    </xdr:to>
    <xdr:cxnSp macro="">
      <xdr:nvCxnSpPr>
        <xdr:cNvPr id="18" name="직선 화살표 연결선 17"/>
        <xdr:cNvCxnSpPr/>
      </xdr:nvCxnSpPr>
      <xdr:spPr>
        <a:xfrm>
          <a:off x="19157769" y="54490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124097</xdr:colOff>
      <xdr:row>355</xdr:row>
      <xdr:rowOff>19051</xdr:rowOff>
    </xdr:from>
    <xdr:to>
      <xdr:col>125</xdr:col>
      <xdr:colOff>21953</xdr:colOff>
      <xdr:row>355</xdr:row>
      <xdr:rowOff>133351</xdr:rowOff>
    </xdr:to>
    <xdr:sp macro="" textlink="">
      <xdr:nvSpPr>
        <xdr:cNvPr id="19" name="352"/>
        <xdr:cNvSpPr/>
      </xdr:nvSpPr>
      <xdr:spPr>
        <a:xfrm>
          <a:off x="19798937" y="542810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120</xdr:col>
      <xdr:colOff>124097</xdr:colOff>
      <xdr:row>355</xdr:row>
      <xdr:rowOff>76201</xdr:rowOff>
    </xdr:from>
    <xdr:to>
      <xdr:col>120</xdr:col>
      <xdr:colOff>124097</xdr:colOff>
      <xdr:row>355</xdr:row>
      <xdr:rowOff>76201</xdr:rowOff>
    </xdr:to>
    <xdr:cxnSp macro="">
      <xdr:nvCxnSpPr>
        <xdr:cNvPr id="20" name="직선 화살표 연결선 19"/>
        <xdr:cNvCxnSpPr/>
      </xdr:nvCxnSpPr>
      <xdr:spPr>
        <a:xfrm>
          <a:off x="19798937" y="54338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354</xdr:row>
      <xdr:rowOff>19051</xdr:rowOff>
    </xdr:from>
    <xdr:to>
      <xdr:col>120</xdr:col>
      <xdr:colOff>125367</xdr:colOff>
      <xdr:row>354</xdr:row>
      <xdr:rowOff>133351</xdr:rowOff>
    </xdr:to>
    <xdr:sp macro="" textlink="">
      <xdr:nvSpPr>
        <xdr:cNvPr id="21" name="351"/>
        <xdr:cNvSpPr/>
      </xdr:nvSpPr>
      <xdr:spPr>
        <a:xfrm>
          <a:off x="19157769" y="541286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354</xdr:row>
      <xdr:rowOff>76201</xdr:rowOff>
    </xdr:from>
    <xdr:to>
      <xdr:col>116</xdr:col>
      <xdr:colOff>62049</xdr:colOff>
      <xdr:row>354</xdr:row>
      <xdr:rowOff>76201</xdr:rowOff>
    </xdr:to>
    <xdr:cxnSp macro="">
      <xdr:nvCxnSpPr>
        <xdr:cNvPr id="22" name="직선 화살표 연결선 21"/>
        <xdr:cNvCxnSpPr/>
      </xdr:nvCxnSpPr>
      <xdr:spPr>
        <a:xfrm>
          <a:off x="19157769" y="54185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353</xdr:row>
      <xdr:rowOff>19051</xdr:rowOff>
    </xdr:from>
    <xdr:to>
      <xdr:col>125</xdr:col>
      <xdr:colOff>21953</xdr:colOff>
      <xdr:row>353</xdr:row>
      <xdr:rowOff>133351</xdr:rowOff>
    </xdr:to>
    <xdr:sp macro="" textlink="">
      <xdr:nvSpPr>
        <xdr:cNvPr id="23" name="350"/>
        <xdr:cNvSpPr/>
      </xdr:nvSpPr>
      <xdr:spPr>
        <a:xfrm>
          <a:off x="19157769" y="53976271"/>
          <a:ext cx="12629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353</xdr:row>
      <xdr:rowOff>76201</xdr:rowOff>
    </xdr:from>
    <xdr:to>
      <xdr:col>116</xdr:col>
      <xdr:colOff>62049</xdr:colOff>
      <xdr:row>353</xdr:row>
      <xdr:rowOff>76201</xdr:rowOff>
    </xdr:to>
    <xdr:cxnSp macro="">
      <xdr:nvCxnSpPr>
        <xdr:cNvPr id="24" name="직선 화살표 연결선 23"/>
        <xdr:cNvCxnSpPr/>
      </xdr:nvCxnSpPr>
      <xdr:spPr>
        <a:xfrm>
          <a:off x="19157769" y="54033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103414</xdr:colOff>
      <xdr:row>352</xdr:row>
      <xdr:rowOff>19051</xdr:rowOff>
    </xdr:from>
    <xdr:to>
      <xdr:col>123</xdr:col>
      <xdr:colOff>1270</xdr:colOff>
      <xdr:row>352</xdr:row>
      <xdr:rowOff>133351</xdr:rowOff>
    </xdr:to>
    <xdr:sp macro="" textlink="">
      <xdr:nvSpPr>
        <xdr:cNvPr id="25" name="349"/>
        <xdr:cNvSpPr/>
      </xdr:nvSpPr>
      <xdr:spPr>
        <a:xfrm>
          <a:off x="19488694" y="538238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118</xdr:col>
      <xdr:colOff>103414</xdr:colOff>
      <xdr:row>352</xdr:row>
      <xdr:rowOff>76201</xdr:rowOff>
    </xdr:from>
    <xdr:to>
      <xdr:col>118</xdr:col>
      <xdr:colOff>103414</xdr:colOff>
      <xdr:row>352</xdr:row>
      <xdr:rowOff>76201</xdr:rowOff>
    </xdr:to>
    <xdr:cxnSp macro="">
      <xdr:nvCxnSpPr>
        <xdr:cNvPr id="26" name="직선 화살표 연결선 25"/>
        <xdr:cNvCxnSpPr/>
      </xdr:nvCxnSpPr>
      <xdr:spPr>
        <a:xfrm>
          <a:off x="19488694" y="53881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103415</xdr:colOff>
      <xdr:row>351</xdr:row>
      <xdr:rowOff>19051</xdr:rowOff>
    </xdr:from>
    <xdr:to>
      <xdr:col>118</xdr:col>
      <xdr:colOff>104684</xdr:colOff>
      <xdr:row>351</xdr:row>
      <xdr:rowOff>133351</xdr:rowOff>
    </xdr:to>
    <xdr:sp macro="" textlink="">
      <xdr:nvSpPr>
        <xdr:cNvPr id="27" name="348"/>
        <xdr:cNvSpPr/>
      </xdr:nvSpPr>
      <xdr:spPr>
        <a:xfrm>
          <a:off x="19054355" y="53671471"/>
          <a:ext cx="4356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115</xdr:col>
      <xdr:colOff>103415</xdr:colOff>
      <xdr:row>351</xdr:row>
      <xdr:rowOff>76201</xdr:rowOff>
    </xdr:from>
    <xdr:to>
      <xdr:col>115</xdr:col>
      <xdr:colOff>103415</xdr:colOff>
      <xdr:row>351</xdr:row>
      <xdr:rowOff>76201</xdr:rowOff>
    </xdr:to>
    <xdr:cxnSp macro="">
      <xdr:nvCxnSpPr>
        <xdr:cNvPr id="28" name="직선 화살표 연결선 27"/>
        <xdr:cNvCxnSpPr/>
      </xdr:nvCxnSpPr>
      <xdr:spPr>
        <a:xfrm>
          <a:off x="19054355" y="53728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103415</xdr:colOff>
      <xdr:row>350</xdr:row>
      <xdr:rowOff>19051</xdr:rowOff>
    </xdr:from>
    <xdr:to>
      <xdr:col>123</xdr:col>
      <xdr:colOff>1270</xdr:colOff>
      <xdr:row>350</xdr:row>
      <xdr:rowOff>133351</xdr:rowOff>
    </xdr:to>
    <xdr:sp macro="" textlink="">
      <xdr:nvSpPr>
        <xdr:cNvPr id="29" name="347"/>
        <xdr:cNvSpPr/>
      </xdr:nvSpPr>
      <xdr:spPr>
        <a:xfrm>
          <a:off x="19054355" y="53519071"/>
          <a:ext cx="105609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115</xdr:col>
      <xdr:colOff>103415</xdr:colOff>
      <xdr:row>350</xdr:row>
      <xdr:rowOff>76201</xdr:rowOff>
    </xdr:from>
    <xdr:to>
      <xdr:col>115</xdr:col>
      <xdr:colOff>103415</xdr:colOff>
      <xdr:row>350</xdr:row>
      <xdr:rowOff>76201</xdr:rowOff>
    </xdr:to>
    <xdr:cxnSp macro="">
      <xdr:nvCxnSpPr>
        <xdr:cNvPr id="30" name="직선 화살표 연결선 29"/>
        <xdr:cNvCxnSpPr/>
      </xdr:nvCxnSpPr>
      <xdr:spPr>
        <a:xfrm>
          <a:off x="19054355" y="53576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103414</xdr:colOff>
      <xdr:row>349</xdr:row>
      <xdr:rowOff>19051</xdr:rowOff>
    </xdr:from>
    <xdr:to>
      <xdr:col>123</xdr:col>
      <xdr:colOff>1270</xdr:colOff>
      <xdr:row>349</xdr:row>
      <xdr:rowOff>133351</xdr:rowOff>
    </xdr:to>
    <xdr:sp macro="" textlink="">
      <xdr:nvSpPr>
        <xdr:cNvPr id="31" name="346"/>
        <xdr:cNvSpPr/>
      </xdr:nvSpPr>
      <xdr:spPr>
        <a:xfrm>
          <a:off x="19488694" y="533666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118</xdr:col>
      <xdr:colOff>103414</xdr:colOff>
      <xdr:row>349</xdr:row>
      <xdr:rowOff>76201</xdr:rowOff>
    </xdr:from>
    <xdr:to>
      <xdr:col>118</xdr:col>
      <xdr:colOff>103414</xdr:colOff>
      <xdr:row>349</xdr:row>
      <xdr:rowOff>76201</xdr:rowOff>
    </xdr:to>
    <xdr:cxnSp macro="">
      <xdr:nvCxnSpPr>
        <xdr:cNvPr id="32" name="직선 화살표 연결선 31"/>
        <xdr:cNvCxnSpPr/>
      </xdr:nvCxnSpPr>
      <xdr:spPr>
        <a:xfrm>
          <a:off x="19488694" y="53423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41366</xdr:colOff>
      <xdr:row>348</xdr:row>
      <xdr:rowOff>19051</xdr:rowOff>
    </xdr:from>
    <xdr:to>
      <xdr:col>118</xdr:col>
      <xdr:colOff>104684</xdr:colOff>
      <xdr:row>348</xdr:row>
      <xdr:rowOff>133351</xdr:rowOff>
    </xdr:to>
    <xdr:sp macro="" textlink="">
      <xdr:nvSpPr>
        <xdr:cNvPr id="33" name="345"/>
        <xdr:cNvSpPr/>
      </xdr:nvSpPr>
      <xdr:spPr>
        <a:xfrm>
          <a:off x="18847526" y="532142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114</xdr:col>
      <xdr:colOff>41366</xdr:colOff>
      <xdr:row>348</xdr:row>
      <xdr:rowOff>76201</xdr:rowOff>
    </xdr:from>
    <xdr:to>
      <xdr:col>114</xdr:col>
      <xdr:colOff>41366</xdr:colOff>
      <xdr:row>348</xdr:row>
      <xdr:rowOff>76201</xdr:rowOff>
    </xdr:to>
    <xdr:cxnSp macro="">
      <xdr:nvCxnSpPr>
        <xdr:cNvPr id="34" name="직선 화살표 연결선 33"/>
        <xdr:cNvCxnSpPr/>
      </xdr:nvCxnSpPr>
      <xdr:spPr>
        <a:xfrm>
          <a:off x="18847526" y="53271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41366</xdr:colOff>
      <xdr:row>347</xdr:row>
      <xdr:rowOff>19051</xdr:rowOff>
    </xdr:from>
    <xdr:to>
      <xdr:col>123</xdr:col>
      <xdr:colOff>1270</xdr:colOff>
      <xdr:row>347</xdr:row>
      <xdr:rowOff>133351</xdr:rowOff>
    </xdr:to>
    <xdr:sp macro="" textlink="">
      <xdr:nvSpPr>
        <xdr:cNvPr id="35" name="344"/>
        <xdr:cNvSpPr/>
      </xdr:nvSpPr>
      <xdr:spPr>
        <a:xfrm>
          <a:off x="18847526" y="53061871"/>
          <a:ext cx="12629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114</xdr:col>
      <xdr:colOff>41366</xdr:colOff>
      <xdr:row>347</xdr:row>
      <xdr:rowOff>76201</xdr:rowOff>
    </xdr:from>
    <xdr:to>
      <xdr:col>114</xdr:col>
      <xdr:colOff>41366</xdr:colOff>
      <xdr:row>347</xdr:row>
      <xdr:rowOff>76201</xdr:rowOff>
    </xdr:to>
    <xdr:cxnSp macro="">
      <xdr:nvCxnSpPr>
        <xdr:cNvPr id="36" name="직선 화살표 연결선 35"/>
        <xdr:cNvCxnSpPr/>
      </xdr:nvCxnSpPr>
      <xdr:spPr>
        <a:xfrm>
          <a:off x="18847526" y="53119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346</xdr:row>
      <xdr:rowOff>19051</xdr:rowOff>
    </xdr:from>
    <xdr:to>
      <xdr:col>125</xdr:col>
      <xdr:colOff>21953</xdr:colOff>
      <xdr:row>346</xdr:row>
      <xdr:rowOff>133351</xdr:rowOff>
    </xdr:to>
    <xdr:sp macro="" textlink="">
      <xdr:nvSpPr>
        <xdr:cNvPr id="37" name="343"/>
        <xdr:cNvSpPr/>
      </xdr:nvSpPr>
      <xdr:spPr>
        <a:xfrm>
          <a:off x="19157769" y="52909471"/>
          <a:ext cx="12629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346</xdr:row>
      <xdr:rowOff>76201</xdr:rowOff>
    </xdr:from>
    <xdr:to>
      <xdr:col>116</xdr:col>
      <xdr:colOff>62049</xdr:colOff>
      <xdr:row>346</xdr:row>
      <xdr:rowOff>76201</xdr:rowOff>
    </xdr:to>
    <xdr:cxnSp macro="">
      <xdr:nvCxnSpPr>
        <xdr:cNvPr id="38" name="직선 화살표 연결선 37"/>
        <xdr:cNvCxnSpPr/>
      </xdr:nvCxnSpPr>
      <xdr:spPr>
        <a:xfrm>
          <a:off x="19157769" y="52966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103415</xdr:colOff>
      <xdr:row>345</xdr:row>
      <xdr:rowOff>19051</xdr:rowOff>
    </xdr:from>
    <xdr:to>
      <xdr:col>116</xdr:col>
      <xdr:colOff>63318</xdr:colOff>
      <xdr:row>345</xdr:row>
      <xdr:rowOff>133351</xdr:rowOff>
    </xdr:to>
    <xdr:sp macro="" textlink="">
      <xdr:nvSpPr>
        <xdr:cNvPr id="39" name="342"/>
        <xdr:cNvSpPr/>
      </xdr:nvSpPr>
      <xdr:spPr>
        <a:xfrm>
          <a:off x="18330455" y="52757071"/>
          <a:ext cx="8285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110</xdr:col>
      <xdr:colOff>103415</xdr:colOff>
      <xdr:row>345</xdr:row>
      <xdr:rowOff>76201</xdr:rowOff>
    </xdr:from>
    <xdr:to>
      <xdr:col>110</xdr:col>
      <xdr:colOff>103415</xdr:colOff>
      <xdr:row>345</xdr:row>
      <xdr:rowOff>76201</xdr:rowOff>
    </xdr:to>
    <xdr:cxnSp macro="">
      <xdr:nvCxnSpPr>
        <xdr:cNvPr id="40" name="직선 화살표 연결선 39"/>
        <xdr:cNvCxnSpPr/>
      </xdr:nvCxnSpPr>
      <xdr:spPr>
        <a:xfrm>
          <a:off x="18330455" y="52814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103415</xdr:colOff>
      <xdr:row>344</xdr:row>
      <xdr:rowOff>19051</xdr:rowOff>
    </xdr:from>
    <xdr:to>
      <xdr:col>125</xdr:col>
      <xdr:colOff>21953</xdr:colOff>
      <xdr:row>344</xdr:row>
      <xdr:rowOff>133351</xdr:rowOff>
    </xdr:to>
    <xdr:sp macro="" textlink="">
      <xdr:nvSpPr>
        <xdr:cNvPr id="41" name="341"/>
        <xdr:cNvSpPr/>
      </xdr:nvSpPr>
      <xdr:spPr>
        <a:xfrm>
          <a:off x="18330455" y="52604671"/>
          <a:ext cx="20902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110</xdr:col>
      <xdr:colOff>103415</xdr:colOff>
      <xdr:row>344</xdr:row>
      <xdr:rowOff>76201</xdr:rowOff>
    </xdr:from>
    <xdr:to>
      <xdr:col>110</xdr:col>
      <xdr:colOff>103415</xdr:colOff>
      <xdr:row>344</xdr:row>
      <xdr:rowOff>76201</xdr:rowOff>
    </xdr:to>
    <xdr:cxnSp macro="">
      <xdr:nvCxnSpPr>
        <xdr:cNvPr id="42" name="직선 화살표 연결선 41"/>
        <xdr:cNvCxnSpPr/>
      </xdr:nvCxnSpPr>
      <xdr:spPr>
        <a:xfrm>
          <a:off x="18330455" y="52661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103414</xdr:colOff>
      <xdr:row>343</xdr:row>
      <xdr:rowOff>19051</xdr:rowOff>
    </xdr:from>
    <xdr:to>
      <xdr:col>123</xdr:col>
      <xdr:colOff>1270</xdr:colOff>
      <xdr:row>343</xdr:row>
      <xdr:rowOff>133351</xdr:rowOff>
    </xdr:to>
    <xdr:sp macro="" textlink="">
      <xdr:nvSpPr>
        <xdr:cNvPr id="43" name="340"/>
        <xdr:cNvSpPr/>
      </xdr:nvSpPr>
      <xdr:spPr>
        <a:xfrm>
          <a:off x="19488694" y="524522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118</xdr:col>
      <xdr:colOff>103414</xdr:colOff>
      <xdr:row>343</xdr:row>
      <xdr:rowOff>76201</xdr:rowOff>
    </xdr:from>
    <xdr:to>
      <xdr:col>118</xdr:col>
      <xdr:colOff>103414</xdr:colOff>
      <xdr:row>343</xdr:row>
      <xdr:rowOff>76201</xdr:rowOff>
    </xdr:to>
    <xdr:cxnSp macro="">
      <xdr:nvCxnSpPr>
        <xdr:cNvPr id="44" name="직선 화살표 연결선 43"/>
        <xdr:cNvCxnSpPr/>
      </xdr:nvCxnSpPr>
      <xdr:spPr>
        <a:xfrm>
          <a:off x="19488694" y="52509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342</xdr:row>
      <xdr:rowOff>19051</xdr:rowOff>
    </xdr:from>
    <xdr:to>
      <xdr:col>118</xdr:col>
      <xdr:colOff>84001</xdr:colOff>
      <xdr:row>342</xdr:row>
      <xdr:rowOff>133351</xdr:rowOff>
    </xdr:to>
    <xdr:sp macro="" textlink="">
      <xdr:nvSpPr>
        <xdr:cNvPr id="45" name="339"/>
        <xdr:cNvSpPr/>
      </xdr:nvSpPr>
      <xdr:spPr>
        <a:xfrm>
          <a:off x="19157769" y="52299871"/>
          <a:ext cx="3115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342</xdr:row>
      <xdr:rowOff>76201</xdr:rowOff>
    </xdr:from>
    <xdr:to>
      <xdr:col>116</xdr:col>
      <xdr:colOff>62049</xdr:colOff>
      <xdr:row>342</xdr:row>
      <xdr:rowOff>76201</xdr:rowOff>
    </xdr:to>
    <xdr:cxnSp macro="">
      <xdr:nvCxnSpPr>
        <xdr:cNvPr id="46" name="직선 화살표 연결선 45"/>
        <xdr:cNvCxnSpPr/>
      </xdr:nvCxnSpPr>
      <xdr:spPr>
        <a:xfrm>
          <a:off x="19157769" y="52357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341</xdr:row>
      <xdr:rowOff>19051</xdr:rowOff>
    </xdr:from>
    <xdr:to>
      <xdr:col>123</xdr:col>
      <xdr:colOff>1270</xdr:colOff>
      <xdr:row>341</xdr:row>
      <xdr:rowOff>133351</xdr:rowOff>
    </xdr:to>
    <xdr:sp macro="" textlink="">
      <xdr:nvSpPr>
        <xdr:cNvPr id="47" name="338"/>
        <xdr:cNvSpPr/>
      </xdr:nvSpPr>
      <xdr:spPr>
        <a:xfrm>
          <a:off x="19157769" y="52147471"/>
          <a:ext cx="9526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341</xdr:row>
      <xdr:rowOff>76201</xdr:rowOff>
    </xdr:from>
    <xdr:to>
      <xdr:col>116</xdr:col>
      <xdr:colOff>62049</xdr:colOff>
      <xdr:row>341</xdr:row>
      <xdr:rowOff>76201</xdr:rowOff>
    </xdr:to>
    <xdr:cxnSp macro="">
      <xdr:nvCxnSpPr>
        <xdr:cNvPr id="48" name="직선 화살표 연결선 47"/>
        <xdr:cNvCxnSpPr/>
      </xdr:nvCxnSpPr>
      <xdr:spPr>
        <a:xfrm>
          <a:off x="19157769" y="52204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103414</xdr:colOff>
      <xdr:row>340</xdr:row>
      <xdr:rowOff>19051</xdr:rowOff>
    </xdr:from>
    <xdr:to>
      <xdr:col>123</xdr:col>
      <xdr:colOff>1270</xdr:colOff>
      <xdr:row>340</xdr:row>
      <xdr:rowOff>133351</xdr:rowOff>
    </xdr:to>
    <xdr:sp macro="" textlink="">
      <xdr:nvSpPr>
        <xdr:cNvPr id="49" name="337"/>
        <xdr:cNvSpPr/>
      </xdr:nvSpPr>
      <xdr:spPr>
        <a:xfrm>
          <a:off x="19488694" y="519950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118</xdr:col>
      <xdr:colOff>103414</xdr:colOff>
      <xdr:row>340</xdr:row>
      <xdr:rowOff>76201</xdr:rowOff>
    </xdr:from>
    <xdr:to>
      <xdr:col>118</xdr:col>
      <xdr:colOff>103414</xdr:colOff>
      <xdr:row>340</xdr:row>
      <xdr:rowOff>76201</xdr:rowOff>
    </xdr:to>
    <xdr:cxnSp macro="">
      <xdr:nvCxnSpPr>
        <xdr:cNvPr id="50" name="직선 화살표 연결선 49"/>
        <xdr:cNvCxnSpPr/>
      </xdr:nvCxnSpPr>
      <xdr:spPr>
        <a:xfrm>
          <a:off x="19488694" y="52052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339</xdr:row>
      <xdr:rowOff>19051</xdr:rowOff>
    </xdr:from>
    <xdr:to>
      <xdr:col>118</xdr:col>
      <xdr:colOff>104684</xdr:colOff>
      <xdr:row>339</xdr:row>
      <xdr:rowOff>133351</xdr:rowOff>
    </xdr:to>
    <xdr:sp macro="" textlink="">
      <xdr:nvSpPr>
        <xdr:cNvPr id="51" name="336"/>
        <xdr:cNvSpPr/>
      </xdr:nvSpPr>
      <xdr:spPr>
        <a:xfrm>
          <a:off x="19157769" y="51842671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339</xdr:row>
      <xdr:rowOff>76201</xdr:rowOff>
    </xdr:from>
    <xdr:to>
      <xdr:col>116</xdr:col>
      <xdr:colOff>62049</xdr:colOff>
      <xdr:row>339</xdr:row>
      <xdr:rowOff>76201</xdr:rowOff>
    </xdr:to>
    <xdr:cxnSp macro="">
      <xdr:nvCxnSpPr>
        <xdr:cNvPr id="52" name="직선 화살표 연결선 51"/>
        <xdr:cNvCxnSpPr/>
      </xdr:nvCxnSpPr>
      <xdr:spPr>
        <a:xfrm>
          <a:off x="19157769" y="51899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338</xdr:row>
      <xdr:rowOff>19051</xdr:rowOff>
    </xdr:from>
    <xdr:to>
      <xdr:col>123</xdr:col>
      <xdr:colOff>1270</xdr:colOff>
      <xdr:row>338</xdr:row>
      <xdr:rowOff>133351</xdr:rowOff>
    </xdr:to>
    <xdr:sp macro="" textlink="">
      <xdr:nvSpPr>
        <xdr:cNvPr id="53" name="335"/>
        <xdr:cNvSpPr/>
      </xdr:nvSpPr>
      <xdr:spPr>
        <a:xfrm>
          <a:off x="19157769" y="51690271"/>
          <a:ext cx="9526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338</xdr:row>
      <xdr:rowOff>76201</xdr:rowOff>
    </xdr:from>
    <xdr:to>
      <xdr:col>116</xdr:col>
      <xdr:colOff>62049</xdr:colOff>
      <xdr:row>338</xdr:row>
      <xdr:rowOff>76201</xdr:rowOff>
    </xdr:to>
    <xdr:cxnSp macro="">
      <xdr:nvCxnSpPr>
        <xdr:cNvPr id="54" name="직선 화살표 연결선 53"/>
        <xdr:cNvCxnSpPr/>
      </xdr:nvCxnSpPr>
      <xdr:spPr>
        <a:xfrm>
          <a:off x="19157769" y="51747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103414</xdr:colOff>
      <xdr:row>337</xdr:row>
      <xdr:rowOff>19051</xdr:rowOff>
    </xdr:from>
    <xdr:to>
      <xdr:col>123</xdr:col>
      <xdr:colOff>1270</xdr:colOff>
      <xdr:row>337</xdr:row>
      <xdr:rowOff>133351</xdr:rowOff>
    </xdr:to>
    <xdr:sp macro="" textlink="">
      <xdr:nvSpPr>
        <xdr:cNvPr id="55" name="334"/>
        <xdr:cNvSpPr/>
      </xdr:nvSpPr>
      <xdr:spPr>
        <a:xfrm>
          <a:off x="19488694" y="515378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118</xdr:col>
      <xdr:colOff>103414</xdr:colOff>
      <xdr:row>337</xdr:row>
      <xdr:rowOff>76201</xdr:rowOff>
    </xdr:from>
    <xdr:to>
      <xdr:col>118</xdr:col>
      <xdr:colOff>103414</xdr:colOff>
      <xdr:row>337</xdr:row>
      <xdr:rowOff>76201</xdr:rowOff>
    </xdr:to>
    <xdr:cxnSp macro="">
      <xdr:nvCxnSpPr>
        <xdr:cNvPr id="56" name="직선 화살표 연결선 55"/>
        <xdr:cNvCxnSpPr/>
      </xdr:nvCxnSpPr>
      <xdr:spPr>
        <a:xfrm>
          <a:off x="19488694" y="51595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41366</xdr:colOff>
      <xdr:row>336</xdr:row>
      <xdr:rowOff>19051</xdr:rowOff>
    </xdr:from>
    <xdr:to>
      <xdr:col>118</xdr:col>
      <xdr:colOff>104684</xdr:colOff>
      <xdr:row>336</xdr:row>
      <xdr:rowOff>133351</xdr:rowOff>
    </xdr:to>
    <xdr:sp macro="" textlink="">
      <xdr:nvSpPr>
        <xdr:cNvPr id="57" name="333"/>
        <xdr:cNvSpPr/>
      </xdr:nvSpPr>
      <xdr:spPr>
        <a:xfrm>
          <a:off x="18847526" y="513854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114</xdr:col>
      <xdr:colOff>41366</xdr:colOff>
      <xdr:row>336</xdr:row>
      <xdr:rowOff>76201</xdr:rowOff>
    </xdr:from>
    <xdr:to>
      <xdr:col>114</xdr:col>
      <xdr:colOff>41366</xdr:colOff>
      <xdr:row>336</xdr:row>
      <xdr:rowOff>76201</xdr:rowOff>
    </xdr:to>
    <xdr:cxnSp macro="">
      <xdr:nvCxnSpPr>
        <xdr:cNvPr id="58" name="직선 화살표 연결선 57"/>
        <xdr:cNvCxnSpPr/>
      </xdr:nvCxnSpPr>
      <xdr:spPr>
        <a:xfrm>
          <a:off x="18847526" y="51442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41366</xdr:colOff>
      <xdr:row>335</xdr:row>
      <xdr:rowOff>19051</xdr:rowOff>
    </xdr:from>
    <xdr:to>
      <xdr:col>123</xdr:col>
      <xdr:colOff>1270</xdr:colOff>
      <xdr:row>335</xdr:row>
      <xdr:rowOff>133351</xdr:rowOff>
    </xdr:to>
    <xdr:sp macro="" textlink="">
      <xdr:nvSpPr>
        <xdr:cNvPr id="59" name="332"/>
        <xdr:cNvSpPr/>
      </xdr:nvSpPr>
      <xdr:spPr>
        <a:xfrm>
          <a:off x="18847526" y="51233071"/>
          <a:ext cx="12629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114</xdr:col>
      <xdr:colOff>41366</xdr:colOff>
      <xdr:row>335</xdr:row>
      <xdr:rowOff>76201</xdr:rowOff>
    </xdr:from>
    <xdr:to>
      <xdr:col>114</xdr:col>
      <xdr:colOff>41366</xdr:colOff>
      <xdr:row>335</xdr:row>
      <xdr:rowOff>76201</xdr:rowOff>
    </xdr:to>
    <xdr:cxnSp macro="">
      <xdr:nvCxnSpPr>
        <xdr:cNvPr id="60" name="직선 화살표 연결선 59"/>
        <xdr:cNvCxnSpPr/>
      </xdr:nvCxnSpPr>
      <xdr:spPr>
        <a:xfrm>
          <a:off x="18847526" y="51290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103414</xdr:colOff>
      <xdr:row>334</xdr:row>
      <xdr:rowOff>19051</xdr:rowOff>
    </xdr:from>
    <xdr:to>
      <xdr:col>123</xdr:col>
      <xdr:colOff>1270</xdr:colOff>
      <xdr:row>334</xdr:row>
      <xdr:rowOff>133351</xdr:rowOff>
    </xdr:to>
    <xdr:sp macro="" textlink="">
      <xdr:nvSpPr>
        <xdr:cNvPr id="61" name="331"/>
        <xdr:cNvSpPr/>
      </xdr:nvSpPr>
      <xdr:spPr>
        <a:xfrm>
          <a:off x="19488694" y="510806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118</xdr:col>
      <xdr:colOff>103414</xdr:colOff>
      <xdr:row>334</xdr:row>
      <xdr:rowOff>76201</xdr:rowOff>
    </xdr:from>
    <xdr:to>
      <xdr:col>118</xdr:col>
      <xdr:colOff>103414</xdr:colOff>
      <xdr:row>334</xdr:row>
      <xdr:rowOff>76201</xdr:rowOff>
    </xdr:to>
    <xdr:cxnSp macro="">
      <xdr:nvCxnSpPr>
        <xdr:cNvPr id="62" name="직선 화살표 연결선 61"/>
        <xdr:cNvCxnSpPr/>
      </xdr:nvCxnSpPr>
      <xdr:spPr>
        <a:xfrm>
          <a:off x="19488694" y="51137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41366</xdr:colOff>
      <xdr:row>333</xdr:row>
      <xdr:rowOff>19051</xdr:rowOff>
    </xdr:from>
    <xdr:to>
      <xdr:col>118</xdr:col>
      <xdr:colOff>104684</xdr:colOff>
      <xdr:row>333</xdr:row>
      <xdr:rowOff>133351</xdr:rowOff>
    </xdr:to>
    <xdr:sp macro="" textlink="">
      <xdr:nvSpPr>
        <xdr:cNvPr id="63" name="330"/>
        <xdr:cNvSpPr/>
      </xdr:nvSpPr>
      <xdr:spPr>
        <a:xfrm>
          <a:off x="18847526" y="509282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114</xdr:col>
      <xdr:colOff>41366</xdr:colOff>
      <xdr:row>333</xdr:row>
      <xdr:rowOff>76201</xdr:rowOff>
    </xdr:from>
    <xdr:to>
      <xdr:col>114</xdr:col>
      <xdr:colOff>41366</xdr:colOff>
      <xdr:row>333</xdr:row>
      <xdr:rowOff>76201</xdr:rowOff>
    </xdr:to>
    <xdr:cxnSp macro="">
      <xdr:nvCxnSpPr>
        <xdr:cNvPr id="64" name="직선 화살표 연결선 63"/>
        <xdr:cNvCxnSpPr/>
      </xdr:nvCxnSpPr>
      <xdr:spPr>
        <a:xfrm>
          <a:off x="18847526" y="50985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41366</xdr:colOff>
      <xdr:row>332</xdr:row>
      <xdr:rowOff>19051</xdr:rowOff>
    </xdr:from>
    <xdr:to>
      <xdr:col>123</xdr:col>
      <xdr:colOff>1270</xdr:colOff>
      <xdr:row>332</xdr:row>
      <xdr:rowOff>133351</xdr:rowOff>
    </xdr:to>
    <xdr:sp macro="" textlink="">
      <xdr:nvSpPr>
        <xdr:cNvPr id="65" name="329"/>
        <xdr:cNvSpPr/>
      </xdr:nvSpPr>
      <xdr:spPr>
        <a:xfrm>
          <a:off x="18847526" y="50775871"/>
          <a:ext cx="12629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114</xdr:col>
      <xdr:colOff>41366</xdr:colOff>
      <xdr:row>332</xdr:row>
      <xdr:rowOff>76201</xdr:rowOff>
    </xdr:from>
    <xdr:to>
      <xdr:col>114</xdr:col>
      <xdr:colOff>41366</xdr:colOff>
      <xdr:row>332</xdr:row>
      <xdr:rowOff>76201</xdr:rowOff>
    </xdr:to>
    <xdr:cxnSp macro="">
      <xdr:nvCxnSpPr>
        <xdr:cNvPr id="66" name="직선 화살표 연결선 65"/>
        <xdr:cNvCxnSpPr/>
      </xdr:nvCxnSpPr>
      <xdr:spPr>
        <a:xfrm>
          <a:off x="18847526" y="50833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62049</xdr:colOff>
      <xdr:row>331</xdr:row>
      <xdr:rowOff>19051</xdr:rowOff>
    </xdr:from>
    <xdr:to>
      <xdr:col>125</xdr:col>
      <xdr:colOff>21953</xdr:colOff>
      <xdr:row>331</xdr:row>
      <xdr:rowOff>133351</xdr:rowOff>
    </xdr:to>
    <xdr:sp macro="" textlink="">
      <xdr:nvSpPr>
        <xdr:cNvPr id="67" name="328"/>
        <xdr:cNvSpPr/>
      </xdr:nvSpPr>
      <xdr:spPr>
        <a:xfrm>
          <a:off x="19157769" y="50623471"/>
          <a:ext cx="12629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116</xdr:col>
      <xdr:colOff>62049</xdr:colOff>
      <xdr:row>331</xdr:row>
      <xdr:rowOff>76201</xdr:rowOff>
    </xdr:from>
    <xdr:to>
      <xdr:col>116</xdr:col>
      <xdr:colOff>62049</xdr:colOff>
      <xdr:row>331</xdr:row>
      <xdr:rowOff>76201</xdr:rowOff>
    </xdr:to>
    <xdr:cxnSp macro="">
      <xdr:nvCxnSpPr>
        <xdr:cNvPr id="68" name="직선 화살표 연결선 67"/>
        <xdr:cNvCxnSpPr/>
      </xdr:nvCxnSpPr>
      <xdr:spPr>
        <a:xfrm>
          <a:off x="19157769" y="50680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124097</xdr:colOff>
      <xdr:row>330</xdr:row>
      <xdr:rowOff>19051</xdr:rowOff>
    </xdr:from>
    <xdr:to>
      <xdr:col>116</xdr:col>
      <xdr:colOff>63318</xdr:colOff>
      <xdr:row>330</xdr:row>
      <xdr:rowOff>133351</xdr:rowOff>
    </xdr:to>
    <xdr:sp macro="" textlink="">
      <xdr:nvSpPr>
        <xdr:cNvPr id="69" name="327"/>
        <xdr:cNvSpPr/>
      </xdr:nvSpPr>
      <xdr:spPr>
        <a:xfrm>
          <a:off x="18206357" y="50471071"/>
          <a:ext cx="952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109</xdr:col>
      <xdr:colOff>124097</xdr:colOff>
      <xdr:row>330</xdr:row>
      <xdr:rowOff>76201</xdr:rowOff>
    </xdr:from>
    <xdr:to>
      <xdr:col>109</xdr:col>
      <xdr:colOff>124097</xdr:colOff>
      <xdr:row>330</xdr:row>
      <xdr:rowOff>76201</xdr:rowOff>
    </xdr:to>
    <xdr:cxnSp macro="">
      <xdr:nvCxnSpPr>
        <xdr:cNvPr id="70" name="직선 화살표 연결선 69"/>
        <xdr:cNvCxnSpPr/>
      </xdr:nvCxnSpPr>
      <xdr:spPr>
        <a:xfrm>
          <a:off x="18206357" y="50528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124097</xdr:colOff>
      <xdr:row>329</xdr:row>
      <xdr:rowOff>19051</xdr:rowOff>
    </xdr:from>
    <xdr:to>
      <xdr:col>125</xdr:col>
      <xdr:colOff>21953</xdr:colOff>
      <xdr:row>329</xdr:row>
      <xdr:rowOff>133351</xdr:rowOff>
    </xdr:to>
    <xdr:sp macro="" textlink="">
      <xdr:nvSpPr>
        <xdr:cNvPr id="71" name="326"/>
        <xdr:cNvSpPr/>
      </xdr:nvSpPr>
      <xdr:spPr>
        <a:xfrm>
          <a:off x="18206357" y="50318671"/>
          <a:ext cx="221433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109</xdr:col>
      <xdr:colOff>124097</xdr:colOff>
      <xdr:row>329</xdr:row>
      <xdr:rowOff>76201</xdr:rowOff>
    </xdr:from>
    <xdr:to>
      <xdr:col>109</xdr:col>
      <xdr:colOff>124097</xdr:colOff>
      <xdr:row>329</xdr:row>
      <xdr:rowOff>76201</xdr:rowOff>
    </xdr:to>
    <xdr:cxnSp macro="">
      <xdr:nvCxnSpPr>
        <xdr:cNvPr id="72" name="직선 화살표 연결선 71"/>
        <xdr:cNvCxnSpPr/>
      </xdr:nvCxnSpPr>
      <xdr:spPr>
        <a:xfrm>
          <a:off x="18206357" y="50375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124097</xdr:colOff>
      <xdr:row>328</xdr:row>
      <xdr:rowOff>19051</xdr:rowOff>
    </xdr:from>
    <xdr:to>
      <xdr:col>125</xdr:col>
      <xdr:colOff>21953</xdr:colOff>
      <xdr:row>328</xdr:row>
      <xdr:rowOff>133351</xdr:rowOff>
    </xdr:to>
    <xdr:sp macro="" textlink="">
      <xdr:nvSpPr>
        <xdr:cNvPr id="73" name="325"/>
        <xdr:cNvSpPr/>
      </xdr:nvSpPr>
      <xdr:spPr>
        <a:xfrm>
          <a:off x="18206357" y="50166271"/>
          <a:ext cx="221433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109</xdr:col>
      <xdr:colOff>124097</xdr:colOff>
      <xdr:row>328</xdr:row>
      <xdr:rowOff>76201</xdr:rowOff>
    </xdr:from>
    <xdr:to>
      <xdr:col>109</xdr:col>
      <xdr:colOff>124097</xdr:colOff>
      <xdr:row>328</xdr:row>
      <xdr:rowOff>76201</xdr:rowOff>
    </xdr:to>
    <xdr:cxnSp macro="">
      <xdr:nvCxnSpPr>
        <xdr:cNvPr id="74" name="직선 화살표 연결선 73"/>
        <xdr:cNvCxnSpPr/>
      </xdr:nvCxnSpPr>
      <xdr:spPr>
        <a:xfrm>
          <a:off x="18206357" y="50223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103414</xdr:colOff>
      <xdr:row>327</xdr:row>
      <xdr:rowOff>19051</xdr:rowOff>
    </xdr:from>
    <xdr:to>
      <xdr:col>116</xdr:col>
      <xdr:colOff>63318</xdr:colOff>
      <xdr:row>327</xdr:row>
      <xdr:rowOff>133351</xdr:rowOff>
    </xdr:to>
    <xdr:sp macro="" textlink="">
      <xdr:nvSpPr>
        <xdr:cNvPr id="75" name="324"/>
        <xdr:cNvSpPr/>
      </xdr:nvSpPr>
      <xdr:spPr>
        <a:xfrm>
          <a:off x="18620014" y="50013871"/>
          <a:ext cx="5390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112</xdr:col>
      <xdr:colOff>103414</xdr:colOff>
      <xdr:row>327</xdr:row>
      <xdr:rowOff>76201</xdr:rowOff>
    </xdr:from>
    <xdr:to>
      <xdr:col>112</xdr:col>
      <xdr:colOff>103414</xdr:colOff>
      <xdr:row>327</xdr:row>
      <xdr:rowOff>76201</xdr:rowOff>
    </xdr:to>
    <xdr:cxnSp macro="">
      <xdr:nvCxnSpPr>
        <xdr:cNvPr id="76" name="직선 화살표 연결선 75"/>
        <xdr:cNvCxnSpPr/>
      </xdr:nvCxnSpPr>
      <xdr:spPr>
        <a:xfrm>
          <a:off x="18620014" y="50071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62049</xdr:colOff>
      <xdr:row>326</xdr:row>
      <xdr:rowOff>19051</xdr:rowOff>
    </xdr:from>
    <xdr:to>
      <xdr:col>112</xdr:col>
      <xdr:colOff>104684</xdr:colOff>
      <xdr:row>326</xdr:row>
      <xdr:rowOff>133351</xdr:rowOff>
    </xdr:to>
    <xdr:sp macro="" textlink="">
      <xdr:nvSpPr>
        <xdr:cNvPr id="77" name="323"/>
        <xdr:cNvSpPr/>
      </xdr:nvSpPr>
      <xdr:spPr>
        <a:xfrm>
          <a:off x="17999529" y="49861471"/>
          <a:ext cx="62175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62049</xdr:colOff>
      <xdr:row>326</xdr:row>
      <xdr:rowOff>76201</xdr:rowOff>
    </xdr:from>
    <xdr:to>
      <xdr:col>108</xdr:col>
      <xdr:colOff>62049</xdr:colOff>
      <xdr:row>326</xdr:row>
      <xdr:rowOff>76201</xdr:rowOff>
    </xdr:to>
    <xdr:cxnSp macro="">
      <xdr:nvCxnSpPr>
        <xdr:cNvPr id="78" name="직선 화살표 연결선 77"/>
        <xdr:cNvCxnSpPr/>
      </xdr:nvCxnSpPr>
      <xdr:spPr>
        <a:xfrm>
          <a:off x="17999529" y="49918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62049</xdr:colOff>
      <xdr:row>325</xdr:row>
      <xdr:rowOff>19051</xdr:rowOff>
    </xdr:from>
    <xdr:to>
      <xdr:col>116</xdr:col>
      <xdr:colOff>63318</xdr:colOff>
      <xdr:row>325</xdr:row>
      <xdr:rowOff>133351</xdr:rowOff>
    </xdr:to>
    <xdr:sp macro="" textlink="">
      <xdr:nvSpPr>
        <xdr:cNvPr id="79" name="322"/>
        <xdr:cNvSpPr/>
      </xdr:nvSpPr>
      <xdr:spPr>
        <a:xfrm>
          <a:off x="17999529" y="49709071"/>
          <a:ext cx="115950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62049</xdr:colOff>
      <xdr:row>325</xdr:row>
      <xdr:rowOff>76201</xdr:rowOff>
    </xdr:from>
    <xdr:to>
      <xdr:col>108</xdr:col>
      <xdr:colOff>62049</xdr:colOff>
      <xdr:row>325</xdr:row>
      <xdr:rowOff>76201</xdr:rowOff>
    </xdr:to>
    <xdr:cxnSp macro="">
      <xdr:nvCxnSpPr>
        <xdr:cNvPr id="80" name="직선 화살표 연결선 79"/>
        <xdr:cNvCxnSpPr/>
      </xdr:nvCxnSpPr>
      <xdr:spPr>
        <a:xfrm>
          <a:off x="17999529" y="49766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124098</xdr:colOff>
      <xdr:row>324</xdr:row>
      <xdr:rowOff>19051</xdr:rowOff>
    </xdr:from>
    <xdr:to>
      <xdr:col>108</xdr:col>
      <xdr:colOff>63319</xdr:colOff>
      <xdr:row>324</xdr:row>
      <xdr:rowOff>133351</xdr:rowOff>
    </xdr:to>
    <xdr:sp macro="" textlink="">
      <xdr:nvSpPr>
        <xdr:cNvPr id="81" name="321"/>
        <xdr:cNvSpPr/>
      </xdr:nvSpPr>
      <xdr:spPr>
        <a:xfrm>
          <a:off x="17772018" y="49556671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106</xdr:col>
      <xdr:colOff>124098</xdr:colOff>
      <xdr:row>324</xdr:row>
      <xdr:rowOff>76201</xdr:rowOff>
    </xdr:from>
    <xdr:to>
      <xdr:col>106</xdr:col>
      <xdr:colOff>124098</xdr:colOff>
      <xdr:row>324</xdr:row>
      <xdr:rowOff>76201</xdr:rowOff>
    </xdr:to>
    <xdr:cxnSp macro="">
      <xdr:nvCxnSpPr>
        <xdr:cNvPr id="82" name="직선 화살표 연결선 81"/>
        <xdr:cNvCxnSpPr/>
      </xdr:nvCxnSpPr>
      <xdr:spPr>
        <a:xfrm>
          <a:off x="17772018" y="49613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124097</xdr:colOff>
      <xdr:row>323</xdr:row>
      <xdr:rowOff>19051</xdr:rowOff>
    </xdr:from>
    <xdr:to>
      <xdr:col>108</xdr:col>
      <xdr:colOff>63319</xdr:colOff>
      <xdr:row>323</xdr:row>
      <xdr:rowOff>133351</xdr:rowOff>
    </xdr:to>
    <xdr:sp macro="" textlink="">
      <xdr:nvSpPr>
        <xdr:cNvPr id="83" name="320"/>
        <xdr:cNvSpPr/>
      </xdr:nvSpPr>
      <xdr:spPr>
        <a:xfrm>
          <a:off x="17337677" y="49404271"/>
          <a:ext cx="6631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124097</xdr:colOff>
      <xdr:row>323</xdr:row>
      <xdr:rowOff>76201</xdr:rowOff>
    </xdr:from>
    <xdr:to>
      <xdr:col>103</xdr:col>
      <xdr:colOff>124097</xdr:colOff>
      <xdr:row>323</xdr:row>
      <xdr:rowOff>76201</xdr:rowOff>
    </xdr:to>
    <xdr:cxnSp macro="">
      <xdr:nvCxnSpPr>
        <xdr:cNvPr id="84" name="직선 화살표 연결선 83"/>
        <xdr:cNvCxnSpPr/>
      </xdr:nvCxnSpPr>
      <xdr:spPr>
        <a:xfrm>
          <a:off x="17337677" y="49461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124097</xdr:colOff>
      <xdr:row>322</xdr:row>
      <xdr:rowOff>19051</xdr:rowOff>
    </xdr:from>
    <xdr:to>
      <xdr:col>108</xdr:col>
      <xdr:colOff>63319</xdr:colOff>
      <xdr:row>322</xdr:row>
      <xdr:rowOff>133351</xdr:rowOff>
    </xdr:to>
    <xdr:sp macro="" textlink="">
      <xdr:nvSpPr>
        <xdr:cNvPr id="85" name="319"/>
        <xdr:cNvSpPr/>
      </xdr:nvSpPr>
      <xdr:spPr>
        <a:xfrm>
          <a:off x="17337677" y="49251871"/>
          <a:ext cx="66312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124097</xdr:colOff>
      <xdr:row>322</xdr:row>
      <xdr:rowOff>76201</xdr:rowOff>
    </xdr:from>
    <xdr:to>
      <xdr:col>103</xdr:col>
      <xdr:colOff>124097</xdr:colOff>
      <xdr:row>322</xdr:row>
      <xdr:rowOff>76201</xdr:rowOff>
    </xdr:to>
    <xdr:cxnSp macro="">
      <xdr:nvCxnSpPr>
        <xdr:cNvPr id="86" name="직선 화살표 연결선 85"/>
        <xdr:cNvCxnSpPr/>
      </xdr:nvCxnSpPr>
      <xdr:spPr>
        <a:xfrm>
          <a:off x="17337677" y="49309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321</xdr:row>
      <xdr:rowOff>19051</xdr:rowOff>
    </xdr:from>
    <xdr:to>
      <xdr:col>105</xdr:col>
      <xdr:colOff>84000</xdr:colOff>
      <xdr:row>321</xdr:row>
      <xdr:rowOff>133351</xdr:rowOff>
    </xdr:to>
    <xdr:sp macro="" textlink="">
      <xdr:nvSpPr>
        <xdr:cNvPr id="87" name="318"/>
        <xdr:cNvSpPr/>
      </xdr:nvSpPr>
      <xdr:spPr>
        <a:xfrm>
          <a:off x="16944702" y="490994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321</xdr:row>
      <xdr:rowOff>76201</xdr:rowOff>
    </xdr:from>
    <xdr:to>
      <xdr:col>101</xdr:col>
      <xdr:colOff>20682</xdr:colOff>
      <xdr:row>321</xdr:row>
      <xdr:rowOff>76201</xdr:rowOff>
    </xdr:to>
    <xdr:cxnSp macro="">
      <xdr:nvCxnSpPr>
        <xdr:cNvPr id="88" name="직선 화살표 연결선 87"/>
        <xdr:cNvCxnSpPr/>
      </xdr:nvCxnSpPr>
      <xdr:spPr>
        <a:xfrm>
          <a:off x="16944702" y="49156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320</xdr:row>
      <xdr:rowOff>19051</xdr:rowOff>
    </xdr:from>
    <xdr:to>
      <xdr:col>105</xdr:col>
      <xdr:colOff>84000</xdr:colOff>
      <xdr:row>320</xdr:row>
      <xdr:rowOff>133351</xdr:rowOff>
    </xdr:to>
    <xdr:sp macro="" textlink="">
      <xdr:nvSpPr>
        <xdr:cNvPr id="89" name="317"/>
        <xdr:cNvSpPr/>
      </xdr:nvSpPr>
      <xdr:spPr>
        <a:xfrm>
          <a:off x="16944702" y="48947071"/>
          <a:ext cx="6424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320</xdr:row>
      <xdr:rowOff>76201</xdr:rowOff>
    </xdr:from>
    <xdr:to>
      <xdr:col>101</xdr:col>
      <xdr:colOff>20682</xdr:colOff>
      <xdr:row>320</xdr:row>
      <xdr:rowOff>76201</xdr:rowOff>
    </xdr:to>
    <xdr:cxnSp macro="">
      <xdr:nvCxnSpPr>
        <xdr:cNvPr id="90" name="직선 화살표 연결선 89"/>
        <xdr:cNvCxnSpPr/>
      </xdr:nvCxnSpPr>
      <xdr:spPr>
        <a:xfrm>
          <a:off x="16944702" y="49004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319</xdr:row>
      <xdr:rowOff>19051</xdr:rowOff>
    </xdr:from>
    <xdr:to>
      <xdr:col>116</xdr:col>
      <xdr:colOff>63318</xdr:colOff>
      <xdr:row>319</xdr:row>
      <xdr:rowOff>133351</xdr:rowOff>
    </xdr:to>
    <xdr:sp macro="" textlink="">
      <xdr:nvSpPr>
        <xdr:cNvPr id="91" name="316"/>
        <xdr:cNvSpPr/>
      </xdr:nvSpPr>
      <xdr:spPr>
        <a:xfrm>
          <a:off x="16944702" y="48794671"/>
          <a:ext cx="221433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319</xdr:row>
      <xdr:rowOff>76201</xdr:rowOff>
    </xdr:from>
    <xdr:to>
      <xdr:col>101</xdr:col>
      <xdr:colOff>20682</xdr:colOff>
      <xdr:row>319</xdr:row>
      <xdr:rowOff>76201</xdr:rowOff>
    </xdr:to>
    <xdr:cxnSp macro="">
      <xdr:nvCxnSpPr>
        <xdr:cNvPr id="92" name="직선 화살표 연결선 91"/>
        <xdr:cNvCxnSpPr/>
      </xdr:nvCxnSpPr>
      <xdr:spPr>
        <a:xfrm>
          <a:off x="16944702" y="48851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103414</xdr:colOff>
      <xdr:row>318</xdr:row>
      <xdr:rowOff>19051</xdr:rowOff>
    </xdr:from>
    <xdr:to>
      <xdr:col>110</xdr:col>
      <xdr:colOff>1269</xdr:colOff>
      <xdr:row>318</xdr:row>
      <xdr:rowOff>133351</xdr:rowOff>
    </xdr:to>
    <xdr:sp macro="" textlink="">
      <xdr:nvSpPr>
        <xdr:cNvPr id="93" name="315"/>
        <xdr:cNvSpPr/>
      </xdr:nvSpPr>
      <xdr:spPr>
        <a:xfrm>
          <a:off x="17751334" y="48642271"/>
          <a:ext cx="47697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106</xdr:col>
      <xdr:colOff>103414</xdr:colOff>
      <xdr:row>318</xdr:row>
      <xdr:rowOff>76201</xdr:rowOff>
    </xdr:from>
    <xdr:to>
      <xdr:col>106</xdr:col>
      <xdr:colOff>103414</xdr:colOff>
      <xdr:row>318</xdr:row>
      <xdr:rowOff>76201</xdr:rowOff>
    </xdr:to>
    <xdr:cxnSp macro="">
      <xdr:nvCxnSpPr>
        <xdr:cNvPr id="94" name="직선 화살표 연결선 93"/>
        <xdr:cNvCxnSpPr/>
      </xdr:nvCxnSpPr>
      <xdr:spPr>
        <a:xfrm>
          <a:off x="17751334" y="48699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317</xdr:row>
      <xdr:rowOff>19051</xdr:rowOff>
    </xdr:from>
    <xdr:to>
      <xdr:col>108</xdr:col>
      <xdr:colOff>1270</xdr:colOff>
      <xdr:row>317</xdr:row>
      <xdr:rowOff>133351</xdr:rowOff>
    </xdr:to>
    <xdr:sp macro="" textlink="">
      <xdr:nvSpPr>
        <xdr:cNvPr id="95" name="314"/>
        <xdr:cNvSpPr/>
      </xdr:nvSpPr>
      <xdr:spPr>
        <a:xfrm>
          <a:off x="17647920" y="48489871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106</xdr:col>
      <xdr:colOff>0</xdr:colOff>
      <xdr:row>317</xdr:row>
      <xdr:rowOff>76201</xdr:rowOff>
    </xdr:from>
    <xdr:to>
      <xdr:col>106</xdr:col>
      <xdr:colOff>0</xdr:colOff>
      <xdr:row>317</xdr:row>
      <xdr:rowOff>76201</xdr:rowOff>
    </xdr:to>
    <xdr:cxnSp macro="">
      <xdr:nvCxnSpPr>
        <xdr:cNvPr id="96" name="직선 화살표 연결선 95"/>
        <xdr:cNvCxnSpPr/>
      </xdr:nvCxnSpPr>
      <xdr:spPr>
        <a:xfrm>
          <a:off x="17647920" y="48547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103415</xdr:colOff>
      <xdr:row>316</xdr:row>
      <xdr:rowOff>19051</xdr:rowOff>
    </xdr:from>
    <xdr:to>
      <xdr:col>107</xdr:col>
      <xdr:colOff>42636</xdr:colOff>
      <xdr:row>316</xdr:row>
      <xdr:rowOff>133351</xdr:rowOff>
    </xdr:to>
    <xdr:sp macro="" textlink="">
      <xdr:nvSpPr>
        <xdr:cNvPr id="97" name="313"/>
        <xdr:cNvSpPr/>
      </xdr:nvSpPr>
      <xdr:spPr>
        <a:xfrm>
          <a:off x="17606555" y="48337471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105</xdr:col>
      <xdr:colOff>103415</xdr:colOff>
      <xdr:row>316</xdr:row>
      <xdr:rowOff>76201</xdr:rowOff>
    </xdr:from>
    <xdr:to>
      <xdr:col>105</xdr:col>
      <xdr:colOff>103415</xdr:colOff>
      <xdr:row>316</xdr:row>
      <xdr:rowOff>76201</xdr:rowOff>
    </xdr:to>
    <xdr:cxnSp macro="">
      <xdr:nvCxnSpPr>
        <xdr:cNvPr id="98" name="직선 화살표 연결선 97"/>
        <xdr:cNvCxnSpPr/>
      </xdr:nvCxnSpPr>
      <xdr:spPr>
        <a:xfrm>
          <a:off x="17606555" y="48394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103415</xdr:colOff>
      <xdr:row>315</xdr:row>
      <xdr:rowOff>19051</xdr:rowOff>
    </xdr:from>
    <xdr:to>
      <xdr:col>110</xdr:col>
      <xdr:colOff>1269</xdr:colOff>
      <xdr:row>315</xdr:row>
      <xdr:rowOff>133351</xdr:rowOff>
    </xdr:to>
    <xdr:sp macro="" textlink="">
      <xdr:nvSpPr>
        <xdr:cNvPr id="99" name="312"/>
        <xdr:cNvSpPr/>
      </xdr:nvSpPr>
      <xdr:spPr>
        <a:xfrm>
          <a:off x="17606555" y="48185071"/>
          <a:ext cx="62175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105</xdr:col>
      <xdr:colOff>103415</xdr:colOff>
      <xdr:row>315</xdr:row>
      <xdr:rowOff>76201</xdr:rowOff>
    </xdr:from>
    <xdr:to>
      <xdr:col>105</xdr:col>
      <xdr:colOff>103415</xdr:colOff>
      <xdr:row>315</xdr:row>
      <xdr:rowOff>76201</xdr:rowOff>
    </xdr:to>
    <xdr:cxnSp macro="">
      <xdr:nvCxnSpPr>
        <xdr:cNvPr id="100" name="직선 화살표 연결선 99"/>
        <xdr:cNvCxnSpPr/>
      </xdr:nvCxnSpPr>
      <xdr:spPr>
        <a:xfrm>
          <a:off x="17606555" y="48242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82732</xdr:colOff>
      <xdr:row>314</xdr:row>
      <xdr:rowOff>19051</xdr:rowOff>
    </xdr:from>
    <xdr:to>
      <xdr:col>106</xdr:col>
      <xdr:colOff>42636</xdr:colOff>
      <xdr:row>314</xdr:row>
      <xdr:rowOff>133351</xdr:rowOff>
    </xdr:to>
    <xdr:sp macro="" textlink="">
      <xdr:nvSpPr>
        <xdr:cNvPr id="101" name="311"/>
        <xdr:cNvSpPr/>
      </xdr:nvSpPr>
      <xdr:spPr>
        <a:xfrm>
          <a:off x="17441092" y="48032671"/>
          <a:ext cx="24946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104</xdr:col>
      <xdr:colOff>82732</xdr:colOff>
      <xdr:row>314</xdr:row>
      <xdr:rowOff>76201</xdr:rowOff>
    </xdr:from>
    <xdr:to>
      <xdr:col>104</xdr:col>
      <xdr:colOff>82732</xdr:colOff>
      <xdr:row>314</xdr:row>
      <xdr:rowOff>76201</xdr:rowOff>
    </xdr:to>
    <xdr:cxnSp macro="">
      <xdr:nvCxnSpPr>
        <xdr:cNvPr id="102" name="직선 화살표 연결선 101"/>
        <xdr:cNvCxnSpPr/>
      </xdr:nvCxnSpPr>
      <xdr:spPr>
        <a:xfrm>
          <a:off x="17441092" y="48089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124098</xdr:colOff>
      <xdr:row>313</xdr:row>
      <xdr:rowOff>19051</xdr:rowOff>
    </xdr:from>
    <xdr:to>
      <xdr:col>107</xdr:col>
      <xdr:colOff>1270</xdr:colOff>
      <xdr:row>313</xdr:row>
      <xdr:rowOff>133351</xdr:rowOff>
    </xdr:to>
    <xdr:sp macro="" textlink="">
      <xdr:nvSpPr>
        <xdr:cNvPr id="103" name="310"/>
        <xdr:cNvSpPr/>
      </xdr:nvSpPr>
      <xdr:spPr>
        <a:xfrm>
          <a:off x="17192898" y="47880271"/>
          <a:ext cx="6010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124098</xdr:colOff>
      <xdr:row>313</xdr:row>
      <xdr:rowOff>76201</xdr:rowOff>
    </xdr:from>
    <xdr:to>
      <xdr:col>102</xdr:col>
      <xdr:colOff>124098</xdr:colOff>
      <xdr:row>313</xdr:row>
      <xdr:rowOff>76201</xdr:rowOff>
    </xdr:to>
    <xdr:cxnSp macro="">
      <xdr:nvCxnSpPr>
        <xdr:cNvPr id="104" name="직선 화살표 연결선 103"/>
        <xdr:cNvCxnSpPr/>
      </xdr:nvCxnSpPr>
      <xdr:spPr>
        <a:xfrm>
          <a:off x="17192898" y="47937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124098</xdr:colOff>
      <xdr:row>312</xdr:row>
      <xdr:rowOff>19051</xdr:rowOff>
    </xdr:from>
    <xdr:to>
      <xdr:col>107</xdr:col>
      <xdr:colOff>1270</xdr:colOff>
      <xdr:row>312</xdr:row>
      <xdr:rowOff>133351</xdr:rowOff>
    </xdr:to>
    <xdr:sp macro="" textlink="">
      <xdr:nvSpPr>
        <xdr:cNvPr id="105" name="309"/>
        <xdr:cNvSpPr/>
      </xdr:nvSpPr>
      <xdr:spPr>
        <a:xfrm>
          <a:off x="17192898" y="47727871"/>
          <a:ext cx="601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124098</xdr:colOff>
      <xdr:row>312</xdr:row>
      <xdr:rowOff>76201</xdr:rowOff>
    </xdr:from>
    <xdr:to>
      <xdr:col>102</xdr:col>
      <xdr:colOff>124098</xdr:colOff>
      <xdr:row>312</xdr:row>
      <xdr:rowOff>76201</xdr:rowOff>
    </xdr:to>
    <xdr:cxnSp macro="">
      <xdr:nvCxnSpPr>
        <xdr:cNvPr id="106" name="직선 화살표 연결선 105"/>
        <xdr:cNvCxnSpPr/>
      </xdr:nvCxnSpPr>
      <xdr:spPr>
        <a:xfrm>
          <a:off x="17192898" y="47785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20683</xdr:colOff>
      <xdr:row>311</xdr:row>
      <xdr:rowOff>19051</xdr:rowOff>
    </xdr:from>
    <xdr:to>
      <xdr:col>101</xdr:col>
      <xdr:colOff>63318</xdr:colOff>
      <xdr:row>311</xdr:row>
      <xdr:rowOff>133351</xdr:rowOff>
    </xdr:to>
    <xdr:sp macro="" textlink="">
      <xdr:nvSpPr>
        <xdr:cNvPr id="107" name="308"/>
        <xdr:cNvSpPr/>
      </xdr:nvSpPr>
      <xdr:spPr>
        <a:xfrm>
          <a:off x="16655143" y="47575471"/>
          <a:ext cx="3321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20683</xdr:colOff>
      <xdr:row>311</xdr:row>
      <xdr:rowOff>76201</xdr:rowOff>
    </xdr:from>
    <xdr:to>
      <xdr:col>99</xdr:col>
      <xdr:colOff>20683</xdr:colOff>
      <xdr:row>311</xdr:row>
      <xdr:rowOff>76201</xdr:rowOff>
    </xdr:to>
    <xdr:cxnSp macro="">
      <xdr:nvCxnSpPr>
        <xdr:cNvPr id="108" name="직선 화살표 연결선 107"/>
        <xdr:cNvCxnSpPr/>
      </xdr:nvCxnSpPr>
      <xdr:spPr>
        <a:xfrm>
          <a:off x="16655143" y="47632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62049</xdr:colOff>
      <xdr:row>310</xdr:row>
      <xdr:rowOff>19051</xdr:rowOff>
    </xdr:from>
    <xdr:to>
      <xdr:col>104</xdr:col>
      <xdr:colOff>21953</xdr:colOff>
      <xdr:row>310</xdr:row>
      <xdr:rowOff>133351</xdr:rowOff>
    </xdr:to>
    <xdr:sp macro="" textlink="">
      <xdr:nvSpPr>
        <xdr:cNvPr id="109" name="307"/>
        <xdr:cNvSpPr/>
      </xdr:nvSpPr>
      <xdr:spPr>
        <a:xfrm>
          <a:off x="17130849" y="47423071"/>
          <a:ext cx="24946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62049</xdr:colOff>
      <xdr:row>310</xdr:row>
      <xdr:rowOff>76201</xdr:rowOff>
    </xdr:from>
    <xdr:to>
      <xdr:col>102</xdr:col>
      <xdr:colOff>62049</xdr:colOff>
      <xdr:row>310</xdr:row>
      <xdr:rowOff>76201</xdr:rowOff>
    </xdr:to>
    <xdr:cxnSp macro="">
      <xdr:nvCxnSpPr>
        <xdr:cNvPr id="110" name="직선 화살표 연결선 109"/>
        <xdr:cNvCxnSpPr/>
      </xdr:nvCxnSpPr>
      <xdr:spPr>
        <a:xfrm>
          <a:off x="17130849" y="47480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309</xdr:row>
      <xdr:rowOff>19051</xdr:rowOff>
    </xdr:from>
    <xdr:to>
      <xdr:col>102</xdr:col>
      <xdr:colOff>125368</xdr:colOff>
      <xdr:row>309</xdr:row>
      <xdr:rowOff>133351</xdr:rowOff>
    </xdr:to>
    <xdr:sp macro="" textlink="">
      <xdr:nvSpPr>
        <xdr:cNvPr id="111" name="306"/>
        <xdr:cNvSpPr/>
      </xdr:nvSpPr>
      <xdr:spPr>
        <a:xfrm>
          <a:off x="16944702" y="47270671"/>
          <a:ext cx="2494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309</xdr:row>
      <xdr:rowOff>76201</xdr:rowOff>
    </xdr:from>
    <xdr:to>
      <xdr:col>101</xdr:col>
      <xdr:colOff>20682</xdr:colOff>
      <xdr:row>309</xdr:row>
      <xdr:rowOff>76201</xdr:rowOff>
    </xdr:to>
    <xdr:cxnSp macro="">
      <xdr:nvCxnSpPr>
        <xdr:cNvPr id="112" name="직선 화살표 연결선 111"/>
        <xdr:cNvCxnSpPr/>
      </xdr:nvCxnSpPr>
      <xdr:spPr>
        <a:xfrm>
          <a:off x="16944702" y="47327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62048</xdr:colOff>
      <xdr:row>308</xdr:row>
      <xdr:rowOff>19051</xdr:rowOff>
    </xdr:from>
    <xdr:to>
      <xdr:col>102</xdr:col>
      <xdr:colOff>63319</xdr:colOff>
      <xdr:row>308</xdr:row>
      <xdr:rowOff>133351</xdr:rowOff>
    </xdr:to>
    <xdr:sp macro="" textlink="">
      <xdr:nvSpPr>
        <xdr:cNvPr id="113" name="305"/>
        <xdr:cNvSpPr/>
      </xdr:nvSpPr>
      <xdr:spPr>
        <a:xfrm>
          <a:off x="16117388" y="47118271"/>
          <a:ext cx="101473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62048</xdr:colOff>
      <xdr:row>308</xdr:row>
      <xdr:rowOff>76201</xdr:rowOff>
    </xdr:from>
    <xdr:to>
      <xdr:col>95</xdr:col>
      <xdr:colOff>62048</xdr:colOff>
      <xdr:row>308</xdr:row>
      <xdr:rowOff>76201</xdr:rowOff>
    </xdr:to>
    <xdr:cxnSp macro="">
      <xdr:nvCxnSpPr>
        <xdr:cNvPr id="114" name="직선 화살표 연결선 113"/>
        <xdr:cNvCxnSpPr/>
      </xdr:nvCxnSpPr>
      <xdr:spPr>
        <a:xfrm>
          <a:off x="16117388" y="47175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20683</xdr:colOff>
      <xdr:row>307</xdr:row>
      <xdr:rowOff>19051</xdr:rowOff>
    </xdr:from>
    <xdr:to>
      <xdr:col>101</xdr:col>
      <xdr:colOff>21952</xdr:colOff>
      <xdr:row>307</xdr:row>
      <xdr:rowOff>133351</xdr:rowOff>
    </xdr:to>
    <xdr:sp macro="" textlink="">
      <xdr:nvSpPr>
        <xdr:cNvPr id="115" name="304"/>
        <xdr:cNvSpPr/>
      </xdr:nvSpPr>
      <xdr:spPr>
        <a:xfrm>
          <a:off x="15931243" y="46965871"/>
          <a:ext cx="101472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20683</xdr:colOff>
      <xdr:row>307</xdr:row>
      <xdr:rowOff>76201</xdr:rowOff>
    </xdr:from>
    <xdr:to>
      <xdr:col>94</xdr:col>
      <xdr:colOff>20683</xdr:colOff>
      <xdr:row>307</xdr:row>
      <xdr:rowOff>76201</xdr:rowOff>
    </xdr:to>
    <xdr:cxnSp macro="">
      <xdr:nvCxnSpPr>
        <xdr:cNvPr id="116" name="직선 화살표 연결선 115"/>
        <xdr:cNvCxnSpPr/>
      </xdr:nvCxnSpPr>
      <xdr:spPr>
        <a:xfrm>
          <a:off x="15931243" y="47023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20683</xdr:colOff>
      <xdr:row>306</xdr:row>
      <xdr:rowOff>19051</xdr:rowOff>
    </xdr:from>
    <xdr:to>
      <xdr:col>104</xdr:col>
      <xdr:colOff>21953</xdr:colOff>
      <xdr:row>306</xdr:row>
      <xdr:rowOff>133351</xdr:rowOff>
    </xdr:to>
    <xdr:sp macro="" textlink="">
      <xdr:nvSpPr>
        <xdr:cNvPr id="117" name="303"/>
        <xdr:cNvSpPr/>
      </xdr:nvSpPr>
      <xdr:spPr>
        <a:xfrm>
          <a:off x="15931243" y="46813471"/>
          <a:ext cx="14490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20683</xdr:colOff>
      <xdr:row>306</xdr:row>
      <xdr:rowOff>76201</xdr:rowOff>
    </xdr:from>
    <xdr:to>
      <xdr:col>94</xdr:col>
      <xdr:colOff>20683</xdr:colOff>
      <xdr:row>306</xdr:row>
      <xdr:rowOff>76201</xdr:rowOff>
    </xdr:to>
    <xdr:cxnSp macro="">
      <xdr:nvCxnSpPr>
        <xdr:cNvPr id="118" name="직선 화살표 연결선 117"/>
        <xdr:cNvCxnSpPr/>
      </xdr:nvCxnSpPr>
      <xdr:spPr>
        <a:xfrm>
          <a:off x="15931243" y="46870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20683</xdr:colOff>
      <xdr:row>305</xdr:row>
      <xdr:rowOff>19051</xdr:rowOff>
    </xdr:from>
    <xdr:to>
      <xdr:col>110</xdr:col>
      <xdr:colOff>1269</xdr:colOff>
      <xdr:row>305</xdr:row>
      <xdr:rowOff>133351</xdr:rowOff>
    </xdr:to>
    <xdr:sp macro="" textlink="">
      <xdr:nvSpPr>
        <xdr:cNvPr id="119" name="302"/>
        <xdr:cNvSpPr/>
      </xdr:nvSpPr>
      <xdr:spPr>
        <a:xfrm>
          <a:off x="15931243" y="46661071"/>
          <a:ext cx="229706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20683</xdr:colOff>
      <xdr:row>305</xdr:row>
      <xdr:rowOff>76201</xdr:rowOff>
    </xdr:from>
    <xdr:to>
      <xdr:col>94</xdr:col>
      <xdr:colOff>20683</xdr:colOff>
      <xdr:row>305</xdr:row>
      <xdr:rowOff>76201</xdr:rowOff>
    </xdr:to>
    <xdr:cxnSp macro="">
      <xdr:nvCxnSpPr>
        <xdr:cNvPr id="120" name="직선 화살표 연결선 119"/>
        <xdr:cNvCxnSpPr/>
      </xdr:nvCxnSpPr>
      <xdr:spPr>
        <a:xfrm>
          <a:off x="15931243" y="46718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41366</xdr:colOff>
      <xdr:row>304</xdr:row>
      <xdr:rowOff>19051</xdr:rowOff>
    </xdr:from>
    <xdr:to>
      <xdr:col>115</xdr:col>
      <xdr:colOff>104684</xdr:colOff>
      <xdr:row>304</xdr:row>
      <xdr:rowOff>133351</xdr:rowOff>
    </xdr:to>
    <xdr:sp macro="" textlink="">
      <xdr:nvSpPr>
        <xdr:cNvPr id="121" name="301"/>
        <xdr:cNvSpPr/>
      </xdr:nvSpPr>
      <xdr:spPr>
        <a:xfrm>
          <a:off x="18413186" y="465086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111</xdr:col>
      <xdr:colOff>41366</xdr:colOff>
      <xdr:row>304</xdr:row>
      <xdr:rowOff>76201</xdr:rowOff>
    </xdr:from>
    <xdr:to>
      <xdr:col>111</xdr:col>
      <xdr:colOff>41366</xdr:colOff>
      <xdr:row>304</xdr:row>
      <xdr:rowOff>76201</xdr:rowOff>
    </xdr:to>
    <xdr:cxnSp macro="">
      <xdr:nvCxnSpPr>
        <xdr:cNvPr id="122" name="직선 화살표 연결선 121"/>
        <xdr:cNvCxnSpPr/>
      </xdr:nvCxnSpPr>
      <xdr:spPr>
        <a:xfrm>
          <a:off x="18413186" y="46565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303</xdr:row>
      <xdr:rowOff>19051</xdr:rowOff>
    </xdr:from>
    <xdr:to>
      <xdr:col>111</xdr:col>
      <xdr:colOff>42636</xdr:colOff>
      <xdr:row>303</xdr:row>
      <xdr:rowOff>133351</xdr:rowOff>
    </xdr:to>
    <xdr:sp macro="" textlink="">
      <xdr:nvSpPr>
        <xdr:cNvPr id="123" name="300"/>
        <xdr:cNvSpPr/>
      </xdr:nvSpPr>
      <xdr:spPr>
        <a:xfrm>
          <a:off x="17792700" y="463562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107</xdr:col>
      <xdr:colOff>0</xdr:colOff>
      <xdr:row>303</xdr:row>
      <xdr:rowOff>76201</xdr:rowOff>
    </xdr:from>
    <xdr:to>
      <xdr:col>107</xdr:col>
      <xdr:colOff>0</xdr:colOff>
      <xdr:row>303</xdr:row>
      <xdr:rowOff>76201</xdr:rowOff>
    </xdr:to>
    <xdr:cxnSp macro="">
      <xdr:nvCxnSpPr>
        <xdr:cNvPr id="124" name="직선 화살표 연결선 123"/>
        <xdr:cNvCxnSpPr/>
      </xdr:nvCxnSpPr>
      <xdr:spPr>
        <a:xfrm>
          <a:off x="17792700" y="46413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302</xdr:row>
      <xdr:rowOff>19051</xdr:rowOff>
    </xdr:from>
    <xdr:to>
      <xdr:col>115</xdr:col>
      <xdr:colOff>104684</xdr:colOff>
      <xdr:row>302</xdr:row>
      <xdr:rowOff>133351</xdr:rowOff>
    </xdr:to>
    <xdr:sp macro="" textlink="">
      <xdr:nvSpPr>
        <xdr:cNvPr id="125" name="299"/>
        <xdr:cNvSpPr/>
      </xdr:nvSpPr>
      <xdr:spPr>
        <a:xfrm>
          <a:off x="17792700" y="46203871"/>
          <a:ext cx="12629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107</xdr:col>
      <xdr:colOff>0</xdr:colOff>
      <xdr:row>302</xdr:row>
      <xdr:rowOff>76201</xdr:rowOff>
    </xdr:from>
    <xdr:to>
      <xdr:col>107</xdr:col>
      <xdr:colOff>0</xdr:colOff>
      <xdr:row>302</xdr:row>
      <xdr:rowOff>76201</xdr:rowOff>
    </xdr:to>
    <xdr:cxnSp macro="">
      <xdr:nvCxnSpPr>
        <xdr:cNvPr id="126" name="직선 화살표 연결선 125"/>
        <xdr:cNvCxnSpPr/>
      </xdr:nvCxnSpPr>
      <xdr:spPr>
        <a:xfrm>
          <a:off x="17792700" y="46261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82731</xdr:colOff>
      <xdr:row>301</xdr:row>
      <xdr:rowOff>19051</xdr:rowOff>
    </xdr:from>
    <xdr:to>
      <xdr:col>107</xdr:col>
      <xdr:colOff>1270</xdr:colOff>
      <xdr:row>301</xdr:row>
      <xdr:rowOff>133351</xdr:rowOff>
    </xdr:to>
    <xdr:sp macro="" textlink="">
      <xdr:nvSpPr>
        <xdr:cNvPr id="127" name="298"/>
        <xdr:cNvSpPr/>
      </xdr:nvSpPr>
      <xdr:spPr>
        <a:xfrm>
          <a:off x="17585871" y="46051471"/>
          <a:ext cx="2080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105</xdr:col>
      <xdr:colOff>82731</xdr:colOff>
      <xdr:row>301</xdr:row>
      <xdr:rowOff>76201</xdr:rowOff>
    </xdr:from>
    <xdr:to>
      <xdr:col>105</xdr:col>
      <xdr:colOff>82731</xdr:colOff>
      <xdr:row>301</xdr:row>
      <xdr:rowOff>76201</xdr:rowOff>
    </xdr:to>
    <xdr:cxnSp macro="">
      <xdr:nvCxnSpPr>
        <xdr:cNvPr id="128" name="직선 화살표 연결선 127"/>
        <xdr:cNvCxnSpPr/>
      </xdr:nvCxnSpPr>
      <xdr:spPr>
        <a:xfrm>
          <a:off x="17585871" y="46108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62049</xdr:colOff>
      <xdr:row>300</xdr:row>
      <xdr:rowOff>19051</xdr:rowOff>
    </xdr:from>
    <xdr:to>
      <xdr:col>107</xdr:col>
      <xdr:colOff>1270</xdr:colOff>
      <xdr:row>300</xdr:row>
      <xdr:rowOff>133351</xdr:rowOff>
    </xdr:to>
    <xdr:sp macro="" textlink="">
      <xdr:nvSpPr>
        <xdr:cNvPr id="129" name="297"/>
        <xdr:cNvSpPr/>
      </xdr:nvSpPr>
      <xdr:spPr>
        <a:xfrm>
          <a:off x="17130849" y="45899071"/>
          <a:ext cx="6631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62049</xdr:colOff>
      <xdr:row>300</xdr:row>
      <xdr:rowOff>76201</xdr:rowOff>
    </xdr:from>
    <xdr:to>
      <xdr:col>102</xdr:col>
      <xdr:colOff>62049</xdr:colOff>
      <xdr:row>300</xdr:row>
      <xdr:rowOff>76201</xdr:rowOff>
    </xdr:to>
    <xdr:cxnSp macro="">
      <xdr:nvCxnSpPr>
        <xdr:cNvPr id="130" name="직선 화살표 연결선 129"/>
        <xdr:cNvCxnSpPr/>
      </xdr:nvCxnSpPr>
      <xdr:spPr>
        <a:xfrm>
          <a:off x="17130849" y="45956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62049</xdr:colOff>
      <xdr:row>299</xdr:row>
      <xdr:rowOff>19051</xdr:rowOff>
    </xdr:from>
    <xdr:to>
      <xdr:col>107</xdr:col>
      <xdr:colOff>1270</xdr:colOff>
      <xdr:row>299</xdr:row>
      <xdr:rowOff>133351</xdr:rowOff>
    </xdr:to>
    <xdr:sp macro="" textlink="">
      <xdr:nvSpPr>
        <xdr:cNvPr id="131" name="296"/>
        <xdr:cNvSpPr/>
      </xdr:nvSpPr>
      <xdr:spPr>
        <a:xfrm>
          <a:off x="17130849" y="45746671"/>
          <a:ext cx="66312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62049</xdr:colOff>
      <xdr:row>299</xdr:row>
      <xdr:rowOff>76201</xdr:rowOff>
    </xdr:from>
    <xdr:to>
      <xdr:col>102</xdr:col>
      <xdr:colOff>62049</xdr:colOff>
      <xdr:row>299</xdr:row>
      <xdr:rowOff>76201</xdr:rowOff>
    </xdr:to>
    <xdr:cxnSp macro="">
      <xdr:nvCxnSpPr>
        <xdr:cNvPr id="132" name="직선 화살표 연결선 131"/>
        <xdr:cNvCxnSpPr/>
      </xdr:nvCxnSpPr>
      <xdr:spPr>
        <a:xfrm>
          <a:off x="17130849" y="45803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103414</xdr:colOff>
      <xdr:row>298</xdr:row>
      <xdr:rowOff>19051</xdr:rowOff>
    </xdr:from>
    <xdr:to>
      <xdr:col>104</xdr:col>
      <xdr:colOff>1270</xdr:colOff>
      <xdr:row>298</xdr:row>
      <xdr:rowOff>133351</xdr:rowOff>
    </xdr:to>
    <xdr:sp macro="" textlink="">
      <xdr:nvSpPr>
        <xdr:cNvPr id="133" name="295"/>
        <xdr:cNvSpPr/>
      </xdr:nvSpPr>
      <xdr:spPr>
        <a:xfrm>
          <a:off x="17027434" y="45594271"/>
          <a:ext cx="3321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103414</xdr:colOff>
      <xdr:row>298</xdr:row>
      <xdr:rowOff>76201</xdr:rowOff>
    </xdr:from>
    <xdr:to>
      <xdr:col>101</xdr:col>
      <xdr:colOff>103414</xdr:colOff>
      <xdr:row>298</xdr:row>
      <xdr:rowOff>76201</xdr:rowOff>
    </xdr:to>
    <xdr:cxnSp macro="">
      <xdr:nvCxnSpPr>
        <xdr:cNvPr id="134" name="직선 화살표 연결선 133"/>
        <xdr:cNvCxnSpPr/>
      </xdr:nvCxnSpPr>
      <xdr:spPr>
        <a:xfrm>
          <a:off x="17027434" y="45651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103414</xdr:colOff>
      <xdr:row>297</xdr:row>
      <xdr:rowOff>19051</xdr:rowOff>
    </xdr:from>
    <xdr:to>
      <xdr:col>104</xdr:col>
      <xdr:colOff>1270</xdr:colOff>
      <xdr:row>297</xdr:row>
      <xdr:rowOff>133351</xdr:rowOff>
    </xdr:to>
    <xdr:sp macro="" textlink="">
      <xdr:nvSpPr>
        <xdr:cNvPr id="135" name="294"/>
        <xdr:cNvSpPr/>
      </xdr:nvSpPr>
      <xdr:spPr>
        <a:xfrm>
          <a:off x="17027434" y="45441871"/>
          <a:ext cx="33219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103414</xdr:colOff>
      <xdr:row>297</xdr:row>
      <xdr:rowOff>76201</xdr:rowOff>
    </xdr:from>
    <xdr:to>
      <xdr:col>101</xdr:col>
      <xdr:colOff>103414</xdr:colOff>
      <xdr:row>297</xdr:row>
      <xdr:rowOff>76201</xdr:rowOff>
    </xdr:to>
    <xdr:cxnSp macro="">
      <xdr:nvCxnSpPr>
        <xdr:cNvPr id="136" name="직선 화살표 연결선 135"/>
        <xdr:cNvCxnSpPr/>
      </xdr:nvCxnSpPr>
      <xdr:spPr>
        <a:xfrm>
          <a:off x="17027434" y="45499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103414</xdr:colOff>
      <xdr:row>296</xdr:row>
      <xdr:rowOff>19051</xdr:rowOff>
    </xdr:from>
    <xdr:to>
      <xdr:col>115</xdr:col>
      <xdr:colOff>104684</xdr:colOff>
      <xdr:row>296</xdr:row>
      <xdr:rowOff>133351</xdr:rowOff>
    </xdr:to>
    <xdr:sp macro="" textlink="">
      <xdr:nvSpPr>
        <xdr:cNvPr id="137" name="293"/>
        <xdr:cNvSpPr/>
      </xdr:nvSpPr>
      <xdr:spPr>
        <a:xfrm>
          <a:off x="17027434" y="45289471"/>
          <a:ext cx="202819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103414</xdr:colOff>
      <xdr:row>296</xdr:row>
      <xdr:rowOff>76201</xdr:rowOff>
    </xdr:from>
    <xdr:to>
      <xdr:col>101</xdr:col>
      <xdr:colOff>103414</xdr:colOff>
      <xdr:row>296</xdr:row>
      <xdr:rowOff>76201</xdr:rowOff>
    </xdr:to>
    <xdr:cxnSp macro="">
      <xdr:nvCxnSpPr>
        <xdr:cNvPr id="138" name="직선 화살표 연결선 137"/>
        <xdr:cNvCxnSpPr/>
      </xdr:nvCxnSpPr>
      <xdr:spPr>
        <a:xfrm>
          <a:off x="17027434" y="45346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124097</xdr:colOff>
      <xdr:row>295</xdr:row>
      <xdr:rowOff>19051</xdr:rowOff>
    </xdr:from>
    <xdr:to>
      <xdr:col>114</xdr:col>
      <xdr:colOff>42635</xdr:colOff>
      <xdr:row>295</xdr:row>
      <xdr:rowOff>133351</xdr:rowOff>
    </xdr:to>
    <xdr:sp macro="" textlink="">
      <xdr:nvSpPr>
        <xdr:cNvPr id="139" name="292"/>
        <xdr:cNvSpPr/>
      </xdr:nvSpPr>
      <xdr:spPr>
        <a:xfrm>
          <a:off x="18206357" y="451370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109</xdr:col>
      <xdr:colOff>124097</xdr:colOff>
      <xdr:row>295</xdr:row>
      <xdr:rowOff>76201</xdr:rowOff>
    </xdr:from>
    <xdr:to>
      <xdr:col>109</xdr:col>
      <xdr:colOff>124097</xdr:colOff>
      <xdr:row>295</xdr:row>
      <xdr:rowOff>76201</xdr:rowOff>
    </xdr:to>
    <xdr:cxnSp macro="">
      <xdr:nvCxnSpPr>
        <xdr:cNvPr id="140" name="직선 화살표 연결선 139"/>
        <xdr:cNvCxnSpPr/>
      </xdr:nvCxnSpPr>
      <xdr:spPr>
        <a:xfrm>
          <a:off x="18206357" y="45194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82731</xdr:colOff>
      <xdr:row>294</xdr:row>
      <xdr:rowOff>19051</xdr:rowOff>
    </xdr:from>
    <xdr:to>
      <xdr:col>109</xdr:col>
      <xdr:colOff>125367</xdr:colOff>
      <xdr:row>294</xdr:row>
      <xdr:rowOff>133351</xdr:rowOff>
    </xdr:to>
    <xdr:sp macro="" textlink="">
      <xdr:nvSpPr>
        <xdr:cNvPr id="141" name="291"/>
        <xdr:cNvSpPr/>
      </xdr:nvSpPr>
      <xdr:spPr>
        <a:xfrm>
          <a:off x="17585871" y="449846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105</xdr:col>
      <xdr:colOff>82731</xdr:colOff>
      <xdr:row>294</xdr:row>
      <xdr:rowOff>76201</xdr:rowOff>
    </xdr:from>
    <xdr:to>
      <xdr:col>105</xdr:col>
      <xdr:colOff>82731</xdr:colOff>
      <xdr:row>294</xdr:row>
      <xdr:rowOff>76201</xdr:rowOff>
    </xdr:to>
    <xdr:cxnSp macro="">
      <xdr:nvCxnSpPr>
        <xdr:cNvPr id="142" name="직선 화살표 연결선 141"/>
        <xdr:cNvCxnSpPr/>
      </xdr:nvCxnSpPr>
      <xdr:spPr>
        <a:xfrm>
          <a:off x="17585871" y="45041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82731</xdr:colOff>
      <xdr:row>293</xdr:row>
      <xdr:rowOff>19051</xdr:rowOff>
    </xdr:from>
    <xdr:to>
      <xdr:col>114</xdr:col>
      <xdr:colOff>42635</xdr:colOff>
      <xdr:row>293</xdr:row>
      <xdr:rowOff>133351</xdr:rowOff>
    </xdr:to>
    <xdr:sp macro="" textlink="">
      <xdr:nvSpPr>
        <xdr:cNvPr id="143" name="290"/>
        <xdr:cNvSpPr/>
      </xdr:nvSpPr>
      <xdr:spPr>
        <a:xfrm>
          <a:off x="17585871" y="44832271"/>
          <a:ext cx="12629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105</xdr:col>
      <xdr:colOff>82731</xdr:colOff>
      <xdr:row>293</xdr:row>
      <xdr:rowOff>76201</xdr:rowOff>
    </xdr:from>
    <xdr:to>
      <xdr:col>105</xdr:col>
      <xdr:colOff>82731</xdr:colOff>
      <xdr:row>293</xdr:row>
      <xdr:rowOff>76201</xdr:rowOff>
    </xdr:to>
    <xdr:cxnSp macro="">
      <xdr:nvCxnSpPr>
        <xdr:cNvPr id="144" name="직선 화살표 연결선 143"/>
        <xdr:cNvCxnSpPr/>
      </xdr:nvCxnSpPr>
      <xdr:spPr>
        <a:xfrm>
          <a:off x="17585871" y="44889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124097</xdr:colOff>
      <xdr:row>292</xdr:row>
      <xdr:rowOff>19051</xdr:rowOff>
    </xdr:from>
    <xdr:to>
      <xdr:col>105</xdr:col>
      <xdr:colOff>84000</xdr:colOff>
      <xdr:row>292</xdr:row>
      <xdr:rowOff>133351</xdr:rowOff>
    </xdr:to>
    <xdr:sp macro="" textlink="">
      <xdr:nvSpPr>
        <xdr:cNvPr id="145" name="289"/>
        <xdr:cNvSpPr/>
      </xdr:nvSpPr>
      <xdr:spPr>
        <a:xfrm>
          <a:off x="17337677" y="44679871"/>
          <a:ext cx="2494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124097</xdr:colOff>
      <xdr:row>292</xdr:row>
      <xdr:rowOff>76201</xdr:rowOff>
    </xdr:from>
    <xdr:to>
      <xdr:col>103</xdr:col>
      <xdr:colOff>124097</xdr:colOff>
      <xdr:row>292</xdr:row>
      <xdr:rowOff>76201</xdr:rowOff>
    </xdr:to>
    <xdr:cxnSp macro="">
      <xdr:nvCxnSpPr>
        <xdr:cNvPr id="146" name="직선 화살표 연결선 145"/>
        <xdr:cNvCxnSpPr/>
      </xdr:nvCxnSpPr>
      <xdr:spPr>
        <a:xfrm>
          <a:off x="17337677" y="44737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291</xdr:row>
      <xdr:rowOff>19051</xdr:rowOff>
    </xdr:from>
    <xdr:to>
      <xdr:col>105</xdr:col>
      <xdr:colOff>84000</xdr:colOff>
      <xdr:row>291</xdr:row>
      <xdr:rowOff>133351</xdr:rowOff>
    </xdr:to>
    <xdr:sp macro="" textlink="">
      <xdr:nvSpPr>
        <xdr:cNvPr id="147" name="288"/>
        <xdr:cNvSpPr/>
      </xdr:nvSpPr>
      <xdr:spPr>
        <a:xfrm>
          <a:off x="16944702" y="445274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291</xdr:row>
      <xdr:rowOff>76201</xdr:rowOff>
    </xdr:from>
    <xdr:to>
      <xdr:col>101</xdr:col>
      <xdr:colOff>20682</xdr:colOff>
      <xdr:row>291</xdr:row>
      <xdr:rowOff>76201</xdr:rowOff>
    </xdr:to>
    <xdr:cxnSp macro="">
      <xdr:nvCxnSpPr>
        <xdr:cNvPr id="148" name="직선 화살표 연결선 147"/>
        <xdr:cNvCxnSpPr/>
      </xdr:nvCxnSpPr>
      <xdr:spPr>
        <a:xfrm>
          <a:off x="16944702" y="44584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290</xdr:row>
      <xdr:rowOff>19051</xdr:rowOff>
    </xdr:from>
    <xdr:to>
      <xdr:col>105</xdr:col>
      <xdr:colOff>84000</xdr:colOff>
      <xdr:row>290</xdr:row>
      <xdr:rowOff>133351</xdr:rowOff>
    </xdr:to>
    <xdr:sp macro="" textlink="">
      <xdr:nvSpPr>
        <xdr:cNvPr id="149" name="287"/>
        <xdr:cNvSpPr/>
      </xdr:nvSpPr>
      <xdr:spPr>
        <a:xfrm>
          <a:off x="16944702" y="44375071"/>
          <a:ext cx="6424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290</xdr:row>
      <xdr:rowOff>76201</xdr:rowOff>
    </xdr:from>
    <xdr:to>
      <xdr:col>101</xdr:col>
      <xdr:colOff>20682</xdr:colOff>
      <xdr:row>290</xdr:row>
      <xdr:rowOff>76201</xdr:rowOff>
    </xdr:to>
    <xdr:cxnSp macro="">
      <xdr:nvCxnSpPr>
        <xdr:cNvPr id="150" name="직선 화살표 연결선 149"/>
        <xdr:cNvCxnSpPr/>
      </xdr:nvCxnSpPr>
      <xdr:spPr>
        <a:xfrm>
          <a:off x="16944702" y="44432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124098</xdr:colOff>
      <xdr:row>289</xdr:row>
      <xdr:rowOff>19051</xdr:rowOff>
    </xdr:from>
    <xdr:to>
      <xdr:col>101</xdr:col>
      <xdr:colOff>21952</xdr:colOff>
      <xdr:row>289</xdr:row>
      <xdr:rowOff>133351</xdr:rowOff>
    </xdr:to>
    <xdr:sp macro="" textlink="">
      <xdr:nvSpPr>
        <xdr:cNvPr id="151" name="286"/>
        <xdr:cNvSpPr/>
      </xdr:nvSpPr>
      <xdr:spPr>
        <a:xfrm>
          <a:off x="16324218" y="44222671"/>
          <a:ext cx="6217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124098</xdr:colOff>
      <xdr:row>289</xdr:row>
      <xdr:rowOff>76201</xdr:rowOff>
    </xdr:from>
    <xdr:to>
      <xdr:col>96</xdr:col>
      <xdr:colOff>124098</xdr:colOff>
      <xdr:row>289</xdr:row>
      <xdr:rowOff>76201</xdr:rowOff>
    </xdr:to>
    <xdr:cxnSp macro="">
      <xdr:nvCxnSpPr>
        <xdr:cNvPr id="152" name="직선 화살표 연결선 151"/>
        <xdr:cNvCxnSpPr/>
      </xdr:nvCxnSpPr>
      <xdr:spPr>
        <a:xfrm>
          <a:off x="16324218" y="44279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124098</xdr:colOff>
      <xdr:row>288</xdr:row>
      <xdr:rowOff>19051</xdr:rowOff>
    </xdr:from>
    <xdr:to>
      <xdr:col>101</xdr:col>
      <xdr:colOff>21952</xdr:colOff>
      <xdr:row>288</xdr:row>
      <xdr:rowOff>133351</xdr:rowOff>
    </xdr:to>
    <xdr:sp macro="" textlink="">
      <xdr:nvSpPr>
        <xdr:cNvPr id="153" name="285"/>
        <xdr:cNvSpPr/>
      </xdr:nvSpPr>
      <xdr:spPr>
        <a:xfrm>
          <a:off x="16324218" y="44070271"/>
          <a:ext cx="62175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124098</xdr:colOff>
      <xdr:row>288</xdr:row>
      <xdr:rowOff>76201</xdr:rowOff>
    </xdr:from>
    <xdr:to>
      <xdr:col>96</xdr:col>
      <xdr:colOff>124098</xdr:colOff>
      <xdr:row>288</xdr:row>
      <xdr:rowOff>76201</xdr:rowOff>
    </xdr:to>
    <xdr:cxnSp macro="">
      <xdr:nvCxnSpPr>
        <xdr:cNvPr id="154" name="직선 화살표 연결선 153"/>
        <xdr:cNvCxnSpPr/>
      </xdr:nvCxnSpPr>
      <xdr:spPr>
        <a:xfrm>
          <a:off x="16324218" y="44127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124098</xdr:colOff>
      <xdr:row>287</xdr:row>
      <xdr:rowOff>19051</xdr:rowOff>
    </xdr:from>
    <xdr:to>
      <xdr:col>114</xdr:col>
      <xdr:colOff>42635</xdr:colOff>
      <xdr:row>287</xdr:row>
      <xdr:rowOff>133351</xdr:rowOff>
    </xdr:to>
    <xdr:sp macro="" textlink="">
      <xdr:nvSpPr>
        <xdr:cNvPr id="155" name="284"/>
        <xdr:cNvSpPr/>
      </xdr:nvSpPr>
      <xdr:spPr>
        <a:xfrm>
          <a:off x="16324218" y="43917871"/>
          <a:ext cx="25245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124098</xdr:colOff>
      <xdr:row>287</xdr:row>
      <xdr:rowOff>76201</xdr:rowOff>
    </xdr:from>
    <xdr:to>
      <xdr:col>96</xdr:col>
      <xdr:colOff>124098</xdr:colOff>
      <xdr:row>287</xdr:row>
      <xdr:rowOff>76201</xdr:rowOff>
    </xdr:to>
    <xdr:cxnSp macro="">
      <xdr:nvCxnSpPr>
        <xdr:cNvPr id="156" name="직선 화살표 연결선 155"/>
        <xdr:cNvCxnSpPr/>
      </xdr:nvCxnSpPr>
      <xdr:spPr>
        <a:xfrm>
          <a:off x="16324218" y="43975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124097</xdr:colOff>
      <xdr:row>286</xdr:row>
      <xdr:rowOff>19051</xdr:rowOff>
    </xdr:from>
    <xdr:to>
      <xdr:col>102</xdr:col>
      <xdr:colOff>125368</xdr:colOff>
      <xdr:row>286</xdr:row>
      <xdr:rowOff>133351</xdr:rowOff>
    </xdr:to>
    <xdr:sp macro="" textlink="">
      <xdr:nvSpPr>
        <xdr:cNvPr id="157" name="283"/>
        <xdr:cNvSpPr/>
      </xdr:nvSpPr>
      <xdr:spPr>
        <a:xfrm>
          <a:off x="16903337" y="43765471"/>
          <a:ext cx="29083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100</xdr:col>
      <xdr:colOff>124097</xdr:colOff>
      <xdr:row>286</xdr:row>
      <xdr:rowOff>76201</xdr:rowOff>
    </xdr:from>
    <xdr:to>
      <xdr:col>100</xdr:col>
      <xdr:colOff>124097</xdr:colOff>
      <xdr:row>286</xdr:row>
      <xdr:rowOff>76201</xdr:rowOff>
    </xdr:to>
    <xdr:cxnSp macro="">
      <xdr:nvCxnSpPr>
        <xdr:cNvPr id="158" name="직선 화살표 연결선 157"/>
        <xdr:cNvCxnSpPr/>
      </xdr:nvCxnSpPr>
      <xdr:spPr>
        <a:xfrm>
          <a:off x="16903337" y="43822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124097</xdr:colOff>
      <xdr:row>285</xdr:row>
      <xdr:rowOff>19051</xdr:rowOff>
    </xdr:from>
    <xdr:to>
      <xdr:col>100</xdr:col>
      <xdr:colOff>125367</xdr:colOff>
      <xdr:row>285</xdr:row>
      <xdr:rowOff>133351</xdr:rowOff>
    </xdr:to>
    <xdr:sp macro="" textlink="">
      <xdr:nvSpPr>
        <xdr:cNvPr id="159" name="282"/>
        <xdr:cNvSpPr/>
      </xdr:nvSpPr>
      <xdr:spPr>
        <a:xfrm>
          <a:off x="16758557" y="43613071"/>
          <a:ext cx="1460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124097</xdr:colOff>
      <xdr:row>285</xdr:row>
      <xdr:rowOff>76201</xdr:rowOff>
    </xdr:from>
    <xdr:to>
      <xdr:col>99</xdr:col>
      <xdr:colOff>124097</xdr:colOff>
      <xdr:row>285</xdr:row>
      <xdr:rowOff>76201</xdr:rowOff>
    </xdr:to>
    <xdr:cxnSp macro="">
      <xdr:nvCxnSpPr>
        <xdr:cNvPr id="160" name="직선 화살표 연결선 159"/>
        <xdr:cNvCxnSpPr/>
      </xdr:nvCxnSpPr>
      <xdr:spPr>
        <a:xfrm>
          <a:off x="16758557" y="43670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82732</xdr:colOff>
      <xdr:row>284</xdr:row>
      <xdr:rowOff>19051</xdr:rowOff>
    </xdr:from>
    <xdr:to>
      <xdr:col>99</xdr:col>
      <xdr:colOff>125367</xdr:colOff>
      <xdr:row>284</xdr:row>
      <xdr:rowOff>133351</xdr:rowOff>
    </xdr:to>
    <xdr:sp macro="" textlink="">
      <xdr:nvSpPr>
        <xdr:cNvPr id="161" name="281"/>
        <xdr:cNvSpPr/>
      </xdr:nvSpPr>
      <xdr:spPr>
        <a:xfrm>
          <a:off x="16717192" y="43460671"/>
          <a:ext cx="4263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82732</xdr:colOff>
      <xdr:row>284</xdr:row>
      <xdr:rowOff>76201</xdr:rowOff>
    </xdr:from>
    <xdr:to>
      <xdr:col>99</xdr:col>
      <xdr:colOff>82732</xdr:colOff>
      <xdr:row>284</xdr:row>
      <xdr:rowOff>76201</xdr:rowOff>
    </xdr:to>
    <xdr:cxnSp macro="">
      <xdr:nvCxnSpPr>
        <xdr:cNvPr id="162" name="직선 화살표 연결선 161"/>
        <xdr:cNvCxnSpPr/>
      </xdr:nvCxnSpPr>
      <xdr:spPr>
        <a:xfrm>
          <a:off x="16717192" y="43517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82732</xdr:colOff>
      <xdr:row>283</xdr:row>
      <xdr:rowOff>19051</xdr:rowOff>
    </xdr:from>
    <xdr:to>
      <xdr:col>102</xdr:col>
      <xdr:colOff>125368</xdr:colOff>
      <xdr:row>283</xdr:row>
      <xdr:rowOff>133351</xdr:rowOff>
    </xdr:to>
    <xdr:sp macro="" textlink="">
      <xdr:nvSpPr>
        <xdr:cNvPr id="163" name="280"/>
        <xdr:cNvSpPr/>
      </xdr:nvSpPr>
      <xdr:spPr>
        <a:xfrm>
          <a:off x="16717192" y="43308271"/>
          <a:ext cx="47697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82732</xdr:colOff>
      <xdr:row>283</xdr:row>
      <xdr:rowOff>76201</xdr:rowOff>
    </xdr:from>
    <xdr:to>
      <xdr:col>99</xdr:col>
      <xdr:colOff>82732</xdr:colOff>
      <xdr:row>283</xdr:row>
      <xdr:rowOff>76201</xdr:rowOff>
    </xdr:to>
    <xdr:cxnSp macro="">
      <xdr:nvCxnSpPr>
        <xdr:cNvPr id="164" name="직선 화살표 연결선 163"/>
        <xdr:cNvCxnSpPr/>
      </xdr:nvCxnSpPr>
      <xdr:spPr>
        <a:xfrm>
          <a:off x="16717192" y="43365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20683</xdr:colOff>
      <xdr:row>282</xdr:row>
      <xdr:rowOff>19051</xdr:rowOff>
    </xdr:from>
    <xdr:to>
      <xdr:col>98</xdr:col>
      <xdr:colOff>104684</xdr:colOff>
      <xdr:row>282</xdr:row>
      <xdr:rowOff>133351</xdr:rowOff>
    </xdr:to>
    <xdr:sp macro="" textlink="">
      <xdr:nvSpPr>
        <xdr:cNvPr id="165" name="279"/>
        <xdr:cNvSpPr/>
      </xdr:nvSpPr>
      <xdr:spPr>
        <a:xfrm>
          <a:off x="16510363" y="43155871"/>
          <a:ext cx="840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98</xdr:col>
      <xdr:colOff>20683</xdr:colOff>
      <xdr:row>282</xdr:row>
      <xdr:rowOff>76201</xdr:rowOff>
    </xdr:from>
    <xdr:to>
      <xdr:col>98</xdr:col>
      <xdr:colOff>20683</xdr:colOff>
      <xdr:row>282</xdr:row>
      <xdr:rowOff>76201</xdr:rowOff>
    </xdr:to>
    <xdr:cxnSp macro="">
      <xdr:nvCxnSpPr>
        <xdr:cNvPr id="166" name="직선 화살표 연결선 165"/>
        <xdr:cNvCxnSpPr/>
      </xdr:nvCxnSpPr>
      <xdr:spPr>
        <a:xfrm>
          <a:off x="16510363" y="43213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124098</xdr:colOff>
      <xdr:row>281</xdr:row>
      <xdr:rowOff>19051</xdr:rowOff>
    </xdr:from>
    <xdr:to>
      <xdr:col>99</xdr:col>
      <xdr:colOff>84002</xdr:colOff>
      <xdr:row>281</xdr:row>
      <xdr:rowOff>133351</xdr:rowOff>
    </xdr:to>
    <xdr:sp macro="" textlink="">
      <xdr:nvSpPr>
        <xdr:cNvPr id="167" name="278"/>
        <xdr:cNvSpPr/>
      </xdr:nvSpPr>
      <xdr:spPr>
        <a:xfrm>
          <a:off x="16468998" y="43003471"/>
          <a:ext cx="24946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97</xdr:col>
      <xdr:colOff>124098</xdr:colOff>
      <xdr:row>281</xdr:row>
      <xdr:rowOff>76201</xdr:rowOff>
    </xdr:from>
    <xdr:to>
      <xdr:col>97</xdr:col>
      <xdr:colOff>124098</xdr:colOff>
      <xdr:row>281</xdr:row>
      <xdr:rowOff>76201</xdr:rowOff>
    </xdr:to>
    <xdr:cxnSp macro="">
      <xdr:nvCxnSpPr>
        <xdr:cNvPr id="168" name="직선 화살표 연결선 167"/>
        <xdr:cNvCxnSpPr/>
      </xdr:nvCxnSpPr>
      <xdr:spPr>
        <a:xfrm>
          <a:off x="16468998" y="43060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124098</xdr:colOff>
      <xdr:row>280</xdr:row>
      <xdr:rowOff>19051</xdr:rowOff>
    </xdr:from>
    <xdr:to>
      <xdr:col>99</xdr:col>
      <xdr:colOff>84002</xdr:colOff>
      <xdr:row>280</xdr:row>
      <xdr:rowOff>133351</xdr:rowOff>
    </xdr:to>
    <xdr:sp macro="" textlink="">
      <xdr:nvSpPr>
        <xdr:cNvPr id="169" name="277"/>
        <xdr:cNvSpPr/>
      </xdr:nvSpPr>
      <xdr:spPr>
        <a:xfrm>
          <a:off x="16468998" y="42851071"/>
          <a:ext cx="24946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97</xdr:col>
      <xdr:colOff>124098</xdr:colOff>
      <xdr:row>280</xdr:row>
      <xdr:rowOff>76201</xdr:rowOff>
    </xdr:from>
    <xdr:to>
      <xdr:col>97</xdr:col>
      <xdr:colOff>124098</xdr:colOff>
      <xdr:row>280</xdr:row>
      <xdr:rowOff>76201</xdr:rowOff>
    </xdr:to>
    <xdr:cxnSp macro="">
      <xdr:nvCxnSpPr>
        <xdr:cNvPr id="170" name="직선 화살표 연결선 169"/>
        <xdr:cNvCxnSpPr/>
      </xdr:nvCxnSpPr>
      <xdr:spPr>
        <a:xfrm>
          <a:off x="16468998" y="42908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20683</xdr:colOff>
      <xdr:row>279</xdr:row>
      <xdr:rowOff>19051</xdr:rowOff>
    </xdr:from>
    <xdr:to>
      <xdr:col>97</xdr:col>
      <xdr:colOff>125368</xdr:colOff>
      <xdr:row>279</xdr:row>
      <xdr:rowOff>133351</xdr:rowOff>
    </xdr:to>
    <xdr:sp macro="" textlink="">
      <xdr:nvSpPr>
        <xdr:cNvPr id="171" name="276"/>
        <xdr:cNvSpPr/>
      </xdr:nvSpPr>
      <xdr:spPr>
        <a:xfrm>
          <a:off x="16076023" y="42698671"/>
          <a:ext cx="3942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20683</xdr:colOff>
      <xdr:row>279</xdr:row>
      <xdr:rowOff>76201</xdr:rowOff>
    </xdr:from>
    <xdr:to>
      <xdr:col>95</xdr:col>
      <xdr:colOff>20683</xdr:colOff>
      <xdr:row>279</xdr:row>
      <xdr:rowOff>76201</xdr:rowOff>
    </xdr:to>
    <xdr:cxnSp macro="">
      <xdr:nvCxnSpPr>
        <xdr:cNvPr id="172" name="직선 화살표 연결선 171"/>
        <xdr:cNvCxnSpPr/>
      </xdr:nvCxnSpPr>
      <xdr:spPr>
        <a:xfrm>
          <a:off x="16076023" y="42755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20683</xdr:colOff>
      <xdr:row>278</xdr:row>
      <xdr:rowOff>19051</xdr:rowOff>
    </xdr:from>
    <xdr:to>
      <xdr:col>98</xdr:col>
      <xdr:colOff>42635</xdr:colOff>
      <xdr:row>278</xdr:row>
      <xdr:rowOff>133351</xdr:rowOff>
    </xdr:to>
    <xdr:sp macro="" textlink="">
      <xdr:nvSpPr>
        <xdr:cNvPr id="173" name="275"/>
        <xdr:cNvSpPr/>
      </xdr:nvSpPr>
      <xdr:spPr>
        <a:xfrm>
          <a:off x="15786463" y="42546271"/>
          <a:ext cx="7458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20683</xdr:colOff>
      <xdr:row>278</xdr:row>
      <xdr:rowOff>76201</xdr:rowOff>
    </xdr:from>
    <xdr:to>
      <xdr:col>93</xdr:col>
      <xdr:colOff>20683</xdr:colOff>
      <xdr:row>278</xdr:row>
      <xdr:rowOff>76201</xdr:rowOff>
    </xdr:to>
    <xdr:cxnSp macro="">
      <xdr:nvCxnSpPr>
        <xdr:cNvPr id="174" name="직선 화살표 연결선 173"/>
        <xdr:cNvCxnSpPr/>
      </xdr:nvCxnSpPr>
      <xdr:spPr>
        <a:xfrm>
          <a:off x="15786463" y="42603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20683</xdr:colOff>
      <xdr:row>277</xdr:row>
      <xdr:rowOff>19051</xdr:rowOff>
    </xdr:from>
    <xdr:to>
      <xdr:col>98</xdr:col>
      <xdr:colOff>42635</xdr:colOff>
      <xdr:row>277</xdr:row>
      <xdr:rowOff>133351</xdr:rowOff>
    </xdr:to>
    <xdr:sp macro="" textlink="">
      <xdr:nvSpPr>
        <xdr:cNvPr id="175" name="274"/>
        <xdr:cNvSpPr/>
      </xdr:nvSpPr>
      <xdr:spPr>
        <a:xfrm>
          <a:off x="15786463" y="42393871"/>
          <a:ext cx="7458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20683</xdr:colOff>
      <xdr:row>277</xdr:row>
      <xdr:rowOff>76201</xdr:rowOff>
    </xdr:from>
    <xdr:to>
      <xdr:col>93</xdr:col>
      <xdr:colOff>20683</xdr:colOff>
      <xdr:row>277</xdr:row>
      <xdr:rowOff>76201</xdr:rowOff>
    </xdr:to>
    <xdr:cxnSp macro="">
      <xdr:nvCxnSpPr>
        <xdr:cNvPr id="176" name="직선 화살표 연결선 175"/>
        <xdr:cNvCxnSpPr/>
      </xdr:nvCxnSpPr>
      <xdr:spPr>
        <a:xfrm>
          <a:off x="15786463" y="42451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20683</xdr:colOff>
      <xdr:row>276</xdr:row>
      <xdr:rowOff>19051</xdr:rowOff>
    </xdr:from>
    <xdr:to>
      <xdr:col>102</xdr:col>
      <xdr:colOff>125368</xdr:colOff>
      <xdr:row>276</xdr:row>
      <xdr:rowOff>133351</xdr:rowOff>
    </xdr:to>
    <xdr:sp macro="" textlink="">
      <xdr:nvSpPr>
        <xdr:cNvPr id="177" name="273"/>
        <xdr:cNvSpPr/>
      </xdr:nvSpPr>
      <xdr:spPr>
        <a:xfrm>
          <a:off x="15786463" y="42241471"/>
          <a:ext cx="140770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20683</xdr:colOff>
      <xdr:row>276</xdr:row>
      <xdr:rowOff>76201</xdr:rowOff>
    </xdr:from>
    <xdr:to>
      <xdr:col>93</xdr:col>
      <xdr:colOff>20683</xdr:colOff>
      <xdr:row>276</xdr:row>
      <xdr:rowOff>76201</xdr:rowOff>
    </xdr:to>
    <xdr:cxnSp macro="">
      <xdr:nvCxnSpPr>
        <xdr:cNvPr id="178" name="직선 화살표 연결선 177"/>
        <xdr:cNvCxnSpPr/>
      </xdr:nvCxnSpPr>
      <xdr:spPr>
        <a:xfrm>
          <a:off x="15786463" y="42298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41366</xdr:colOff>
      <xdr:row>275</xdr:row>
      <xdr:rowOff>19051</xdr:rowOff>
    </xdr:from>
    <xdr:to>
      <xdr:col>116</xdr:col>
      <xdr:colOff>63318</xdr:colOff>
      <xdr:row>275</xdr:row>
      <xdr:rowOff>133351</xdr:rowOff>
    </xdr:to>
    <xdr:sp macro="" textlink="">
      <xdr:nvSpPr>
        <xdr:cNvPr id="179" name="272"/>
        <xdr:cNvSpPr/>
      </xdr:nvSpPr>
      <xdr:spPr>
        <a:xfrm>
          <a:off x="18847526" y="42089071"/>
          <a:ext cx="3115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114</xdr:col>
      <xdr:colOff>41366</xdr:colOff>
      <xdr:row>275</xdr:row>
      <xdr:rowOff>76201</xdr:rowOff>
    </xdr:from>
    <xdr:to>
      <xdr:col>114</xdr:col>
      <xdr:colOff>41366</xdr:colOff>
      <xdr:row>275</xdr:row>
      <xdr:rowOff>76201</xdr:rowOff>
    </xdr:to>
    <xdr:cxnSp macro="">
      <xdr:nvCxnSpPr>
        <xdr:cNvPr id="180" name="직선 화살표 연결선 179"/>
        <xdr:cNvCxnSpPr/>
      </xdr:nvCxnSpPr>
      <xdr:spPr>
        <a:xfrm>
          <a:off x="18847526" y="42146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62049</xdr:colOff>
      <xdr:row>274</xdr:row>
      <xdr:rowOff>19051</xdr:rowOff>
    </xdr:from>
    <xdr:to>
      <xdr:col>114</xdr:col>
      <xdr:colOff>21953</xdr:colOff>
      <xdr:row>274</xdr:row>
      <xdr:rowOff>133351</xdr:rowOff>
    </xdr:to>
    <xdr:sp macro="" textlink="">
      <xdr:nvSpPr>
        <xdr:cNvPr id="181" name="271"/>
        <xdr:cNvSpPr/>
      </xdr:nvSpPr>
      <xdr:spPr>
        <a:xfrm>
          <a:off x="17999529" y="41936671"/>
          <a:ext cx="82858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62049</xdr:colOff>
      <xdr:row>274</xdr:row>
      <xdr:rowOff>76201</xdr:rowOff>
    </xdr:from>
    <xdr:to>
      <xdr:col>108</xdr:col>
      <xdr:colOff>62049</xdr:colOff>
      <xdr:row>274</xdr:row>
      <xdr:rowOff>76201</xdr:rowOff>
    </xdr:to>
    <xdr:cxnSp macro="">
      <xdr:nvCxnSpPr>
        <xdr:cNvPr id="182" name="직선 화살표 연결선 181"/>
        <xdr:cNvCxnSpPr/>
      </xdr:nvCxnSpPr>
      <xdr:spPr>
        <a:xfrm>
          <a:off x="17999529" y="41993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</xdr:colOff>
      <xdr:row>273</xdr:row>
      <xdr:rowOff>19051</xdr:rowOff>
    </xdr:from>
    <xdr:to>
      <xdr:col>108</xdr:col>
      <xdr:colOff>63319</xdr:colOff>
      <xdr:row>273</xdr:row>
      <xdr:rowOff>133351</xdr:rowOff>
    </xdr:to>
    <xdr:sp macro="" textlink="">
      <xdr:nvSpPr>
        <xdr:cNvPr id="183" name="270"/>
        <xdr:cNvSpPr/>
      </xdr:nvSpPr>
      <xdr:spPr>
        <a:xfrm>
          <a:off x="17358361" y="417842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104</xdr:col>
      <xdr:colOff>1</xdr:colOff>
      <xdr:row>273</xdr:row>
      <xdr:rowOff>76201</xdr:rowOff>
    </xdr:from>
    <xdr:to>
      <xdr:col>104</xdr:col>
      <xdr:colOff>1</xdr:colOff>
      <xdr:row>273</xdr:row>
      <xdr:rowOff>76201</xdr:rowOff>
    </xdr:to>
    <xdr:cxnSp macro="">
      <xdr:nvCxnSpPr>
        <xdr:cNvPr id="184" name="직선 화살표 연결선 183"/>
        <xdr:cNvCxnSpPr/>
      </xdr:nvCxnSpPr>
      <xdr:spPr>
        <a:xfrm>
          <a:off x="17358361" y="41841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</xdr:colOff>
      <xdr:row>272</xdr:row>
      <xdr:rowOff>19051</xdr:rowOff>
    </xdr:from>
    <xdr:to>
      <xdr:col>116</xdr:col>
      <xdr:colOff>63318</xdr:colOff>
      <xdr:row>272</xdr:row>
      <xdr:rowOff>133351</xdr:rowOff>
    </xdr:to>
    <xdr:sp macro="" textlink="">
      <xdr:nvSpPr>
        <xdr:cNvPr id="185" name="269"/>
        <xdr:cNvSpPr/>
      </xdr:nvSpPr>
      <xdr:spPr>
        <a:xfrm>
          <a:off x="17358361" y="41631871"/>
          <a:ext cx="18006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104</xdr:col>
      <xdr:colOff>1</xdr:colOff>
      <xdr:row>272</xdr:row>
      <xdr:rowOff>76201</xdr:rowOff>
    </xdr:from>
    <xdr:to>
      <xdr:col>104</xdr:col>
      <xdr:colOff>1</xdr:colOff>
      <xdr:row>272</xdr:row>
      <xdr:rowOff>76201</xdr:rowOff>
    </xdr:to>
    <xdr:cxnSp macro="">
      <xdr:nvCxnSpPr>
        <xdr:cNvPr id="186" name="직선 화살표 연결선 185"/>
        <xdr:cNvCxnSpPr/>
      </xdr:nvCxnSpPr>
      <xdr:spPr>
        <a:xfrm>
          <a:off x="17358361" y="41689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62049</xdr:colOff>
      <xdr:row>271</xdr:row>
      <xdr:rowOff>19051</xdr:rowOff>
    </xdr:from>
    <xdr:to>
      <xdr:col>104</xdr:col>
      <xdr:colOff>1270</xdr:colOff>
      <xdr:row>271</xdr:row>
      <xdr:rowOff>133351</xdr:rowOff>
    </xdr:to>
    <xdr:sp macro="" textlink="">
      <xdr:nvSpPr>
        <xdr:cNvPr id="187" name="268"/>
        <xdr:cNvSpPr/>
      </xdr:nvSpPr>
      <xdr:spPr>
        <a:xfrm>
          <a:off x="17130849" y="41479471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62049</xdr:colOff>
      <xdr:row>271</xdr:row>
      <xdr:rowOff>76201</xdr:rowOff>
    </xdr:from>
    <xdr:to>
      <xdr:col>102</xdr:col>
      <xdr:colOff>62049</xdr:colOff>
      <xdr:row>271</xdr:row>
      <xdr:rowOff>76201</xdr:rowOff>
    </xdr:to>
    <xdr:cxnSp macro="">
      <xdr:nvCxnSpPr>
        <xdr:cNvPr id="188" name="직선 화살표 연결선 187"/>
        <xdr:cNvCxnSpPr/>
      </xdr:nvCxnSpPr>
      <xdr:spPr>
        <a:xfrm>
          <a:off x="17130849" y="41536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41366</xdr:colOff>
      <xdr:row>270</xdr:row>
      <xdr:rowOff>19051</xdr:rowOff>
    </xdr:from>
    <xdr:to>
      <xdr:col>105</xdr:col>
      <xdr:colOff>84000</xdr:colOff>
      <xdr:row>270</xdr:row>
      <xdr:rowOff>133351</xdr:rowOff>
    </xdr:to>
    <xdr:sp macro="" textlink="">
      <xdr:nvSpPr>
        <xdr:cNvPr id="189" name="267"/>
        <xdr:cNvSpPr/>
      </xdr:nvSpPr>
      <xdr:spPr>
        <a:xfrm>
          <a:off x="16820606" y="41327071"/>
          <a:ext cx="7665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100</xdr:col>
      <xdr:colOff>41366</xdr:colOff>
      <xdr:row>270</xdr:row>
      <xdr:rowOff>76201</xdr:rowOff>
    </xdr:from>
    <xdr:to>
      <xdr:col>100</xdr:col>
      <xdr:colOff>41366</xdr:colOff>
      <xdr:row>270</xdr:row>
      <xdr:rowOff>76201</xdr:rowOff>
    </xdr:to>
    <xdr:cxnSp macro="">
      <xdr:nvCxnSpPr>
        <xdr:cNvPr id="190" name="직선 화살표 연결선 189"/>
        <xdr:cNvCxnSpPr/>
      </xdr:nvCxnSpPr>
      <xdr:spPr>
        <a:xfrm>
          <a:off x="16820606" y="41384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41366</xdr:colOff>
      <xdr:row>269</xdr:row>
      <xdr:rowOff>19051</xdr:rowOff>
    </xdr:from>
    <xdr:to>
      <xdr:col>105</xdr:col>
      <xdr:colOff>84000</xdr:colOff>
      <xdr:row>269</xdr:row>
      <xdr:rowOff>133351</xdr:rowOff>
    </xdr:to>
    <xdr:sp macro="" textlink="">
      <xdr:nvSpPr>
        <xdr:cNvPr id="191" name="266"/>
        <xdr:cNvSpPr/>
      </xdr:nvSpPr>
      <xdr:spPr>
        <a:xfrm>
          <a:off x="16820606" y="41174671"/>
          <a:ext cx="76653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100</xdr:col>
      <xdr:colOff>41366</xdr:colOff>
      <xdr:row>269</xdr:row>
      <xdr:rowOff>76201</xdr:rowOff>
    </xdr:from>
    <xdr:to>
      <xdr:col>100</xdr:col>
      <xdr:colOff>41366</xdr:colOff>
      <xdr:row>269</xdr:row>
      <xdr:rowOff>76201</xdr:rowOff>
    </xdr:to>
    <xdr:cxnSp macro="">
      <xdr:nvCxnSpPr>
        <xdr:cNvPr id="192" name="직선 화살표 연결선 191"/>
        <xdr:cNvCxnSpPr/>
      </xdr:nvCxnSpPr>
      <xdr:spPr>
        <a:xfrm>
          <a:off x="16820606" y="41231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82731</xdr:colOff>
      <xdr:row>268</xdr:row>
      <xdr:rowOff>19051</xdr:rowOff>
    </xdr:from>
    <xdr:to>
      <xdr:col>101</xdr:col>
      <xdr:colOff>21952</xdr:colOff>
      <xdr:row>268</xdr:row>
      <xdr:rowOff>133351</xdr:rowOff>
    </xdr:to>
    <xdr:sp macro="" textlink="">
      <xdr:nvSpPr>
        <xdr:cNvPr id="193" name="265"/>
        <xdr:cNvSpPr/>
      </xdr:nvSpPr>
      <xdr:spPr>
        <a:xfrm>
          <a:off x="16427631" y="41022271"/>
          <a:ext cx="5183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97</xdr:col>
      <xdr:colOff>82731</xdr:colOff>
      <xdr:row>268</xdr:row>
      <xdr:rowOff>76201</xdr:rowOff>
    </xdr:from>
    <xdr:to>
      <xdr:col>97</xdr:col>
      <xdr:colOff>82731</xdr:colOff>
      <xdr:row>268</xdr:row>
      <xdr:rowOff>76201</xdr:rowOff>
    </xdr:to>
    <xdr:cxnSp macro="">
      <xdr:nvCxnSpPr>
        <xdr:cNvPr id="194" name="직선 화살표 연결선 193"/>
        <xdr:cNvCxnSpPr/>
      </xdr:nvCxnSpPr>
      <xdr:spPr>
        <a:xfrm>
          <a:off x="16427631" y="41079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82731</xdr:colOff>
      <xdr:row>267</xdr:row>
      <xdr:rowOff>19051</xdr:rowOff>
    </xdr:from>
    <xdr:to>
      <xdr:col>101</xdr:col>
      <xdr:colOff>21952</xdr:colOff>
      <xdr:row>267</xdr:row>
      <xdr:rowOff>133351</xdr:rowOff>
    </xdr:to>
    <xdr:sp macro="" textlink="">
      <xdr:nvSpPr>
        <xdr:cNvPr id="195" name="264"/>
        <xdr:cNvSpPr/>
      </xdr:nvSpPr>
      <xdr:spPr>
        <a:xfrm>
          <a:off x="16427631" y="40869871"/>
          <a:ext cx="5183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97</xdr:col>
      <xdr:colOff>82731</xdr:colOff>
      <xdr:row>267</xdr:row>
      <xdr:rowOff>76201</xdr:rowOff>
    </xdr:from>
    <xdr:to>
      <xdr:col>97</xdr:col>
      <xdr:colOff>82731</xdr:colOff>
      <xdr:row>267</xdr:row>
      <xdr:rowOff>76201</xdr:rowOff>
    </xdr:to>
    <xdr:cxnSp macro="">
      <xdr:nvCxnSpPr>
        <xdr:cNvPr id="196" name="직선 화살표 연결선 195"/>
        <xdr:cNvCxnSpPr/>
      </xdr:nvCxnSpPr>
      <xdr:spPr>
        <a:xfrm>
          <a:off x="16427631" y="40927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82731</xdr:colOff>
      <xdr:row>266</xdr:row>
      <xdr:rowOff>19051</xdr:rowOff>
    </xdr:from>
    <xdr:to>
      <xdr:col>116</xdr:col>
      <xdr:colOff>63318</xdr:colOff>
      <xdr:row>266</xdr:row>
      <xdr:rowOff>133351</xdr:rowOff>
    </xdr:to>
    <xdr:sp macro="" textlink="">
      <xdr:nvSpPr>
        <xdr:cNvPr id="197" name="263"/>
        <xdr:cNvSpPr/>
      </xdr:nvSpPr>
      <xdr:spPr>
        <a:xfrm>
          <a:off x="16427631" y="40717471"/>
          <a:ext cx="27314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97</xdr:col>
      <xdr:colOff>82731</xdr:colOff>
      <xdr:row>266</xdr:row>
      <xdr:rowOff>76201</xdr:rowOff>
    </xdr:from>
    <xdr:to>
      <xdr:col>97</xdr:col>
      <xdr:colOff>82731</xdr:colOff>
      <xdr:row>266</xdr:row>
      <xdr:rowOff>76201</xdr:rowOff>
    </xdr:to>
    <xdr:cxnSp macro="">
      <xdr:nvCxnSpPr>
        <xdr:cNvPr id="198" name="직선 화살표 연결선 197"/>
        <xdr:cNvCxnSpPr/>
      </xdr:nvCxnSpPr>
      <xdr:spPr>
        <a:xfrm>
          <a:off x="16427631" y="40774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124098</xdr:colOff>
      <xdr:row>265</xdr:row>
      <xdr:rowOff>19051</xdr:rowOff>
    </xdr:from>
    <xdr:to>
      <xdr:col>116</xdr:col>
      <xdr:colOff>63318</xdr:colOff>
      <xdr:row>265</xdr:row>
      <xdr:rowOff>133351</xdr:rowOff>
    </xdr:to>
    <xdr:sp macro="" textlink="">
      <xdr:nvSpPr>
        <xdr:cNvPr id="199" name="262"/>
        <xdr:cNvSpPr/>
      </xdr:nvSpPr>
      <xdr:spPr>
        <a:xfrm>
          <a:off x="18495918" y="40565071"/>
          <a:ext cx="66312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111</xdr:col>
      <xdr:colOff>124098</xdr:colOff>
      <xdr:row>265</xdr:row>
      <xdr:rowOff>76201</xdr:rowOff>
    </xdr:from>
    <xdr:to>
      <xdr:col>111</xdr:col>
      <xdr:colOff>124098</xdr:colOff>
      <xdr:row>265</xdr:row>
      <xdr:rowOff>76201</xdr:rowOff>
    </xdr:to>
    <xdr:cxnSp macro="">
      <xdr:nvCxnSpPr>
        <xdr:cNvPr id="200" name="직선 화살표 연결선 199"/>
        <xdr:cNvCxnSpPr/>
      </xdr:nvCxnSpPr>
      <xdr:spPr>
        <a:xfrm>
          <a:off x="18495918" y="40622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82731</xdr:colOff>
      <xdr:row>264</xdr:row>
      <xdr:rowOff>19051</xdr:rowOff>
    </xdr:from>
    <xdr:to>
      <xdr:col>114</xdr:col>
      <xdr:colOff>42635</xdr:colOff>
      <xdr:row>264</xdr:row>
      <xdr:rowOff>133351</xdr:rowOff>
    </xdr:to>
    <xdr:sp macro="" textlink="">
      <xdr:nvSpPr>
        <xdr:cNvPr id="201" name="261"/>
        <xdr:cNvSpPr/>
      </xdr:nvSpPr>
      <xdr:spPr>
        <a:xfrm>
          <a:off x="17585871" y="40412671"/>
          <a:ext cx="12629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105</xdr:col>
      <xdr:colOff>82731</xdr:colOff>
      <xdr:row>264</xdr:row>
      <xdr:rowOff>76201</xdr:rowOff>
    </xdr:from>
    <xdr:to>
      <xdr:col>105</xdr:col>
      <xdr:colOff>82731</xdr:colOff>
      <xdr:row>264</xdr:row>
      <xdr:rowOff>76201</xdr:rowOff>
    </xdr:to>
    <xdr:cxnSp macro="">
      <xdr:nvCxnSpPr>
        <xdr:cNvPr id="202" name="직선 화살표 연결선 201"/>
        <xdr:cNvCxnSpPr/>
      </xdr:nvCxnSpPr>
      <xdr:spPr>
        <a:xfrm>
          <a:off x="17585871" y="40469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263</xdr:row>
      <xdr:rowOff>19051</xdr:rowOff>
    </xdr:from>
    <xdr:to>
      <xdr:col>105</xdr:col>
      <xdr:colOff>84000</xdr:colOff>
      <xdr:row>263</xdr:row>
      <xdr:rowOff>133351</xdr:rowOff>
    </xdr:to>
    <xdr:sp macro="" textlink="">
      <xdr:nvSpPr>
        <xdr:cNvPr id="203" name="260"/>
        <xdr:cNvSpPr/>
      </xdr:nvSpPr>
      <xdr:spPr>
        <a:xfrm>
          <a:off x="16944702" y="402602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263</xdr:row>
      <xdr:rowOff>76201</xdr:rowOff>
    </xdr:from>
    <xdr:to>
      <xdr:col>101</xdr:col>
      <xdr:colOff>20682</xdr:colOff>
      <xdr:row>263</xdr:row>
      <xdr:rowOff>76201</xdr:rowOff>
    </xdr:to>
    <xdr:cxnSp macro="">
      <xdr:nvCxnSpPr>
        <xdr:cNvPr id="204" name="직선 화살표 연결선 203"/>
        <xdr:cNvCxnSpPr/>
      </xdr:nvCxnSpPr>
      <xdr:spPr>
        <a:xfrm>
          <a:off x="16944702" y="40317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262</xdr:row>
      <xdr:rowOff>19051</xdr:rowOff>
    </xdr:from>
    <xdr:to>
      <xdr:col>116</xdr:col>
      <xdr:colOff>63318</xdr:colOff>
      <xdr:row>262</xdr:row>
      <xdr:rowOff>133351</xdr:rowOff>
    </xdr:to>
    <xdr:sp macro="" textlink="">
      <xdr:nvSpPr>
        <xdr:cNvPr id="205" name="259"/>
        <xdr:cNvSpPr/>
      </xdr:nvSpPr>
      <xdr:spPr>
        <a:xfrm>
          <a:off x="16944702" y="40107871"/>
          <a:ext cx="221433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262</xdr:row>
      <xdr:rowOff>76201</xdr:rowOff>
    </xdr:from>
    <xdr:to>
      <xdr:col>101</xdr:col>
      <xdr:colOff>20682</xdr:colOff>
      <xdr:row>262</xdr:row>
      <xdr:rowOff>76201</xdr:rowOff>
    </xdr:to>
    <xdr:cxnSp macro="">
      <xdr:nvCxnSpPr>
        <xdr:cNvPr id="206" name="직선 화살표 연결선 205"/>
        <xdr:cNvCxnSpPr/>
      </xdr:nvCxnSpPr>
      <xdr:spPr>
        <a:xfrm>
          <a:off x="16944702" y="40165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124098</xdr:colOff>
      <xdr:row>261</xdr:row>
      <xdr:rowOff>19051</xdr:rowOff>
    </xdr:from>
    <xdr:to>
      <xdr:col>101</xdr:col>
      <xdr:colOff>21952</xdr:colOff>
      <xdr:row>261</xdr:row>
      <xdr:rowOff>133351</xdr:rowOff>
    </xdr:to>
    <xdr:sp macro="" textlink="">
      <xdr:nvSpPr>
        <xdr:cNvPr id="207" name="258"/>
        <xdr:cNvSpPr/>
      </xdr:nvSpPr>
      <xdr:spPr>
        <a:xfrm>
          <a:off x="16324218" y="39955471"/>
          <a:ext cx="6217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124098</xdr:colOff>
      <xdr:row>261</xdr:row>
      <xdr:rowOff>76201</xdr:rowOff>
    </xdr:from>
    <xdr:to>
      <xdr:col>96</xdr:col>
      <xdr:colOff>124098</xdr:colOff>
      <xdr:row>261</xdr:row>
      <xdr:rowOff>76201</xdr:rowOff>
    </xdr:to>
    <xdr:cxnSp macro="">
      <xdr:nvCxnSpPr>
        <xdr:cNvPr id="208" name="직선 화살표 연결선 207"/>
        <xdr:cNvCxnSpPr/>
      </xdr:nvCxnSpPr>
      <xdr:spPr>
        <a:xfrm>
          <a:off x="16324218" y="40012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260</xdr:row>
      <xdr:rowOff>19051</xdr:rowOff>
    </xdr:from>
    <xdr:to>
      <xdr:col>103</xdr:col>
      <xdr:colOff>42635</xdr:colOff>
      <xdr:row>260</xdr:row>
      <xdr:rowOff>133351</xdr:rowOff>
    </xdr:to>
    <xdr:sp macro="" textlink="">
      <xdr:nvSpPr>
        <xdr:cNvPr id="209" name="257"/>
        <xdr:cNvSpPr/>
      </xdr:nvSpPr>
      <xdr:spPr>
        <a:xfrm>
          <a:off x="15683049" y="39803071"/>
          <a:ext cx="15731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260</xdr:row>
      <xdr:rowOff>76201</xdr:rowOff>
    </xdr:from>
    <xdr:to>
      <xdr:col>92</xdr:col>
      <xdr:colOff>62049</xdr:colOff>
      <xdr:row>260</xdr:row>
      <xdr:rowOff>76201</xdr:rowOff>
    </xdr:to>
    <xdr:cxnSp macro="">
      <xdr:nvCxnSpPr>
        <xdr:cNvPr id="210" name="직선 화살표 연결선 209"/>
        <xdr:cNvCxnSpPr/>
      </xdr:nvCxnSpPr>
      <xdr:spPr>
        <a:xfrm>
          <a:off x="15683049" y="39860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259</xdr:row>
      <xdr:rowOff>19051</xdr:rowOff>
    </xdr:from>
    <xdr:to>
      <xdr:col>103</xdr:col>
      <xdr:colOff>42635</xdr:colOff>
      <xdr:row>259</xdr:row>
      <xdr:rowOff>133351</xdr:rowOff>
    </xdr:to>
    <xdr:sp macro="" textlink="">
      <xdr:nvSpPr>
        <xdr:cNvPr id="211" name="256"/>
        <xdr:cNvSpPr/>
      </xdr:nvSpPr>
      <xdr:spPr>
        <a:xfrm>
          <a:off x="15683049" y="39650671"/>
          <a:ext cx="157316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259</xdr:row>
      <xdr:rowOff>76201</xdr:rowOff>
    </xdr:from>
    <xdr:to>
      <xdr:col>92</xdr:col>
      <xdr:colOff>62049</xdr:colOff>
      <xdr:row>259</xdr:row>
      <xdr:rowOff>76201</xdr:rowOff>
    </xdr:to>
    <xdr:cxnSp macro="">
      <xdr:nvCxnSpPr>
        <xdr:cNvPr id="212" name="직선 화살표 연결선 211"/>
        <xdr:cNvCxnSpPr/>
      </xdr:nvCxnSpPr>
      <xdr:spPr>
        <a:xfrm>
          <a:off x="15683049" y="39707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258</xdr:row>
      <xdr:rowOff>19051</xdr:rowOff>
    </xdr:from>
    <xdr:to>
      <xdr:col>105</xdr:col>
      <xdr:colOff>84000</xdr:colOff>
      <xdr:row>258</xdr:row>
      <xdr:rowOff>133351</xdr:rowOff>
    </xdr:to>
    <xdr:sp macro="" textlink="">
      <xdr:nvSpPr>
        <xdr:cNvPr id="213" name="255"/>
        <xdr:cNvSpPr/>
      </xdr:nvSpPr>
      <xdr:spPr>
        <a:xfrm>
          <a:off x="16944702" y="394982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258</xdr:row>
      <xdr:rowOff>76201</xdr:rowOff>
    </xdr:from>
    <xdr:to>
      <xdr:col>101</xdr:col>
      <xdr:colOff>20682</xdr:colOff>
      <xdr:row>258</xdr:row>
      <xdr:rowOff>76201</xdr:rowOff>
    </xdr:to>
    <xdr:cxnSp macro="">
      <xdr:nvCxnSpPr>
        <xdr:cNvPr id="214" name="직선 화살표 연결선 213"/>
        <xdr:cNvCxnSpPr/>
      </xdr:nvCxnSpPr>
      <xdr:spPr>
        <a:xfrm>
          <a:off x="16944702" y="39555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257</xdr:row>
      <xdr:rowOff>19051</xdr:rowOff>
    </xdr:from>
    <xdr:to>
      <xdr:col>93</xdr:col>
      <xdr:colOff>125366</xdr:colOff>
      <xdr:row>257</xdr:row>
      <xdr:rowOff>133351</xdr:rowOff>
    </xdr:to>
    <xdr:sp macro="" textlink="">
      <xdr:nvSpPr>
        <xdr:cNvPr id="215" name="254"/>
        <xdr:cNvSpPr/>
      </xdr:nvSpPr>
      <xdr:spPr>
        <a:xfrm>
          <a:off x="15683049" y="39345871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257</xdr:row>
      <xdr:rowOff>76201</xdr:rowOff>
    </xdr:from>
    <xdr:to>
      <xdr:col>92</xdr:col>
      <xdr:colOff>62049</xdr:colOff>
      <xdr:row>257</xdr:row>
      <xdr:rowOff>76201</xdr:rowOff>
    </xdr:to>
    <xdr:cxnSp macro="">
      <xdr:nvCxnSpPr>
        <xdr:cNvPr id="216" name="직선 화살표 연결선 215"/>
        <xdr:cNvCxnSpPr/>
      </xdr:nvCxnSpPr>
      <xdr:spPr>
        <a:xfrm>
          <a:off x="15683049" y="39403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256</xdr:row>
      <xdr:rowOff>19051</xdr:rowOff>
    </xdr:from>
    <xdr:to>
      <xdr:col>101</xdr:col>
      <xdr:colOff>21952</xdr:colOff>
      <xdr:row>256</xdr:row>
      <xdr:rowOff>133351</xdr:rowOff>
    </xdr:to>
    <xdr:sp macro="" textlink="">
      <xdr:nvSpPr>
        <xdr:cNvPr id="217" name="253"/>
        <xdr:cNvSpPr/>
      </xdr:nvSpPr>
      <xdr:spPr>
        <a:xfrm>
          <a:off x="15683049" y="39193471"/>
          <a:ext cx="126292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256</xdr:row>
      <xdr:rowOff>76201</xdr:rowOff>
    </xdr:from>
    <xdr:to>
      <xdr:col>92</xdr:col>
      <xdr:colOff>62049</xdr:colOff>
      <xdr:row>256</xdr:row>
      <xdr:rowOff>76201</xdr:rowOff>
    </xdr:to>
    <xdr:cxnSp macro="">
      <xdr:nvCxnSpPr>
        <xdr:cNvPr id="218" name="직선 화살표 연결선 217"/>
        <xdr:cNvCxnSpPr/>
      </xdr:nvCxnSpPr>
      <xdr:spPr>
        <a:xfrm>
          <a:off x="15683049" y="39250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255</xdr:row>
      <xdr:rowOff>19051</xdr:rowOff>
    </xdr:from>
    <xdr:to>
      <xdr:col>96</xdr:col>
      <xdr:colOff>125367</xdr:colOff>
      <xdr:row>255</xdr:row>
      <xdr:rowOff>133351</xdr:rowOff>
    </xdr:to>
    <xdr:sp macro="" textlink="">
      <xdr:nvSpPr>
        <xdr:cNvPr id="219" name="252"/>
        <xdr:cNvSpPr/>
      </xdr:nvSpPr>
      <xdr:spPr>
        <a:xfrm>
          <a:off x="15103929" y="39041071"/>
          <a:ext cx="122155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255</xdr:row>
      <xdr:rowOff>76201</xdr:rowOff>
    </xdr:from>
    <xdr:to>
      <xdr:col>88</xdr:col>
      <xdr:colOff>62049</xdr:colOff>
      <xdr:row>255</xdr:row>
      <xdr:rowOff>76201</xdr:rowOff>
    </xdr:to>
    <xdr:cxnSp macro="">
      <xdr:nvCxnSpPr>
        <xdr:cNvPr id="220" name="직선 화살표 연결선 219"/>
        <xdr:cNvCxnSpPr/>
      </xdr:nvCxnSpPr>
      <xdr:spPr>
        <a:xfrm>
          <a:off x="15103929" y="39098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254</xdr:row>
      <xdr:rowOff>19051</xdr:rowOff>
    </xdr:from>
    <xdr:to>
      <xdr:col>105</xdr:col>
      <xdr:colOff>84000</xdr:colOff>
      <xdr:row>254</xdr:row>
      <xdr:rowOff>133351</xdr:rowOff>
    </xdr:to>
    <xdr:sp macro="" textlink="">
      <xdr:nvSpPr>
        <xdr:cNvPr id="221" name="251"/>
        <xdr:cNvSpPr/>
      </xdr:nvSpPr>
      <xdr:spPr>
        <a:xfrm>
          <a:off x="15103929" y="38888671"/>
          <a:ext cx="24832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254</xdr:row>
      <xdr:rowOff>76201</xdr:rowOff>
    </xdr:from>
    <xdr:to>
      <xdr:col>88</xdr:col>
      <xdr:colOff>62049</xdr:colOff>
      <xdr:row>254</xdr:row>
      <xdr:rowOff>76201</xdr:rowOff>
    </xdr:to>
    <xdr:cxnSp macro="">
      <xdr:nvCxnSpPr>
        <xdr:cNvPr id="222" name="직선 화살표 연결선 221"/>
        <xdr:cNvCxnSpPr/>
      </xdr:nvCxnSpPr>
      <xdr:spPr>
        <a:xfrm>
          <a:off x="15103929" y="38945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253</xdr:row>
      <xdr:rowOff>19051</xdr:rowOff>
    </xdr:from>
    <xdr:to>
      <xdr:col>116</xdr:col>
      <xdr:colOff>63318</xdr:colOff>
      <xdr:row>253</xdr:row>
      <xdr:rowOff>133351</xdr:rowOff>
    </xdr:to>
    <xdr:sp macro="" textlink="">
      <xdr:nvSpPr>
        <xdr:cNvPr id="223" name="250"/>
        <xdr:cNvSpPr/>
      </xdr:nvSpPr>
      <xdr:spPr>
        <a:xfrm>
          <a:off x="15103929" y="38736271"/>
          <a:ext cx="405510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253</xdr:row>
      <xdr:rowOff>76201</xdr:rowOff>
    </xdr:from>
    <xdr:to>
      <xdr:col>88</xdr:col>
      <xdr:colOff>62049</xdr:colOff>
      <xdr:row>253</xdr:row>
      <xdr:rowOff>76201</xdr:rowOff>
    </xdr:to>
    <xdr:cxnSp macro="">
      <xdr:nvCxnSpPr>
        <xdr:cNvPr id="224" name="직선 화살표 연결선 223"/>
        <xdr:cNvCxnSpPr/>
      </xdr:nvCxnSpPr>
      <xdr:spPr>
        <a:xfrm>
          <a:off x="15103929" y="38793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41366</xdr:colOff>
      <xdr:row>252</xdr:row>
      <xdr:rowOff>19051</xdr:rowOff>
    </xdr:from>
    <xdr:to>
      <xdr:col>118</xdr:col>
      <xdr:colOff>104684</xdr:colOff>
      <xdr:row>252</xdr:row>
      <xdr:rowOff>133351</xdr:rowOff>
    </xdr:to>
    <xdr:sp macro="" textlink="">
      <xdr:nvSpPr>
        <xdr:cNvPr id="225" name="249"/>
        <xdr:cNvSpPr/>
      </xdr:nvSpPr>
      <xdr:spPr>
        <a:xfrm>
          <a:off x="18847526" y="385838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114</xdr:col>
      <xdr:colOff>41366</xdr:colOff>
      <xdr:row>252</xdr:row>
      <xdr:rowOff>76201</xdr:rowOff>
    </xdr:from>
    <xdr:to>
      <xdr:col>114</xdr:col>
      <xdr:colOff>41366</xdr:colOff>
      <xdr:row>252</xdr:row>
      <xdr:rowOff>76201</xdr:rowOff>
    </xdr:to>
    <xdr:cxnSp macro="">
      <xdr:nvCxnSpPr>
        <xdr:cNvPr id="226" name="직선 화살표 연결선 225"/>
        <xdr:cNvCxnSpPr/>
      </xdr:nvCxnSpPr>
      <xdr:spPr>
        <a:xfrm>
          <a:off x="18847526" y="38641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62049</xdr:colOff>
      <xdr:row>251</xdr:row>
      <xdr:rowOff>19051</xdr:rowOff>
    </xdr:from>
    <xdr:to>
      <xdr:col>114</xdr:col>
      <xdr:colOff>42635</xdr:colOff>
      <xdr:row>251</xdr:row>
      <xdr:rowOff>133351</xdr:rowOff>
    </xdr:to>
    <xdr:sp macro="" textlink="">
      <xdr:nvSpPr>
        <xdr:cNvPr id="227" name="248"/>
        <xdr:cNvSpPr/>
      </xdr:nvSpPr>
      <xdr:spPr>
        <a:xfrm>
          <a:off x="17999529" y="38431471"/>
          <a:ext cx="8492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62049</xdr:colOff>
      <xdr:row>251</xdr:row>
      <xdr:rowOff>76201</xdr:rowOff>
    </xdr:from>
    <xdr:to>
      <xdr:col>108</xdr:col>
      <xdr:colOff>62049</xdr:colOff>
      <xdr:row>251</xdr:row>
      <xdr:rowOff>76201</xdr:rowOff>
    </xdr:to>
    <xdr:cxnSp macro="">
      <xdr:nvCxnSpPr>
        <xdr:cNvPr id="228" name="직선 화살표 연결선 227"/>
        <xdr:cNvCxnSpPr/>
      </xdr:nvCxnSpPr>
      <xdr:spPr>
        <a:xfrm>
          <a:off x="17999529" y="38488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124097</xdr:colOff>
      <xdr:row>250</xdr:row>
      <xdr:rowOff>19051</xdr:rowOff>
    </xdr:from>
    <xdr:to>
      <xdr:col>108</xdr:col>
      <xdr:colOff>63319</xdr:colOff>
      <xdr:row>250</xdr:row>
      <xdr:rowOff>133351</xdr:rowOff>
    </xdr:to>
    <xdr:sp macro="" textlink="">
      <xdr:nvSpPr>
        <xdr:cNvPr id="229" name="247"/>
        <xdr:cNvSpPr/>
      </xdr:nvSpPr>
      <xdr:spPr>
        <a:xfrm>
          <a:off x="17337677" y="38279071"/>
          <a:ext cx="6631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124097</xdr:colOff>
      <xdr:row>250</xdr:row>
      <xdr:rowOff>76201</xdr:rowOff>
    </xdr:from>
    <xdr:to>
      <xdr:col>103</xdr:col>
      <xdr:colOff>124097</xdr:colOff>
      <xdr:row>250</xdr:row>
      <xdr:rowOff>76201</xdr:rowOff>
    </xdr:to>
    <xdr:cxnSp macro="">
      <xdr:nvCxnSpPr>
        <xdr:cNvPr id="230" name="직선 화살표 연결선 229"/>
        <xdr:cNvCxnSpPr/>
      </xdr:nvCxnSpPr>
      <xdr:spPr>
        <a:xfrm>
          <a:off x="17337677" y="38336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124097</xdr:colOff>
      <xdr:row>249</xdr:row>
      <xdr:rowOff>19051</xdr:rowOff>
    </xdr:from>
    <xdr:to>
      <xdr:col>118</xdr:col>
      <xdr:colOff>104684</xdr:colOff>
      <xdr:row>249</xdr:row>
      <xdr:rowOff>133351</xdr:rowOff>
    </xdr:to>
    <xdr:sp macro="" textlink="">
      <xdr:nvSpPr>
        <xdr:cNvPr id="231" name="246"/>
        <xdr:cNvSpPr/>
      </xdr:nvSpPr>
      <xdr:spPr>
        <a:xfrm>
          <a:off x="17337677" y="38126671"/>
          <a:ext cx="215228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124097</xdr:colOff>
      <xdr:row>249</xdr:row>
      <xdr:rowOff>76201</xdr:rowOff>
    </xdr:from>
    <xdr:to>
      <xdr:col>103</xdr:col>
      <xdr:colOff>124097</xdr:colOff>
      <xdr:row>249</xdr:row>
      <xdr:rowOff>76201</xdr:rowOff>
    </xdr:to>
    <xdr:cxnSp macro="">
      <xdr:nvCxnSpPr>
        <xdr:cNvPr id="232" name="직선 화살표 연결선 231"/>
        <xdr:cNvCxnSpPr/>
      </xdr:nvCxnSpPr>
      <xdr:spPr>
        <a:xfrm>
          <a:off x="17337677" y="38183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62049</xdr:colOff>
      <xdr:row>248</xdr:row>
      <xdr:rowOff>19051</xdr:rowOff>
    </xdr:from>
    <xdr:to>
      <xdr:col>104</xdr:col>
      <xdr:colOff>1270</xdr:colOff>
      <xdr:row>248</xdr:row>
      <xdr:rowOff>133351</xdr:rowOff>
    </xdr:to>
    <xdr:sp macro="" textlink="">
      <xdr:nvSpPr>
        <xdr:cNvPr id="233" name="245"/>
        <xdr:cNvSpPr/>
      </xdr:nvSpPr>
      <xdr:spPr>
        <a:xfrm>
          <a:off x="17130849" y="37974271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62049</xdr:colOff>
      <xdr:row>248</xdr:row>
      <xdr:rowOff>76201</xdr:rowOff>
    </xdr:from>
    <xdr:to>
      <xdr:col>102</xdr:col>
      <xdr:colOff>62049</xdr:colOff>
      <xdr:row>248</xdr:row>
      <xdr:rowOff>76201</xdr:rowOff>
    </xdr:to>
    <xdr:cxnSp macro="">
      <xdr:nvCxnSpPr>
        <xdr:cNvPr id="234" name="직선 화살표 연결선 233"/>
        <xdr:cNvCxnSpPr/>
      </xdr:nvCxnSpPr>
      <xdr:spPr>
        <a:xfrm>
          <a:off x="17130849" y="38031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82732</xdr:colOff>
      <xdr:row>247</xdr:row>
      <xdr:rowOff>19051</xdr:rowOff>
    </xdr:from>
    <xdr:to>
      <xdr:col>104</xdr:col>
      <xdr:colOff>1270</xdr:colOff>
      <xdr:row>247</xdr:row>
      <xdr:rowOff>133351</xdr:rowOff>
    </xdr:to>
    <xdr:sp macro="" textlink="">
      <xdr:nvSpPr>
        <xdr:cNvPr id="235" name="244"/>
        <xdr:cNvSpPr/>
      </xdr:nvSpPr>
      <xdr:spPr>
        <a:xfrm>
          <a:off x="16717192" y="37821871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82732</xdr:colOff>
      <xdr:row>247</xdr:row>
      <xdr:rowOff>76201</xdr:rowOff>
    </xdr:from>
    <xdr:to>
      <xdr:col>99</xdr:col>
      <xdr:colOff>82732</xdr:colOff>
      <xdr:row>247</xdr:row>
      <xdr:rowOff>76201</xdr:rowOff>
    </xdr:to>
    <xdr:cxnSp macro="">
      <xdr:nvCxnSpPr>
        <xdr:cNvPr id="236" name="직선 화살표 연결선 235"/>
        <xdr:cNvCxnSpPr/>
      </xdr:nvCxnSpPr>
      <xdr:spPr>
        <a:xfrm>
          <a:off x="16717192" y="37879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82732</xdr:colOff>
      <xdr:row>246</xdr:row>
      <xdr:rowOff>19051</xdr:rowOff>
    </xdr:from>
    <xdr:to>
      <xdr:col>104</xdr:col>
      <xdr:colOff>1270</xdr:colOff>
      <xdr:row>246</xdr:row>
      <xdr:rowOff>133351</xdr:rowOff>
    </xdr:to>
    <xdr:sp macro="" textlink="">
      <xdr:nvSpPr>
        <xdr:cNvPr id="237" name="243"/>
        <xdr:cNvSpPr/>
      </xdr:nvSpPr>
      <xdr:spPr>
        <a:xfrm>
          <a:off x="16717192" y="37669471"/>
          <a:ext cx="6424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82732</xdr:colOff>
      <xdr:row>246</xdr:row>
      <xdr:rowOff>76201</xdr:rowOff>
    </xdr:from>
    <xdr:to>
      <xdr:col>99</xdr:col>
      <xdr:colOff>82732</xdr:colOff>
      <xdr:row>246</xdr:row>
      <xdr:rowOff>76201</xdr:rowOff>
    </xdr:to>
    <xdr:cxnSp macro="">
      <xdr:nvCxnSpPr>
        <xdr:cNvPr id="238" name="직선 화살표 연결선 237"/>
        <xdr:cNvCxnSpPr/>
      </xdr:nvCxnSpPr>
      <xdr:spPr>
        <a:xfrm>
          <a:off x="16717192" y="37726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245</xdr:row>
      <xdr:rowOff>19051</xdr:rowOff>
    </xdr:from>
    <xdr:to>
      <xdr:col>101</xdr:col>
      <xdr:colOff>21952</xdr:colOff>
      <xdr:row>245</xdr:row>
      <xdr:rowOff>133351</xdr:rowOff>
    </xdr:to>
    <xdr:sp macro="" textlink="">
      <xdr:nvSpPr>
        <xdr:cNvPr id="239" name="242"/>
        <xdr:cNvSpPr/>
      </xdr:nvSpPr>
      <xdr:spPr>
        <a:xfrm>
          <a:off x="16200120" y="37517071"/>
          <a:ext cx="7458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0</xdr:colOff>
      <xdr:row>245</xdr:row>
      <xdr:rowOff>76201</xdr:rowOff>
    </xdr:from>
    <xdr:to>
      <xdr:col>96</xdr:col>
      <xdr:colOff>0</xdr:colOff>
      <xdr:row>245</xdr:row>
      <xdr:rowOff>76201</xdr:rowOff>
    </xdr:to>
    <xdr:cxnSp macro="">
      <xdr:nvCxnSpPr>
        <xdr:cNvPr id="240" name="직선 화살표 연결선 239"/>
        <xdr:cNvCxnSpPr/>
      </xdr:nvCxnSpPr>
      <xdr:spPr>
        <a:xfrm>
          <a:off x="16200120" y="37574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244</xdr:row>
      <xdr:rowOff>19051</xdr:rowOff>
    </xdr:from>
    <xdr:to>
      <xdr:col>101</xdr:col>
      <xdr:colOff>21952</xdr:colOff>
      <xdr:row>244</xdr:row>
      <xdr:rowOff>133351</xdr:rowOff>
    </xdr:to>
    <xdr:sp macro="" textlink="">
      <xdr:nvSpPr>
        <xdr:cNvPr id="241" name="241"/>
        <xdr:cNvSpPr/>
      </xdr:nvSpPr>
      <xdr:spPr>
        <a:xfrm>
          <a:off x="16200120" y="37364671"/>
          <a:ext cx="7458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0</xdr:colOff>
      <xdr:row>244</xdr:row>
      <xdr:rowOff>76201</xdr:rowOff>
    </xdr:from>
    <xdr:to>
      <xdr:col>96</xdr:col>
      <xdr:colOff>0</xdr:colOff>
      <xdr:row>244</xdr:row>
      <xdr:rowOff>76201</xdr:rowOff>
    </xdr:to>
    <xdr:cxnSp macro="">
      <xdr:nvCxnSpPr>
        <xdr:cNvPr id="242" name="직선 화살표 연결선 241"/>
        <xdr:cNvCxnSpPr/>
      </xdr:nvCxnSpPr>
      <xdr:spPr>
        <a:xfrm>
          <a:off x="16200120" y="37421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243</xdr:row>
      <xdr:rowOff>19051</xdr:rowOff>
    </xdr:from>
    <xdr:to>
      <xdr:col>118</xdr:col>
      <xdr:colOff>104684</xdr:colOff>
      <xdr:row>243</xdr:row>
      <xdr:rowOff>133351</xdr:rowOff>
    </xdr:to>
    <xdr:sp macro="" textlink="">
      <xdr:nvSpPr>
        <xdr:cNvPr id="243" name="240"/>
        <xdr:cNvSpPr/>
      </xdr:nvSpPr>
      <xdr:spPr>
        <a:xfrm>
          <a:off x="16200120" y="37212271"/>
          <a:ext cx="328984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0</xdr:colOff>
      <xdr:row>243</xdr:row>
      <xdr:rowOff>76201</xdr:rowOff>
    </xdr:from>
    <xdr:to>
      <xdr:col>96</xdr:col>
      <xdr:colOff>0</xdr:colOff>
      <xdr:row>243</xdr:row>
      <xdr:rowOff>76201</xdr:rowOff>
    </xdr:to>
    <xdr:cxnSp macro="">
      <xdr:nvCxnSpPr>
        <xdr:cNvPr id="244" name="직선 화살표 연결선 243"/>
        <xdr:cNvCxnSpPr/>
      </xdr:nvCxnSpPr>
      <xdr:spPr>
        <a:xfrm>
          <a:off x="16200120" y="37269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62049</xdr:colOff>
      <xdr:row>242</xdr:row>
      <xdr:rowOff>19051</xdr:rowOff>
    </xdr:from>
    <xdr:to>
      <xdr:col>105</xdr:col>
      <xdr:colOff>125367</xdr:colOff>
      <xdr:row>242</xdr:row>
      <xdr:rowOff>133351</xdr:rowOff>
    </xdr:to>
    <xdr:sp macro="" textlink="">
      <xdr:nvSpPr>
        <xdr:cNvPr id="245" name="239"/>
        <xdr:cNvSpPr/>
      </xdr:nvSpPr>
      <xdr:spPr>
        <a:xfrm>
          <a:off x="17130849" y="37059871"/>
          <a:ext cx="49765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62049</xdr:colOff>
      <xdr:row>242</xdr:row>
      <xdr:rowOff>76201</xdr:rowOff>
    </xdr:from>
    <xdr:to>
      <xdr:col>102</xdr:col>
      <xdr:colOff>62049</xdr:colOff>
      <xdr:row>242</xdr:row>
      <xdr:rowOff>76201</xdr:rowOff>
    </xdr:to>
    <xdr:cxnSp macro="">
      <xdr:nvCxnSpPr>
        <xdr:cNvPr id="246" name="직선 화살표 연결선 245"/>
        <xdr:cNvCxnSpPr/>
      </xdr:nvCxnSpPr>
      <xdr:spPr>
        <a:xfrm>
          <a:off x="17130849" y="37117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241</xdr:row>
      <xdr:rowOff>19051</xdr:rowOff>
    </xdr:from>
    <xdr:to>
      <xdr:col>103</xdr:col>
      <xdr:colOff>125366</xdr:colOff>
      <xdr:row>241</xdr:row>
      <xdr:rowOff>133351</xdr:rowOff>
    </xdr:to>
    <xdr:sp macro="" textlink="">
      <xdr:nvSpPr>
        <xdr:cNvPr id="247" name="238"/>
        <xdr:cNvSpPr/>
      </xdr:nvSpPr>
      <xdr:spPr>
        <a:xfrm>
          <a:off x="16944702" y="36907471"/>
          <a:ext cx="39424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241</xdr:row>
      <xdr:rowOff>76201</xdr:rowOff>
    </xdr:from>
    <xdr:to>
      <xdr:col>101</xdr:col>
      <xdr:colOff>20682</xdr:colOff>
      <xdr:row>241</xdr:row>
      <xdr:rowOff>76201</xdr:rowOff>
    </xdr:to>
    <xdr:cxnSp macro="">
      <xdr:nvCxnSpPr>
        <xdr:cNvPr id="248" name="직선 화살표 연결선 247"/>
        <xdr:cNvCxnSpPr/>
      </xdr:nvCxnSpPr>
      <xdr:spPr>
        <a:xfrm>
          <a:off x="16944702" y="36964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20682</xdr:colOff>
      <xdr:row>240</xdr:row>
      <xdr:rowOff>19051</xdr:rowOff>
    </xdr:from>
    <xdr:to>
      <xdr:col>105</xdr:col>
      <xdr:colOff>125367</xdr:colOff>
      <xdr:row>240</xdr:row>
      <xdr:rowOff>133351</xdr:rowOff>
    </xdr:to>
    <xdr:sp macro="" textlink="">
      <xdr:nvSpPr>
        <xdr:cNvPr id="249" name="237"/>
        <xdr:cNvSpPr/>
      </xdr:nvSpPr>
      <xdr:spPr>
        <a:xfrm>
          <a:off x="16944702" y="36755071"/>
          <a:ext cx="68380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20682</xdr:colOff>
      <xdr:row>240</xdr:row>
      <xdr:rowOff>76201</xdr:rowOff>
    </xdr:from>
    <xdr:to>
      <xdr:col>101</xdr:col>
      <xdr:colOff>20682</xdr:colOff>
      <xdr:row>240</xdr:row>
      <xdr:rowOff>76201</xdr:rowOff>
    </xdr:to>
    <xdr:cxnSp macro="">
      <xdr:nvCxnSpPr>
        <xdr:cNvPr id="250" name="직선 화살표 연결선 249"/>
        <xdr:cNvCxnSpPr/>
      </xdr:nvCxnSpPr>
      <xdr:spPr>
        <a:xfrm>
          <a:off x="16944702" y="36812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62049</xdr:colOff>
      <xdr:row>239</xdr:row>
      <xdr:rowOff>19051</xdr:rowOff>
    </xdr:from>
    <xdr:to>
      <xdr:col>104</xdr:col>
      <xdr:colOff>1270</xdr:colOff>
      <xdr:row>239</xdr:row>
      <xdr:rowOff>133351</xdr:rowOff>
    </xdr:to>
    <xdr:sp macro="" textlink="">
      <xdr:nvSpPr>
        <xdr:cNvPr id="251" name="236"/>
        <xdr:cNvSpPr/>
      </xdr:nvSpPr>
      <xdr:spPr>
        <a:xfrm>
          <a:off x="17130849" y="36602671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102</xdr:col>
      <xdr:colOff>62049</xdr:colOff>
      <xdr:row>239</xdr:row>
      <xdr:rowOff>76201</xdr:rowOff>
    </xdr:from>
    <xdr:to>
      <xdr:col>102</xdr:col>
      <xdr:colOff>62049</xdr:colOff>
      <xdr:row>239</xdr:row>
      <xdr:rowOff>76201</xdr:rowOff>
    </xdr:to>
    <xdr:cxnSp macro="">
      <xdr:nvCxnSpPr>
        <xdr:cNvPr id="252" name="직선 화살표 연결선 251"/>
        <xdr:cNvCxnSpPr/>
      </xdr:nvCxnSpPr>
      <xdr:spPr>
        <a:xfrm>
          <a:off x="17130849" y="36659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41365</xdr:colOff>
      <xdr:row>238</xdr:row>
      <xdr:rowOff>19051</xdr:rowOff>
    </xdr:from>
    <xdr:to>
      <xdr:col>102</xdr:col>
      <xdr:colOff>84001</xdr:colOff>
      <xdr:row>238</xdr:row>
      <xdr:rowOff>133351</xdr:rowOff>
    </xdr:to>
    <xdr:sp macro="" textlink="">
      <xdr:nvSpPr>
        <xdr:cNvPr id="253" name="235"/>
        <xdr:cNvSpPr/>
      </xdr:nvSpPr>
      <xdr:spPr>
        <a:xfrm>
          <a:off x="16531045" y="364502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98</xdr:col>
      <xdr:colOff>41365</xdr:colOff>
      <xdr:row>238</xdr:row>
      <xdr:rowOff>76201</xdr:rowOff>
    </xdr:from>
    <xdr:to>
      <xdr:col>98</xdr:col>
      <xdr:colOff>41365</xdr:colOff>
      <xdr:row>238</xdr:row>
      <xdr:rowOff>76201</xdr:rowOff>
    </xdr:to>
    <xdr:cxnSp macro="">
      <xdr:nvCxnSpPr>
        <xdr:cNvPr id="254" name="직선 화살표 연결선 253"/>
        <xdr:cNvCxnSpPr/>
      </xdr:nvCxnSpPr>
      <xdr:spPr>
        <a:xfrm>
          <a:off x="16531045" y="36507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41365</xdr:colOff>
      <xdr:row>237</xdr:row>
      <xdr:rowOff>19051</xdr:rowOff>
    </xdr:from>
    <xdr:to>
      <xdr:col>104</xdr:col>
      <xdr:colOff>1270</xdr:colOff>
      <xdr:row>237</xdr:row>
      <xdr:rowOff>133351</xdr:rowOff>
    </xdr:to>
    <xdr:sp macro="" textlink="">
      <xdr:nvSpPr>
        <xdr:cNvPr id="255" name="234"/>
        <xdr:cNvSpPr/>
      </xdr:nvSpPr>
      <xdr:spPr>
        <a:xfrm>
          <a:off x="16531045" y="36297871"/>
          <a:ext cx="8285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98</xdr:col>
      <xdr:colOff>41365</xdr:colOff>
      <xdr:row>237</xdr:row>
      <xdr:rowOff>76201</xdr:rowOff>
    </xdr:from>
    <xdr:to>
      <xdr:col>98</xdr:col>
      <xdr:colOff>41365</xdr:colOff>
      <xdr:row>237</xdr:row>
      <xdr:rowOff>76201</xdr:rowOff>
    </xdr:to>
    <xdr:cxnSp macro="">
      <xdr:nvCxnSpPr>
        <xdr:cNvPr id="256" name="직선 화살표 연결선 255"/>
        <xdr:cNvCxnSpPr/>
      </xdr:nvCxnSpPr>
      <xdr:spPr>
        <a:xfrm>
          <a:off x="16531045" y="36355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41365</xdr:colOff>
      <xdr:row>236</xdr:row>
      <xdr:rowOff>19051</xdr:rowOff>
    </xdr:from>
    <xdr:to>
      <xdr:col>102</xdr:col>
      <xdr:colOff>84001</xdr:colOff>
      <xdr:row>236</xdr:row>
      <xdr:rowOff>133351</xdr:rowOff>
    </xdr:to>
    <xdr:sp macro="" textlink="">
      <xdr:nvSpPr>
        <xdr:cNvPr id="257" name="233"/>
        <xdr:cNvSpPr/>
      </xdr:nvSpPr>
      <xdr:spPr>
        <a:xfrm>
          <a:off x="16531045" y="361454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98</xdr:col>
      <xdr:colOff>41365</xdr:colOff>
      <xdr:row>236</xdr:row>
      <xdr:rowOff>76201</xdr:rowOff>
    </xdr:from>
    <xdr:to>
      <xdr:col>98</xdr:col>
      <xdr:colOff>41365</xdr:colOff>
      <xdr:row>236</xdr:row>
      <xdr:rowOff>76201</xdr:rowOff>
    </xdr:to>
    <xdr:cxnSp macro="">
      <xdr:nvCxnSpPr>
        <xdr:cNvPr id="258" name="직선 화살표 연결선 257"/>
        <xdr:cNvCxnSpPr/>
      </xdr:nvCxnSpPr>
      <xdr:spPr>
        <a:xfrm>
          <a:off x="16531045" y="36202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235</xdr:row>
      <xdr:rowOff>19051</xdr:rowOff>
    </xdr:from>
    <xdr:to>
      <xdr:col>98</xdr:col>
      <xdr:colOff>42635</xdr:colOff>
      <xdr:row>235</xdr:row>
      <xdr:rowOff>133351</xdr:rowOff>
    </xdr:to>
    <xdr:sp macro="" textlink="">
      <xdr:nvSpPr>
        <xdr:cNvPr id="259" name="232"/>
        <xdr:cNvSpPr/>
      </xdr:nvSpPr>
      <xdr:spPr>
        <a:xfrm>
          <a:off x="15869194" y="35993071"/>
          <a:ext cx="6631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235</xdr:row>
      <xdr:rowOff>76201</xdr:rowOff>
    </xdr:from>
    <xdr:to>
      <xdr:col>93</xdr:col>
      <xdr:colOff>103414</xdr:colOff>
      <xdr:row>235</xdr:row>
      <xdr:rowOff>76201</xdr:rowOff>
    </xdr:to>
    <xdr:cxnSp macro="">
      <xdr:nvCxnSpPr>
        <xdr:cNvPr id="260" name="직선 화살표 연결선 259"/>
        <xdr:cNvCxnSpPr/>
      </xdr:nvCxnSpPr>
      <xdr:spPr>
        <a:xfrm>
          <a:off x="15869194" y="36050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234</xdr:row>
      <xdr:rowOff>19051</xdr:rowOff>
    </xdr:from>
    <xdr:to>
      <xdr:col>102</xdr:col>
      <xdr:colOff>84001</xdr:colOff>
      <xdr:row>234</xdr:row>
      <xdr:rowOff>133351</xdr:rowOff>
    </xdr:to>
    <xdr:sp macro="" textlink="">
      <xdr:nvSpPr>
        <xdr:cNvPr id="261" name="231"/>
        <xdr:cNvSpPr/>
      </xdr:nvSpPr>
      <xdr:spPr>
        <a:xfrm>
          <a:off x="15869194" y="35840671"/>
          <a:ext cx="128360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234</xdr:row>
      <xdr:rowOff>76201</xdr:rowOff>
    </xdr:from>
    <xdr:to>
      <xdr:col>93</xdr:col>
      <xdr:colOff>103414</xdr:colOff>
      <xdr:row>234</xdr:row>
      <xdr:rowOff>76201</xdr:rowOff>
    </xdr:to>
    <xdr:cxnSp macro="">
      <xdr:nvCxnSpPr>
        <xdr:cNvPr id="262" name="직선 화살표 연결선 261"/>
        <xdr:cNvCxnSpPr/>
      </xdr:nvCxnSpPr>
      <xdr:spPr>
        <a:xfrm>
          <a:off x="15869194" y="35897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103414</xdr:colOff>
      <xdr:row>233</xdr:row>
      <xdr:rowOff>19051</xdr:rowOff>
    </xdr:from>
    <xdr:to>
      <xdr:col>105</xdr:col>
      <xdr:colOff>125367</xdr:colOff>
      <xdr:row>233</xdr:row>
      <xdr:rowOff>133351</xdr:rowOff>
    </xdr:to>
    <xdr:sp macro="" textlink="">
      <xdr:nvSpPr>
        <xdr:cNvPr id="263" name="230"/>
        <xdr:cNvSpPr/>
      </xdr:nvSpPr>
      <xdr:spPr>
        <a:xfrm>
          <a:off x="15869194" y="35688271"/>
          <a:ext cx="175931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103414</xdr:colOff>
      <xdr:row>233</xdr:row>
      <xdr:rowOff>76201</xdr:rowOff>
    </xdr:from>
    <xdr:to>
      <xdr:col>93</xdr:col>
      <xdr:colOff>103414</xdr:colOff>
      <xdr:row>233</xdr:row>
      <xdr:rowOff>76201</xdr:rowOff>
    </xdr:to>
    <xdr:cxnSp macro="">
      <xdr:nvCxnSpPr>
        <xdr:cNvPr id="264" name="직선 화살표 연결선 263"/>
        <xdr:cNvCxnSpPr/>
      </xdr:nvCxnSpPr>
      <xdr:spPr>
        <a:xfrm>
          <a:off x="15869194" y="35745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103414</xdr:colOff>
      <xdr:row>232</xdr:row>
      <xdr:rowOff>19051</xdr:rowOff>
    </xdr:from>
    <xdr:to>
      <xdr:col>108</xdr:col>
      <xdr:colOff>63319</xdr:colOff>
      <xdr:row>232</xdr:row>
      <xdr:rowOff>133351</xdr:rowOff>
    </xdr:to>
    <xdr:sp macro="" textlink="">
      <xdr:nvSpPr>
        <xdr:cNvPr id="265" name="229"/>
        <xdr:cNvSpPr/>
      </xdr:nvSpPr>
      <xdr:spPr>
        <a:xfrm>
          <a:off x="16303534" y="35535871"/>
          <a:ext cx="169726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103414</xdr:colOff>
      <xdr:row>232</xdr:row>
      <xdr:rowOff>76201</xdr:rowOff>
    </xdr:from>
    <xdr:to>
      <xdr:col>96</xdr:col>
      <xdr:colOff>103414</xdr:colOff>
      <xdr:row>232</xdr:row>
      <xdr:rowOff>76201</xdr:rowOff>
    </xdr:to>
    <xdr:cxnSp macro="">
      <xdr:nvCxnSpPr>
        <xdr:cNvPr id="266" name="직선 화살표 연결선 265"/>
        <xdr:cNvCxnSpPr/>
      </xdr:nvCxnSpPr>
      <xdr:spPr>
        <a:xfrm>
          <a:off x="16303534" y="35593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103415</xdr:colOff>
      <xdr:row>231</xdr:row>
      <xdr:rowOff>19051</xdr:rowOff>
    </xdr:from>
    <xdr:to>
      <xdr:col>101</xdr:col>
      <xdr:colOff>1269</xdr:colOff>
      <xdr:row>231</xdr:row>
      <xdr:rowOff>133351</xdr:rowOff>
    </xdr:to>
    <xdr:sp macro="" textlink="">
      <xdr:nvSpPr>
        <xdr:cNvPr id="267" name="228"/>
        <xdr:cNvSpPr/>
      </xdr:nvSpPr>
      <xdr:spPr>
        <a:xfrm>
          <a:off x="16158755" y="35383471"/>
          <a:ext cx="7665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103415</xdr:colOff>
      <xdr:row>231</xdr:row>
      <xdr:rowOff>76201</xdr:rowOff>
    </xdr:from>
    <xdr:to>
      <xdr:col>95</xdr:col>
      <xdr:colOff>103415</xdr:colOff>
      <xdr:row>231</xdr:row>
      <xdr:rowOff>76201</xdr:rowOff>
    </xdr:to>
    <xdr:cxnSp macro="">
      <xdr:nvCxnSpPr>
        <xdr:cNvPr id="268" name="직선 화살표 연결선 267"/>
        <xdr:cNvCxnSpPr/>
      </xdr:nvCxnSpPr>
      <xdr:spPr>
        <a:xfrm>
          <a:off x="16158755" y="35440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103415</xdr:colOff>
      <xdr:row>230</xdr:row>
      <xdr:rowOff>19051</xdr:rowOff>
    </xdr:from>
    <xdr:to>
      <xdr:col>108</xdr:col>
      <xdr:colOff>63319</xdr:colOff>
      <xdr:row>230</xdr:row>
      <xdr:rowOff>133351</xdr:rowOff>
    </xdr:to>
    <xdr:sp macro="" textlink="">
      <xdr:nvSpPr>
        <xdr:cNvPr id="269" name="227"/>
        <xdr:cNvSpPr/>
      </xdr:nvSpPr>
      <xdr:spPr>
        <a:xfrm>
          <a:off x="16158755" y="35231071"/>
          <a:ext cx="184204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103415</xdr:colOff>
      <xdr:row>230</xdr:row>
      <xdr:rowOff>76201</xdr:rowOff>
    </xdr:from>
    <xdr:to>
      <xdr:col>95</xdr:col>
      <xdr:colOff>103415</xdr:colOff>
      <xdr:row>230</xdr:row>
      <xdr:rowOff>76201</xdr:rowOff>
    </xdr:to>
    <xdr:cxnSp macro="">
      <xdr:nvCxnSpPr>
        <xdr:cNvPr id="270" name="직선 화살표 연결선 269"/>
        <xdr:cNvCxnSpPr/>
      </xdr:nvCxnSpPr>
      <xdr:spPr>
        <a:xfrm>
          <a:off x="16158755" y="35288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124097</xdr:colOff>
      <xdr:row>229</xdr:row>
      <xdr:rowOff>19051</xdr:rowOff>
    </xdr:from>
    <xdr:to>
      <xdr:col>101</xdr:col>
      <xdr:colOff>104683</xdr:colOff>
      <xdr:row>229</xdr:row>
      <xdr:rowOff>133351</xdr:rowOff>
    </xdr:to>
    <xdr:sp macro="" textlink="">
      <xdr:nvSpPr>
        <xdr:cNvPr id="271" name="226"/>
        <xdr:cNvSpPr/>
      </xdr:nvSpPr>
      <xdr:spPr>
        <a:xfrm>
          <a:off x="16758557" y="35078671"/>
          <a:ext cx="27014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124097</xdr:colOff>
      <xdr:row>229</xdr:row>
      <xdr:rowOff>76201</xdr:rowOff>
    </xdr:from>
    <xdr:to>
      <xdr:col>99</xdr:col>
      <xdr:colOff>124097</xdr:colOff>
      <xdr:row>229</xdr:row>
      <xdr:rowOff>76201</xdr:rowOff>
    </xdr:to>
    <xdr:cxnSp macro="">
      <xdr:nvCxnSpPr>
        <xdr:cNvPr id="272" name="직선 화살표 연결선 271"/>
        <xdr:cNvCxnSpPr/>
      </xdr:nvCxnSpPr>
      <xdr:spPr>
        <a:xfrm>
          <a:off x="16758557" y="35135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62048</xdr:colOff>
      <xdr:row>228</xdr:row>
      <xdr:rowOff>19051</xdr:rowOff>
    </xdr:from>
    <xdr:to>
      <xdr:col>102</xdr:col>
      <xdr:colOff>84001</xdr:colOff>
      <xdr:row>228</xdr:row>
      <xdr:rowOff>133351</xdr:rowOff>
    </xdr:to>
    <xdr:sp macro="" textlink="">
      <xdr:nvSpPr>
        <xdr:cNvPr id="273" name="225"/>
        <xdr:cNvSpPr/>
      </xdr:nvSpPr>
      <xdr:spPr>
        <a:xfrm>
          <a:off x="16696508" y="34926271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62048</xdr:colOff>
      <xdr:row>228</xdr:row>
      <xdr:rowOff>76201</xdr:rowOff>
    </xdr:from>
    <xdr:to>
      <xdr:col>99</xdr:col>
      <xdr:colOff>62048</xdr:colOff>
      <xdr:row>228</xdr:row>
      <xdr:rowOff>76201</xdr:rowOff>
    </xdr:to>
    <xdr:cxnSp macro="">
      <xdr:nvCxnSpPr>
        <xdr:cNvPr id="274" name="직선 화살표 연결선 273"/>
        <xdr:cNvCxnSpPr/>
      </xdr:nvCxnSpPr>
      <xdr:spPr>
        <a:xfrm>
          <a:off x="16696508" y="34983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62048</xdr:colOff>
      <xdr:row>227</xdr:row>
      <xdr:rowOff>19051</xdr:rowOff>
    </xdr:from>
    <xdr:to>
      <xdr:col>102</xdr:col>
      <xdr:colOff>84001</xdr:colOff>
      <xdr:row>227</xdr:row>
      <xdr:rowOff>133351</xdr:rowOff>
    </xdr:to>
    <xdr:sp macro="" textlink="">
      <xdr:nvSpPr>
        <xdr:cNvPr id="275" name="224"/>
        <xdr:cNvSpPr/>
      </xdr:nvSpPr>
      <xdr:spPr>
        <a:xfrm>
          <a:off x="16696508" y="34773871"/>
          <a:ext cx="45629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99</xdr:col>
      <xdr:colOff>62048</xdr:colOff>
      <xdr:row>227</xdr:row>
      <xdr:rowOff>76201</xdr:rowOff>
    </xdr:from>
    <xdr:to>
      <xdr:col>99</xdr:col>
      <xdr:colOff>62048</xdr:colOff>
      <xdr:row>227</xdr:row>
      <xdr:rowOff>76201</xdr:rowOff>
    </xdr:to>
    <xdr:cxnSp macro="">
      <xdr:nvCxnSpPr>
        <xdr:cNvPr id="276" name="직선 화살표 연결선 275"/>
        <xdr:cNvCxnSpPr/>
      </xdr:nvCxnSpPr>
      <xdr:spPr>
        <a:xfrm>
          <a:off x="16696508" y="34831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82731</xdr:colOff>
      <xdr:row>226</xdr:row>
      <xdr:rowOff>19051</xdr:rowOff>
    </xdr:from>
    <xdr:to>
      <xdr:col>100</xdr:col>
      <xdr:colOff>125367</xdr:colOff>
      <xdr:row>226</xdr:row>
      <xdr:rowOff>133351</xdr:rowOff>
    </xdr:to>
    <xdr:sp macro="" textlink="">
      <xdr:nvSpPr>
        <xdr:cNvPr id="277" name="223"/>
        <xdr:cNvSpPr/>
      </xdr:nvSpPr>
      <xdr:spPr>
        <a:xfrm>
          <a:off x="16282851" y="34621471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96</xdr:col>
      <xdr:colOff>82731</xdr:colOff>
      <xdr:row>226</xdr:row>
      <xdr:rowOff>76201</xdr:rowOff>
    </xdr:from>
    <xdr:to>
      <xdr:col>96</xdr:col>
      <xdr:colOff>82731</xdr:colOff>
      <xdr:row>226</xdr:row>
      <xdr:rowOff>76201</xdr:rowOff>
    </xdr:to>
    <xdr:cxnSp macro="">
      <xdr:nvCxnSpPr>
        <xdr:cNvPr id="278" name="직선 화살표 연결선 277"/>
        <xdr:cNvCxnSpPr/>
      </xdr:nvCxnSpPr>
      <xdr:spPr>
        <a:xfrm>
          <a:off x="16282851" y="34678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124098</xdr:colOff>
      <xdr:row>225</xdr:row>
      <xdr:rowOff>19051</xdr:rowOff>
    </xdr:from>
    <xdr:to>
      <xdr:col>98</xdr:col>
      <xdr:colOff>1270</xdr:colOff>
      <xdr:row>225</xdr:row>
      <xdr:rowOff>133351</xdr:rowOff>
    </xdr:to>
    <xdr:sp macro="" textlink="">
      <xdr:nvSpPr>
        <xdr:cNvPr id="279" name="222"/>
        <xdr:cNvSpPr/>
      </xdr:nvSpPr>
      <xdr:spPr>
        <a:xfrm>
          <a:off x="15600318" y="34469071"/>
          <a:ext cx="89063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91</xdr:col>
      <xdr:colOff>124098</xdr:colOff>
      <xdr:row>225</xdr:row>
      <xdr:rowOff>76201</xdr:rowOff>
    </xdr:from>
    <xdr:to>
      <xdr:col>91</xdr:col>
      <xdr:colOff>124098</xdr:colOff>
      <xdr:row>225</xdr:row>
      <xdr:rowOff>76201</xdr:rowOff>
    </xdr:to>
    <xdr:cxnSp macro="">
      <xdr:nvCxnSpPr>
        <xdr:cNvPr id="280" name="직선 화살표 연결선 279"/>
        <xdr:cNvCxnSpPr/>
      </xdr:nvCxnSpPr>
      <xdr:spPr>
        <a:xfrm>
          <a:off x="15600318" y="34526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224</xdr:row>
      <xdr:rowOff>19051</xdr:rowOff>
    </xdr:from>
    <xdr:to>
      <xdr:col>96</xdr:col>
      <xdr:colOff>84001</xdr:colOff>
      <xdr:row>224</xdr:row>
      <xdr:rowOff>133351</xdr:rowOff>
    </xdr:to>
    <xdr:sp macro="" textlink="">
      <xdr:nvSpPr>
        <xdr:cNvPr id="281" name="221"/>
        <xdr:cNvSpPr/>
      </xdr:nvSpPr>
      <xdr:spPr>
        <a:xfrm>
          <a:off x="15393488" y="34316671"/>
          <a:ext cx="8906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224</xdr:row>
      <xdr:rowOff>76201</xdr:rowOff>
    </xdr:from>
    <xdr:to>
      <xdr:col>90</xdr:col>
      <xdr:colOff>62048</xdr:colOff>
      <xdr:row>224</xdr:row>
      <xdr:rowOff>76201</xdr:rowOff>
    </xdr:to>
    <xdr:cxnSp macro="">
      <xdr:nvCxnSpPr>
        <xdr:cNvPr id="282" name="직선 화살표 연결선 281"/>
        <xdr:cNvCxnSpPr/>
      </xdr:nvCxnSpPr>
      <xdr:spPr>
        <a:xfrm>
          <a:off x="15393488" y="34373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223</xdr:row>
      <xdr:rowOff>19051</xdr:rowOff>
    </xdr:from>
    <xdr:to>
      <xdr:col>100</xdr:col>
      <xdr:colOff>125367</xdr:colOff>
      <xdr:row>223</xdr:row>
      <xdr:rowOff>133351</xdr:rowOff>
    </xdr:to>
    <xdr:sp macro="" textlink="">
      <xdr:nvSpPr>
        <xdr:cNvPr id="283" name="220"/>
        <xdr:cNvSpPr/>
      </xdr:nvSpPr>
      <xdr:spPr>
        <a:xfrm>
          <a:off x="15393488" y="34164271"/>
          <a:ext cx="151111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223</xdr:row>
      <xdr:rowOff>76201</xdr:rowOff>
    </xdr:from>
    <xdr:to>
      <xdr:col>90</xdr:col>
      <xdr:colOff>62048</xdr:colOff>
      <xdr:row>223</xdr:row>
      <xdr:rowOff>76201</xdr:rowOff>
    </xdr:to>
    <xdr:cxnSp macro="">
      <xdr:nvCxnSpPr>
        <xdr:cNvPr id="284" name="직선 화살표 연결선 283"/>
        <xdr:cNvCxnSpPr/>
      </xdr:nvCxnSpPr>
      <xdr:spPr>
        <a:xfrm>
          <a:off x="15393488" y="34221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222</xdr:row>
      <xdr:rowOff>19051</xdr:rowOff>
    </xdr:from>
    <xdr:to>
      <xdr:col>108</xdr:col>
      <xdr:colOff>63319</xdr:colOff>
      <xdr:row>222</xdr:row>
      <xdr:rowOff>133351</xdr:rowOff>
    </xdr:to>
    <xdr:sp macro="" textlink="">
      <xdr:nvSpPr>
        <xdr:cNvPr id="285" name="219"/>
        <xdr:cNvSpPr/>
      </xdr:nvSpPr>
      <xdr:spPr>
        <a:xfrm>
          <a:off x="15393488" y="34011871"/>
          <a:ext cx="26073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222</xdr:row>
      <xdr:rowOff>76201</xdr:rowOff>
    </xdr:from>
    <xdr:to>
      <xdr:col>90</xdr:col>
      <xdr:colOff>62048</xdr:colOff>
      <xdr:row>222</xdr:row>
      <xdr:rowOff>76201</xdr:rowOff>
    </xdr:to>
    <xdr:cxnSp macro="">
      <xdr:nvCxnSpPr>
        <xdr:cNvPr id="286" name="직선 화살표 연결선 285"/>
        <xdr:cNvCxnSpPr/>
      </xdr:nvCxnSpPr>
      <xdr:spPr>
        <a:xfrm>
          <a:off x="15393488" y="34069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62049</xdr:colOff>
      <xdr:row>221</xdr:row>
      <xdr:rowOff>19051</xdr:rowOff>
    </xdr:from>
    <xdr:to>
      <xdr:col>118</xdr:col>
      <xdr:colOff>104684</xdr:colOff>
      <xdr:row>221</xdr:row>
      <xdr:rowOff>133351</xdr:rowOff>
    </xdr:to>
    <xdr:sp macro="" textlink="">
      <xdr:nvSpPr>
        <xdr:cNvPr id="287" name="218"/>
        <xdr:cNvSpPr/>
      </xdr:nvSpPr>
      <xdr:spPr>
        <a:xfrm>
          <a:off x="15103929" y="33859471"/>
          <a:ext cx="438603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62049</xdr:colOff>
      <xdr:row>221</xdr:row>
      <xdr:rowOff>76201</xdr:rowOff>
    </xdr:from>
    <xdr:to>
      <xdr:col>88</xdr:col>
      <xdr:colOff>62049</xdr:colOff>
      <xdr:row>221</xdr:row>
      <xdr:rowOff>76201</xdr:rowOff>
    </xdr:to>
    <xdr:cxnSp macro="">
      <xdr:nvCxnSpPr>
        <xdr:cNvPr id="288" name="직선 화살표 연결선 287"/>
        <xdr:cNvCxnSpPr/>
      </xdr:nvCxnSpPr>
      <xdr:spPr>
        <a:xfrm>
          <a:off x="15103929" y="33916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124097</xdr:colOff>
      <xdr:row>220</xdr:row>
      <xdr:rowOff>19051</xdr:rowOff>
    </xdr:from>
    <xdr:to>
      <xdr:col>90</xdr:col>
      <xdr:colOff>42636</xdr:colOff>
      <xdr:row>220</xdr:row>
      <xdr:rowOff>133351</xdr:rowOff>
    </xdr:to>
    <xdr:sp macro="" textlink="">
      <xdr:nvSpPr>
        <xdr:cNvPr id="289" name="217"/>
        <xdr:cNvSpPr/>
      </xdr:nvSpPr>
      <xdr:spPr>
        <a:xfrm>
          <a:off x="13862957" y="33707071"/>
          <a:ext cx="15111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124097</xdr:colOff>
      <xdr:row>220</xdr:row>
      <xdr:rowOff>76201</xdr:rowOff>
    </xdr:from>
    <xdr:to>
      <xdr:col>79</xdr:col>
      <xdr:colOff>124097</xdr:colOff>
      <xdr:row>220</xdr:row>
      <xdr:rowOff>76201</xdr:rowOff>
    </xdr:to>
    <xdr:cxnSp macro="">
      <xdr:nvCxnSpPr>
        <xdr:cNvPr id="290" name="직선 화살표 연결선 289"/>
        <xdr:cNvCxnSpPr/>
      </xdr:nvCxnSpPr>
      <xdr:spPr>
        <a:xfrm>
          <a:off x="13862957" y="33764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20683</xdr:colOff>
      <xdr:row>219</xdr:row>
      <xdr:rowOff>19051</xdr:rowOff>
    </xdr:from>
    <xdr:to>
      <xdr:col>96</xdr:col>
      <xdr:colOff>125367</xdr:colOff>
      <xdr:row>219</xdr:row>
      <xdr:rowOff>133351</xdr:rowOff>
    </xdr:to>
    <xdr:sp macro="" textlink="">
      <xdr:nvSpPr>
        <xdr:cNvPr id="291" name="216"/>
        <xdr:cNvSpPr/>
      </xdr:nvSpPr>
      <xdr:spPr>
        <a:xfrm>
          <a:off x="15931243" y="33554671"/>
          <a:ext cx="39424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20683</xdr:colOff>
      <xdr:row>219</xdr:row>
      <xdr:rowOff>76201</xdr:rowOff>
    </xdr:from>
    <xdr:to>
      <xdr:col>94</xdr:col>
      <xdr:colOff>20683</xdr:colOff>
      <xdr:row>219</xdr:row>
      <xdr:rowOff>76201</xdr:rowOff>
    </xdr:to>
    <xdr:cxnSp macro="">
      <xdr:nvCxnSpPr>
        <xdr:cNvPr id="292" name="직선 화살표 연결선 291"/>
        <xdr:cNvCxnSpPr/>
      </xdr:nvCxnSpPr>
      <xdr:spPr>
        <a:xfrm>
          <a:off x="15931243" y="33611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218</xdr:row>
      <xdr:rowOff>19051</xdr:rowOff>
    </xdr:from>
    <xdr:to>
      <xdr:col>101</xdr:col>
      <xdr:colOff>125367</xdr:colOff>
      <xdr:row>218</xdr:row>
      <xdr:rowOff>133351</xdr:rowOff>
    </xdr:to>
    <xdr:sp macro="" textlink="">
      <xdr:nvSpPr>
        <xdr:cNvPr id="293" name="215"/>
        <xdr:cNvSpPr/>
      </xdr:nvSpPr>
      <xdr:spPr>
        <a:xfrm>
          <a:off x="16924020" y="33402271"/>
          <a:ext cx="1253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101</xdr:col>
      <xdr:colOff>0</xdr:colOff>
      <xdr:row>218</xdr:row>
      <xdr:rowOff>76201</xdr:rowOff>
    </xdr:from>
    <xdr:to>
      <xdr:col>101</xdr:col>
      <xdr:colOff>0</xdr:colOff>
      <xdr:row>218</xdr:row>
      <xdr:rowOff>76201</xdr:rowOff>
    </xdr:to>
    <xdr:cxnSp macro="">
      <xdr:nvCxnSpPr>
        <xdr:cNvPr id="294" name="직선 화살표 연결선 293"/>
        <xdr:cNvCxnSpPr/>
      </xdr:nvCxnSpPr>
      <xdr:spPr>
        <a:xfrm>
          <a:off x="16924020" y="33459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62048</xdr:colOff>
      <xdr:row>217</xdr:row>
      <xdr:rowOff>19051</xdr:rowOff>
    </xdr:from>
    <xdr:to>
      <xdr:col>96</xdr:col>
      <xdr:colOff>125367</xdr:colOff>
      <xdr:row>217</xdr:row>
      <xdr:rowOff>133351</xdr:rowOff>
    </xdr:to>
    <xdr:sp macro="" textlink="">
      <xdr:nvSpPr>
        <xdr:cNvPr id="295" name="214"/>
        <xdr:cNvSpPr/>
      </xdr:nvSpPr>
      <xdr:spPr>
        <a:xfrm>
          <a:off x="16117388" y="33249871"/>
          <a:ext cx="2080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62048</xdr:colOff>
      <xdr:row>217</xdr:row>
      <xdr:rowOff>76201</xdr:rowOff>
    </xdr:from>
    <xdr:to>
      <xdr:col>95</xdr:col>
      <xdr:colOff>62048</xdr:colOff>
      <xdr:row>217</xdr:row>
      <xdr:rowOff>76201</xdr:rowOff>
    </xdr:to>
    <xdr:cxnSp macro="">
      <xdr:nvCxnSpPr>
        <xdr:cNvPr id="296" name="직선 화살표 연결선 295"/>
        <xdr:cNvCxnSpPr/>
      </xdr:nvCxnSpPr>
      <xdr:spPr>
        <a:xfrm>
          <a:off x="16117388" y="33307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20683</xdr:colOff>
      <xdr:row>216</xdr:row>
      <xdr:rowOff>19051</xdr:rowOff>
    </xdr:from>
    <xdr:to>
      <xdr:col>95</xdr:col>
      <xdr:colOff>42636</xdr:colOff>
      <xdr:row>216</xdr:row>
      <xdr:rowOff>133351</xdr:rowOff>
    </xdr:to>
    <xdr:sp macro="" textlink="">
      <xdr:nvSpPr>
        <xdr:cNvPr id="297" name="213"/>
        <xdr:cNvSpPr/>
      </xdr:nvSpPr>
      <xdr:spPr>
        <a:xfrm>
          <a:off x="15786463" y="33097471"/>
          <a:ext cx="31151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20683</xdr:colOff>
      <xdr:row>216</xdr:row>
      <xdr:rowOff>76201</xdr:rowOff>
    </xdr:from>
    <xdr:to>
      <xdr:col>93</xdr:col>
      <xdr:colOff>20683</xdr:colOff>
      <xdr:row>216</xdr:row>
      <xdr:rowOff>76201</xdr:rowOff>
    </xdr:to>
    <xdr:cxnSp macro="">
      <xdr:nvCxnSpPr>
        <xdr:cNvPr id="298" name="직선 화살표 연결선 297"/>
        <xdr:cNvCxnSpPr/>
      </xdr:nvCxnSpPr>
      <xdr:spPr>
        <a:xfrm>
          <a:off x="15786463" y="33154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124097</xdr:colOff>
      <xdr:row>215</xdr:row>
      <xdr:rowOff>19051</xdr:rowOff>
    </xdr:from>
    <xdr:to>
      <xdr:col>97</xdr:col>
      <xdr:colOff>84001</xdr:colOff>
      <xdr:row>215</xdr:row>
      <xdr:rowOff>133351</xdr:rowOff>
    </xdr:to>
    <xdr:sp macro="" textlink="">
      <xdr:nvSpPr>
        <xdr:cNvPr id="299" name="212"/>
        <xdr:cNvSpPr/>
      </xdr:nvSpPr>
      <xdr:spPr>
        <a:xfrm>
          <a:off x="16179437" y="32945071"/>
          <a:ext cx="24946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95</xdr:col>
      <xdr:colOff>124097</xdr:colOff>
      <xdr:row>215</xdr:row>
      <xdr:rowOff>76201</xdr:rowOff>
    </xdr:from>
    <xdr:to>
      <xdr:col>95</xdr:col>
      <xdr:colOff>124097</xdr:colOff>
      <xdr:row>215</xdr:row>
      <xdr:rowOff>76201</xdr:rowOff>
    </xdr:to>
    <xdr:cxnSp macro="">
      <xdr:nvCxnSpPr>
        <xdr:cNvPr id="300" name="직선 화살표 연결선 299"/>
        <xdr:cNvCxnSpPr/>
      </xdr:nvCxnSpPr>
      <xdr:spPr>
        <a:xfrm>
          <a:off x="16179437" y="33002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41365</xdr:colOff>
      <xdr:row>214</xdr:row>
      <xdr:rowOff>19051</xdr:rowOff>
    </xdr:from>
    <xdr:to>
      <xdr:col>92</xdr:col>
      <xdr:colOff>63319</xdr:colOff>
      <xdr:row>214</xdr:row>
      <xdr:rowOff>133351</xdr:rowOff>
    </xdr:to>
    <xdr:sp macro="" textlink="">
      <xdr:nvSpPr>
        <xdr:cNvPr id="301" name="211"/>
        <xdr:cNvSpPr/>
      </xdr:nvSpPr>
      <xdr:spPr>
        <a:xfrm>
          <a:off x="15083245" y="32792671"/>
          <a:ext cx="60107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41365</xdr:colOff>
      <xdr:row>214</xdr:row>
      <xdr:rowOff>76201</xdr:rowOff>
    </xdr:from>
    <xdr:to>
      <xdr:col>88</xdr:col>
      <xdr:colOff>41365</xdr:colOff>
      <xdr:row>214</xdr:row>
      <xdr:rowOff>76201</xdr:rowOff>
    </xdr:to>
    <xdr:cxnSp macro="">
      <xdr:nvCxnSpPr>
        <xdr:cNvPr id="302" name="직선 화살표 연결선 301"/>
        <xdr:cNvCxnSpPr/>
      </xdr:nvCxnSpPr>
      <xdr:spPr>
        <a:xfrm>
          <a:off x="15083245" y="32849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62048</xdr:colOff>
      <xdr:row>213</xdr:row>
      <xdr:rowOff>19051</xdr:rowOff>
    </xdr:from>
    <xdr:to>
      <xdr:col>96</xdr:col>
      <xdr:colOff>1269</xdr:colOff>
      <xdr:row>213</xdr:row>
      <xdr:rowOff>133351</xdr:rowOff>
    </xdr:to>
    <xdr:sp macro="" textlink="">
      <xdr:nvSpPr>
        <xdr:cNvPr id="303" name="210"/>
        <xdr:cNvSpPr/>
      </xdr:nvSpPr>
      <xdr:spPr>
        <a:xfrm>
          <a:off x="15972608" y="32640271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94</xdr:col>
      <xdr:colOff>62048</xdr:colOff>
      <xdr:row>213</xdr:row>
      <xdr:rowOff>76201</xdr:rowOff>
    </xdr:from>
    <xdr:to>
      <xdr:col>94</xdr:col>
      <xdr:colOff>62048</xdr:colOff>
      <xdr:row>213</xdr:row>
      <xdr:rowOff>76201</xdr:rowOff>
    </xdr:to>
    <xdr:cxnSp macro="">
      <xdr:nvCxnSpPr>
        <xdr:cNvPr id="304" name="직선 화살표 연결선 303"/>
        <xdr:cNvCxnSpPr/>
      </xdr:nvCxnSpPr>
      <xdr:spPr>
        <a:xfrm>
          <a:off x="15972608" y="32697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62049</xdr:colOff>
      <xdr:row>212</xdr:row>
      <xdr:rowOff>19051</xdr:rowOff>
    </xdr:from>
    <xdr:to>
      <xdr:col>93</xdr:col>
      <xdr:colOff>125366</xdr:colOff>
      <xdr:row>212</xdr:row>
      <xdr:rowOff>133351</xdr:rowOff>
    </xdr:to>
    <xdr:sp macro="" textlink="">
      <xdr:nvSpPr>
        <xdr:cNvPr id="305" name="209"/>
        <xdr:cNvSpPr/>
      </xdr:nvSpPr>
      <xdr:spPr>
        <a:xfrm>
          <a:off x="15683049" y="32487871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92</xdr:col>
      <xdr:colOff>62049</xdr:colOff>
      <xdr:row>212</xdr:row>
      <xdr:rowOff>76201</xdr:rowOff>
    </xdr:from>
    <xdr:to>
      <xdr:col>92</xdr:col>
      <xdr:colOff>62049</xdr:colOff>
      <xdr:row>212</xdr:row>
      <xdr:rowOff>76201</xdr:rowOff>
    </xdr:to>
    <xdr:cxnSp macro="">
      <xdr:nvCxnSpPr>
        <xdr:cNvPr id="306" name="직선 화살표 연결선 305"/>
        <xdr:cNvCxnSpPr/>
      </xdr:nvCxnSpPr>
      <xdr:spPr>
        <a:xfrm>
          <a:off x="15683049" y="32545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62048</xdr:colOff>
      <xdr:row>211</xdr:row>
      <xdr:rowOff>19051</xdr:rowOff>
    </xdr:from>
    <xdr:to>
      <xdr:col>98</xdr:col>
      <xdr:colOff>125366</xdr:colOff>
      <xdr:row>211</xdr:row>
      <xdr:rowOff>133351</xdr:rowOff>
    </xdr:to>
    <xdr:sp macro="" textlink="">
      <xdr:nvSpPr>
        <xdr:cNvPr id="307" name="208"/>
        <xdr:cNvSpPr/>
      </xdr:nvSpPr>
      <xdr:spPr>
        <a:xfrm>
          <a:off x="15393488" y="32335471"/>
          <a:ext cx="122155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90</xdr:col>
      <xdr:colOff>62048</xdr:colOff>
      <xdr:row>211</xdr:row>
      <xdr:rowOff>76201</xdr:rowOff>
    </xdr:from>
    <xdr:to>
      <xdr:col>90</xdr:col>
      <xdr:colOff>62048</xdr:colOff>
      <xdr:row>211</xdr:row>
      <xdr:rowOff>76201</xdr:rowOff>
    </xdr:to>
    <xdr:cxnSp macro="">
      <xdr:nvCxnSpPr>
        <xdr:cNvPr id="308" name="직선 화살표 연결선 307"/>
        <xdr:cNvCxnSpPr/>
      </xdr:nvCxnSpPr>
      <xdr:spPr>
        <a:xfrm>
          <a:off x="15393488" y="32392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124097</xdr:colOff>
      <xdr:row>210</xdr:row>
      <xdr:rowOff>19051</xdr:rowOff>
    </xdr:from>
    <xdr:to>
      <xdr:col>101</xdr:col>
      <xdr:colOff>125367</xdr:colOff>
      <xdr:row>210</xdr:row>
      <xdr:rowOff>133351</xdr:rowOff>
    </xdr:to>
    <xdr:sp macro="" textlink="">
      <xdr:nvSpPr>
        <xdr:cNvPr id="309" name="207"/>
        <xdr:cNvSpPr/>
      </xdr:nvSpPr>
      <xdr:spPr>
        <a:xfrm>
          <a:off x="13862957" y="32183071"/>
          <a:ext cx="318643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124097</xdr:colOff>
      <xdr:row>210</xdr:row>
      <xdr:rowOff>76201</xdr:rowOff>
    </xdr:from>
    <xdr:to>
      <xdr:col>79</xdr:col>
      <xdr:colOff>124097</xdr:colOff>
      <xdr:row>210</xdr:row>
      <xdr:rowOff>76201</xdr:rowOff>
    </xdr:to>
    <xdr:cxnSp macro="">
      <xdr:nvCxnSpPr>
        <xdr:cNvPr id="310" name="직선 화살표 연결선 309"/>
        <xdr:cNvCxnSpPr/>
      </xdr:nvCxnSpPr>
      <xdr:spPr>
        <a:xfrm>
          <a:off x="13862957" y="32240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</xdr:colOff>
      <xdr:row>209</xdr:row>
      <xdr:rowOff>19051</xdr:rowOff>
    </xdr:from>
    <xdr:to>
      <xdr:col>101</xdr:col>
      <xdr:colOff>21952</xdr:colOff>
      <xdr:row>209</xdr:row>
      <xdr:rowOff>133351</xdr:rowOff>
    </xdr:to>
    <xdr:sp macro="" textlink="">
      <xdr:nvSpPr>
        <xdr:cNvPr id="311" name="206"/>
        <xdr:cNvSpPr/>
      </xdr:nvSpPr>
      <xdr:spPr>
        <a:xfrm>
          <a:off x="14462761" y="32030671"/>
          <a:ext cx="24832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</xdr:colOff>
      <xdr:row>209</xdr:row>
      <xdr:rowOff>76201</xdr:rowOff>
    </xdr:from>
    <xdr:to>
      <xdr:col>84</xdr:col>
      <xdr:colOff>1</xdr:colOff>
      <xdr:row>209</xdr:row>
      <xdr:rowOff>76201</xdr:rowOff>
    </xdr:to>
    <xdr:cxnSp macro="">
      <xdr:nvCxnSpPr>
        <xdr:cNvPr id="312" name="직선 화살표 연결선 311"/>
        <xdr:cNvCxnSpPr/>
      </xdr:nvCxnSpPr>
      <xdr:spPr>
        <a:xfrm>
          <a:off x="14462761" y="32087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41366</xdr:colOff>
      <xdr:row>208</xdr:row>
      <xdr:rowOff>19051</xdr:rowOff>
    </xdr:from>
    <xdr:to>
      <xdr:col>136</xdr:col>
      <xdr:colOff>21952</xdr:colOff>
      <xdr:row>208</xdr:row>
      <xdr:rowOff>133351</xdr:rowOff>
    </xdr:to>
    <xdr:sp macro="" textlink="">
      <xdr:nvSpPr>
        <xdr:cNvPr id="313" name="205"/>
        <xdr:cNvSpPr/>
      </xdr:nvSpPr>
      <xdr:spPr>
        <a:xfrm>
          <a:off x="14214566" y="31878271"/>
          <a:ext cx="779870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41366</xdr:colOff>
      <xdr:row>208</xdr:row>
      <xdr:rowOff>76201</xdr:rowOff>
    </xdr:from>
    <xdr:to>
      <xdr:col>82</xdr:col>
      <xdr:colOff>41366</xdr:colOff>
      <xdr:row>208</xdr:row>
      <xdr:rowOff>76201</xdr:rowOff>
    </xdr:to>
    <xdr:cxnSp macro="">
      <xdr:nvCxnSpPr>
        <xdr:cNvPr id="314" name="직선 화살표 연결선 313"/>
        <xdr:cNvCxnSpPr/>
      </xdr:nvCxnSpPr>
      <xdr:spPr>
        <a:xfrm>
          <a:off x="14214566" y="31935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41366</xdr:colOff>
      <xdr:row>207</xdr:row>
      <xdr:rowOff>19051</xdr:rowOff>
    </xdr:from>
    <xdr:to>
      <xdr:col>136</xdr:col>
      <xdr:colOff>21952</xdr:colOff>
      <xdr:row>207</xdr:row>
      <xdr:rowOff>133351</xdr:rowOff>
    </xdr:to>
    <xdr:sp macro="" textlink="">
      <xdr:nvSpPr>
        <xdr:cNvPr id="315" name="204"/>
        <xdr:cNvSpPr/>
      </xdr:nvSpPr>
      <xdr:spPr>
        <a:xfrm>
          <a:off x="14214566" y="31725871"/>
          <a:ext cx="779870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41366</xdr:colOff>
      <xdr:row>207</xdr:row>
      <xdr:rowOff>76201</xdr:rowOff>
    </xdr:from>
    <xdr:to>
      <xdr:col>82</xdr:col>
      <xdr:colOff>41366</xdr:colOff>
      <xdr:row>207</xdr:row>
      <xdr:rowOff>76201</xdr:rowOff>
    </xdr:to>
    <xdr:cxnSp macro="">
      <xdr:nvCxnSpPr>
        <xdr:cNvPr id="316" name="직선 화살표 연결선 315"/>
        <xdr:cNvCxnSpPr/>
      </xdr:nvCxnSpPr>
      <xdr:spPr>
        <a:xfrm>
          <a:off x="14214566" y="31783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62048</xdr:colOff>
      <xdr:row>206</xdr:row>
      <xdr:rowOff>19051</xdr:rowOff>
    </xdr:from>
    <xdr:to>
      <xdr:col>88</xdr:col>
      <xdr:colOff>63319</xdr:colOff>
      <xdr:row>206</xdr:row>
      <xdr:rowOff>133351</xdr:rowOff>
    </xdr:to>
    <xdr:sp macro="" textlink="">
      <xdr:nvSpPr>
        <xdr:cNvPr id="317" name="203"/>
        <xdr:cNvSpPr/>
      </xdr:nvSpPr>
      <xdr:spPr>
        <a:xfrm>
          <a:off x="13221788" y="31573471"/>
          <a:ext cx="18834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62048</xdr:colOff>
      <xdr:row>206</xdr:row>
      <xdr:rowOff>76201</xdr:rowOff>
    </xdr:from>
    <xdr:to>
      <xdr:col>75</xdr:col>
      <xdr:colOff>62048</xdr:colOff>
      <xdr:row>206</xdr:row>
      <xdr:rowOff>76201</xdr:rowOff>
    </xdr:to>
    <xdr:cxnSp macro="">
      <xdr:nvCxnSpPr>
        <xdr:cNvPr id="318" name="직선 화살표 연결선 317"/>
        <xdr:cNvCxnSpPr/>
      </xdr:nvCxnSpPr>
      <xdr:spPr>
        <a:xfrm>
          <a:off x="13221788" y="31630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205</xdr:row>
      <xdr:rowOff>19051</xdr:rowOff>
    </xdr:from>
    <xdr:to>
      <xdr:col>83</xdr:col>
      <xdr:colOff>21952</xdr:colOff>
      <xdr:row>205</xdr:row>
      <xdr:rowOff>133351</xdr:rowOff>
    </xdr:to>
    <xdr:sp macro="" textlink="">
      <xdr:nvSpPr>
        <xdr:cNvPr id="319" name="202"/>
        <xdr:cNvSpPr/>
      </xdr:nvSpPr>
      <xdr:spPr>
        <a:xfrm>
          <a:off x="13201106" y="31421071"/>
          <a:ext cx="11388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205</xdr:row>
      <xdr:rowOff>76201</xdr:rowOff>
    </xdr:from>
    <xdr:to>
      <xdr:col>75</xdr:col>
      <xdr:colOff>41366</xdr:colOff>
      <xdr:row>205</xdr:row>
      <xdr:rowOff>76201</xdr:rowOff>
    </xdr:to>
    <xdr:cxnSp macro="">
      <xdr:nvCxnSpPr>
        <xdr:cNvPr id="320" name="직선 화살표 연결선 319"/>
        <xdr:cNvCxnSpPr/>
      </xdr:nvCxnSpPr>
      <xdr:spPr>
        <a:xfrm>
          <a:off x="13201106" y="31478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204</xdr:row>
      <xdr:rowOff>19051</xdr:rowOff>
    </xdr:from>
    <xdr:to>
      <xdr:col>88</xdr:col>
      <xdr:colOff>63319</xdr:colOff>
      <xdr:row>204</xdr:row>
      <xdr:rowOff>133351</xdr:rowOff>
    </xdr:to>
    <xdr:sp macro="" textlink="">
      <xdr:nvSpPr>
        <xdr:cNvPr id="321" name="201"/>
        <xdr:cNvSpPr/>
      </xdr:nvSpPr>
      <xdr:spPr>
        <a:xfrm>
          <a:off x="13201106" y="31268671"/>
          <a:ext cx="190409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204</xdr:row>
      <xdr:rowOff>76201</xdr:rowOff>
    </xdr:from>
    <xdr:to>
      <xdr:col>75</xdr:col>
      <xdr:colOff>41366</xdr:colOff>
      <xdr:row>204</xdr:row>
      <xdr:rowOff>76201</xdr:rowOff>
    </xdr:to>
    <xdr:cxnSp macro="">
      <xdr:nvCxnSpPr>
        <xdr:cNvPr id="322" name="직선 화살표 연결선 321"/>
        <xdr:cNvCxnSpPr/>
      </xdr:nvCxnSpPr>
      <xdr:spPr>
        <a:xfrm>
          <a:off x="13201106" y="31325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41366</xdr:colOff>
      <xdr:row>203</xdr:row>
      <xdr:rowOff>19051</xdr:rowOff>
    </xdr:from>
    <xdr:to>
      <xdr:col>96</xdr:col>
      <xdr:colOff>42636</xdr:colOff>
      <xdr:row>203</xdr:row>
      <xdr:rowOff>133351</xdr:rowOff>
    </xdr:to>
    <xdr:sp macro="" textlink="">
      <xdr:nvSpPr>
        <xdr:cNvPr id="323" name="200"/>
        <xdr:cNvSpPr/>
      </xdr:nvSpPr>
      <xdr:spPr>
        <a:xfrm>
          <a:off x="14069786" y="31116271"/>
          <a:ext cx="21729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41366</xdr:colOff>
      <xdr:row>203</xdr:row>
      <xdr:rowOff>76201</xdr:rowOff>
    </xdr:from>
    <xdr:to>
      <xdr:col>81</xdr:col>
      <xdr:colOff>41366</xdr:colOff>
      <xdr:row>203</xdr:row>
      <xdr:rowOff>76201</xdr:rowOff>
    </xdr:to>
    <xdr:cxnSp macro="">
      <xdr:nvCxnSpPr>
        <xdr:cNvPr id="324" name="직선 화살표 연결선 323"/>
        <xdr:cNvCxnSpPr/>
      </xdr:nvCxnSpPr>
      <xdr:spPr>
        <a:xfrm>
          <a:off x="14069786" y="31173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20682</xdr:colOff>
      <xdr:row>202</xdr:row>
      <xdr:rowOff>19051</xdr:rowOff>
    </xdr:from>
    <xdr:to>
      <xdr:col>83</xdr:col>
      <xdr:colOff>42635</xdr:colOff>
      <xdr:row>202</xdr:row>
      <xdr:rowOff>133351</xdr:rowOff>
    </xdr:to>
    <xdr:sp macro="" textlink="">
      <xdr:nvSpPr>
        <xdr:cNvPr id="325" name="199"/>
        <xdr:cNvSpPr/>
      </xdr:nvSpPr>
      <xdr:spPr>
        <a:xfrm>
          <a:off x="14049102" y="30963871"/>
          <a:ext cx="31151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20682</xdr:colOff>
      <xdr:row>202</xdr:row>
      <xdr:rowOff>76201</xdr:rowOff>
    </xdr:from>
    <xdr:to>
      <xdr:col>81</xdr:col>
      <xdr:colOff>20682</xdr:colOff>
      <xdr:row>202</xdr:row>
      <xdr:rowOff>76201</xdr:rowOff>
    </xdr:to>
    <xdr:cxnSp macro="">
      <xdr:nvCxnSpPr>
        <xdr:cNvPr id="326" name="직선 화살표 연결선 325"/>
        <xdr:cNvCxnSpPr/>
      </xdr:nvCxnSpPr>
      <xdr:spPr>
        <a:xfrm>
          <a:off x="14049102" y="31021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20682</xdr:colOff>
      <xdr:row>201</xdr:row>
      <xdr:rowOff>19051</xdr:rowOff>
    </xdr:from>
    <xdr:to>
      <xdr:col>96</xdr:col>
      <xdr:colOff>42636</xdr:colOff>
      <xdr:row>201</xdr:row>
      <xdr:rowOff>133351</xdr:rowOff>
    </xdr:to>
    <xdr:sp macro="" textlink="">
      <xdr:nvSpPr>
        <xdr:cNvPr id="327" name="198"/>
        <xdr:cNvSpPr/>
      </xdr:nvSpPr>
      <xdr:spPr>
        <a:xfrm>
          <a:off x="14049102" y="30811471"/>
          <a:ext cx="219365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20682</xdr:colOff>
      <xdr:row>201</xdr:row>
      <xdr:rowOff>76201</xdr:rowOff>
    </xdr:from>
    <xdr:to>
      <xdr:col>81</xdr:col>
      <xdr:colOff>20682</xdr:colOff>
      <xdr:row>201</xdr:row>
      <xdr:rowOff>76201</xdr:rowOff>
    </xdr:to>
    <xdr:cxnSp macro="">
      <xdr:nvCxnSpPr>
        <xdr:cNvPr id="328" name="직선 화살표 연결선 327"/>
        <xdr:cNvCxnSpPr/>
      </xdr:nvCxnSpPr>
      <xdr:spPr>
        <a:xfrm>
          <a:off x="14049102" y="30868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62048</xdr:colOff>
      <xdr:row>200</xdr:row>
      <xdr:rowOff>19051</xdr:rowOff>
    </xdr:from>
    <xdr:to>
      <xdr:col>101</xdr:col>
      <xdr:colOff>21952</xdr:colOff>
      <xdr:row>200</xdr:row>
      <xdr:rowOff>133351</xdr:rowOff>
    </xdr:to>
    <xdr:sp macro="" textlink="">
      <xdr:nvSpPr>
        <xdr:cNvPr id="329" name="197"/>
        <xdr:cNvSpPr/>
      </xdr:nvSpPr>
      <xdr:spPr>
        <a:xfrm>
          <a:off x="15248708" y="30659071"/>
          <a:ext cx="169726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89</xdr:col>
      <xdr:colOff>62048</xdr:colOff>
      <xdr:row>200</xdr:row>
      <xdr:rowOff>76201</xdr:rowOff>
    </xdr:from>
    <xdr:to>
      <xdr:col>89</xdr:col>
      <xdr:colOff>62048</xdr:colOff>
      <xdr:row>200</xdr:row>
      <xdr:rowOff>76201</xdr:rowOff>
    </xdr:to>
    <xdr:cxnSp macro="">
      <xdr:nvCxnSpPr>
        <xdr:cNvPr id="330" name="직선 화살표 연결선 329"/>
        <xdr:cNvCxnSpPr/>
      </xdr:nvCxnSpPr>
      <xdr:spPr>
        <a:xfrm>
          <a:off x="15248708" y="30716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41365</xdr:colOff>
      <xdr:row>199</xdr:row>
      <xdr:rowOff>19051</xdr:rowOff>
    </xdr:from>
    <xdr:to>
      <xdr:col>89</xdr:col>
      <xdr:colOff>63318</xdr:colOff>
      <xdr:row>199</xdr:row>
      <xdr:rowOff>133351</xdr:rowOff>
    </xdr:to>
    <xdr:sp macro="" textlink="">
      <xdr:nvSpPr>
        <xdr:cNvPr id="331" name="196"/>
        <xdr:cNvSpPr/>
      </xdr:nvSpPr>
      <xdr:spPr>
        <a:xfrm>
          <a:off x="15083245" y="30506671"/>
          <a:ext cx="1667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41365</xdr:colOff>
      <xdr:row>199</xdr:row>
      <xdr:rowOff>76201</xdr:rowOff>
    </xdr:from>
    <xdr:to>
      <xdr:col>88</xdr:col>
      <xdr:colOff>41365</xdr:colOff>
      <xdr:row>199</xdr:row>
      <xdr:rowOff>76201</xdr:rowOff>
    </xdr:to>
    <xdr:cxnSp macro="">
      <xdr:nvCxnSpPr>
        <xdr:cNvPr id="332" name="직선 화살표 연결선 331"/>
        <xdr:cNvCxnSpPr/>
      </xdr:nvCxnSpPr>
      <xdr:spPr>
        <a:xfrm>
          <a:off x="15083245" y="30563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41365</xdr:colOff>
      <xdr:row>198</xdr:row>
      <xdr:rowOff>19051</xdr:rowOff>
    </xdr:from>
    <xdr:to>
      <xdr:col>101</xdr:col>
      <xdr:colOff>21952</xdr:colOff>
      <xdr:row>198</xdr:row>
      <xdr:rowOff>133351</xdr:rowOff>
    </xdr:to>
    <xdr:sp macro="" textlink="">
      <xdr:nvSpPr>
        <xdr:cNvPr id="333" name="195"/>
        <xdr:cNvSpPr/>
      </xdr:nvSpPr>
      <xdr:spPr>
        <a:xfrm>
          <a:off x="15083245" y="30354271"/>
          <a:ext cx="186272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41365</xdr:colOff>
      <xdr:row>198</xdr:row>
      <xdr:rowOff>76201</xdr:rowOff>
    </xdr:from>
    <xdr:to>
      <xdr:col>88</xdr:col>
      <xdr:colOff>41365</xdr:colOff>
      <xdr:row>198</xdr:row>
      <xdr:rowOff>76201</xdr:rowOff>
    </xdr:to>
    <xdr:cxnSp macro="">
      <xdr:nvCxnSpPr>
        <xdr:cNvPr id="334" name="직선 화살표 연결선 333"/>
        <xdr:cNvCxnSpPr/>
      </xdr:nvCxnSpPr>
      <xdr:spPr>
        <a:xfrm>
          <a:off x="15083245" y="30411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62049</xdr:colOff>
      <xdr:row>197</xdr:row>
      <xdr:rowOff>19051</xdr:rowOff>
    </xdr:from>
    <xdr:to>
      <xdr:col>95</xdr:col>
      <xdr:colOff>63318</xdr:colOff>
      <xdr:row>197</xdr:row>
      <xdr:rowOff>133351</xdr:rowOff>
    </xdr:to>
    <xdr:sp macro="" textlink="">
      <xdr:nvSpPr>
        <xdr:cNvPr id="335" name="194"/>
        <xdr:cNvSpPr/>
      </xdr:nvSpPr>
      <xdr:spPr>
        <a:xfrm>
          <a:off x="14235249" y="30201871"/>
          <a:ext cx="18834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62049</xdr:colOff>
      <xdr:row>197</xdr:row>
      <xdr:rowOff>76201</xdr:rowOff>
    </xdr:from>
    <xdr:to>
      <xdr:col>82</xdr:col>
      <xdr:colOff>62049</xdr:colOff>
      <xdr:row>197</xdr:row>
      <xdr:rowOff>76201</xdr:rowOff>
    </xdr:to>
    <xdr:cxnSp macro="">
      <xdr:nvCxnSpPr>
        <xdr:cNvPr id="336" name="직선 화살표 연결선 335"/>
        <xdr:cNvCxnSpPr/>
      </xdr:nvCxnSpPr>
      <xdr:spPr>
        <a:xfrm>
          <a:off x="14235249" y="30259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196</xdr:row>
      <xdr:rowOff>19051</xdr:rowOff>
    </xdr:from>
    <xdr:to>
      <xdr:col>82</xdr:col>
      <xdr:colOff>63319</xdr:colOff>
      <xdr:row>196</xdr:row>
      <xdr:rowOff>133351</xdr:rowOff>
    </xdr:to>
    <xdr:sp macro="" textlink="">
      <xdr:nvSpPr>
        <xdr:cNvPr id="337" name="193"/>
        <xdr:cNvSpPr/>
      </xdr:nvSpPr>
      <xdr:spPr>
        <a:xfrm>
          <a:off x="14028420" y="30049471"/>
          <a:ext cx="2080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0</xdr:colOff>
      <xdr:row>196</xdr:row>
      <xdr:rowOff>76201</xdr:rowOff>
    </xdr:from>
    <xdr:to>
      <xdr:col>81</xdr:col>
      <xdr:colOff>0</xdr:colOff>
      <xdr:row>196</xdr:row>
      <xdr:rowOff>76201</xdr:rowOff>
    </xdr:to>
    <xdr:cxnSp macro="">
      <xdr:nvCxnSpPr>
        <xdr:cNvPr id="338" name="직선 화살표 연결선 337"/>
        <xdr:cNvCxnSpPr/>
      </xdr:nvCxnSpPr>
      <xdr:spPr>
        <a:xfrm>
          <a:off x="14028420" y="30106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195</xdr:row>
      <xdr:rowOff>19051</xdr:rowOff>
    </xdr:from>
    <xdr:to>
      <xdr:col>95</xdr:col>
      <xdr:colOff>63318</xdr:colOff>
      <xdr:row>195</xdr:row>
      <xdr:rowOff>133351</xdr:rowOff>
    </xdr:to>
    <xdr:sp macro="" textlink="">
      <xdr:nvSpPr>
        <xdr:cNvPr id="339" name="192"/>
        <xdr:cNvSpPr/>
      </xdr:nvSpPr>
      <xdr:spPr>
        <a:xfrm>
          <a:off x="14028420" y="29897071"/>
          <a:ext cx="20902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0</xdr:colOff>
      <xdr:row>195</xdr:row>
      <xdr:rowOff>76201</xdr:rowOff>
    </xdr:from>
    <xdr:to>
      <xdr:col>81</xdr:col>
      <xdr:colOff>0</xdr:colOff>
      <xdr:row>195</xdr:row>
      <xdr:rowOff>76201</xdr:rowOff>
    </xdr:to>
    <xdr:cxnSp macro="">
      <xdr:nvCxnSpPr>
        <xdr:cNvPr id="340" name="직선 화살표 연결선 339"/>
        <xdr:cNvCxnSpPr/>
      </xdr:nvCxnSpPr>
      <xdr:spPr>
        <a:xfrm>
          <a:off x="14028420" y="29954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82731</xdr:colOff>
      <xdr:row>194</xdr:row>
      <xdr:rowOff>19051</xdr:rowOff>
    </xdr:from>
    <xdr:to>
      <xdr:col>95</xdr:col>
      <xdr:colOff>42636</xdr:colOff>
      <xdr:row>194</xdr:row>
      <xdr:rowOff>133351</xdr:rowOff>
    </xdr:to>
    <xdr:sp macro="" textlink="">
      <xdr:nvSpPr>
        <xdr:cNvPr id="341" name="191"/>
        <xdr:cNvSpPr/>
      </xdr:nvSpPr>
      <xdr:spPr>
        <a:xfrm>
          <a:off x="13532031" y="29744671"/>
          <a:ext cx="25659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82731</xdr:colOff>
      <xdr:row>194</xdr:row>
      <xdr:rowOff>76201</xdr:rowOff>
    </xdr:from>
    <xdr:to>
      <xdr:col>77</xdr:col>
      <xdr:colOff>82731</xdr:colOff>
      <xdr:row>194</xdr:row>
      <xdr:rowOff>76201</xdr:rowOff>
    </xdr:to>
    <xdr:cxnSp macro="">
      <xdr:nvCxnSpPr>
        <xdr:cNvPr id="342" name="직선 화살표 연결선 341"/>
        <xdr:cNvCxnSpPr/>
      </xdr:nvCxnSpPr>
      <xdr:spPr>
        <a:xfrm>
          <a:off x="13532031" y="29801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62049</xdr:colOff>
      <xdr:row>193</xdr:row>
      <xdr:rowOff>19051</xdr:rowOff>
    </xdr:from>
    <xdr:to>
      <xdr:col>82</xdr:col>
      <xdr:colOff>42636</xdr:colOff>
      <xdr:row>193</xdr:row>
      <xdr:rowOff>133351</xdr:rowOff>
    </xdr:to>
    <xdr:sp macro="" textlink="">
      <xdr:nvSpPr>
        <xdr:cNvPr id="343" name="190"/>
        <xdr:cNvSpPr/>
      </xdr:nvSpPr>
      <xdr:spPr>
        <a:xfrm>
          <a:off x="13511349" y="29592271"/>
          <a:ext cx="7044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62049</xdr:colOff>
      <xdr:row>193</xdr:row>
      <xdr:rowOff>76201</xdr:rowOff>
    </xdr:from>
    <xdr:to>
      <xdr:col>77</xdr:col>
      <xdr:colOff>62049</xdr:colOff>
      <xdr:row>193</xdr:row>
      <xdr:rowOff>76201</xdr:rowOff>
    </xdr:to>
    <xdr:cxnSp macro="">
      <xdr:nvCxnSpPr>
        <xdr:cNvPr id="344" name="직선 화살표 연결선 343"/>
        <xdr:cNvCxnSpPr/>
      </xdr:nvCxnSpPr>
      <xdr:spPr>
        <a:xfrm>
          <a:off x="13511349" y="29649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62049</xdr:colOff>
      <xdr:row>192</xdr:row>
      <xdr:rowOff>19051</xdr:rowOff>
    </xdr:from>
    <xdr:to>
      <xdr:col>95</xdr:col>
      <xdr:colOff>42636</xdr:colOff>
      <xdr:row>192</xdr:row>
      <xdr:rowOff>133351</xdr:rowOff>
    </xdr:to>
    <xdr:sp macro="" textlink="">
      <xdr:nvSpPr>
        <xdr:cNvPr id="345" name="189"/>
        <xdr:cNvSpPr/>
      </xdr:nvSpPr>
      <xdr:spPr>
        <a:xfrm>
          <a:off x="13511349" y="29439871"/>
          <a:ext cx="258662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62049</xdr:colOff>
      <xdr:row>192</xdr:row>
      <xdr:rowOff>76201</xdr:rowOff>
    </xdr:from>
    <xdr:to>
      <xdr:col>77</xdr:col>
      <xdr:colOff>62049</xdr:colOff>
      <xdr:row>192</xdr:row>
      <xdr:rowOff>76201</xdr:rowOff>
    </xdr:to>
    <xdr:cxnSp macro="">
      <xdr:nvCxnSpPr>
        <xdr:cNvPr id="346" name="직선 화살표 연결선 345"/>
        <xdr:cNvCxnSpPr/>
      </xdr:nvCxnSpPr>
      <xdr:spPr>
        <a:xfrm>
          <a:off x="13511349" y="29497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103414</xdr:colOff>
      <xdr:row>191</xdr:row>
      <xdr:rowOff>19051</xdr:rowOff>
    </xdr:from>
    <xdr:to>
      <xdr:col>92</xdr:col>
      <xdr:colOff>1270</xdr:colOff>
      <xdr:row>191</xdr:row>
      <xdr:rowOff>133351</xdr:rowOff>
    </xdr:to>
    <xdr:sp macro="" textlink="">
      <xdr:nvSpPr>
        <xdr:cNvPr id="347" name="188"/>
        <xdr:cNvSpPr/>
      </xdr:nvSpPr>
      <xdr:spPr>
        <a:xfrm>
          <a:off x="13697494" y="29287471"/>
          <a:ext cx="192477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103414</xdr:colOff>
      <xdr:row>191</xdr:row>
      <xdr:rowOff>76201</xdr:rowOff>
    </xdr:from>
    <xdr:to>
      <xdr:col>78</xdr:col>
      <xdr:colOff>103414</xdr:colOff>
      <xdr:row>191</xdr:row>
      <xdr:rowOff>76201</xdr:rowOff>
    </xdr:to>
    <xdr:cxnSp macro="">
      <xdr:nvCxnSpPr>
        <xdr:cNvPr id="348" name="직선 화살표 연결선 347"/>
        <xdr:cNvCxnSpPr/>
      </xdr:nvCxnSpPr>
      <xdr:spPr>
        <a:xfrm>
          <a:off x="13697494" y="29344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190</xdr:row>
      <xdr:rowOff>19051</xdr:rowOff>
    </xdr:from>
    <xdr:to>
      <xdr:col>78</xdr:col>
      <xdr:colOff>125366</xdr:colOff>
      <xdr:row>190</xdr:row>
      <xdr:rowOff>133351</xdr:rowOff>
    </xdr:to>
    <xdr:sp macro="" textlink="">
      <xdr:nvSpPr>
        <xdr:cNvPr id="349" name="187"/>
        <xdr:cNvSpPr/>
      </xdr:nvSpPr>
      <xdr:spPr>
        <a:xfrm>
          <a:off x="13594080" y="29135071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0</xdr:colOff>
      <xdr:row>190</xdr:row>
      <xdr:rowOff>76201</xdr:rowOff>
    </xdr:from>
    <xdr:to>
      <xdr:col>78</xdr:col>
      <xdr:colOff>0</xdr:colOff>
      <xdr:row>190</xdr:row>
      <xdr:rowOff>76201</xdr:rowOff>
    </xdr:to>
    <xdr:cxnSp macro="">
      <xdr:nvCxnSpPr>
        <xdr:cNvPr id="350" name="직선 화살표 연결선 349"/>
        <xdr:cNvCxnSpPr/>
      </xdr:nvCxnSpPr>
      <xdr:spPr>
        <a:xfrm>
          <a:off x="13594080" y="29192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189</xdr:row>
      <xdr:rowOff>19051</xdr:rowOff>
    </xdr:from>
    <xdr:to>
      <xdr:col>92</xdr:col>
      <xdr:colOff>1270</xdr:colOff>
      <xdr:row>189</xdr:row>
      <xdr:rowOff>133351</xdr:rowOff>
    </xdr:to>
    <xdr:sp macro="" textlink="">
      <xdr:nvSpPr>
        <xdr:cNvPr id="351" name="186"/>
        <xdr:cNvSpPr/>
      </xdr:nvSpPr>
      <xdr:spPr>
        <a:xfrm>
          <a:off x="13594080" y="28982671"/>
          <a:ext cx="202819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0</xdr:colOff>
      <xdr:row>189</xdr:row>
      <xdr:rowOff>76201</xdr:rowOff>
    </xdr:from>
    <xdr:to>
      <xdr:col>78</xdr:col>
      <xdr:colOff>0</xdr:colOff>
      <xdr:row>189</xdr:row>
      <xdr:rowOff>76201</xdr:rowOff>
    </xdr:to>
    <xdr:cxnSp macro="">
      <xdr:nvCxnSpPr>
        <xdr:cNvPr id="352" name="직선 화살표 연결선 351"/>
        <xdr:cNvCxnSpPr/>
      </xdr:nvCxnSpPr>
      <xdr:spPr>
        <a:xfrm>
          <a:off x="13594080" y="29039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188</xdr:row>
      <xdr:rowOff>19051</xdr:rowOff>
    </xdr:from>
    <xdr:to>
      <xdr:col>91</xdr:col>
      <xdr:colOff>42636</xdr:colOff>
      <xdr:row>188</xdr:row>
      <xdr:rowOff>133351</xdr:rowOff>
    </xdr:to>
    <xdr:sp macro="" textlink="">
      <xdr:nvSpPr>
        <xdr:cNvPr id="353" name="185"/>
        <xdr:cNvSpPr/>
      </xdr:nvSpPr>
      <xdr:spPr>
        <a:xfrm>
          <a:off x="13201106" y="28830271"/>
          <a:ext cx="23177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188</xdr:row>
      <xdr:rowOff>76201</xdr:rowOff>
    </xdr:from>
    <xdr:to>
      <xdr:col>75</xdr:col>
      <xdr:colOff>41366</xdr:colOff>
      <xdr:row>188</xdr:row>
      <xdr:rowOff>76201</xdr:rowOff>
    </xdr:to>
    <xdr:cxnSp macro="">
      <xdr:nvCxnSpPr>
        <xdr:cNvPr id="354" name="직선 화살표 연결선 353"/>
        <xdr:cNvCxnSpPr/>
      </xdr:nvCxnSpPr>
      <xdr:spPr>
        <a:xfrm>
          <a:off x="13201106" y="28887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187</xdr:row>
      <xdr:rowOff>19051</xdr:rowOff>
    </xdr:from>
    <xdr:to>
      <xdr:col>78</xdr:col>
      <xdr:colOff>21952</xdr:colOff>
      <xdr:row>187</xdr:row>
      <xdr:rowOff>133351</xdr:rowOff>
    </xdr:to>
    <xdr:sp macro="" textlink="">
      <xdr:nvSpPr>
        <xdr:cNvPr id="355" name="184"/>
        <xdr:cNvSpPr/>
      </xdr:nvSpPr>
      <xdr:spPr>
        <a:xfrm>
          <a:off x="13201106" y="28677871"/>
          <a:ext cx="4149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187</xdr:row>
      <xdr:rowOff>76201</xdr:rowOff>
    </xdr:from>
    <xdr:to>
      <xdr:col>75</xdr:col>
      <xdr:colOff>41366</xdr:colOff>
      <xdr:row>187</xdr:row>
      <xdr:rowOff>76201</xdr:rowOff>
    </xdr:to>
    <xdr:cxnSp macro="">
      <xdr:nvCxnSpPr>
        <xdr:cNvPr id="356" name="직선 화살표 연결선 355"/>
        <xdr:cNvCxnSpPr/>
      </xdr:nvCxnSpPr>
      <xdr:spPr>
        <a:xfrm>
          <a:off x="13201106" y="28735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186</xdr:row>
      <xdr:rowOff>19051</xdr:rowOff>
    </xdr:from>
    <xdr:to>
      <xdr:col>91</xdr:col>
      <xdr:colOff>42636</xdr:colOff>
      <xdr:row>186</xdr:row>
      <xdr:rowOff>133351</xdr:rowOff>
    </xdr:to>
    <xdr:sp macro="" textlink="">
      <xdr:nvSpPr>
        <xdr:cNvPr id="357" name="183"/>
        <xdr:cNvSpPr/>
      </xdr:nvSpPr>
      <xdr:spPr>
        <a:xfrm>
          <a:off x="13201106" y="28525471"/>
          <a:ext cx="23177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186</xdr:row>
      <xdr:rowOff>76201</xdr:rowOff>
    </xdr:from>
    <xdr:to>
      <xdr:col>75</xdr:col>
      <xdr:colOff>41366</xdr:colOff>
      <xdr:row>186</xdr:row>
      <xdr:rowOff>76201</xdr:rowOff>
    </xdr:to>
    <xdr:cxnSp macro="">
      <xdr:nvCxnSpPr>
        <xdr:cNvPr id="358" name="직선 화살표 연결선 357"/>
        <xdr:cNvCxnSpPr/>
      </xdr:nvCxnSpPr>
      <xdr:spPr>
        <a:xfrm>
          <a:off x="13201106" y="28582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82731</xdr:colOff>
      <xdr:row>185</xdr:row>
      <xdr:rowOff>19051</xdr:rowOff>
    </xdr:from>
    <xdr:to>
      <xdr:col>92</xdr:col>
      <xdr:colOff>63319</xdr:colOff>
      <xdr:row>185</xdr:row>
      <xdr:rowOff>133351</xdr:rowOff>
    </xdr:to>
    <xdr:sp macro="" textlink="">
      <xdr:nvSpPr>
        <xdr:cNvPr id="359" name="182"/>
        <xdr:cNvSpPr/>
      </xdr:nvSpPr>
      <xdr:spPr>
        <a:xfrm>
          <a:off x="13966371" y="28373071"/>
          <a:ext cx="17179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82731</xdr:colOff>
      <xdr:row>185</xdr:row>
      <xdr:rowOff>76201</xdr:rowOff>
    </xdr:from>
    <xdr:to>
      <xdr:col>80</xdr:col>
      <xdr:colOff>82731</xdr:colOff>
      <xdr:row>185</xdr:row>
      <xdr:rowOff>76201</xdr:rowOff>
    </xdr:to>
    <xdr:cxnSp macro="">
      <xdr:nvCxnSpPr>
        <xdr:cNvPr id="360" name="직선 화살표 연결선 359"/>
        <xdr:cNvCxnSpPr/>
      </xdr:nvCxnSpPr>
      <xdr:spPr>
        <a:xfrm>
          <a:off x="13966371" y="28430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82732</xdr:colOff>
      <xdr:row>184</xdr:row>
      <xdr:rowOff>19051</xdr:rowOff>
    </xdr:from>
    <xdr:to>
      <xdr:col>80</xdr:col>
      <xdr:colOff>84000</xdr:colOff>
      <xdr:row>184</xdr:row>
      <xdr:rowOff>133351</xdr:rowOff>
    </xdr:to>
    <xdr:sp macro="" textlink="">
      <xdr:nvSpPr>
        <xdr:cNvPr id="361" name="181"/>
        <xdr:cNvSpPr/>
      </xdr:nvSpPr>
      <xdr:spPr>
        <a:xfrm>
          <a:off x="13821592" y="28220671"/>
          <a:ext cx="1460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82732</xdr:colOff>
      <xdr:row>184</xdr:row>
      <xdr:rowOff>76201</xdr:rowOff>
    </xdr:from>
    <xdr:to>
      <xdr:col>79</xdr:col>
      <xdr:colOff>82732</xdr:colOff>
      <xdr:row>184</xdr:row>
      <xdr:rowOff>76201</xdr:rowOff>
    </xdr:to>
    <xdr:cxnSp macro="">
      <xdr:nvCxnSpPr>
        <xdr:cNvPr id="362" name="직선 화살표 연결선 361"/>
        <xdr:cNvCxnSpPr/>
      </xdr:nvCxnSpPr>
      <xdr:spPr>
        <a:xfrm>
          <a:off x="13821592" y="28277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82732</xdr:colOff>
      <xdr:row>183</xdr:row>
      <xdr:rowOff>19051</xdr:rowOff>
    </xdr:from>
    <xdr:to>
      <xdr:col>92</xdr:col>
      <xdr:colOff>63319</xdr:colOff>
      <xdr:row>183</xdr:row>
      <xdr:rowOff>133351</xdr:rowOff>
    </xdr:to>
    <xdr:sp macro="" textlink="">
      <xdr:nvSpPr>
        <xdr:cNvPr id="363" name="180"/>
        <xdr:cNvSpPr/>
      </xdr:nvSpPr>
      <xdr:spPr>
        <a:xfrm>
          <a:off x="13821592" y="28068271"/>
          <a:ext cx="186272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82732</xdr:colOff>
      <xdr:row>183</xdr:row>
      <xdr:rowOff>76201</xdr:rowOff>
    </xdr:from>
    <xdr:to>
      <xdr:col>79</xdr:col>
      <xdr:colOff>82732</xdr:colOff>
      <xdr:row>183</xdr:row>
      <xdr:rowOff>76201</xdr:rowOff>
    </xdr:to>
    <xdr:cxnSp macro="">
      <xdr:nvCxnSpPr>
        <xdr:cNvPr id="364" name="직선 화살표 연결선 363"/>
        <xdr:cNvCxnSpPr/>
      </xdr:nvCxnSpPr>
      <xdr:spPr>
        <a:xfrm>
          <a:off x="13821592" y="28125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182</xdr:row>
      <xdr:rowOff>19051</xdr:rowOff>
    </xdr:from>
    <xdr:to>
      <xdr:col>92</xdr:col>
      <xdr:colOff>63319</xdr:colOff>
      <xdr:row>182</xdr:row>
      <xdr:rowOff>133351</xdr:rowOff>
    </xdr:to>
    <xdr:sp macro="" textlink="">
      <xdr:nvSpPr>
        <xdr:cNvPr id="365" name="179"/>
        <xdr:cNvSpPr/>
      </xdr:nvSpPr>
      <xdr:spPr>
        <a:xfrm>
          <a:off x="14028420" y="27915871"/>
          <a:ext cx="16558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0</xdr:colOff>
      <xdr:row>182</xdr:row>
      <xdr:rowOff>76201</xdr:rowOff>
    </xdr:from>
    <xdr:to>
      <xdr:col>81</xdr:col>
      <xdr:colOff>0</xdr:colOff>
      <xdr:row>182</xdr:row>
      <xdr:rowOff>76201</xdr:rowOff>
    </xdr:to>
    <xdr:cxnSp macro="">
      <xdr:nvCxnSpPr>
        <xdr:cNvPr id="366" name="직선 화살표 연결선 365"/>
        <xdr:cNvCxnSpPr/>
      </xdr:nvCxnSpPr>
      <xdr:spPr>
        <a:xfrm>
          <a:off x="14028420" y="27973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41366</xdr:colOff>
      <xdr:row>181</xdr:row>
      <xdr:rowOff>19051</xdr:rowOff>
    </xdr:from>
    <xdr:to>
      <xdr:col>81</xdr:col>
      <xdr:colOff>1269</xdr:colOff>
      <xdr:row>181</xdr:row>
      <xdr:rowOff>133351</xdr:rowOff>
    </xdr:to>
    <xdr:sp macro="" textlink="">
      <xdr:nvSpPr>
        <xdr:cNvPr id="367" name="178"/>
        <xdr:cNvSpPr/>
      </xdr:nvSpPr>
      <xdr:spPr>
        <a:xfrm>
          <a:off x="13925006" y="27763471"/>
          <a:ext cx="1046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41366</xdr:colOff>
      <xdr:row>181</xdr:row>
      <xdr:rowOff>76201</xdr:rowOff>
    </xdr:from>
    <xdr:to>
      <xdr:col>80</xdr:col>
      <xdr:colOff>41366</xdr:colOff>
      <xdr:row>181</xdr:row>
      <xdr:rowOff>76201</xdr:rowOff>
    </xdr:to>
    <xdr:cxnSp macro="">
      <xdr:nvCxnSpPr>
        <xdr:cNvPr id="368" name="직선 화살표 연결선 367"/>
        <xdr:cNvCxnSpPr/>
      </xdr:nvCxnSpPr>
      <xdr:spPr>
        <a:xfrm>
          <a:off x="13925006" y="27820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41366</xdr:colOff>
      <xdr:row>180</xdr:row>
      <xdr:rowOff>19051</xdr:rowOff>
    </xdr:from>
    <xdr:to>
      <xdr:col>92</xdr:col>
      <xdr:colOff>63319</xdr:colOff>
      <xdr:row>180</xdr:row>
      <xdr:rowOff>133351</xdr:rowOff>
    </xdr:to>
    <xdr:sp macro="" textlink="">
      <xdr:nvSpPr>
        <xdr:cNvPr id="369" name="177"/>
        <xdr:cNvSpPr/>
      </xdr:nvSpPr>
      <xdr:spPr>
        <a:xfrm>
          <a:off x="13925006" y="27611071"/>
          <a:ext cx="175931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41366</xdr:colOff>
      <xdr:row>180</xdr:row>
      <xdr:rowOff>76201</xdr:rowOff>
    </xdr:from>
    <xdr:to>
      <xdr:col>80</xdr:col>
      <xdr:colOff>41366</xdr:colOff>
      <xdr:row>180</xdr:row>
      <xdr:rowOff>76201</xdr:rowOff>
    </xdr:to>
    <xdr:cxnSp macro="">
      <xdr:nvCxnSpPr>
        <xdr:cNvPr id="370" name="직선 화살표 연결선 369"/>
        <xdr:cNvCxnSpPr/>
      </xdr:nvCxnSpPr>
      <xdr:spPr>
        <a:xfrm>
          <a:off x="13925006" y="27668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82731</xdr:colOff>
      <xdr:row>179</xdr:row>
      <xdr:rowOff>19051</xdr:rowOff>
    </xdr:from>
    <xdr:to>
      <xdr:col>98</xdr:col>
      <xdr:colOff>84001</xdr:colOff>
      <xdr:row>179</xdr:row>
      <xdr:rowOff>133351</xdr:rowOff>
    </xdr:to>
    <xdr:sp macro="" textlink="">
      <xdr:nvSpPr>
        <xdr:cNvPr id="371" name="176"/>
        <xdr:cNvSpPr/>
      </xdr:nvSpPr>
      <xdr:spPr>
        <a:xfrm>
          <a:off x="13532031" y="27458671"/>
          <a:ext cx="30416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82731</xdr:colOff>
      <xdr:row>179</xdr:row>
      <xdr:rowOff>76201</xdr:rowOff>
    </xdr:from>
    <xdr:to>
      <xdr:col>77</xdr:col>
      <xdr:colOff>82731</xdr:colOff>
      <xdr:row>179</xdr:row>
      <xdr:rowOff>76201</xdr:rowOff>
    </xdr:to>
    <xdr:cxnSp macro="">
      <xdr:nvCxnSpPr>
        <xdr:cNvPr id="372" name="직선 화살표 연결선 371"/>
        <xdr:cNvCxnSpPr/>
      </xdr:nvCxnSpPr>
      <xdr:spPr>
        <a:xfrm>
          <a:off x="13532031" y="27515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62049</xdr:colOff>
      <xdr:row>178</xdr:row>
      <xdr:rowOff>19051</xdr:rowOff>
    </xdr:from>
    <xdr:to>
      <xdr:col>85</xdr:col>
      <xdr:colOff>84000</xdr:colOff>
      <xdr:row>178</xdr:row>
      <xdr:rowOff>133351</xdr:rowOff>
    </xdr:to>
    <xdr:sp macro="" textlink="">
      <xdr:nvSpPr>
        <xdr:cNvPr id="373" name="175"/>
        <xdr:cNvSpPr/>
      </xdr:nvSpPr>
      <xdr:spPr>
        <a:xfrm>
          <a:off x="13511349" y="27306271"/>
          <a:ext cx="11801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62049</xdr:colOff>
      <xdr:row>178</xdr:row>
      <xdr:rowOff>76201</xdr:rowOff>
    </xdr:from>
    <xdr:to>
      <xdr:col>77</xdr:col>
      <xdr:colOff>62049</xdr:colOff>
      <xdr:row>178</xdr:row>
      <xdr:rowOff>76201</xdr:rowOff>
    </xdr:to>
    <xdr:cxnSp macro="">
      <xdr:nvCxnSpPr>
        <xdr:cNvPr id="374" name="직선 화살표 연결선 373"/>
        <xdr:cNvCxnSpPr/>
      </xdr:nvCxnSpPr>
      <xdr:spPr>
        <a:xfrm>
          <a:off x="13511349" y="27363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62049</xdr:colOff>
      <xdr:row>177</xdr:row>
      <xdr:rowOff>19051</xdr:rowOff>
    </xdr:from>
    <xdr:to>
      <xdr:col>98</xdr:col>
      <xdr:colOff>84001</xdr:colOff>
      <xdr:row>177</xdr:row>
      <xdr:rowOff>133351</xdr:rowOff>
    </xdr:to>
    <xdr:sp macro="" textlink="">
      <xdr:nvSpPr>
        <xdr:cNvPr id="375" name="174"/>
        <xdr:cNvSpPr/>
      </xdr:nvSpPr>
      <xdr:spPr>
        <a:xfrm>
          <a:off x="13511349" y="27153871"/>
          <a:ext cx="306233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62049</xdr:colOff>
      <xdr:row>177</xdr:row>
      <xdr:rowOff>76201</xdr:rowOff>
    </xdr:from>
    <xdr:to>
      <xdr:col>77</xdr:col>
      <xdr:colOff>62049</xdr:colOff>
      <xdr:row>177</xdr:row>
      <xdr:rowOff>76201</xdr:rowOff>
    </xdr:to>
    <xdr:cxnSp macro="">
      <xdr:nvCxnSpPr>
        <xdr:cNvPr id="376" name="직선 화살표 연결선 375"/>
        <xdr:cNvCxnSpPr/>
      </xdr:nvCxnSpPr>
      <xdr:spPr>
        <a:xfrm>
          <a:off x="13511349" y="27211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176</xdr:row>
      <xdr:rowOff>19051</xdr:rowOff>
    </xdr:from>
    <xdr:to>
      <xdr:col>101</xdr:col>
      <xdr:colOff>21952</xdr:colOff>
      <xdr:row>176</xdr:row>
      <xdr:rowOff>133351</xdr:rowOff>
    </xdr:to>
    <xdr:sp macro="" textlink="">
      <xdr:nvSpPr>
        <xdr:cNvPr id="377" name="173"/>
        <xdr:cNvSpPr/>
      </xdr:nvSpPr>
      <xdr:spPr>
        <a:xfrm>
          <a:off x="13201106" y="27001471"/>
          <a:ext cx="374486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176</xdr:row>
      <xdr:rowOff>76201</xdr:rowOff>
    </xdr:from>
    <xdr:to>
      <xdr:col>75</xdr:col>
      <xdr:colOff>41366</xdr:colOff>
      <xdr:row>176</xdr:row>
      <xdr:rowOff>76201</xdr:rowOff>
    </xdr:to>
    <xdr:cxnSp macro="">
      <xdr:nvCxnSpPr>
        <xdr:cNvPr id="378" name="직선 화살표 연결선 377"/>
        <xdr:cNvCxnSpPr/>
      </xdr:nvCxnSpPr>
      <xdr:spPr>
        <a:xfrm>
          <a:off x="13201106" y="27058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82732</xdr:colOff>
      <xdr:row>175</xdr:row>
      <xdr:rowOff>19051</xdr:rowOff>
    </xdr:from>
    <xdr:to>
      <xdr:col>81</xdr:col>
      <xdr:colOff>1269</xdr:colOff>
      <xdr:row>175</xdr:row>
      <xdr:rowOff>133351</xdr:rowOff>
    </xdr:to>
    <xdr:sp macro="" textlink="">
      <xdr:nvSpPr>
        <xdr:cNvPr id="379" name="172"/>
        <xdr:cNvSpPr/>
      </xdr:nvSpPr>
      <xdr:spPr>
        <a:xfrm>
          <a:off x="13821592" y="26849071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82732</xdr:colOff>
      <xdr:row>175</xdr:row>
      <xdr:rowOff>76201</xdr:rowOff>
    </xdr:from>
    <xdr:to>
      <xdr:col>79</xdr:col>
      <xdr:colOff>82732</xdr:colOff>
      <xdr:row>175</xdr:row>
      <xdr:rowOff>76201</xdr:rowOff>
    </xdr:to>
    <xdr:cxnSp macro="">
      <xdr:nvCxnSpPr>
        <xdr:cNvPr id="380" name="직선 화살표 연결선 379"/>
        <xdr:cNvCxnSpPr/>
      </xdr:nvCxnSpPr>
      <xdr:spPr>
        <a:xfrm>
          <a:off x="13821592" y="26906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82732</xdr:colOff>
      <xdr:row>174</xdr:row>
      <xdr:rowOff>19051</xdr:rowOff>
    </xdr:from>
    <xdr:to>
      <xdr:col>81</xdr:col>
      <xdr:colOff>1269</xdr:colOff>
      <xdr:row>174</xdr:row>
      <xdr:rowOff>133351</xdr:rowOff>
    </xdr:to>
    <xdr:sp macro="" textlink="">
      <xdr:nvSpPr>
        <xdr:cNvPr id="381" name="171"/>
        <xdr:cNvSpPr/>
      </xdr:nvSpPr>
      <xdr:spPr>
        <a:xfrm>
          <a:off x="13821592" y="26696671"/>
          <a:ext cx="20809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82732</xdr:colOff>
      <xdr:row>174</xdr:row>
      <xdr:rowOff>76201</xdr:rowOff>
    </xdr:from>
    <xdr:to>
      <xdr:col>79</xdr:col>
      <xdr:colOff>82732</xdr:colOff>
      <xdr:row>174</xdr:row>
      <xdr:rowOff>76201</xdr:rowOff>
    </xdr:to>
    <xdr:cxnSp macro="">
      <xdr:nvCxnSpPr>
        <xdr:cNvPr id="382" name="직선 화살표 연결선 381"/>
        <xdr:cNvCxnSpPr/>
      </xdr:nvCxnSpPr>
      <xdr:spPr>
        <a:xfrm>
          <a:off x="13821592" y="267538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20683</xdr:colOff>
      <xdr:row>173</xdr:row>
      <xdr:rowOff>19051</xdr:rowOff>
    </xdr:from>
    <xdr:to>
      <xdr:col>83</xdr:col>
      <xdr:colOff>42635</xdr:colOff>
      <xdr:row>173</xdr:row>
      <xdr:rowOff>133351</xdr:rowOff>
    </xdr:to>
    <xdr:sp macro="" textlink="">
      <xdr:nvSpPr>
        <xdr:cNvPr id="383" name="170"/>
        <xdr:cNvSpPr/>
      </xdr:nvSpPr>
      <xdr:spPr>
        <a:xfrm>
          <a:off x="13759543" y="26544271"/>
          <a:ext cx="6010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20683</xdr:colOff>
      <xdr:row>173</xdr:row>
      <xdr:rowOff>76201</xdr:rowOff>
    </xdr:from>
    <xdr:to>
      <xdr:col>79</xdr:col>
      <xdr:colOff>20683</xdr:colOff>
      <xdr:row>173</xdr:row>
      <xdr:rowOff>76201</xdr:rowOff>
    </xdr:to>
    <xdr:cxnSp macro="">
      <xdr:nvCxnSpPr>
        <xdr:cNvPr id="384" name="직선 화살표 연결선 383"/>
        <xdr:cNvCxnSpPr/>
      </xdr:nvCxnSpPr>
      <xdr:spPr>
        <a:xfrm>
          <a:off x="13759543" y="266014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20683</xdr:colOff>
      <xdr:row>172</xdr:row>
      <xdr:rowOff>19051</xdr:rowOff>
    </xdr:from>
    <xdr:to>
      <xdr:col>83</xdr:col>
      <xdr:colOff>42635</xdr:colOff>
      <xdr:row>172</xdr:row>
      <xdr:rowOff>133351</xdr:rowOff>
    </xdr:to>
    <xdr:sp macro="" textlink="">
      <xdr:nvSpPr>
        <xdr:cNvPr id="385" name="169"/>
        <xdr:cNvSpPr/>
      </xdr:nvSpPr>
      <xdr:spPr>
        <a:xfrm>
          <a:off x="13759543" y="26391871"/>
          <a:ext cx="601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20683</xdr:colOff>
      <xdr:row>172</xdr:row>
      <xdr:rowOff>76201</xdr:rowOff>
    </xdr:from>
    <xdr:to>
      <xdr:col>79</xdr:col>
      <xdr:colOff>20683</xdr:colOff>
      <xdr:row>172</xdr:row>
      <xdr:rowOff>76201</xdr:rowOff>
    </xdr:to>
    <xdr:cxnSp macro="">
      <xdr:nvCxnSpPr>
        <xdr:cNvPr id="386" name="직선 화살표 연결선 385"/>
        <xdr:cNvCxnSpPr/>
      </xdr:nvCxnSpPr>
      <xdr:spPr>
        <a:xfrm>
          <a:off x="13759543" y="264490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171</xdr:row>
      <xdr:rowOff>19051</xdr:rowOff>
    </xdr:from>
    <xdr:to>
      <xdr:col>88</xdr:col>
      <xdr:colOff>42635</xdr:colOff>
      <xdr:row>171</xdr:row>
      <xdr:rowOff>133351</xdr:rowOff>
    </xdr:to>
    <xdr:sp macro="" textlink="">
      <xdr:nvSpPr>
        <xdr:cNvPr id="387" name="168"/>
        <xdr:cNvSpPr/>
      </xdr:nvSpPr>
      <xdr:spPr>
        <a:xfrm>
          <a:off x="14876418" y="26239471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171</xdr:row>
      <xdr:rowOff>76201</xdr:rowOff>
    </xdr:from>
    <xdr:to>
      <xdr:col>86</xdr:col>
      <xdr:colOff>124098</xdr:colOff>
      <xdr:row>171</xdr:row>
      <xdr:rowOff>76201</xdr:rowOff>
    </xdr:to>
    <xdr:cxnSp macro="">
      <xdr:nvCxnSpPr>
        <xdr:cNvPr id="388" name="직선 화살표 연결선 387"/>
        <xdr:cNvCxnSpPr/>
      </xdr:nvCxnSpPr>
      <xdr:spPr>
        <a:xfrm>
          <a:off x="14876418" y="262966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170</xdr:row>
      <xdr:rowOff>19051</xdr:rowOff>
    </xdr:from>
    <xdr:to>
      <xdr:col>88</xdr:col>
      <xdr:colOff>42635</xdr:colOff>
      <xdr:row>170</xdr:row>
      <xdr:rowOff>133351</xdr:rowOff>
    </xdr:to>
    <xdr:sp macro="" textlink="">
      <xdr:nvSpPr>
        <xdr:cNvPr id="389" name="167"/>
        <xdr:cNvSpPr/>
      </xdr:nvSpPr>
      <xdr:spPr>
        <a:xfrm>
          <a:off x="14876418" y="26087071"/>
          <a:ext cx="20809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170</xdr:row>
      <xdr:rowOff>76201</xdr:rowOff>
    </xdr:from>
    <xdr:to>
      <xdr:col>86</xdr:col>
      <xdr:colOff>124098</xdr:colOff>
      <xdr:row>170</xdr:row>
      <xdr:rowOff>76201</xdr:rowOff>
    </xdr:to>
    <xdr:cxnSp macro="">
      <xdr:nvCxnSpPr>
        <xdr:cNvPr id="390" name="직선 화살표 연결선 389"/>
        <xdr:cNvCxnSpPr/>
      </xdr:nvCxnSpPr>
      <xdr:spPr>
        <a:xfrm>
          <a:off x="14876418" y="26144221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82732</xdr:colOff>
      <xdr:row>169</xdr:row>
      <xdr:rowOff>19050</xdr:rowOff>
    </xdr:from>
    <xdr:to>
      <xdr:col>81</xdr:col>
      <xdr:colOff>1269</xdr:colOff>
      <xdr:row>169</xdr:row>
      <xdr:rowOff>133351</xdr:rowOff>
    </xdr:to>
    <xdr:sp macro="" textlink="">
      <xdr:nvSpPr>
        <xdr:cNvPr id="391" name="166"/>
        <xdr:cNvSpPr/>
      </xdr:nvSpPr>
      <xdr:spPr>
        <a:xfrm>
          <a:off x="13821592" y="25934670"/>
          <a:ext cx="208097" cy="114301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82732</xdr:colOff>
      <xdr:row>169</xdr:row>
      <xdr:rowOff>76200</xdr:rowOff>
    </xdr:from>
    <xdr:to>
      <xdr:col>79</xdr:col>
      <xdr:colOff>82732</xdr:colOff>
      <xdr:row>169</xdr:row>
      <xdr:rowOff>76200</xdr:rowOff>
    </xdr:to>
    <xdr:cxnSp macro="">
      <xdr:nvCxnSpPr>
        <xdr:cNvPr id="392" name="직선 화살표 연결선 391"/>
        <xdr:cNvCxnSpPr/>
      </xdr:nvCxnSpPr>
      <xdr:spPr>
        <a:xfrm>
          <a:off x="13821592" y="25991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82732</xdr:colOff>
      <xdr:row>168</xdr:row>
      <xdr:rowOff>19050</xdr:rowOff>
    </xdr:from>
    <xdr:to>
      <xdr:col>81</xdr:col>
      <xdr:colOff>1269</xdr:colOff>
      <xdr:row>168</xdr:row>
      <xdr:rowOff>133350</xdr:rowOff>
    </xdr:to>
    <xdr:sp macro="" textlink="">
      <xdr:nvSpPr>
        <xdr:cNvPr id="393" name="165"/>
        <xdr:cNvSpPr/>
      </xdr:nvSpPr>
      <xdr:spPr>
        <a:xfrm>
          <a:off x="13821592" y="25782270"/>
          <a:ext cx="20809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82732</xdr:colOff>
      <xdr:row>168</xdr:row>
      <xdr:rowOff>76200</xdr:rowOff>
    </xdr:from>
    <xdr:to>
      <xdr:col>79</xdr:col>
      <xdr:colOff>82732</xdr:colOff>
      <xdr:row>168</xdr:row>
      <xdr:rowOff>76200</xdr:rowOff>
    </xdr:to>
    <xdr:cxnSp macro="">
      <xdr:nvCxnSpPr>
        <xdr:cNvPr id="394" name="직선 화살표 연결선 393"/>
        <xdr:cNvCxnSpPr/>
      </xdr:nvCxnSpPr>
      <xdr:spPr>
        <a:xfrm>
          <a:off x="13821592" y="25839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144779</xdr:colOff>
      <xdr:row>167</xdr:row>
      <xdr:rowOff>19050</xdr:rowOff>
    </xdr:from>
    <xdr:to>
      <xdr:col>82</xdr:col>
      <xdr:colOff>42636</xdr:colOff>
      <xdr:row>167</xdr:row>
      <xdr:rowOff>133350</xdr:rowOff>
    </xdr:to>
    <xdr:sp macro="" textlink="">
      <xdr:nvSpPr>
        <xdr:cNvPr id="395" name="164"/>
        <xdr:cNvSpPr/>
      </xdr:nvSpPr>
      <xdr:spPr>
        <a:xfrm>
          <a:off x="13159739" y="25629870"/>
          <a:ext cx="1056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144779</xdr:colOff>
      <xdr:row>167</xdr:row>
      <xdr:rowOff>76200</xdr:rowOff>
    </xdr:from>
    <xdr:to>
      <xdr:col>74</xdr:col>
      <xdr:colOff>144779</xdr:colOff>
      <xdr:row>167</xdr:row>
      <xdr:rowOff>76200</xdr:rowOff>
    </xdr:to>
    <xdr:cxnSp macro="">
      <xdr:nvCxnSpPr>
        <xdr:cNvPr id="396" name="직선 화살표 연결선 395"/>
        <xdr:cNvCxnSpPr/>
      </xdr:nvCxnSpPr>
      <xdr:spPr>
        <a:xfrm>
          <a:off x="13159739" y="25687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144779</xdr:colOff>
      <xdr:row>166</xdr:row>
      <xdr:rowOff>19050</xdr:rowOff>
    </xdr:from>
    <xdr:to>
      <xdr:col>82</xdr:col>
      <xdr:colOff>42636</xdr:colOff>
      <xdr:row>166</xdr:row>
      <xdr:rowOff>133350</xdr:rowOff>
    </xdr:to>
    <xdr:sp macro="" textlink="">
      <xdr:nvSpPr>
        <xdr:cNvPr id="397" name="163"/>
        <xdr:cNvSpPr/>
      </xdr:nvSpPr>
      <xdr:spPr>
        <a:xfrm>
          <a:off x="13159739" y="25477470"/>
          <a:ext cx="105609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144779</xdr:colOff>
      <xdr:row>166</xdr:row>
      <xdr:rowOff>76200</xdr:rowOff>
    </xdr:from>
    <xdr:to>
      <xdr:col>74</xdr:col>
      <xdr:colOff>144779</xdr:colOff>
      <xdr:row>166</xdr:row>
      <xdr:rowOff>76200</xdr:rowOff>
    </xdr:to>
    <xdr:cxnSp macro="">
      <xdr:nvCxnSpPr>
        <xdr:cNvPr id="398" name="직선 화살표 연결선 397"/>
        <xdr:cNvCxnSpPr/>
      </xdr:nvCxnSpPr>
      <xdr:spPr>
        <a:xfrm>
          <a:off x="13159739" y="25534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103414</xdr:colOff>
      <xdr:row>165</xdr:row>
      <xdr:rowOff>19050</xdr:rowOff>
    </xdr:from>
    <xdr:to>
      <xdr:col>78</xdr:col>
      <xdr:colOff>21952</xdr:colOff>
      <xdr:row>165</xdr:row>
      <xdr:rowOff>133350</xdr:rowOff>
    </xdr:to>
    <xdr:sp macro="" textlink="">
      <xdr:nvSpPr>
        <xdr:cNvPr id="399" name="162"/>
        <xdr:cNvSpPr/>
      </xdr:nvSpPr>
      <xdr:spPr>
        <a:xfrm>
          <a:off x="13407934" y="25325070"/>
          <a:ext cx="2080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103414</xdr:colOff>
      <xdr:row>165</xdr:row>
      <xdr:rowOff>76200</xdr:rowOff>
    </xdr:from>
    <xdr:to>
      <xdr:col>76</xdr:col>
      <xdr:colOff>103414</xdr:colOff>
      <xdr:row>165</xdr:row>
      <xdr:rowOff>76200</xdr:rowOff>
    </xdr:to>
    <xdr:cxnSp macro="">
      <xdr:nvCxnSpPr>
        <xdr:cNvPr id="400" name="직선 화살표 연결선 399"/>
        <xdr:cNvCxnSpPr/>
      </xdr:nvCxnSpPr>
      <xdr:spPr>
        <a:xfrm>
          <a:off x="13407934" y="25382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103414</xdr:colOff>
      <xdr:row>164</xdr:row>
      <xdr:rowOff>19050</xdr:rowOff>
    </xdr:from>
    <xdr:to>
      <xdr:col>78</xdr:col>
      <xdr:colOff>21952</xdr:colOff>
      <xdr:row>164</xdr:row>
      <xdr:rowOff>133350</xdr:rowOff>
    </xdr:to>
    <xdr:sp macro="" textlink="">
      <xdr:nvSpPr>
        <xdr:cNvPr id="401" name="161"/>
        <xdr:cNvSpPr/>
      </xdr:nvSpPr>
      <xdr:spPr>
        <a:xfrm>
          <a:off x="13407934" y="25172670"/>
          <a:ext cx="2080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103414</xdr:colOff>
      <xdr:row>164</xdr:row>
      <xdr:rowOff>76200</xdr:rowOff>
    </xdr:from>
    <xdr:to>
      <xdr:col>76</xdr:col>
      <xdr:colOff>103414</xdr:colOff>
      <xdr:row>164</xdr:row>
      <xdr:rowOff>76200</xdr:rowOff>
    </xdr:to>
    <xdr:cxnSp macro="">
      <xdr:nvCxnSpPr>
        <xdr:cNvPr id="402" name="직선 화살표 연결선 401"/>
        <xdr:cNvCxnSpPr/>
      </xdr:nvCxnSpPr>
      <xdr:spPr>
        <a:xfrm>
          <a:off x="13407934" y="25229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163</xdr:row>
      <xdr:rowOff>19050</xdr:rowOff>
    </xdr:from>
    <xdr:to>
      <xdr:col>78</xdr:col>
      <xdr:colOff>21952</xdr:colOff>
      <xdr:row>163</xdr:row>
      <xdr:rowOff>133350</xdr:rowOff>
    </xdr:to>
    <xdr:sp macro="" textlink="">
      <xdr:nvSpPr>
        <xdr:cNvPr id="403" name="160"/>
        <xdr:cNvSpPr/>
      </xdr:nvSpPr>
      <xdr:spPr>
        <a:xfrm>
          <a:off x="13387251" y="2502027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163</xdr:row>
      <xdr:rowOff>76200</xdr:rowOff>
    </xdr:from>
    <xdr:to>
      <xdr:col>76</xdr:col>
      <xdr:colOff>82731</xdr:colOff>
      <xdr:row>163</xdr:row>
      <xdr:rowOff>76200</xdr:rowOff>
    </xdr:to>
    <xdr:cxnSp macro="">
      <xdr:nvCxnSpPr>
        <xdr:cNvPr id="404" name="직선 화살표 연결선 403"/>
        <xdr:cNvCxnSpPr/>
      </xdr:nvCxnSpPr>
      <xdr:spPr>
        <a:xfrm>
          <a:off x="13387251" y="25077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161</xdr:row>
      <xdr:rowOff>19050</xdr:rowOff>
    </xdr:from>
    <xdr:to>
      <xdr:col>78</xdr:col>
      <xdr:colOff>21952</xdr:colOff>
      <xdr:row>161</xdr:row>
      <xdr:rowOff>133350</xdr:rowOff>
    </xdr:to>
    <xdr:sp macro="" textlink="">
      <xdr:nvSpPr>
        <xdr:cNvPr id="405" name="158"/>
        <xdr:cNvSpPr/>
      </xdr:nvSpPr>
      <xdr:spPr>
        <a:xfrm>
          <a:off x="13387251" y="24715470"/>
          <a:ext cx="2287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161</xdr:row>
      <xdr:rowOff>76200</xdr:rowOff>
    </xdr:from>
    <xdr:to>
      <xdr:col>76</xdr:col>
      <xdr:colOff>82731</xdr:colOff>
      <xdr:row>161</xdr:row>
      <xdr:rowOff>76200</xdr:rowOff>
    </xdr:to>
    <xdr:cxnSp macro="">
      <xdr:nvCxnSpPr>
        <xdr:cNvPr id="406" name="직선 화살표 연결선 405"/>
        <xdr:cNvCxnSpPr/>
      </xdr:nvCxnSpPr>
      <xdr:spPr>
        <a:xfrm>
          <a:off x="13387251" y="24772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41366</xdr:colOff>
      <xdr:row>160</xdr:row>
      <xdr:rowOff>19050</xdr:rowOff>
    </xdr:from>
    <xdr:to>
      <xdr:col>79</xdr:col>
      <xdr:colOff>84002</xdr:colOff>
      <xdr:row>160</xdr:row>
      <xdr:rowOff>133350</xdr:rowOff>
    </xdr:to>
    <xdr:sp macro="" textlink="">
      <xdr:nvSpPr>
        <xdr:cNvPr id="407" name="157"/>
        <xdr:cNvSpPr/>
      </xdr:nvSpPr>
      <xdr:spPr>
        <a:xfrm>
          <a:off x="13490666" y="24563070"/>
          <a:ext cx="3321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41366</xdr:colOff>
      <xdr:row>160</xdr:row>
      <xdr:rowOff>76200</xdr:rowOff>
    </xdr:from>
    <xdr:to>
      <xdr:col>77</xdr:col>
      <xdr:colOff>41366</xdr:colOff>
      <xdr:row>160</xdr:row>
      <xdr:rowOff>76200</xdr:rowOff>
    </xdr:to>
    <xdr:cxnSp macro="">
      <xdr:nvCxnSpPr>
        <xdr:cNvPr id="408" name="직선 화살표 연결선 407"/>
        <xdr:cNvCxnSpPr/>
      </xdr:nvCxnSpPr>
      <xdr:spPr>
        <a:xfrm>
          <a:off x="13490666" y="24620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41366</xdr:colOff>
      <xdr:row>159</xdr:row>
      <xdr:rowOff>19050</xdr:rowOff>
    </xdr:from>
    <xdr:to>
      <xdr:col>79</xdr:col>
      <xdr:colOff>84002</xdr:colOff>
      <xdr:row>159</xdr:row>
      <xdr:rowOff>133350</xdr:rowOff>
    </xdr:to>
    <xdr:sp macro="" textlink="">
      <xdr:nvSpPr>
        <xdr:cNvPr id="409" name="156"/>
        <xdr:cNvSpPr/>
      </xdr:nvSpPr>
      <xdr:spPr>
        <a:xfrm>
          <a:off x="13490666" y="24410670"/>
          <a:ext cx="33219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41366</xdr:colOff>
      <xdr:row>159</xdr:row>
      <xdr:rowOff>76200</xdr:rowOff>
    </xdr:from>
    <xdr:to>
      <xdr:col>77</xdr:col>
      <xdr:colOff>41366</xdr:colOff>
      <xdr:row>159</xdr:row>
      <xdr:rowOff>76200</xdr:rowOff>
    </xdr:to>
    <xdr:cxnSp macro="">
      <xdr:nvCxnSpPr>
        <xdr:cNvPr id="410" name="직선 화살표 연결선 409"/>
        <xdr:cNvCxnSpPr/>
      </xdr:nvCxnSpPr>
      <xdr:spPr>
        <a:xfrm>
          <a:off x="13490666" y="24467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158</xdr:row>
      <xdr:rowOff>19050</xdr:rowOff>
    </xdr:from>
    <xdr:to>
      <xdr:col>82</xdr:col>
      <xdr:colOff>84001</xdr:colOff>
      <xdr:row>158</xdr:row>
      <xdr:rowOff>133350</xdr:rowOff>
    </xdr:to>
    <xdr:sp macro="" textlink="">
      <xdr:nvSpPr>
        <xdr:cNvPr id="411" name="155"/>
        <xdr:cNvSpPr/>
      </xdr:nvSpPr>
      <xdr:spPr>
        <a:xfrm>
          <a:off x="14028420" y="2425827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0</xdr:colOff>
      <xdr:row>158</xdr:row>
      <xdr:rowOff>76200</xdr:rowOff>
    </xdr:from>
    <xdr:to>
      <xdr:col>81</xdr:col>
      <xdr:colOff>0</xdr:colOff>
      <xdr:row>158</xdr:row>
      <xdr:rowOff>76200</xdr:rowOff>
    </xdr:to>
    <xdr:cxnSp macro="">
      <xdr:nvCxnSpPr>
        <xdr:cNvPr id="412" name="직선 화살표 연결선 411"/>
        <xdr:cNvCxnSpPr/>
      </xdr:nvCxnSpPr>
      <xdr:spPr>
        <a:xfrm>
          <a:off x="14028420" y="24315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157</xdr:row>
      <xdr:rowOff>19050</xdr:rowOff>
    </xdr:from>
    <xdr:to>
      <xdr:col>82</xdr:col>
      <xdr:colOff>84001</xdr:colOff>
      <xdr:row>157</xdr:row>
      <xdr:rowOff>133350</xdr:rowOff>
    </xdr:to>
    <xdr:sp macro="" textlink="">
      <xdr:nvSpPr>
        <xdr:cNvPr id="413" name="154"/>
        <xdr:cNvSpPr/>
      </xdr:nvSpPr>
      <xdr:spPr>
        <a:xfrm>
          <a:off x="14028420" y="24105870"/>
          <a:ext cx="2287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0</xdr:colOff>
      <xdr:row>157</xdr:row>
      <xdr:rowOff>76200</xdr:rowOff>
    </xdr:from>
    <xdr:to>
      <xdr:col>81</xdr:col>
      <xdr:colOff>0</xdr:colOff>
      <xdr:row>157</xdr:row>
      <xdr:rowOff>76200</xdr:rowOff>
    </xdr:to>
    <xdr:cxnSp macro="">
      <xdr:nvCxnSpPr>
        <xdr:cNvPr id="414" name="직선 화살표 연결선 413"/>
        <xdr:cNvCxnSpPr/>
      </xdr:nvCxnSpPr>
      <xdr:spPr>
        <a:xfrm>
          <a:off x="14028420" y="24163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144779</xdr:colOff>
      <xdr:row>156</xdr:row>
      <xdr:rowOff>19050</xdr:rowOff>
    </xdr:from>
    <xdr:to>
      <xdr:col>85</xdr:col>
      <xdr:colOff>84000</xdr:colOff>
      <xdr:row>156</xdr:row>
      <xdr:rowOff>133350</xdr:rowOff>
    </xdr:to>
    <xdr:sp macro="" textlink="">
      <xdr:nvSpPr>
        <xdr:cNvPr id="415" name="153"/>
        <xdr:cNvSpPr/>
      </xdr:nvSpPr>
      <xdr:spPr>
        <a:xfrm>
          <a:off x="13159739" y="23953470"/>
          <a:ext cx="153180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144779</xdr:colOff>
      <xdr:row>156</xdr:row>
      <xdr:rowOff>76200</xdr:rowOff>
    </xdr:from>
    <xdr:to>
      <xdr:col>74</xdr:col>
      <xdr:colOff>144779</xdr:colOff>
      <xdr:row>156</xdr:row>
      <xdr:rowOff>76200</xdr:rowOff>
    </xdr:to>
    <xdr:cxnSp macro="">
      <xdr:nvCxnSpPr>
        <xdr:cNvPr id="416" name="직선 화살표 연결선 415"/>
        <xdr:cNvCxnSpPr/>
      </xdr:nvCxnSpPr>
      <xdr:spPr>
        <a:xfrm>
          <a:off x="13159739" y="24010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144779</xdr:colOff>
      <xdr:row>155</xdr:row>
      <xdr:rowOff>19050</xdr:rowOff>
    </xdr:from>
    <xdr:to>
      <xdr:col>85</xdr:col>
      <xdr:colOff>84000</xdr:colOff>
      <xdr:row>155</xdr:row>
      <xdr:rowOff>133350</xdr:rowOff>
    </xdr:to>
    <xdr:sp macro="" textlink="">
      <xdr:nvSpPr>
        <xdr:cNvPr id="417" name="152"/>
        <xdr:cNvSpPr/>
      </xdr:nvSpPr>
      <xdr:spPr>
        <a:xfrm>
          <a:off x="13159739" y="23801070"/>
          <a:ext cx="153180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144779</xdr:colOff>
      <xdr:row>155</xdr:row>
      <xdr:rowOff>76200</xdr:rowOff>
    </xdr:from>
    <xdr:to>
      <xdr:col>74</xdr:col>
      <xdr:colOff>144779</xdr:colOff>
      <xdr:row>155</xdr:row>
      <xdr:rowOff>76200</xdr:rowOff>
    </xdr:to>
    <xdr:cxnSp macro="">
      <xdr:nvCxnSpPr>
        <xdr:cNvPr id="418" name="직선 화살표 연결선 417"/>
        <xdr:cNvCxnSpPr/>
      </xdr:nvCxnSpPr>
      <xdr:spPr>
        <a:xfrm>
          <a:off x="13159739" y="23858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144779</xdr:colOff>
      <xdr:row>154</xdr:row>
      <xdr:rowOff>19050</xdr:rowOff>
    </xdr:from>
    <xdr:to>
      <xdr:col>88</xdr:col>
      <xdr:colOff>42635</xdr:colOff>
      <xdr:row>154</xdr:row>
      <xdr:rowOff>133350</xdr:rowOff>
    </xdr:to>
    <xdr:sp macro="" textlink="">
      <xdr:nvSpPr>
        <xdr:cNvPr id="419" name="151"/>
        <xdr:cNvSpPr/>
      </xdr:nvSpPr>
      <xdr:spPr>
        <a:xfrm>
          <a:off x="13159739" y="23648670"/>
          <a:ext cx="192477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144779</xdr:colOff>
      <xdr:row>154</xdr:row>
      <xdr:rowOff>76200</xdr:rowOff>
    </xdr:from>
    <xdr:to>
      <xdr:col>74</xdr:col>
      <xdr:colOff>144779</xdr:colOff>
      <xdr:row>154</xdr:row>
      <xdr:rowOff>76200</xdr:rowOff>
    </xdr:to>
    <xdr:cxnSp macro="">
      <xdr:nvCxnSpPr>
        <xdr:cNvPr id="420" name="직선 화살표 연결선 419"/>
        <xdr:cNvCxnSpPr/>
      </xdr:nvCxnSpPr>
      <xdr:spPr>
        <a:xfrm>
          <a:off x="13159739" y="23705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153</xdr:row>
      <xdr:rowOff>19050</xdr:rowOff>
    </xdr:from>
    <xdr:to>
      <xdr:col>76</xdr:col>
      <xdr:colOff>42636</xdr:colOff>
      <xdr:row>153</xdr:row>
      <xdr:rowOff>133350</xdr:rowOff>
    </xdr:to>
    <xdr:sp macro="" textlink="">
      <xdr:nvSpPr>
        <xdr:cNvPr id="421" name="150"/>
        <xdr:cNvSpPr/>
      </xdr:nvSpPr>
      <xdr:spPr>
        <a:xfrm>
          <a:off x="13201106" y="23496270"/>
          <a:ext cx="1460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153</xdr:row>
      <xdr:rowOff>76200</xdr:rowOff>
    </xdr:from>
    <xdr:to>
      <xdr:col>75</xdr:col>
      <xdr:colOff>41366</xdr:colOff>
      <xdr:row>153</xdr:row>
      <xdr:rowOff>76200</xdr:rowOff>
    </xdr:to>
    <xdr:cxnSp macro="">
      <xdr:nvCxnSpPr>
        <xdr:cNvPr id="422" name="직선 화살표 연결선 421"/>
        <xdr:cNvCxnSpPr/>
      </xdr:nvCxnSpPr>
      <xdr:spPr>
        <a:xfrm>
          <a:off x="13201106" y="23553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124097</xdr:colOff>
      <xdr:row>152</xdr:row>
      <xdr:rowOff>19050</xdr:rowOff>
    </xdr:from>
    <xdr:to>
      <xdr:col>77</xdr:col>
      <xdr:colOff>63319</xdr:colOff>
      <xdr:row>152</xdr:row>
      <xdr:rowOff>133350</xdr:rowOff>
    </xdr:to>
    <xdr:sp macro="" textlink="">
      <xdr:nvSpPr>
        <xdr:cNvPr id="423" name="149"/>
        <xdr:cNvSpPr/>
      </xdr:nvSpPr>
      <xdr:spPr>
        <a:xfrm>
          <a:off x="12559937" y="23343870"/>
          <a:ext cx="9526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124097</xdr:colOff>
      <xdr:row>152</xdr:row>
      <xdr:rowOff>76200</xdr:rowOff>
    </xdr:from>
    <xdr:to>
      <xdr:col>70</xdr:col>
      <xdr:colOff>124097</xdr:colOff>
      <xdr:row>152</xdr:row>
      <xdr:rowOff>76200</xdr:rowOff>
    </xdr:to>
    <xdr:cxnSp macro="">
      <xdr:nvCxnSpPr>
        <xdr:cNvPr id="424" name="직선 화살표 연결선 423"/>
        <xdr:cNvCxnSpPr/>
      </xdr:nvCxnSpPr>
      <xdr:spPr>
        <a:xfrm>
          <a:off x="12559937" y="23401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20683</xdr:colOff>
      <xdr:row>151</xdr:row>
      <xdr:rowOff>19050</xdr:rowOff>
    </xdr:from>
    <xdr:to>
      <xdr:col>70</xdr:col>
      <xdr:colOff>125367</xdr:colOff>
      <xdr:row>151</xdr:row>
      <xdr:rowOff>133350</xdr:rowOff>
    </xdr:to>
    <xdr:sp macro="" textlink="">
      <xdr:nvSpPr>
        <xdr:cNvPr id="425" name="148"/>
        <xdr:cNvSpPr/>
      </xdr:nvSpPr>
      <xdr:spPr>
        <a:xfrm>
          <a:off x="11587843" y="23191470"/>
          <a:ext cx="97336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20683</xdr:colOff>
      <xdr:row>151</xdr:row>
      <xdr:rowOff>76200</xdr:rowOff>
    </xdr:from>
    <xdr:to>
      <xdr:col>64</xdr:col>
      <xdr:colOff>20683</xdr:colOff>
      <xdr:row>151</xdr:row>
      <xdr:rowOff>76200</xdr:rowOff>
    </xdr:to>
    <xdr:cxnSp macro="">
      <xdr:nvCxnSpPr>
        <xdr:cNvPr id="426" name="직선 화살표 연결선 425"/>
        <xdr:cNvCxnSpPr/>
      </xdr:nvCxnSpPr>
      <xdr:spPr>
        <a:xfrm>
          <a:off x="11587843" y="23248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103414</xdr:colOff>
      <xdr:row>150</xdr:row>
      <xdr:rowOff>19050</xdr:rowOff>
    </xdr:from>
    <xdr:to>
      <xdr:col>70</xdr:col>
      <xdr:colOff>125367</xdr:colOff>
      <xdr:row>150</xdr:row>
      <xdr:rowOff>133350</xdr:rowOff>
    </xdr:to>
    <xdr:sp macro="" textlink="">
      <xdr:nvSpPr>
        <xdr:cNvPr id="427" name="147"/>
        <xdr:cNvSpPr/>
      </xdr:nvSpPr>
      <xdr:spPr>
        <a:xfrm>
          <a:off x="10946674" y="23039070"/>
          <a:ext cx="16145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103414</xdr:colOff>
      <xdr:row>150</xdr:row>
      <xdr:rowOff>76200</xdr:rowOff>
    </xdr:from>
    <xdr:to>
      <xdr:col>59</xdr:col>
      <xdr:colOff>103414</xdr:colOff>
      <xdr:row>150</xdr:row>
      <xdr:rowOff>76200</xdr:rowOff>
    </xdr:to>
    <xdr:cxnSp macro="">
      <xdr:nvCxnSpPr>
        <xdr:cNvPr id="428" name="직선 화살표 연결선 427"/>
        <xdr:cNvCxnSpPr/>
      </xdr:nvCxnSpPr>
      <xdr:spPr>
        <a:xfrm>
          <a:off x="10946674" y="23096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62048</xdr:colOff>
      <xdr:row>149</xdr:row>
      <xdr:rowOff>19050</xdr:rowOff>
    </xdr:from>
    <xdr:to>
      <xdr:col>66</xdr:col>
      <xdr:colOff>84001</xdr:colOff>
      <xdr:row>149</xdr:row>
      <xdr:rowOff>133350</xdr:rowOff>
    </xdr:to>
    <xdr:sp macro="" textlink="">
      <xdr:nvSpPr>
        <xdr:cNvPr id="429" name="146"/>
        <xdr:cNvSpPr/>
      </xdr:nvSpPr>
      <xdr:spPr>
        <a:xfrm>
          <a:off x="10036628" y="22886670"/>
          <a:ext cx="19040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62048</xdr:colOff>
      <xdr:row>149</xdr:row>
      <xdr:rowOff>76200</xdr:rowOff>
    </xdr:from>
    <xdr:to>
      <xdr:col>53</xdr:col>
      <xdr:colOff>62048</xdr:colOff>
      <xdr:row>149</xdr:row>
      <xdr:rowOff>76200</xdr:rowOff>
    </xdr:to>
    <xdr:cxnSp macro="">
      <xdr:nvCxnSpPr>
        <xdr:cNvPr id="430" name="직선 화살표 연결선 429"/>
        <xdr:cNvCxnSpPr/>
      </xdr:nvCxnSpPr>
      <xdr:spPr>
        <a:xfrm>
          <a:off x="10036628" y="22943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148</xdr:row>
      <xdr:rowOff>19050</xdr:rowOff>
    </xdr:from>
    <xdr:to>
      <xdr:col>68</xdr:col>
      <xdr:colOff>104684</xdr:colOff>
      <xdr:row>148</xdr:row>
      <xdr:rowOff>133350</xdr:rowOff>
    </xdr:to>
    <xdr:sp macro="" textlink="">
      <xdr:nvSpPr>
        <xdr:cNvPr id="431" name="145"/>
        <xdr:cNvSpPr/>
      </xdr:nvSpPr>
      <xdr:spPr>
        <a:xfrm>
          <a:off x="8423366" y="22734270"/>
          <a:ext cx="3827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148</xdr:row>
      <xdr:rowOff>76200</xdr:rowOff>
    </xdr:from>
    <xdr:to>
      <xdr:col>42</xdr:col>
      <xdr:colOff>41366</xdr:colOff>
      <xdr:row>148</xdr:row>
      <xdr:rowOff>76200</xdr:rowOff>
    </xdr:to>
    <xdr:cxnSp macro="">
      <xdr:nvCxnSpPr>
        <xdr:cNvPr id="432" name="직선 화살표 연결선 431"/>
        <xdr:cNvCxnSpPr/>
      </xdr:nvCxnSpPr>
      <xdr:spPr>
        <a:xfrm>
          <a:off x="8423366" y="22791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147</xdr:row>
      <xdr:rowOff>19050</xdr:rowOff>
    </xdr:from>
    <xdr:to>
      <xdr:col>77</xdr:col>
      <xdr:colOff>63319</xdr:colOff>
      <xdr:row>147</xdr:row>
      <xdr:rowOff>133350</xdr:rowOff>
    </xdr:to>
    <xdr:sp macro="" textlink="">
      <xdr:nvSpPr>
        <xdr:cNvPr id="433" name="144"/>
        <xdr:cNvSpPr/>
      </xdr:nvSpPr>
      <xdr:spPr>
        <a:xfrm>
          <a:off x="8423366" y="22581870"/>
          <a:ext cx="508925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147</xdr:row>
      <xdr:rowOff>76200</xdr:rowOff>
    </xdr:from>
    <xdr:to>
      <xdr:col>42</xdr:col>
      <xdr:colOff>41366</xdr:colOff>
      <xdr:row>147</xdr:row>
      <xdr:rowOff>76200</xdr:rowOff>
    </xdr:to>
    <xdr:cxnSp macro="">
      <xdr:nvCxnSpPr>
        <xdr:cNvPr id="434" name="직선 화살표 연결선 433"/>
        <xdr:cNvCxnSpPr/>
      </xdr:nvCxnSpPr>
      <xdr:spPr>
        <a:xfrm>
          <a:off x="8423366" y="22639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124097</xdr:colOff>
      <xdr:row>146</xdr:row>
      <xdr:rowOff>19050</xdr:rowOff>
    </xdr:from>
    <xdr:to>
      <xdr:col>79</xdr:col>
      <xdr:colOff>1270</xdr:colOff>
      <xdr:row>146</xdr:row>
      <xdr:rowOff>133350</xdr:rowOff>
    </xdr:to>
    <xdr:sp macro="" textlink="">
      <xdr:nvSpPr>
        <xdr:cNvPr id="435" name="143"/>
        <xdr:cNvSpPr/>
      </xdr:nvSpPr>
      <xdr:spPr>
        <a:xfrm>
          <a:off x="13718177" y="22429470"/>
          <a:ext cx="219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124097</xdr:colOff>
      <xdr:row>146</xdr:row>
      <xdr:rowOff>76200</xdr:rowOff>
    </xdr:from>
    <xdr:to>
      <xdr:col>78</xdr:col>
      <xdr:colOff>124097</xdr:colOff>
      <xdr:row>146</xdr:row>
      <xdr:rowOff>76200</xdr:rowOff>
    </xdr:to>
    <xdr:cxnSp macro="">
      <xdr:nvCxnSpPr>
        <xdr:cNvPr id="436" name="직선 화살표 연결선 435"/>
        <xdr:cNvCxnSpPr/>
      </xdr:nvCxnSpPr>
      <xdr:spPr>
        <a:xfrm>
          <a:off x="13718177" y="22486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20682</xdr:colOff>
      <xdr:row>145</xdr:row>
      <xdr:rowOff>19050</xdr:rowOff>
    </xdr:from>
    <xdr:to>
      <xdr:col>80</xdr:col>
      <xdr:colOff>63318</xdr:colOff>
      <xdr:row>145</xdr:row>
      <xdr:rowOff>133350</xdr:rowOff>
    </xdr:to>
    <xdr:sp macro="" textlink="">
      <xdr:nvSpPr>
        <xdr:cNvPr id="437" name="142"/>
        <xdr:cNvSpPr/>
      </xdr:nvSpPr>
      <xdr:spPr>
        <a:xfrm>
          <a:off x="13325202" y="2227707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20682</xdr:colOff>
      <xdr:row>145</xdr:row>
      <xdr:rowOff>76200</xdr:rowOff>
    </xdr:from>
    <xdr:to>
      <xdr:col>76</xdr:col>
      <xdr:colOff>20682</xdr:colOff>
      <xdr:row>145</xdr:row>
      <xdr:rowOff>76200</xdr:rowOff>
    </xdr:to>
    <xdr:cxnSp macro="">
      <xdr:nvCxnSpPr>
        <xdr:cNvPr id="438" name="직선 화살표 연결선 437"/>
        <xdr:cNvCxnSpPr/>
      </xdr:nvCxnSpPr>
      <xdr:spPr>
        <a:xfrm>
          <a:off x="13325202" y="22334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103414</xdr:colOff>
      <xdr:row>144</xdr:row>
      <xdr:rowOff>19050</xdr:rowOff>
    </xdr:from>
    <xdr:to>
      <xdr:col>79</xdr:col>
      <xdr:colOff>1270</xdr:colOff>
      <xdr:row>144</xdr:row>
      <xdr:rowOff>133350</xdr:rowOff>
    </xdr:to>
    <xdr:sp macro="" textlink="">
      <xdr:nvSpPr>
        <xdr:cNvPr id="439" name="141"/>
        <xdr:cNvSpPr/>
      </xdr:nvSpPr>
      <xdr:spPr>
        <a:xfrm>
          <a:off x="13118374" y="2212467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103414</xdr:colOff>
      <xdr:row>144</xdr:row>
      <xdr:rowOff>76200</xdr:rowOff>
    </xdr:from>
    <xdr:to>
      <xdr:col>74</xdr:col>
      <xdr:colOff>103414</xdr:colOff>
      <xdr:row>144</xdr:row>
      <xdr:rowOff>76200</xdr:rowOff>
    </xdr:to>
    <xdr:cxnSp macro="">
      <xdr:nvCxnSpPr>
        <xdr:cNvPr id="440" name="직선 화살표 연결선 439"/>
        <xdr:cNvCxnSpPr/>
      </xdr:nvCxnSpPr>
      <xdr:spPr>
        <a:xfrm>
          <a:off x="13118374" y="22181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103414</xdr:colOff>
      <xdr:row>143</xdr:row>
      <xdr:rowOff>19050</xdr:rowOff>
    </xdr:from>
    <xdr:to>
      <xdr:col>78</xdr:col>
      <xdr:colOff>1270</xdr:colOff>
      <xdr:row>143</xdr:row>
      <xdr:rowOff>133350</xdr:rowOff>
    </xdr:to>
    <xdr:sp macro="" textlink="">
      <xdr:nvSpPr>
        <xdr:cNvPr id="441" name="140"/>
        <xdr:cNvSpPr/>
      </xdr:nvSpPr>
      <xdr:spPr>
        <a:xfrm>
          <a:off x="12973594" y="2197227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103414</xdr:colOff>
      <xdr:row>143</xdr:row>
      <xdr:rowOff>76200</xdr:rowOff>
    </xdr:from>
    <xdr:to>
      <xdr:col>73</xdr:col>
      <xdr:colOff>103414</xdr:colOff>
      <xdr:row>143</xdr:row>
      <xdr:rowOff>76200</xdr:rowOff>
    </xdr:to>
    <xdr:cxnSp macro="">
      <xdr:nvCxnSpPr>
        <xdr:cNvPr id="442" name="직선 화살표 연결선 441"/>
        <xdr:cNvCxnSpPr/>
      </xdr:nvCxnSpPr>
      <xdr:spPr>
        <a:xfrm>
          <a:off x="12973594" y="22029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103414</xdr:colOff>
      <xdr:row>142</xdr:row>
      <xdr:rowOff>19050</xdr:rowOff>
    </xdr:from>
    <xdr:to>
      <xdr:col>77</xdr:col>
      <xdr:colOff>1270</xdr:colOff>
      <xdr:row>142</xdr:row>
      <xdr:rowOff>133350</xdr:rowOff>
    </xdr:to>
    <xdr:sp macro="" textlink="">
      <xdr:nvSpPr>
        <xdr:cNvPr id="443" name="139"/>
        <xdr:cNvSpPr/>
      </xdr:nvSpPr>
      <xdr:spPr>
        <a:xfrm>
          <a:off x="12684034" y="21819870"/>
          <a:ext cx="7665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103414</xdr:colOff>
      <xdr:row>142</xdr:row>
      <xdr:rowOff>76200</xdr:rowOff>
    </xdr:from>
    <xdr:to>
      <xdr:col>71</xdr:col>
      <xdr:colOff>103414</xdr:colOff>
      <xdr:row>142</xdr:row>
      <xdr:rowOff>76200</xdr:rowOff>
    </xdr:to>
    <xdr:cxnSp macro="">
      <xdr:nvCxnSpPr>
        <xdr:cNvPr id="444" name="직선 화살표 연결선 443"/>
        <xdr:cNvCxnSpPr/>
      </xdr:nvCxnSpPr>
      <xdr:spPr>
        <a:xfrm>
          <a:off x="12684034" y="21877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124097</xdr:colOff>
      <xdr:row>141</xdr:row>
      <xdr:rowOff>19050</xdr:rowOff>
    </xdr:from>
    <xdr:to>
      <xdr:col>92</xdr:col>
      <xdr:colOff>125368</xdr:colOff>
      <xdr:row>141</xdr:row>
      <xdr:rowOff>133350</xdr:rowOff>
    </xdr:to>
    <xdr:sp macro="" textlink="">
      <xdr:nvSpPr>
        <xdr:cNvPr id="445" name="138"/>
        <xdr:cNvSpPr/>
      </xdr:nvSpPr>
      <xdr:spPr>
        <a:xfrm>
          <a:off x="14442077" y="21667470"/>
          <a:ext cx="13042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83</xdr:col>
      <xdr:colOff>124097</xdr:colOff>
      <xdr:row>141</xdr:row>
      <xdr:rowOff>76200</xdr:rowOff>
    </xdr:from>
    <xdr:to>
      <xdr:col>83</xdr:col>
      <xdr:colOff>124097</xdr:colOff>
      <xdr:row>141</xdr:row>
      <xdr:rowOff>76200</xdr:rowOff>
    </xdr:to>
    <xdr:cxnSp macro="">
      <xdr:nvCxnSpPr>
        <xdr:cNvPr id="446" name="직선 화살표 연결선 445"/>
        <xdr:cNvCxnSpPr/>
      </xdr:nvCxnSpPr>
      <xdr:spPr>
        <a:xfrm>
          <a:off x="14442077" y="21724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62049</xdr:colOff>
      <xdr:row>140</xdr:row>
      <xdr:rowOff>19050</xdr:rowOff>
    </xdr:from>
    <xdr:to>
      <xdr:col>79</xdr:col>
      <xdr:colOff>84002</xdr:colOff>
      <xdr:row>140</xdr:row>
      <xdr:rowOff>133350</xdr:rowOff>
    </xdr:to>
    <xdr:sp macro="" textlink="">
      <xdr:nvSpPr>
        <xdr:cNvPr id="447" name="137"/>
        <xdr:cNvSpPr/>
      </xdr:nvSpPr>
      <xdr:spPr>
        <a:xfrm>
          <a:off x="12642669" y="21515070"/>
          <a:ext cx="11801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62049</xdr:colOff>
      <xdr:row>140</xdr:row>
      <xdr:rowOff>76200</xdr:rowOff>
    </xdr:from>
    <xdr:to>
      <xdr:col>71</xdr:col>
      <xdr:colOff>62049</xdr:colOff>
      <xdr:row>140</xdr:row>
      <xdr:rowOff>76200</xdr:rowOff>
    </xdr:to>
    <xdr:cxnSp macro="">
      <xdr:nvCxnSpPr>
        <xdr:cNvPr id="448" name="직선 화살표 연결선 447"/>
        <xdr:cNvCxnSpPr/>
      </xdr:nvCxnSpPr>
      <xdr:spPr>
        <a:xfrm>
          <a:off x="12642669" y="21572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103414</xdr:colOff>
      <xdr:row>139</xdr:row>
      <xdr:rowOff>19050</xdr:rowOff>
    </xdr:from>
    <xdr:to>
      <xdr:col>64</xdr:col>
      <xdr:colOff>63319</xdr:colOff>
      <xdr:row>139</xdr:row>
      <xdr:rowOff>133350</xdr:rowOff>
    </xdr:to>
    <xdr:sp macro="" textlink="">
      <xdr:nvSpPr>
        <xdr:cNvPr id="449" name="136"/>
        <xdr:cNvSpPr/>
      </xdr:nvSpPr>
      <xdr:spPr>
        <a:xfrm>
          <a:off x="7906294" y="21362670"/>
          <a:ext cx="37241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38</xdr:col>
      <xdr:colOff>103414</xdr:colOff>
      <xdr:row>139</xdr:row>
      <xdr:rowOff>76200</xdr:rowOff>
    </xdr:from>
    <xdr:to>
      <xdr:col>38</xdr:col>
      <xdr:colOff>103414</xdr:colOff>
      <xdr:row>139</xdr:row>
      <xdr:rowOff>76200</xdr:rowOff>
    </xdr:to>
    <xdr:cxnSp macro="">
      <xdr:nvCxnSpPr>
        <xdr:cNvPr id="450" name="직선 화살표 연결선 449"/>
        <xdr:cNvCxnSpPr/>
      </xdr:nvCxnSpPr>
      <xdr:spPr>
        <a:xfrm>
          <a:off x="7906294" y="21419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103414</xdr:colOff>
      <xdr:row>138</xdr:row>
      <xdr:rowOff>19050</xdr:rowOff>
    </xdr:from>
    <xdr:to>
      <xdr:col>92</xdr:col>
      <xdr:colOff>125368</xdr:colOff>
      <xdr:row>138</xdr:row>
      <xdr:rowOff>133350</xdr:rowOff>
    </xdr:to>
    <xdr:sp macro="" textlink="">
      <xdr:nvSpPr>
        <xdr:cNvPr id="451" name="135"/>
        <xdr:cNvSpPr/>
      </xdr:nvSpPr>
      <xdr:spPr>
        <a:xfrm>
          <a:off x="7906294" y="21210270"/>
          <a:ext cx="784007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38</xdr:col>
      <xdr:colOff>103414</xdr:colOff>
      <xdr:row>138</xdr:row>
      <xdr:rowOff>76200</xdr:rowOff>
    </xdr:from>
    <xdr:to>
      <xdr:col>38</xdr:col>
      <xdr:colOff>103414</xdr:colOff>
      <xdr:row>138</xdr:row>
      <xdr:rowOff>76200</xdr:rowOff>
    </xdr:to>
    <xdr:cxnSp macro="">
      <xdr:nvCxnSpPr>
        <xdr:cNvPr id="452" name="직선 화살표 연결선 451"/>
        <xdr:cNvCxnSpPr/>
      </xdr:nvCxnSpPr>
      <xdr:spPr>
        <a:xfrm>
          <a:off x="7906294" y="21267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124098</xdr:colOff>
      <xdr:row>137</xdr:row>
      <xdr:rowOff>19050</xdr:rowOff>
    </xdr:from>
    <xdr:to>
      <xdr:col>88</xdr:col>
      <xdr:colOff>63319</xdr:colOff>
      <xdr:row>137</xdr:row>
      <xdr:rowOff>133350</xdr:rowOff>
    </xdr:to>
    <xdr:sp macro="" textlink="">
      <xdr:nvSpPr>
        <xdr:cNvPr id="453" name="134"/>
        <xdr:cNvSpPr/>
      </xdr:nvSpPr>
      <xdr:spPr>
        <a:xfrm>
          <a:off x="14876418" y="2105787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124098</xdr:colOff>
      <xdr:row>137</xdr:row>
      <xdr:rowOff>76200</xdr:rowOff>
    </xdr:from>
    <xdr:to>
      <xdr:col>86</xdr:col>
      <xdr:colOff>124098</xdr:colOff>
      <xdr:row>137</xdr:row>
      <xdr:rowOff>76200</xdr:rowOff>
    </xdr:to>
    <xdr:cxnSp macro="">
      <xdr:nvCxnSpPr>
        <xdr:cNvPr id="454" name="직선 화살표 연결선 453"/>
        <xdr:cNvCxnSpPr/>
      </xdr:nvCxnSpPr>
      <xdr:spPr>
        <a:xfrm>
          <a:off x="14876418" y="21115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62049</xdr:colOff>
      <xdr:row>136</xdr:row>
      <xdr:rowOff>19050</xdr:rowOff>
    </xdr:from>
    <xdr:to>
      <xdr:col>86</xdr:col>
      <xdr:colOff>125367</xdr:colOff>
      <xdr:row>136</xdr:row>
      <xdr:rowOff>133350</xdr:rowOff>
    </xdr:to>
    <xdr:sp macro="" textlink="">
      <xdr:nvSpPr>
        <xdr:cNvPr id="455" name="133"/>
        <xdr:cNvSpPr/>
      </xdr:nvSpPr>
      <xdr:spPr>
        <a:xfrm>
          <a:off x="14235249" y="2090547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62049</xdr:colOff>
      <xdr:row>136</xdr:row>
      <xdr:rowOff>76200</xdr:rowOff>
    </xdr:from>
    <xdr:to>
      <xdr:col>82</xdr:col>
      <xdr:colOff>62049</xdr:colOff>
      <xdr:row>136</xdr:row>
      <xdr:rowOff>76200</xdr:rowOff>
    </xdr:to>
    <xdr:cxnSp macro="">
      <xdr:nvCxnSpPr>
        <xdr:cNvPr id="456" name="직선 화살표 연결선 455"/>
        <xdr:cNvCxnSpPr/>
      </xdr:nvCxnSpPr>
      <xdr:spPr>
        <a:xfrm>
          <a:off x="14235249" y="20962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41366</xdr:colOff>
      <xdr:row>135</xdr:row>
      <xdr:rowOff>19050</xdr:rowOff>
    </xdr:from>
    <xdr:to>
      <xdr:col>82</xdr:col>
      <xdr:colOff>63319</xdr:colOff>
      <xdr:row>135</xdr:row>
      <xdr:rowOff>133350</xdr:rowOff>
    </xdr:to>
    <xdr:sp macro="" textlink="">
      <xdr:nvSpPr>
        <xdr:cNvPr id="457" name="132"/>
        <xdr:cNvSpPr/>
      </xdr:nvSpPr>
      <xdr:spPr>
        <a:xfrm>
          <a:off x="13490666" y="20753070"/>
          <a:ext cx="7458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41366</xdr:colOff>
      <xdr:row>135</xdr:row>
      <xdr:rowOff>76200</xdr:rowOff>
    </xdr:from>
    <xdr:to>
      <xdr:col>77</xdr:col>
      <xdr:colOff>41366</xdr:colOff>
      <xdr:row>135</xdr:row>
      <xdr:rowOff>76200</xdr:rowOff>
    </xdr:to>
    <xdr:cxnSp macro="">
      <xdr:nvCxnSpPr>
        <xdr:cNvPr id="458" name="직선 화살표 연결선 457"/>
        <xdr:cNvCxnSpPr/>
      </xdr:nvCxnSpPr>
      <xdr:spPr>
        <a:xfrm>
          <a:off x="13490666" y="20810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124097</xdr:colOff>
      <xdr:row>134</xdr:row>
      <xdr:rowOff>19050</xdr:rowOff>
    </xdr:from>
    <xdr:to>
      <xdr:col>77</xdr:col>
      <xdr:colOff>63319</xdr:colOff>
      <xdr:row>134</xdr:row>
      <xdr:rowOff>133350</xdr:rowOff>
    </xdr:to>
    <xdr:sp macro="" textlink="">
      <xdr:nvSpPr>
        <xdr:cNvPr id="459" name="131"/>
        <xdr:cNvSpPr/>
      </xdr:nvSpPr>
      <xdr:spPr>
        <a:xfrm>
          <a:off x="12559937" y="20600670"/>
          <a:ext cx="9526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124097</xdr:colOff>
      <xdr:row>134</xdr:row>
      <xdr:rowOff>76200</xdr:rowOff>
    </xdr:from>
    <xdr:to>
      <xdr:col>70</xdr:col>
      <xdr:colOff>124097</xdr:colOff>
      <xdr:row>134</xdr:row>
      <xdr:rowOff>76200</xdr:rowOff>
    </xdr:to>
    <xdr:cxnSp macro="">
      <xdr:nvCxnSpPr>
        <xdr:cNvPr id="460" name="직선 화살표 연결선 459"/>
        <xdr:cNvCxnSpPr/>
      </xdr:nvCxnSpPr>
      <xdr:spPr>
        <a:xfrm>
          <a:off x="12559937" y="20657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20683</xdr:colOff>
      <xdr:row>133</xdr:row>
      <xdr:rowOff>19050</xdr:rowOff>
    </xdr:from>
    <xdr:to>
      <xdr:col>79</xdr:col>
      <xdr:colOff>84002</xdr:colOff>
      <xdr:row>133</xdr:row>
      <xdr:rowOff>133350</xdr:rowOff>
    </xdr:to>
    <xdr:sp macro="" textlink="">
      <xdr:nvSpPr>
        <xdr:cNvPr id="461" name="130"/>
        <xdr:cNvSpPr/>
      </xdr:nvSpPr>
      <xdr:spPr>
        <a:xfrm>
          <a:off x="11587843" y="20448270"/>
          <a:ext cx="22350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20683</xdr:colOff>
      <xdr:row>133</xdr:row>
      <xdr:rowOff>76200</xdr:rowOff>
    </xdr:from>
    <xdr:to>
      <xdr:col>64</xdr:col>
      <xdr:colOff>20683</xdr:colOff>
      <xdr:row>133</xdr:row>
      <xdr:rowOff>76200</xdr:rowOff>
    </xdr:to>
    <xdr:cxnSp macro="">
      <xdr:nvCxnSpPr>
        <xdr:cNvPr id="462" name="직선 화살표 연결선 461"/>
        <xdr:cNvCxnSpPr/>
      </xdr:nvCxnSpPr>
      <xdr:spPr>
        <a:xfrm>
          <a:off x="11587843" y="20505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20683</xdr:colOff>
      <xdr:row>132</xdr:row>
      <xdr:rowOff>19050</xdr:rowOff>
    </xdr:from>
    <xdr:to>
      <xdr:col>69</xdr:col>
      <xdr:colOff>63318</xdr:colOff>
      <xdr:row>132</xdr:row>
      <xdr:rowOff>133350</xdr:rowOff>
    </xdr:to>
    <xdr:sp macro="" textlink="">
      <xdr:nvSpPr>
        <xdr:cNvPr id="463" name="129"/>
        <xdr:cNvSpPr/>
      </xdr:nvSpPr>
      <xdr:spPr>
        <a:xfrm>
          <a:off x="11298283" y="20295870"/>
          <a:ext cx="10560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20683</xdr:colOff>
      <xdr:row>132</xdr:row>
      <xdr:rowOff>76200</xdr:rowOff>
    </xdr:from>
    <xdr:to>
      <xdr:col>62</xdr:col>
      <xdr:colOff>20683</xdr:colOff>
      <xdr:row>132</xdr:row>
      <xdr:rowOff>76200</xdr:rowOff>
    </xdr:to>
    <xdr:cxnSp macro="">
      <xdr:nvCxnSpPr>
        <xdr:cNvPr id="464" name="직선 화살표 연결선 463"/>
        <xdr:cNvCxnSpPr/>
      </xdr:nvCxnSpPr>
      <xdr:spPr>
        <a:xfrm>
          <a:off x="11298283" y="20353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131</xdr:row>
      <xdr:rowOff>19050</xdr:rowOff>
    </xdr:from>
    <xdr:to>
      <xdr:col>79</xdr:col>
      <xdr:colOff>104684</xdr:colOff>
      <xdr:row>131</xdr:row>
      <xdr:rowOff>133350</xdr:rowOff>
    </xdr:to>
    <xdr:sp macro="" textlink="">
      <xdr:nvSpPr>
        <xdr:cNvPr id="465" name="128"/>
        <xdr:cNvSpPr/>
      </xdr:nvSpPr>
      <xdr:spPr>
        <a:xfrm>
          <a:off x="8423366" y="20143470"/>
          <a:ext cx="54201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131</xdr:row>
      <xdr:rowOff>76200</xdr:rowOff>
    </xdr:from>
    <xdr:to>
      <xdr:col>42</xdr:col>
      <xdr:colOff>41366</xdr:colOff>
      <xdr:row>131</xdr:row>
      <xdr:rowOff>76200</xdr:rowOff>
    </xdr:to>
    <xdr:cxnSp macro="">
      <xdr:nvCxnSpPr>
        <xdr:cNvPr id="466" name="직선 화살표 연결선 465"/>
        <xdr:cNvCxnSpPr/>
      </xdr:nvCxnSpPr>
      <xdr:spPr>
        <a:xfrm>
          <a:off x="8423366" y="20200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130</xdr:row>
      <xdr:rowOff>19050</xdr:rowOff>
    </xdr:from>
    <xdr:to>
      <xdr:col>88</xdr:col>
      <xdr:colOff>63319</xdr:colOff>
      <xdr:row>130</xdr:row>
      <xdr:rowOff>133350</xdr:rowOff>
    </xdr:to>
    <xdr:sp macro="" textlink="">
      <xdr:nvSpPr>
        <xdr:cNvPr id="467" name="127"/>
        <xdr:cNvSpPr/>
      </xdr:nvSpPr>
      <xdr:spPr>
        <a:xfrm>
          <a:off x="8423366" y="19991070"/>
          <a:ext cx="668183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130</xdr:row>
      <xdr:rowOff>76200</xdr:rowOff>
    </xdr:from>
    <xdr:to>
      <xdr:col>42</xdr:col>
      <xdr:colOff>41366</xdr:colOff>
      <xdr:row>130</xdr:row>
      <xdr:rowOff>76200</xdr:rowOff>
    </xdr:to>
    <xdr:cxnSp macro="">
      <xdr:nvCxnSpPr>
        <xdr:cNvPr id="468" name="직선 화살표 연결선 467"/>
        <xdr:cNvCxnSpPr/>
      </xdr:nvCxnSpPr>
      <xdr:spPr>
        <a:xfrm>
          <a:off x="8423366" y="20048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129</xdr:row>
      <xdr:rowOff>19050</xdr:rowOff>
    </xdr:from>
    <xdr:to>
      <xdr:col>79</xdr:col>
      <xdr:colOff>84002</xdr:colOff>
      <xdr:row>129</xdr:row>
      <xdr:rowOff>133350</xdr:rowOff>
    </xdr:to>
    <xdr:sp macro="" textlink="">
      <xdr:nvSpPr>
        <xdr:cNvPr id="469" name="126"/>
        <xdr:cNvSpPr/>
      </xdr:nvSpPr>
      <xdr:spPr>
        <a:xfrm>
          <a:off x="13594080" y="19838670"/>
          <a:ext cx="2287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0</xdr:colOff>
      <xdr:row>129</xdr:row>
      <xdr:rowOff>76200</xdr:rowOff>
    </xdr:from>
    <xdr:to>
      <xdr:col>78</xdr:col>
      <xdr:colOff>0</xdr:colOff>
      <xdr:row>129</xdr:row>
      <xdr:rowOff>76200</xdr:rowOff>
    </xdr:to>
    <xdr:cxnSp macro="">
      <xdr:nvCxnSpPr>
        <xdr:cNvPr id="470" name="직선 화살표 연결선 469"/>
        <xdr:cNvCxnSpPr/>
      </xdr:nvCxnSpPr>
      <xdr:spPr>
        <a:xfrm>
          <a:off x="13594080" y="19895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103414</xdr:colOff>
      <xdr:row>128</xdr:row>
      <xdr:rowOff>19050</xdr:rowOff>
    </xdr:from>
    <xdr:to>
      <xdr:col>78</xdr:col>
      <xdr:colOff>21952</xdr:colOff>
      <xdr:row>128</xdr:row>
      <xdr:rowOff>133350</xdr:rowOff>
    </xdr:to>
    <xdr:sp macro="" textlink="">
      <xdr:nvSpPr>
        <xdr:cNvPr id="471" name="125"/>
        <xdr:cNvSpPr/>
      </xdr:nvSpPr>
      <xdr:spPr>
        <a:xfrm>
          <a:off x="12973594" y="1968627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103414</xdr:colOff>
      <xdr:row>128</xdr:row>
      <xdr:rowOff>76200</xdr:rowOff>
    </xdr:from>
    <xdr:to>
      <xdr:col>73</xdr:col>
      <xdr:colOff>103414</xdr:colOff>
      <xdr:row>128</xdr:row>
      <xdr:rowOff>76200</xdr:rowOff>
    </xdr:to>
    <xdr:cxnSp macro="">
      <xdr:nvCxnSpPr>
        <xdr:cNvPr id="472" name="직선 화살표 연결선 471"/>
        <xdr:cNvCxnSpPr/>
      </xdr:nvCxnSpPr>
      <xdr:spPr>
        <a:xfrm>
          <a:off x="12973594" y="19743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124097</xdr:colOff>
      <xdr:row>127</xdr:row>
      <xdr:rowOff>19050</xdr:rowOff>
    </xdr:from>
    <xdr:to>
      <xdr:col>73</xdr:col>
      <xdr:colOff>104684</xdr:colOff>
      <xdr:row>127</xdr:row>
      <xdr:rowOff>133350</xdr:rowOff>
    </xdr:to>
    <xdr:sp macro="" textlink="">
      <xdr:nvSpPr>
        <xdr:cNvPr id="473" name="124"/>
        <xdr:cNvSpPr/>
      </xdr:nvSpPr>
      <xdr:spPr>
        <a:xfrm>
          <a:off x="12559937" y="19533870"/>
          <a:ext cx="4149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124097</xdr:colOff>
      <xdr:row>127</xdr:row>
      <xdr:rowOff>76200</xdr:rowOff>
    </xdr:from>
    <xdr:to>
      <xdr:col>70</xdr:col>
      <xdr:colOff>124097</xdr:colOff>
      <xdr:row>127</xdr:row>
      <xdr:rowOff>76200</xdr:rowOff>
    </xdr:to>
    <xdr:cxnSp macro="">
      <xdr:nvCxnSpPr>
        <xdr:cNvPr id="474" name="직선 화살표 연결선 473"/>
        <xdr:cNvCxnSpPr/>
      </xdr:nvCxnSpPr>
      <xdr:spPr>
        <a:xfrm>
          <a:off x="12559937" y="19591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124097</xdr:colOff>
      <xdr:row>126</xdr:row>
      <xdr:rowOff>19050</xdr:rowOff>
    </xdr:from>
    <xdr:to>
      <xdr:col>72</xdr:col>
      <xdr:colOff>42635</xdr:colOff>
      <xdr:row>126</xdr:row>
      <xdr:rowOff>133350</xdr:rowOff>
    </xdr:to>
    <xdr:sp macro="" textlink="">
      <xdr:nvSpPr>
        <xdr:cNvPr id="475" name="123"/>
        <xdr:cNvSpPr/>
      </xdr:nvSpPr>
      <xdr:spPr>
        <a:xfrm>
          <a:off x="12125597" y="1938147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124097</xdr:colOff>
      <xdr:row>126</xdr:row>
      <xdr:rowOff>76200</xdr:rowOff>
    </xdr:from>
    <xdr:to>
      <xdr:col>67</xdr:col>
      <xdr:colOff>124097</xdr:colOff>
      <xdr:row>126</xdr:row>
      <xdr:rowOff>76200</xdr:rowOff>
    </xdr:to>
    <xdr:cxnSp macro="">
      <xdr:nvCxnSpPr>
        <xdr:cNvPr id="476" name="직선 화살표 연결선 475"/>
        <xdr:cNvCxnSpPr/>
      </xdr:nvCxnSpPr>
      <xdr:spPr>
        <a:xfrm>
          <a:off x="12125597" y="19438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103414</xdr:colOff>
      <xdr:row>125</xdr:row>
      <xdr:rowOff>19050</xdr:rowOff>
    </xdr:from>
    <xdr:to>
      <xdr:col>66</xdr:col>
      <xdr:colOff>84001</xdr:colOff>
      <xdr:row>125</xdr:row>
      <xdr:rowOff>133350</xdr:rowOff>
    </xdr:to>
    <xdr:sp macro="" textlink="">
      <xdr:nvSpPr>
        <xdr:cNvPr id="477" name="122"/>
        <xdr:cNvSpPr/>
      </xdr:nvSpPr>
      <xdr:spPr>
        <a:xfrm>
          <a:off x="10946674" y="19229070"/>
          <a:ext cx="99404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103414</xdr:colOff>
      <xdr:row>125</xdr:row>
      <xdr:rowOff>76200</xdr:rowOff>
    </xdr:from>
    <xdr:to>
      <xdr:col>59</xdr:col>
      <xdr:colOff>103414</xdr:colOff>
      <xdr:row>125</xdr:row>
      <xdr:rowOff>76200</xdr:rowOff>
    </xdr:to>
    <xdr:cxnSp macro="">
      <xdr:nvCxnSpPr>
        <xdr:cNvPr id="478" name="직선 화살표 연결선 477"/>
        <xdr:cNvCxnSpPr/>
      </xdr:nvCxnSpPr>
      <xdr:spPr>
        <a:xfrm>
          <a:off x="10946674" y="19286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124</xdr:row>
      <xdr:rowOff>19050</xdr:rowOff>
    </xdr:from>
    <xdr:to>
      <xdr:col>68</xdr:col>
      <xdr:colOff>104684</xdr:colOff>
      <xdr:row>124</xdr:row>
      <xdr:rowOff>133350</xdr:rowOff>
    </xdr:to>
    <xdr:sp macro="" textlink="">
      <xdr:nvSpPr>
        <xdr:cNvPr id="479" name="121"/>
        <xdr:cNvSpPr/>
      </xdr:nvSpPr>
      <xdr:spPr>
        <a:xfrm>
          <a:off x="8423366" y="19076670"/>
          <a:ext cx="3827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124</xdr:row>
      <xdr:rowOff>76200</xdr:rowOff>
    </xdr:from>
    <xdr:to>
      <xdr:col>42</xdr:col>
      <xdr:colOff>41366</xdr:colOff>
      <xdr:row>124</xdr:row>
      <xdr:rowOff>76200</xdr:rowOff>
    </xdr:to>
    <xdr:cxnSp macro="">
      <xdr:nvCxnSpPr>
        <xdr:cNvPr id="480" name="직선 화살표 연결선 479"/>
        <xdr:cNvCxnSpPr/>
      </xdr:nvCxnSpPr>
      <xdr:spPr>
        <a:xfrm>
          <a:off x="8423366" y="19133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123</xdr:row>
      <xdr:rowOff>19050</xdr:rowOff>
    </xdr:from>
    <xdr:to>
      <xdr:col>79</xdr:col>
      <xdr:colOff>84002</xdr:colOff>
      <xdr:row>123</xdr:row>
      <xdr:rowOff>133350</xdr:rowOff>
    </xdr:to>
    <xdr:sp macro="" textlink="">
      <xdr:nvSpPr>
        <xdr:cNvPr id="481" name="120"/>
        <xdr:cNvSpPr/>
      </xdr:nvSpPr>
      <xdr:spPr>
        <a:xfrm>
          <a:off x="8423366" y="18924270"/>
          <a:ext cx="539949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123</xdr:row>
      <xdr:rowOff>76200</xdr:rowOff>
    </xdr:from>
    <xdr:to>
      <xdr:col>42</xdr:col>
      <xdr:colOff>41366</xdr:colOff>
      <xdr:row>123</xdr:row>
      <xdr:rowOff>76200</xdr:rowOff>
    </xdr:to>
    <xdr:cxnSp macro="">
      <xdr:nvCxnSpPr>
        <xdr:cNvPr id="482" name="직선 화살표 연결선 481"/>
        <xdr:cNvCxnSpPr/>
      </xdr:nvCxnSpPr>
      <xdr:spPr>
        <a:xfrm>
          <a:off x="8423366" y="18981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122</xdr:row>
      <xdr:rowOff>19050</xdr:rowOff>
    </xdr:from>
    <xdr:to>
      <xdr:col>76</xdr:col>
      <xdr:colOff>104683</xdr:colOff>
      <xdr:row>122</xdr:row>
      <xdr:rowOff>133350</xdr:rowOff>
    </xdr:to>
    <xdr:sp macro="" textlink="">
      <xdr:nvSpPr>
        <xdr:cNvPr id="483" name="119"/>
        <xdr:cNvSpPr/>
      </xdr:nvSpPr>
      <xdr:spPr>
        <a:xfrm>
          <a:off x="13387251" y="18771870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122</xdr:row>
      <xdr:rowOff>76200</xdr:rowOff>
    </xdr:from>
    <xdr:to>
      <xdr:col>76</xdr:col>
      <xdr:colOff>82731</xdr:colOff>
      <xdr:row>122</xdr:row>
      <xdr:rowOff>76200</xdr:rowOff>
    </xdr:to>
    <xdr:cxnSp macro="">
      <xdr:nvCxnSpPr>
        <xdr:cNvPr id="484" name="직선 화살표 연결선 483"/>
        <xdr:cNvCxnSpPr/>
      </xdr:nvCxnSpPr>
      <xdr:spPr>
        <a:xfrm>
          <a:off x="13387251" y="18829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20682</xdr:colOff>
      <xdr:row>121</xdr:row>
      <xdr:rowOff>19050</xdr:rowOff>
    </xdr:from>
    <xdr:to>
      <xdr:col>82</xdr:col>
      <xdr:colOff>63319</xdr:colOff>
      <xdr:row>121</xdr:row>
      <xdr:rowOff>133350</xdr:rowOff>
    </xdr:to>
    <xdr:sp macro="" textlink="">
      <xdr:nvSpPr>
        <xdr:cNvPr id="485" name="118"/>
        <xdr:cNvSpPr/>
      </xdr:nvSpPr>
      <xdr:spPr>
        <a:xfrm>
          <a:off x="13325202" y="18619470"/>
          <a:ext cx="911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20682</xdr:colOff>
      <xdr:row>121</xdr:row>
      <xdr:rowOff>76200</xdr:rowOff>
    </xdr:from>
    <xdr:to>
      <xdr:col>76</xdr:col>
      <xdr:colOff>20682</xdr:colOff>
      <xdr:row>121</xdr:row>
      <xdr:rowOff>76200</xdr:rowOff>
    </xdr:to>
    <xdr:cxnSp macro="">
      <xdr:nvCxnSpPr>
        <xdr:cNvPr id="486" name="직선 화살표 연결선 485"/>
        <xdr:cNvCxnSpPr/>
      </xdr:nvCxnSpPr>
      <xdr:spPr>
        <a:xfrm>
          <a:off x="13325202" y="18676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41366</xdr:colOff>
      <xdr:row>120</xdr:row>
      <xdr:rowOff>19050</xdr:rowOff>
    </xdr:from>
    <xdr:to>
      <xdr:col>81</xdr:col>
      <xdr:colOff>63318</xdr:colOff>
      <xdr:row>120</xdr:row>
      <xdr:rowOff>133350</xdr:rowOff>
    </xdr:to>
    <xdr:sp macro="" textlink="">
      <xdr:nvSpPr>
        <xdr:cNvPr id="487" name="117"/>
        <xdr:cNvSpPr/>
      </xdr:nvSpPr>
      <xdr:spPr>
        <a:xfrm>
          <a:off x="13056326" y="18467070"/>
          <a:ext cx="10354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41366</xdr:colOff>
      <xdr:row>120</xdr:row>
      <xdr:rowOff>76200</xdr:rowOff>
    </xdr:from>
    <xdr:to>
      <xdr:col>74</xdr:col>
      <xdr:colOff>41366</xdr:colOff>
      <xdr:row>120</xdr:row>
      <xdr:rowOff>76200</xdr:rowOff>
    </xdr:to>
    <xdr:cxnSp macro="">
      <xdr:nvCxnSpPr>
        <xdr:cNvPr id="488" name="직선 화살표 연결선 487"/>
        <xdr:cNvCxnSpPr/>
      </xdr:nvCxnSpPr>
      <xdr:spPr>
        <a:xfrm>
          <a:off x="13056326" y="18524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41366</xdr:colOff>
      <xdr:row>119</xdr:row>
      <xdr:rowOff>19050</xdr:rowOff>
    </xdr:from>
    <xdr:to>
      <xdr:col>80</xdr:col>
      <xdr:colOff>84000</xdr:colOff>
      <xdr:row>119</xdr:row>
      <xdr:rowOff>133350</xdr:rowOff>
    </xdr:to>
    <xdr:sp macro="" textlink="">
      <xdr:nvSpPr>
        <xdr:cNvPr id="489" name="116"/>
        <xdr:cNvSpPr/>
      </xdr:nvSpPr>
      <xdr:spPr>
        <a:xfrm>
          <a:off x="12911546" y="18314670"/>
          <a:ext cx="105609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41366</xdr:colOff>
      <xdr:row>119</xdr:row>
      <xdr:rowOff>76200</xdr:rowOff>
    </xdr:from>
    <xdr:to>
      <xdr:col>73</xdr:col>
      <xdr:colOff>41366</xdr:colOff>
      <xdr:row>119</xdr:row>
      <xdr:rowOff>76200</xdr:rowOff>
    </xdr:to>
    <xdr:cxnSp macro="">
      <xdr:nvCxnSpPr>
        <xdr:cNvPr id="490" name="직선 화살표 연결선 489"/>
        <xdr:cNvCxnSpPr/>
      </xdr:nvCxnSpPr>
      <xdr:spPr>
        <a:xfrm>
          <a:off x="12911546" y="18371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20683</xdr:colOff>
      <xdr:row>118</xdr:row>
      <xdr:rowOff>19050</xdr:rowOff>
    </xdr:from>
    <xdr:to>
      <xdr:col>77</xdr:col>
      <xdr:colOff>104684</xdr:colOff>
      <xdr:row>118</xdr:row>
      <xdr:rowOff>133350</xdr:rowOff>
    </xdr:to>
    <xdr:sp macro="" textlink="">
      <xdr:nvSpPr>
        <xdr:cNvPr id="491" name="115"/>
        <xdr:cNvSpPr/>
      </xdr:nvSpPr>
      <xdr:spPr>
        <a:xfrm>
          <a:off x="12601303" y="18162270"/>
          <a:ext cx="952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20683</xdr:colOff>
      <xdr:row>118</xdr:row>
      <xdr:rowOff>76200</xdr:rowOff>
    </xdr:from>
    <xdr:to>
      <xdr:col>71</xdr:col>
      <xdr:colOff>20683</xdr:colOff>
      <xdr:row>118</xdr:row>
      <xdr:rowOff>76200</xdr:rowOff>
    </xdr:to>
    <xdr:cxnSp macro="">
      <xdr:nvCxnSpPr>
        <xdr:cNvPr id="492" name="직선 화살표 연결선 491"/>
        <xdr:cNvCxnSpPr/>
      </xdr:nvCxnSpPr>
      <xdr:spPr>
        <a:xfrm>
          <a:off x="12601303" y="18219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117</xdr:row>
      <xdr:rowOff>19050</xdr:rowOff>
    </xdr:from>
    <xdr:to>
      <xdr:col>92</xdr:col>
      <xdr:colOff>63319</xdr:colOff>
      <xdr:row>117</xdr:row>
      <xdr:rowOff>133350</xdr:rowOff>
    </xdr:to>
    <xdr:sp macro="" textlink="">
      <xdr:nvSpPr>
        <xdr:cNvPr id="493" name="114"/>
        <xdr:cNvSpPr/>
      </xdr:nvSpPr>
      <xdr:spPr>
        <a:xfrm>
          <a:off x="14173200" y="18009870"/>
          <a:ext cx="15111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117</xdr:row>
      <xdr:rowOff>76200</xdr:rowOff>
    </xdr:from>
    <xdr:to>
      <xdr:col>82</xdr:col>
      <xdr:colOff>0</xdr:colOff>
      <xdr:row>117</xdr:row>
      <xdr:rowOff>76200</xdr:rowOff>
    </xdr:to>
    <xdr:cxnSp macro="">
      <xdr:nvCxnSpPr>
        <xdr:cNvPr id="494" name="직선 화살표 연결선 493"/>
        <xdr:cNvCxnSpPr/>
      </xdr:nvCxnSpPr>
      <xdr:spPr>
        <a:xfrm>
          <a:off x="14173200" y="18067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103414</xdr:colOff>
      <xdr:row>116</xdr:row>
      <xdr:rowOff>19050</xdr:rowOff>
    </xdr:from>
    <xdr:to>
      <xdr:col>74</xdr:col>
      <xdr:colOff>1270</xdr:colOff>
      <xdr:row>116</xdr:row>
      <xdr:rowOff>133350</xdr:rowOff>
    </xdr:to>
    <xdr:sp macro="" textlink="">
      <xdr:nvSpPr>
        <xdr:cNvPr id="495" name="113"/>
        <xdr:cNvSpPr/>
      </xdr:nvSpPr>
      <xdr:spPr>
        <a:xfrm>
          <a:off x="11091454" y="17857470"/>
          <a:ext cx="192477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103414</xdr:colOff>
      <xdr:row>116</xdr:row>
      <xdr:rowOff>76200</xdr:rowOff>
    </xdr:from>
    <xdr:to>
      <xdr:col>60</xdr:col>
      <xdr:colOff>103414</xdr:colOff>
      <xdr:row>116</xdr:row>
      <xdr:rowOff>76200</xdr:rowOff>
    </xdr:to>
    <xdr:cxnSp macro="">
      <xdr:nvCxnSpPr>
        <xdr:cNvPr id="496" name="직선 화살표 연결선 495"/>
        <xdr:cNvCxnSpPr/>
      </xdr:nvCxnSpPr>
      <xdr:spPr>
        <a:xfrm>
          <a:off x="11091454" y="17914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103414</xdr:colOff>
      <xdr:row>115</xdr:row>
      <xdr:rowOff>19050</xdr:rowOff>
    </xdr:from>
    <xdr:to>
      <xdr:col>64</xdr:col>
      <xdr:colOff>63319</xdr:colOff>
      <xdr:row>115</xdr:row>
      <xdr:rowOff>133350</xdr:rowOff>
    </xdr:to>
    <xdr:sp macro="" textlink="">
      <xdr:nvSpPr>
        <xdr:cNvPr id="497" name="112"/>
        <xdr:cNvSpPr/>
      </xdr:nvSpPr>
      <xdr:spPr>
        <a:xfrm>
          <a:off x="7906294" y="17705070"/>
          <a:ext cx="37241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38</xdr:col>
      <xdr:colOff>103414</xdr:colOff>
      <xdr:row>115</xdr:row>
      <xdr:rowOff>76200</xdr:rowOff>
    </xdr:from>
    <xdr:to>
      <xdr:col>38</xdr:col>
      <xdr:colOff>103414</xdr:colOff>
      <xdr:row>115</xdr:row>
      <xdr:rowOff>76200</xdr:rowOff>
    </xdr:to>
    <xdr:cxnSp macro="">
      <xdr:nvCxnSpPr>
        <xdr:cNvPr id="498" name="직선 화살표 연결선 497"/>
        <xdr:cNvCxnSpPr/>
      </xdr:nvCxnSpPr>
      <xdr:spPr>
        <a:xfrm>
          <a:off x="7906294" y="17762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103414</xdr:colOff>
      <xdr:row>114</xdr:row>
      <xdr:rowOff>19050</xdr:rowOff>
    </xdr:from>
    <xdr:to>
      <xdr:col>92</xdr:col>
      <xdr:colOff>63319</xdr:colOff>
      <xdr:row>114</xdr:row>
      <xdr:rowOff>133350</xdr:rowOff>
    </xdr:to>
    <xdr:sp macro="" textlink="">
      <xdr:nvSpPr>
        <xdr:cNvPr id="499" name="111"/>
        <xdr:cNvSpPr/>
      </xdr:nvSpPr>
      <xdr:spPr>
        <a:xfrm>
          <a:off x="7906294" y="17552670"/>
          <a:ext cx="777802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38</xdr:col>
      <xdr:colOff>103414</xdr:colOff>
      <xdr:row>114</xdr:row>
      <xdr:rowOff>76200</xdr:rowOff>
    </xdr:from>
    <xdr:to>
      <xdr:col>38</xdr:col>
      <xdr:colOff>103414</xdr:colOff>
      <xdr:row>114</xdr:row>
      <xdr:rowOff>76200</xdr:rowOff>
    </xdr:to>
    <xdr:cxnSp macro="">
      <xdr:nvCxnSpPr>
        <xdr:cNvPr id="500" name="직선 화살표 연결선 499"/>
        <xdr:cNvCxnSpPr/>
      </xdr:nvCxnSpPr>
      <xdr:spPr>
        <a:xfrm>
          <a:off x="7906294" y="17609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113</xdr:row>
      <xdr:rowOff>19050</xdr:rowOff>
    </xdr:from>
    <xdr:to>
      <xdr:col>76</xdr:col>
      <xdr:colOff>104683</xdr:colOff>
      <xdr:row>113</xdr:row>
      <xdr:rowOff>133350</xdr:rowOff>
    </xdr:to>
    <xdr:sp macro="" textlink="">
      <xdr:nvSpPr>
        <xdr:cNvPr id="501" name="110"/>
        <xdr:cNvSpPr/>
      </xdr:nvSpPr>
      <xdr:spPr>
        <a:xfrm>
          <a:off x="13201106" y="17400270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113</xdr:row>
      <xdr:rowOff>76200</xdr:rowOff>
    </xdr:from>
    <xdr:to>
      <xdr:col>75</xdr:col>
      <xdr:colOff>41366</xdr:colOff>
      <xdr:row>113</xdr:row>
      <xdr:rowOff>76200</xdr:rowOff>
    </xdr:to>
    <xdr:cxnSp macro="">
      <xdr:nvCxnSpPr>
        <xdr:cNvPr id="502" name="직선 화살표 연결선 501"/>
        <xdr:cNvCxnSpPr/>
      </xdr:nvCxnSpPr>
      <xdr:spPr>
        <a:xfrm>
          <a:off x="13201106" y="17457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20683</xdr:colOff>
      <xdr:row>112</xdr:row>
      <xdr:rowOff>19050</xdr:rowOff>
    </xdr:from>
    <xdr:to>
      <xdr:col>76</xdr:col>
      <xdr:colOff>104683</xdr:colOff>
      <xdr:row>112</xdr:row>
      <xdr:rowOff>133350</xdr:rowOff>
    </xdr:to>
    <xdr:sp macro="" textlink="">
      <xdr:nvSpPr>
        <xdr:cNvPr id="503" name="109"/>
        <xdr:cNvSpPr/>
      </xdr:nvSpPr>
      <xdr:spPr>
        <a:xfrm>
          <a:off x="12746083" y="17247870"/>
          <a:ext cx="66312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20683</xdr:colOff>
      <xdr:row>112</xdr:row>
      <xdr:rowOff>76200</xdr:rowOff>
    </xdr:from>
    <xdr:to>
      <xdr:col>72</xdr:col>
      <xdr:colOff>20683</xdr:colOff>
      <xdr:row>112</xdr:row>
      <xdr:rowOff>76200</xdr:rowOff>
    </xdr:to>
    <xdr:cxnSp macro="">
      <xdr:nvCxnSpPr>
        <xdr:cNvPr id="504" name="직선 화살표 연결선 503"/>
        <xdr:cNvCxnSpPr/>
      </xdr:nvCxnSpPr>
      <xdr:spPr>
        <a:xfrm>
          <a:off x="12746083" y="17305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41365</xdr:colOff>
      <xdr:row>111</xdr:row>
      <xdr:rowOff>19050</xdr:rowOff>
    </xdr:from>
    <xdr:to>
      <xdr:col>73</xdr:col>
      <xdr:colOff>1270</xdr:colOff>
      <xdr:row>111</xdr:row>
      <xdr:rowOff>133350</xdr:rowOff>
    </xdr:to>
    <xdr:sp macro="" textlink="">
      <xdr:nvSpPr>
        <xdr:cNvPr id="505" name="108"/>
        <xdr:cNvSpPr/>
      </xdr:nvSpPr>
      <xdr:spPr>
        <a:xfrm>
          <a:off x="11898085" y="17095470"/>
          <a:ext cx="97336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41365</xdr:colOff>
      <xdr:row>111</xdr:row>
      <xdr:rowOff>76200</xdr:rowOff>
    </xdr:from>
    <xdr:to>
      <xdr:col>66</xdr:col>
      <xdr:colOff>41365</xdr:colOff>
      <xdr:row>111</xdr:row>
      <xdr:rowOff>76200</xdr:rowOff>
    </xdr:to>
    <xdr:cxnSp macro="">
      <xdr:nvCxnSpPr>
        <xdr:cNvPr id="506" name="직선 화살표 연결선 505"/>
        <xdr:cNvCxnSpPr/>
      </xdr:nvCxnSpPr>
      <xdr:spPr>
        <a:xfrm>
          <a:off x="11898085" y="17152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20683</xdr:colOff>
      <xdr:row>110</xdr:row>
      <xdr:rowOff>19050</xdr:rowOff>
    </xdr:from>
    <xdr:to>
      <xdr:col>68</xdr:col>
      <xdr:colOff>104684</xdr:colOff>
      <xdr:row>110</xdr:row>
      <xdr:rowOff>133350</xdr:rowOff>
    </xdr:to>
    <xdr:sp macro="" textlink="">
      <xdr:nvSpPr>
        <xdr:cNvPr id="507" name="107"/>
        <xdr:cNvSpPr/>
      </xdr:nvSpPr>
      <xdr:spPr>
        <a:xfrm>
          <a:off x="11153503" y="16943070"/>
          <a:ext cx="109746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20683</xdr:colOff>
      <xdr:row>110</xdr:row>
      <xdr:rowOff>76200</xdr:rowOff>
    </xdr:from>
    <xdr:to>
      <xdr:col>61</xdr:col>
      <xdr:colOff>20683</xdr:colOff>
      <xdr:row>110</xdr:row>
      <xdr:rowOff>76200</xdr:rowOff>
    </xdr:to>
    <xdr:cxnSp macro="">
      <xdr:nvCxnSpPr>
        <xdr:cNvPr id="508" name="직선 화살표 연결선 507"/>
        <xdr:cNvCxnSpPr/>
      </xdr:nvCxnSpPr>
      <xdr:spPr>
        <a:xfrm>
          <a:off x="11153503" y="17000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103414</xdr:colOff>
      <xdr:row>109</xdr:row>
      <xdr:rowOff>19050</xdr:rowOff>
    </xdr:from>
    <xdr:to>
      <xdr:col>66</xdr:col>
      <xdr:colOff>84001</xdr:colOff>
      <xdr:row>109</xdr:row>
      <xdr:rowOff>133350</xdr:rowOff>
    </xdr:to>
    <xdr:sp macro="" textlink="">
      <xdr:nvSpPr>
        <xdr:cNvPr id="509" name="106"/>
        <xdr:cNvSpPr/>
      </xdr:nvSpPr>
      <xdr:spPr>
        <a:xfrm>
          <a:off x="10946674" y="16790670"/>
          <a:ext cx="99404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103414</xdr:colOff>
      <xdr:row>109</xdr:row>
      <xdr:rowOff>76200</xdr:rowOff>
    </xdr:from>
    <xdr:to>
      <xdr:col>59</xdr:col>
      <xdr:colOff>103414</xdr:colOff>
      <xdr:row>109</xdr:row>
      <xdr:rowOff>76200</xdr:rowOff>
    </xdr:to>
    <xdr:cxnSp macro="">
      <xdr:nvCxnSpPr>
        <xdr:cNvPr id="510" name="직선 화살표 연결선 509"/>
        <xdr:cNvCxnSpPr/>
      </xdr:nvCxnSpPr>
      <xdr:spPr>
        <a:xfrm>
          <a:off x="10946674" y="16847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62048</xdr:colOff>
      <xdr:row>108</xdr:row>
      <xdr:rowOff>19050</xdr:rowOff>
    </xdr:from>
    <xdr:to>
      <xdr:col>68</xdr:col>
      <xdr:colOff>104684</xdr:colOff>
      <xdr:row>108</xdr:row>
      <xdr:rowOff>133350</xdr:rowOff>
    </xdr:to>
    <xdr:sp macro="" textlink="">
      <xdr:nvSpPr>
        <xdr:cNvPr id="511" name="105"/>
        <xdr:cNvSpPr/>
      </xdr:nvSpPr>
      <xdr:spPr>
        <a:xfrm>
          <a:off x="10036628" y="16638270"/>
          <a:ext cx="221433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62048</xdr:colOff>
      <xdr:row>108</xdr:row>
      <xdr:rowOff>76200</xdr:rowOff>
    </xdr:from>
    <xdr:to>
      <xdr:col>53</xdr:col>
      <xdr:colOff>62048</xdr:colOff>
      <xdr:row>108</xdr:row>
      <xdr:rowOff>76200</xdr:rowOff>
    </xdr:to>
    <xdr:cxnSp macro="">
      <xdr:nvCxnSpPr>
        <xdr:cNvPr id="512" name="직선 화살표 연결선 511"/>
        <xdr:cNvCxnSpPr/>
      </xdr:nvCxnSpPr>
      <xdr:spPr>
        <a:xfrm>
          <a:off x="10036628" y="16695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62048</xdr:colOff>
      <xdr:row>107</xdr:row>
      <xdr:rowOff>19050</xdr:rowOff>
    </xdr:from>
    <xdr:to>
      <xdr:col>76</xdr:col>
      <xdr:colOff>104683</xdr:colOff>
      <xdr:row>107</xdr:row>
      <xdr:rowOff>133350</xdr:rowOff>
    </xdr:to>
    <xdr:sp macro="" textlink="">
      <xdr:nvSpPr>
        <xdr:cNvPr id="513" name="104"/>
        <xdr:cNvSpPr/>
      </xdr:nvSpPr>
      <xdr:spPr>
        <a:xfrm>
          <a:off x="10036628" y="16485870"/>
          <a:ext cx="337257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62048</xdr:colOff>
      <xdr:row>107</xdr:row>
      <xdr:rowOff>76200</xdr:rowOff>
    </xdr:from>
    <xdr:to>
      <xdr:col>53</xdr:col>
      <xdr:colOff>62048</xdr:colOff>
      <xdr:row>107</xdr:row>
      <xdr:rowOff>76200</xdr:rowOff>
    </xdr:to>
    <xdr:cxnSp macro="">
      <xdr:nvCxnSpPr>
        <xdr:cNvPr id="514" name="직선 화살표 연결선 513"/>
        <xdr:cNvCxnSpPr/>
      </xdr:nvCxnSpPr>
      <xdr:spPr>
        <a:xfrm>
          <a:off x="10036628" y="16543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82732</xdr:colOff>
      <xdr:row>106</xdr:row>
      <xdr:rowOff>19050</xdr:rowOff>
    </xdr:from>
    <xdr:to>
      <xdr:col>81</xdr:col>
      <xdr:colOff>1269</xdr:colOff>
      <xdr:row>106</xdr:row>
      <xdr:rowOff>133350</xdr:rowOff>
    </xdr:to>
    <xdr:sp macro="" textlink="">
      <xdr:nvSpPr>
        <xdr:cNvPr id="515" name="103"/>
        <xdr:cNvSpPr/>
      </xdr:nvSpPr>
      <xdr:spPr>
        <a:xfrm>
          <a:off x="13821592" y="16333470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82732</xdr:colOff>
      <xdr:row>106</xdr:row>
      <xdr:rowOff>76200</xdr:rowOff>
    </xdr:from>
    <xdr:to>
      <xdr:col>79</xdr:col>
      <xdr:colOff>82732</xdr:colOff>
      <xdr:row>106</xdr:row>
      <xdr:rowOff>76200</xdr:rowOff>
    </xdr:to>
    <xdr:cxnSp macro="">
      <xdr:nvCxnSpPr>
        <xdr:cNvPr id="516" name="직선 화살표 연결선 515"/>
        <xdr:cNvCxnSpPr/>
      </xdr:nvCxnSpPr>
      <xdr:spPr>
        <a:xfrm>
          <a:off x="13821592" y="16390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105</xdr:row>
      <xdr:rowOff>19050</xdr:rowOff>
    </xdr:from>
    <xdr:to>
      <xdr:col>79</xdr:col>
      <xdr:colOff>84002</xdr:colOff>
      <xdr:row>105</xdr:row>
      <xdr:rowOff>133350</xdr:rowOff>
    </xdr:to>
    <xdr:sp macro="" textlink="">
      <xdr:nvSpPr>
        <xdr:cNvPr id="517" name="102"/>
        <xdr:cNvSpPr/>
      </xdr:nvSpPr>
      <xdr:spPr>
        <a:xfrm>
          <a:off x="13201106" y="1618107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105</xdr:row>
      <xdr:rowOff>76200</xdr:rowOff>
    </xdr:from>
    <xdr:to>
      <xdr:col>75</xdr:col>
      <xdr:colOff>41366</xdr:colOff>
      <xdr:row>105</xdr:row>
      <xdr:rowOff>76200</xdr:rowOff>
    </xdr:to>
    <xdr:cxnSp macro="">
      <xdr:nvCxnSpPr>
        <xdr:cNvPr id="518" name="직선 화살표 연결선 517"/>
        <xdr:cNvCxnSpPr/>
      </xdr:nvCxnSpPr>
      <xdr:spPr>
        <a:xfrm>
          <a:off x="13201106" y="16238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82732</xdr:colOff>
      <xdr:row>104</xdr:row>
      <xdr:rowOff>19050</xdr:rowOff>
    </xdr:from>
    <xdr:to>
      <xdr:col>75</xdr:col>
      <xdr:colOff>42636</xdr:colOff>
      <xdr:row>104</xdr:row>
      <xdr:rowOff>133350</xdr:rowOff>
    </xdr:to>
    <xdr:sp macro="" textlink="">
      <xdr:nvSpPr>
        <xdr:cNvPr id="519" name="101"/>
        <xdr:cNvSpPr/>
      </xdr:nvSpPr>
      <xdr:spPr>
        <a:xfrm>
          <a:off x="12229012" y="16028670"/>
          <a:ext cx="97336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82732</xdr:colOff>
      <xdr:row>104</xdr:row>
      <xdr:rowOff>76200</xdr:rowOff>
    </xdr:from>
    <xdr:to>
      <xdr:col>68</xdr:col>
      <xdr:colOff>82732</xdr:colOff>
      <xdr:row>104</xdr:row>
      <xdr:rowOff>76200</xdr:rowOff>
    </xdr:to>
    <xdr:cxnSp macro="">
      <xdr:nvCxnSpPr>
        <xdr:cNvPr id="520" name="직선 화살표 연결선 519"/>
        <xdr:cNvCxnSpPr/>
      </xdr:nvCxnSpPr>
      <xdr:spPr>
        <a:xfrm>
          <a:off x="12229012" y="16085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20683</xdr:colOff>
      <xdr:row>103</xdr:row>
      <xdr:rowOff>19050</xdr:rowOff>
    </xdr:from>
    <xdr:to>
      <xdr:col>73</xdr:col>
      <xdr:colOff>1270</xdr:colOff>
      <xdr:row>103</xdr:row>
      <xdr:rowOff>133350</xdr:rowOff>
    </xdr:to>
    <xdr:sp macro="" textlink="">
      <xdr:nvSpPr>
        <xdr:cNvPr id="521" name="100"/>
        <xdr:cNvSpPr/>
      </xdr:nvSpPr>
      <xdr:spPr>
        <a:xfrm>
          <a:off x="11587843" y="15876270"/>
          <a:ext cx="1283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20683</xdr:colOff>
      <xdr:row>103</xdr:row>
      <xdr:rowOff>76200</xdr:rowOff>
    </xdr:from>
    <xdr:to>
      <xdr:col>64</xdr:col>
      <xdr:colOff>20683</xdr:colOff>
      <xdr:row>103</xdr:row>
      <xdr:rowOff>76200</xdr:rowOff>
    </xdr:to>
    <xdr:cxnSp macro="">
      <xdr:nvCxnSpPr>
        <xdr:cNvPr id="522" name="직선 화살표 연결선 521"/>
        <xdr:cNvCxnSpPr/>
      </xdr:nvCxnSpPr>
      <xdr:spPr>
        <a:xfrm>
          <a:off x="11587843" y="15933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124097</xdr:colOff>
      <xdr:row>102</xdr:row>
      <xdr:rowOff>19050</xdr:rowOff>
    </xdr:from>
    <xdr:to>
      <xdr:col>75</xdr:col>
      <xdr:colOff>42636</xdr:colOff>
      <xdr:row>102</xdr:row>
      <xdr:rowOff>133350</xdr:rowOff>
    </xdr:to>
    <xdr:sp macro="" textlink="">
      <xdr:nvSpPr>
        <xdr:cNvPr id="523" name="99"/>
        <xdr:cNvSpPr/>
      </xdr:nvSpPr>
      <xdr:spPr>
        <a:xfrm>
          <a:off x="11691257" y="15723870"/>
          <a:ext cx="15111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124097</xdr:colOff>
      <xdr:row>102</xdr:row>
      <xdr:rowOff>76200</xdr:rowOff>
    </xdr:from>
    <xdr:to>
      <xdr:col>64</xdr:col>
      <xdr:colOff>124097</xdr:colOff>
      <xdr:row>102</xdr:row>
      <xdr:rowOff>76200</xdr:rowOff>
    </xdr:to>
    <xdr:cxnSp macro="">
      <xdr:nvCxnSpPr>
        <xdr:cNvPr id="524" name="직선 화살표 연결선 523"/>
        <xdr:cNvCxnSpPr/>
      </xdr:nvCxnSpPr>
      <xdr:spPr>
        <a:xfrm>
          <a:off x="11691257" y="15781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103415</xdr:colOff>
      <xdr:row>101</xdr:row>
      <xdr:rowOff>19050</xdr:rowOff>
    </xdr:from>
    <xdr:to>
      <xdr:col>70</xdr:col>
      <xdr:colOff>125367</xdr:colOff>
      <xdr:row>101</xdr:row>
      <xdr:rowOff>133350</xdr:rowOff>
    </xdr:to>
    <xdr:sp macro="" textlink="">
      <xdr:nvSpPr>
        <xdr:cNvPr id="525" name="98"/>
        <xdr:cNvSpPr/>
      </xdr:nvSpPr>
      <xdr:spPr>
        <a:xfrm>
          <a:off x="10657115" y="15571470"/>
          <a:ext cx="1904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103415</xdr:colOff>
      <xdr:row>101</xdr:row>
      <xdr:rowOff>76200</xdr:rowOff>
    </xdr:from>
    <xdr:to>
      <xdr:col>57</xdr:col>
      <xdr:colOff>103415</xdr:colOff>
      <xdr:row>101</xdr:row>
      <xdr:rowOff>76200</xdr:rowOff>
    </xdr:to>
    <xdr:cxnSp macro="">
      <xdr:nvCxnSpPr>
        <xdr:cNvPr id="526" name="직선 화살표 연결선 525"/>
        <xdr:cNvCxnSpPr/>
      </xdr:nvCxnSpPr>
      <xdr:spPr>
        <a:xfrm>
          <a:off x="10657115" y="15628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100</xdr:row>
      <xdr:rowOff>19050</xdr:rowOff>
    </xdr:from>
    <xdr:to>
      <xdr:col>68</xdr:col>
      <xdr:colOff>104684</xdr:colOff>
      <xdr:row>100</xdr:row>
      <xdr:rowOff>133350</xdr:rowOff>
    </xdr:to>
    <xdr:sp macro="" textlink="">
      <xdr:nvSpPr>
        <xdr:cNvPr id="527" name="97"/>
        <xdr:cNvSpPr/>
      </xdr:nvSpPr>
      <xdr:spPr>
        <a:xfrm>
          <a:off x="8423366" y="15419070"/>
          <a:ext cx="3827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100</xdr:row>
      <xdr:rowOff>76200</xdr:rowOff>
    </xdr:from>
    <xdr:to>
      <xdr:col>42</xdr:col>
      <xdr:colOff>41366</xdr:colOff>
      <xdr:row>100</xdr:row>
      <xdr:rowOff>76200</xdr:rowOff>
    </xdr:to>
    <xdr:cxnSp macro="">
      <xdr:nvCxnSpPr>
        <xdr:cNvPr id="528" name="직선 화살표 연결선 527"/>
        <xdr:cNvCxnSpPr/>
      </xdr:nvCxnSpPr>
      <xdr:spPr>
        <a:xfrm>
          <a:off x="8423366" y="15476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99</xdr:row>
      <xdr:rowOff>19050</xdr:rowOff>
    </xdr:from>
    <xdr:to>
      <xdr:col>81</xdr:col>
      <xdr:colOff>1269</xdr:colOff>
      <xdr:row>99</xdr:row>
      <xdr:rowOff>133350</xdr:rowOff>
    </xdr:to>
    <xdr:sp macro="" textlink="">
      <xdr:nvSpPr>
        <xdr:cNvPr id="529" name="96"/>
        <xdr:cNvSpPr/>
      </xdr:nvSpPr>
      <xdr:spPr>
        <a:xfrm>
          <a:off x="8423366" y="15266670"/>
          <a:ext cx="560632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99</xdr:row>
      <xdr:rowOff>76200</xdr:rowOff>
    </xdr:from>
    <xdr:to>
      <xdr:col>42</xdr:col>
      <xdr:colOff>41366</xdr:colOff>
      <xdr:row>99</xdr:row>
      <xdr:rowOff>76200</xdr:rowOff>
    </xdr:to>
    <xdr:cxnSp macro="">
      <xdr:nvCxnSpPr>
        <xdr:cNvPr id="530" name="직선 화살표 연결선 529"/>
        <xdr:cNvCxnSpPr/>
      </xdr:nvCxnSpPr>
      <xdr:spPr>
        <a:xfrm>
          <a:off x="8423366" y="15323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41366</xdr:colOff>
      <xdr:row>98</xdr:row>
      <xdr:rowOff>19050</xdr:rowOff>
    </xdr:from>
    <xdr:to>
      <xdr:col>78</xdr:col>
      <xdr:colOff>21952</xdr:colOff>
      <xdr:row>98</xdr:row>
      <xdr:rowOff>133350</xdr:rowOff>
    </xdr:to>
    <xdr:sp macro="" textlink="">
      <xdr:nvSpPr>
        <xdr:cNvPr id="531" name="95"/>
        <xdr:cNvSpPr/>
      </xdr:nvSpPr>
      <xdr:spPr>
        <a:xfrm>
          <a:off x="13490666" y="15114270"/>
          <a:ext cx="125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41366</xdr:colOff>
      <xdr:row>98</xdr:row>
      <xdr:rowOff>76200</xdr:rowOff>
    </xdr:from>
    <xdr:to>
      <xdr:col>77</xdr:col>
      <xdr:colOff>41366</xdr:colOff>
      <xdr:row>98</xdr:row>
      <xdr:rowOff>76200</xdr:rowOff>
    </xdr:to>
    <xdr:cxnSp macro="">
      <xdr:nvCxnSpPr>
        <xdr:cNvPr id="532" name="직선 화살표 연결선 531"/>
        <xdr:cNvCxnSpPr/>
      </xdr:nvCxnSpPr>
      <xdr:spPr>
        <a:xfrm>
          <a:off x="13490666" y="15171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82732</xdr:colOff>
      <xdr:row>97</xdr:row>
      <xdr:rowOff>19050</xdr:rowOff>
    </xdr:from>
    <xdr:to>
      <xdr:col>77</xdr:col>
      <xdr:colOff>63319</xdr:colOff>
      <xdr:row>97</xdr:row>
      <xdr:rowOff>133350</xdr:rowOff>
    </xdr:to>
    <xdr:sp macro="" textlink="">
      <xdr:nvSpPr>
        <xdr:cNvPr id="533" name="94"/>
        <xdr:cNvSpPr/>
      </xdr:nvSpPr>
      <xdr:spPr>
        <a:xfrm>
          <a:off x="12952912" y="14961870"/>
          <a:ext cx="5597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82732</xdr:colOff>
      <xdr:row>97</xdr:row>
      <xdr:rowOff>76200</xdr:rowOff>
    </xdr:from>
    <xdr:to>
      <xdr:col>73</xdr:col>
      <xdr:colOff>82732</xdr:colOff>
      <xdr:row>97</xdr:row>
      <xdr:rowOff>76200</xdr:rowOff>
    </xdr:to>
    <xdr:cxnSp macro="">
      <xdr:nvCxnSpPr>
        <xdr:cNvPr id="534" name="직선 화살표 연결선 533"/>
        <xdr:cNvCxnSpPr/>
      </xdr:nvCxnSpPr>
      <xdr:spPr>
        <a:xfrm>
          <a:off x="12952912" y="15019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41366</xdr:colOff>
      <xdr:row>96</xdr:row>
      <xdr:rowOff>19050</xdr:rowOff>
    </xdr:from>
    <xdr:to>
      <xdr:col>73</xdr:col>
      <xdr:colOff>104684</xdr:colOff>
      <xdr:row>96</xdr:row>
      <xdr:rowOff>133350</xdr:rowOff>
    </xdr:to>
    <xdr:sp macro="" textlink="">
      <xdr:nvSpPr>
        <xdr:cNvPr id="535" name="93"/>
        <xdr:cNvSpPr/>
      </xdr:nvSpPr>
      <xdr:spPr>
        <a:xfrm>
          <a:off x="12332426" y="1480947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41366</xdr:colOff>
      <xdr:row>96</xdr:row>
      <xdr:rowOff>76200</xdr:rowOff>
    </xdr:from>
    <xdr:to>
      <xdr:col>69</xdr:col>
      <xdr:colOff>41366</xdr:colOff>
      <xdr:row>96</xdr:row>
      <xdr:rowOff>76200</xdr:rowOff>
    </xdr:to>
    <xdr:cxnSp macro="">
      <xdr:nvCxnSpPr>
        <xdr:cNvPr id="536" name="직선 화살표 연결선 535"/>
        <xdr:cNvCxnSpPr/>
      </xdr:nvCxnSpPr>
      <xdr:spPr>
        <a:xfrm>
          <a:off x="12332426" y="14866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82731</xdr:colOff>
      <xdr:row>95</xdr:row>
      <xdr:rowOff>19050</xdr:rowOff>
    </xdr:from>
    <xdr:to>
      <xdr:col>70</xdr:col>
      <xdr:colOff>125367</xdr:colOff>
      <xdr:row>95</xdr:row>
      <xdr:rowOff>133350</xdr:rowOff>
    </xdr:to>
    <xdr:sp macro="" textlink="">
      <xdr:nvSpPr>
        <xdr:cNvPr id="537" name="92"/>
        <xdr:cNvSpPr/>
      </xdr:nvSpPr>
      <xdr:spPr>
        <a:xfrm>
          <a:off x="11939451" y="1465707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82731</xdr:colOff>
      <xdr:row>95</xdr:row>
      <xdr:rowOff>76200</xdr:rowOff>
    </xdr:from>
    <xdr:to>
      <xdr:col>66</xdr:col>
      <xdr:colOff>82731</xdr:colOff>
      <xdr:row>95</xdr:row>
      <xdr:rowOff>76200</xdr:rowOff>
    </xdr:to>
    <xdr:cxnSp macro="">
      <xdr:nvCxnSpPr>
        <xdr:cNvPr id="538" name="직선 화살표 연결선 537"/>
        <xdr:cNvCxnSpPr/>
      </xdr:nvCxnSpPr>
      <xdr:spPr>
        <a:xfrm>
          <a:off x="11939451" y="14714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103414</xdr:colOff>
      <xdr:row>94</xdr:row>
      <xdr:rowOff>19050</xdr:rowOff>
    </xdr:from>
    <xdr:to>
      <xdr:col>66</xdr:col>
      <xdr:colOff>84001</xdr:colOff>
      <xdr:row>94</xdr:row>
      <xdr:rowOff>133350</xdr:rowOff>
    </xdr:to>
    <xdr:sp macro="" textlink="">
      <xdr:nvSpPr>
        <xdr:cNvPr id="539" name="91"/>
        <xdr:cNvSpPr/>
      </xdr:nvSpPr>
      <xdr:spPr>
        <a:xfrm>
          <a:off x="10946674" y="14504670"/>
          <a:ext cx="99404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103414</xdr:colOff>
      <xdr:row>94</xdr:row>
      <xdr:rowOff>76200</xdr:rowOff>
    </xdr:from>
    <xdr:to>
      <xdr:col>59</xdr:col>
      <xdr:colOff>103414</xdr:colOff>
      <xdr:row>94</xdr:row>
      <xdr:rowOff>76200</xdr:rowOff>
    </xdr:to>
    <xdr:cxnSp macro="">
      <xdr:nvCxnSpPr>
        <xdr:cNvPr id="540" name="직선 화살표 연결선 539"/>
        <xdr:cNvCxnSpPr/>
      </xdr:nvCxnSpPr>
      <xdr:spPr>
        <a:xfrm>
          <a:off x="10946674" y="14561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93</xdr:row>
      <xdr:rowOff>19050</xdr:rowOff>
    </xdr:from>
    <xdr:to>
      <xdr:col>68</xdr:col>
      <xdr:colOff>104684</xdr:colOff>
      <xdr:row>93</xdr:row>
      <xdr:rowOff>133350</xdr:rowOff>
    </xdr:to>
    <xdr:sp macro="" textlink="">
      <xdr:nvSpPr>
        <xdr:cNvPr id="541" name="90"/>
        <xdr:cNvSpPr/>
      </xdr:nvSpPr>
      <xdr:spPr>
        <a:xfrm>
          <a:off x="8423366" y="14352270"/>
          <a:ext cx="3827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93</xdr:row>
      <xdr:rowOff>76200</xdr:rowOff>
    </xdr:from>
    <xdr:to>
      <xdr:col>42</xdr:col>
      <xdr:colOff>41366</xdr:colOff>
      <xdr:row>93</xdr:row>
      <xdr:rowOff>76200</xdr:rowOff>
    </xdr:to>
    <xdr:cxnSp macro="">
      <xdr:nvCxnSpPr>
        <xdr:cNvPr id="542" name="직선 화살표 연결선 541"/>
        <xdr:cNvCxnSpPr/>
      </xdr:nvCxnSpPr>
      <xdr:spPr>
        <a:xfrm>
          <a:off x="8423366" y="14409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92</xdr:row>
      <xdr:rowOff>19050</xdr:rowOff>
    </xdr:from>
    <xdr:to>
      <xdr:col>78</xdr:col>
      <xdr:colOff>21952</xdr:colOff>
      <xdr:row>92</xdr:row>
      <xdr:rowOff>133350</xdr:rowOff>
    </xdr:to>
    <xdr:sp macro="" textlink="">
      <xdr:nvSpPr>
        <xdr:cNvPr id="543" name="89"/>
        <xdr:cNvSpPr/>
      </xdr:nvSpPr>
      <xdr:spPr>
        <a:xfrm>
          <a:off x="8423366" y="14199870"/>
          <a:ext cx="519266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92</xdr:row>
      <xdr:rowOff>76200</xdr:rowOff>
    </xdr:from>
    <xdr:to>
      <xdr:col>42</xdr:col>
      <xdr:colOff>41366</xdr:colOff>
      <xdr:row>92</xdr:row>
      <xdr:rowOff>76200</xdr:rowOff>
    </xdr:to>
    <xdr:cxnSp macro="">
      <xdr:nvCxnSpPr>
        <xdr:cNvPr id="544" name="직선 화살표 연결선 543"/>
        <xdr:cNvCxnSpPr/>
      </xdr:nvCxnSpPr>
      <xdr:spPr>
        <a:xfrm>
          <a:off x="8423366" y="14257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82732</xdr:colOff>
      <xdr:row>91</xdr:row>
      <xdr:rowOff>19050</xdr:rowOff>
    </xdr:from>
    <xdr:to>
      <xdr:col>81</xdr:col>
      <xdr:colOff>1269</xdr:colOff>
      <xdr:row>91</xdr:row>
      <xdr:rowOff>133350</xdr:rowOff>
    </xdr:to>
    <xdr:sp macro="" textlink="">
      <xdr:nvSpPr>
        <xdr:cNvPr id="545" name="88"/>
        <xdr:cNvSpPr/>
      </xdr:nvSpPr>
      <xdr:spPr>
        <a:xfrm>
          <a:off x="13821592" y="14047470"/>
          <a:ext cx="2080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82732</xdr:colOff>
      <xdr:row>91</xdr:row>
      <xdr:rowOff>76200</xdr:rowOff>
    </xdr:from>
    <xdr:to>
      <xdr:col>79</xdr:col>
      <xdr:colOff>82732</xdr:colOff>
      <xdr:row>91</xdr:row>
      <xdr:rowOff>76200</xdr:rowOff>
    </xdr:to>
    <xdr:cxnSp macro="">
      <xdr:nvCxnSpPr>
        <xdr:cNvPr id="546" name="직선 화살표 연결선 545"/>
        <xdr:cNvCxnSpPr/>
      </xdr:nvCxnSpPr>
      <xdr:spPr>
        <a:xfrm>
          <a:off x="13821592" y="14104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41366</xdr:colOff>
      <xdr:row>90</xdr:row>
      <xdr:rowOff>19050</xdr:rowOff>
    </xdr:from>
    <xdr:to>
      <xdr:col>79</xdr:col>
      <xdr:colOff>84002</xdr:colOff>
      <xdr:row>90</xdr:row>
      <xdr:rowOff>133350</xdr:rowOff>
    </xdr:to>
    <xdr:sp macro="" textlink="">
      <xdr:nvSpPr>
        <xdr:cNvPr id="547" name="87"/>
        <xdr:cNvSpPr/>
      </xdr:nvSpPr>
      <xdr:spPr>
        <a:xfrm>
          <a:off x="13201106" y="1389507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41366</xdr:colOff>
      <xdr:row>90</xdr:row>
      <xdr:rowOff>76200</xdr:rowOff>
    </xdr:from>
    <xdr:to>
      <xdr:col>75</xdr:col>
      <xdr:colOff>41366</xdr:colOff>
      <xdr:row>90</xdr:row>
      <xdr:rowOff>76200</xdr:rowOff>
    </xdr:to>
    <xdr:cxnSp macro="">
      <xdr:nvCxnSpPr>
        <xdr:cNvPr id="548" name="직선 화살표 연결선 547"/>
        <xdr:cNvCxnSpPr/>
      </xdr:nvCxnSpPr>
      <xdr:spPr>
        <a:xfrm>
          <a:off x="13201106" y="139522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124097</xdr:colOff>
      <xdr:row>89</xdr:row>
      <xdr:rowOff>19050</xdr:rowOff>
    </xdr:from>
    <xdr:to>
      <xdr:col>78</xdr:col>
      <xdr:colOff>125366</xdr:colOff>
      <xdr:row>89</xdr:row>
      <xdr:rowOff>133350</xdr:rowOff>
    </xdr:to>
    <xdr:sp macro="" textlink="">
      <xdr:nvSpPr>
        <xdr:cNvPr id="549" name="86"/>
        <xdr:cNvSpPr/>
      </xdr:nvSpPr>
      <xdr:spPr>
        <a:xfrm>
          <a:off x="12125597" y="13742670"/>
          <a:ext cx="15938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124097</xdr:colOff>
      <xdr:row>89</xdr:row>
      <xdr:rowOff>76200</xdr:rowOff>
    </xdr:from>
    <xdr:to>
      <xdr:col>67</xdr:col>
      <xdr:colOff>124097</xdr:colOff>
      <xdr:row>89</xdr:row>
      <xdr:rowOff>76200</xdr:rowOff>
    </xdr:to>
    <xdr:cxnSp macro="">
      <xdr:nvCxnSpPr>
        <xdr:cNvPr id="550" name="직선 화살표 연결선 549"/>
        <xdr:cNvCxnSpPr/>
      </xdr:nvCxnSpPr>
      <xdr:spPr>
        <a:xfrm>
          <a:off x="12125597" y="137998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20683</xdr:colOff>
      <xdr:row>88</xdr:row>
      <xdr:rowOff>19050</xdr:rowOff>
    </xdr:from>
    <xdr:to>
      <xdr:col>73</xdr:col>
      <xdr:colOff>104684</xdr:colOff>
      <xdr:row>88</xdr:row>
      <xdr:rowOff>133350</xdr:rowOff>
    </xdr:to>
    <xdr:sp macro="" textlink="">
      <xdr:nvSpPr>
        <xdr:cNvPr id="551" name="85"/>
        <xdr:cNvSpPr/>
      </xdr:nvSpPr>
      <xdr:spPr>
        <a:xfrm>
          <a:off x="11587843" y="13590270"/>
          <a:ext cx="13870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20683</xdr:colOff>
      <xdr:row>88</xdr:row>
      <xdr:rowOff>76200</xdr:rowOff>
    </xdr:from>
    <xdr:to>
      <xdr:col>64</xdr:col>
      <xdr:colOff>20683</xdr:colOff>
      <xdr:row>88</xdr:row>
      <xdr:rowOff>76200</xdr:rowOff>
    </xdr:to>
    <xdr:cxnSp macro="">
      <xdr:nvCxnSpPr>
        <xdr:cNvPr id="552" name="직선 화살표 연결선 551"/>
        <xdr:cNvCxnSpPr/>
      </xdr:nvCxnSpPr>
      <xdr:spPr>
        <a:xfrm>
          <a:off x="11587843" y="136474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103414</xdr:colOff>
      <xdr:row>87</xdr:row>
      <xdr:rowOff>19050</xdr:rowOff>
    </xdr:from>
    <xdr:to>
      <xdr:col>69</xdr:col>
      <xdr:colOff>63318</xdr:colOff>
      <xdr:row>87</xdr:row>
      <xdr:rowOff>133350</xdr:rowOff>
    </xdr:to>
    <xdr:sp macro="" textlink="">
      <xdr:nvSpPr>
        <xdr:cNvPr id="553" name="84"/>
        <xdr:cNvSpPr/>
      </xdr:nvSpPr>
      <xdr:spPr>
        <a:xfrm>
          <a:off x="10946674" y="13437870"/>
          <a:ext cx="140770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103414</xdr:colOff>
      <xdr:row>87</xdr:row>
      <xdr:rowOff>76200</xdr:rowOff>
    </xdr:from>
    <xdr:to>
      <xdr:col>59</xdr:col>
      <xdr:colOff>103414</xdr:colOff>
      <xdr:row>87</xdr:row>
      <xdr:rowOff>76200</xdr:rowOff>
    </xdr:to>
    <xdr:cxnSp macro="">
      <xdr:nvCxnSpPr>
        <xdr:cNvPr id="554" name="직선 화살표 연결선 553"/>
        <xdr:cNvCxnSpPr/>
      </xdr:nvCxnSpPr>
      <xdr:spPr>
        <a:xfrm>
          <a:off x="10946674" y="134950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86</xdr:row>
      <xdr:rowOff>19050</xdr:rowOff>
    </xdr:from>
    <xdr:to>
      <xdr:col>68</xdr:col>
      <xdr:colOff>104684</xdr:colOff>
      <xdr:row>86</xdr:row>
      <xdr:rowOff>133350</xdr:rowOff>
    </xdr:to>
    <xdr:sp macro="" textlink="">
      <xdr:nvSpPr>
        <xdr:cNvPr id="555" name="83"/>
        <xdr:cNvSpPr/>
      </xdr:nvSpPr>
      <xdr:spPr>
        <a:xfrm>
          <a:off x="8423366" y="13285470"/>
          <a:ext cx="3827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86</xdr:row>
      <xdr:rowOff>76200</xdr:rowOff>
    </xdr:from>
    <xdr:to>
      <xdr:col>42</xdr:col>
      <xdr:colOff>41366</xdr:colOff>
      <xdr:row>86</xdr:row>
      <xdr:rowOff>76200</xdr:rowOff>
    </xdr:to>
    <xdr:cxnSp macro="">
      <xdr:nvCxnSpPr>
        <xdr:cNvPr id="556" name="직선 화살표 연결선 555"/>
        <xdr:cNvCxnSpPr/>
      </xdr:nvCxnSpPr>
      <xdr:spPr>
        <a:xfrm>
          <a:off x="8423366" y="1334262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41366</xdr:colOff>
      <xdr:row>85</xdr:row>
      <xdr:rowOff>26670</xdr:rowOff>
    </xdr:from>
    <xdr:to>
      <xdr:col>81</xdr:col>
      <xdr:colOff>1269</xdr:colOff>
      <xdr:row>85</xdr:row>
      <xdr:rowOff>140970</xdr:rowOff>
    </xdr:to>
    <xdr:sp macro="" textlink="">
      <xdr:nvSpPr>
        <xdr:cNvPr id="557" name="0"/>
        <xdr:cNvSpPr/>
      </xdr:nvSpPr>
      <xdr:spPr>
        <a:xfrm>
          <a:off x="8423366" y="13125450"/>
          <a:ext cx="560632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41366</xdr:colOff>
      <xdr:row>85</xdr:row>
      <xdr:rowOff>83820</xdr:rowOff>
    </xdr:from>
    <xdr:to>
      <xdr:col>42</xdr:col>
      <xdr:colOff>41366</xdr:colOff>
      <xdr:row>85</xdr:row>
      <xdr:rowOff>83820</xdr:rowOff>
    </xdr:to>
    <xdr:cxnSp macro="">
      <xdr:nvCxnSpPr>
        <xdr:cNvPr id="558" name="직선 화살표 연결선 557"/>
        <xdr:cNvCxnSpPr/>
      </xdr:nvCxnSpPr>
      <xdr:spPr>
        <a:xfrm>
          <a:off x="8423366" y="1318260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82731</xdr:colOff>
      <xdr:row>84</xdr:row>
      <xdr:rowOff>19050</xdr:rowOff>
    </xdr:from>
    <xdr:to>
      <xdr:col>76</xdr:col>
      <xdr:colOff>104683</xdr:colOff>
      <xdr:row>84</xdr:row>
      <xdr:rowOff>133350</xdr:rowOff>
    </xdr:to>
    <xdr:sp macro="" textlink="">
      <xdr:nvSpPr>
        <xdr:cNvPr id="559" name="81"/>
        <xdr:cNvSpPr/>
      </xdr:nvSpPr>
      <xdr:spPr>
        <a:xfrm>
          <a:off x="13387251" y="12965430"/>
          <a:ext cx="219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82731</xdr:colOff>
      <xdr:row>84</xdr:row>
      <xdr:rowOff>76200</xdr:rowOff>
    </xdr:from>
    <xdr:to>
      <xdr:col>76</xdr:col>
      <xdr:colOff>82731</xdr:colOff>
      <xdr:row>84</xdr:row>
      <xdr:rowOff>76200</xdr:rowOff>
    </xdr:to>
    <xdr:cxnSp macro="">
      <xdr:nvCxnSpPr>
        <xdr:cNvPr id="560" name="직선 화살표 연결선 559"/>
        <xdr:cNvCxnSpPr/>
      </xdr:nvCxnSpPr>
      <xdr:spPr>
        <a:xfrm>
          <a:off x="13387251" y="13022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20682</xdr:colOff>
      <xdr:row>83</xdr:row>
      <xdr:rowOff>19050</xdr:rowOff>
    </xdr:from>
    <xdr:to>
      <xdr:col>82</xdr:col>
      <xdr:colOff>63319</xdr:colOff>
      <xdr:row>83</xdr:row>
      <xdr:rowOff>133350</xdr:rowOff>
    </xdr:to>
    <xdr:sp macro="" textlink="">
      <xdr:nvSpPr>
        <xdr:cNvPr id="561" name="80"/>
        <xdr:cNvSpPr/>
      </xdr:nvSpPr>
      <xdr:spPr>
        <a:xfrm>
          <a:off x="13325202" y="12813030"/>
          <a:ext cx="9113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20682</xdr:colOff>
      <xdr:row>83</xdr:row>
      <xdr:rowOff>76200</xdr:rowOff>
    </xdr:from>
    <xdr:to>
      <xdr:col>76</xdr:col>
      <xdr:colOff>20682</xdr:colOff>
      <xdr:row>83</xdr:row>
      <xdr:rowOff>76200</xdr:rowOff>
    </xdr:to>
    <xdr:cxnSp macro="">
      <xdr:nvCxnSpPr>
        <xdr:cNvPr id="562" name="직선 화살표 연결선 561"/>
        <xdr:cNvCxnSpPr/>
      </xdr:nvCxnSpPr>
      <xdr:spPr>
        <a:xfrm>
          <a:off x="13325202" y="12870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41366</xdr:colOff>
      <xdr:row>82</xdr:row>
      <xdr:rowOff>19050</xdr:rowOff>
    </xdr:from>
    <xdr:to>
      <xdr:col>81</xdr:col>
      <xdr:colOff>63318</xdr:colOff>
      <xdr:row>82</xdr:row>
      <xdr:rowOff>133350</xdr:rowOff>
    </xdr:to>
    <xdr:sp macro="" textlink="">
      <xdr:nvSpPr>
        <xdr:cNvPr id="563" name="79"/>
        <xdr:cNvSpPr/>
      </xdr:nvSpPr>
      <xdr:spPr>
        <a:xfrm>
          <a:off x="13056326" y="12660630"/>
          <a:ext cx="10354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41366</xdr:colOff>
      <xdr:row>82</xdr:row>
      <xdr:rowOff>76200</xdr:rowOff>
    </xdr:from>
    <xdr:to>
      <xdr:col>74</xdr:col>
      <xdr:colOff>41366</xdr:colOff>
      <xdr:row>82</xdr:row>
      <xdr:rowOff>76200</xdr:rowOff>
    </xdr:to>
    <xdr:cxnSp macro="">
      <xdr:nvCxnSpPr>
        <xdr:cNvPr id="564" name="직선 화살표 연결선 563"/>
        <xdr:cNvCxnSpPr/>
      </xdr:nvCxnSpPr>
      <xdr:spPr>
        <a:xfrm>
          <a:off x="13056326" y="12717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41366</xdr:colOff>
      <xdr:row>81</xdr:row>
      <xdr:rowOff>19050</xdr:rowOff>
    </xdr:from>
    <xdr:to>
      <xdr:col>80</xdr:col>
      <xdr:colOff>84000</xdr:colOff>
      <xdr:row>81</xdr:row>
      <xdr:rowOff>133350</xdr:rowOff>
    </xdr:to>
    <xdr:sp macro="" textlink="">
      <xdr:nvSpPr>
        <xdr:cNvPr id="565" name="78"/>
        <xdr:cNvSpPr/>
      </xdr:nvSpPr>
      <xdr:spPr>
        <a:xfrm>
          <a:off x="12911546" y="12508230"/>
          <a:ext cx="105609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41366</xdr:colOff>
      <xdr:row>81</xdr:row>
      <xdr:rowOff>76200</xdr:rowOff>
    </xdr:from>
    <xdr:to>
      <xdr:col>73</xdr:col>
      <xdr:colOff>41366</xdr:colOff>
      <xdr:row>81</xdr:row>
      <xdr:rowOff>76200</xdr:rowOff>
    </xdr:to>
    <xdr:cxnSp macro="">
      <xdr:nvCxnSpPr>
        <xdr:cNvPr id="566" name="직선 화살표 연결선 565"/>
        <xdr:cNvCxnSpPr/>
      </xdr:nvCxnSpPr>
      <xdr:spPr>
        <a:xfrm>
          <a:off x="12911546" y="12565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20683</xdr:colOff>
      <xdr:row>80</xdr:row>
      <xdr:rowOff>19050</xdr:rowOff>
    </xdr:from>
    <xdr:to>
      <xdr:col>77</xdr:col>
      <xdr:colOff>104684</xdr:colOff>
      <xdr:row>80</xdr:row>
      <xdr:rowOff>133350</xdr:rowOff>
    </xdr:to>
    <xdr:sp macro="" textlink="">
      <xdr:nvSpPr>
        <xdr:cNvPr id="567" name="77"/>
        <xdr:cNvSpPr/>
      </xdr:nvSpPr>
      <xdr:spPr>
        <a:xfrm>
          <a:off x="12601303" y="12355830"/>
          <a:ext cx="952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20683</xdr:colOff>
      <xdr:row>80</xdr:row>
      <xdr:rowOff>76200</xdr:rowOff>
    </xdr:from>
    <xdr:to>
      <xdr:col>71</xdr:col>
      <xdr:colOff>20683</xdr:colOff>
      <xdr:row>80</xdr:row>
      <xdr:rowOff>76200</xdr:rowOff>
    </xdr:to>
    <xdr:cxnSp macro="">
      <xdr:nvCxnSpPr>
        <xdr:cNvPr id="568" name="직선 화살표 연결선 567"/>
        <xdr:cNvCxnSpPr/>
      </xdr:nvCxnSpPr>
      <xdr:spPr>
        <a:xfrm>
          <a:off x="12601303" y="12412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79</xdr:row>
      <xdr:rowOff>19050</xdr:rowOff>
    </xdr:from>
    <xdr:to>
      <xdr:col>92</xdr:col>
      <xdr:colOff>63319</xdr:colOff>
      <xdr:row>79</xdr:row>
      <xdr:rowOff>133350</xdr:rowOff>
    </xdr:to>
    <xdr:sp macro="" textlink="">
      <xdr:nvSpPr>
        <xdr:cNvPr id="569" name="76"/>
        <xdr:cNvSpPr/>
      </xdr:nvSpPr>
      <xdr:spPr>
        <a:xfrm>
          <a:off x="14173200" y="12203430"/>
          <a:ext cx="15111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0</xdr:colOff>
      <xdr:row>79</xdr:row>
      <xdr:rowOff>76200</xdr:rowOff>
    </xdr:from>
    <xdr:to>
      <xdr:col>82</xdr:col>
      <xdr:colOff>0</xdr:colOff>
      <xdr:row>79</xdr:row>
      <xdr:rowOff>76200</xdr:rowOff>
    </xdr:to>
    <xdr:cxnSp macro="">
      <xdr:nvCxnSpPr>
        <xdr:cNvPr id="570" name="직선 화살표 연결선 569"/>
        <xdr:cNvCxnSpPr/>
      </xdr:nvCxnSpPr>
      <xdr:spPr>
        <a:xfrm>
          <a:off x="14173200" y="12260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103414</xdr:colOff>
      <xdr:row>78</xdr:row>
      <xdr:rowOff>19050</xdr:rowOff>
    </xdr:from>
    <xdr:to>
      <xdr:col>74</xdr:col>
      <xdr:colOff>1270</xdr:colOff>
      <xdr:row>78</xdr:row>
      <xdr:rowOff>133350</xdr:rowOff>
    </xdr:to>
    <xdr:sp macro="" textlink="">
      <xdr:nvSpPr>
        <xdr:cNvPr id="571" name="75"/>
        <xdr:cNvSpPr/>
      </xdr:nvSpPr>
      <xdr:spPr>
        <a:xfrm>
          <a:off x="11091454" y="12051030"/>
          <a:ext cx="192477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103414</xdr:colOff>
      <xdr:row>78</xdr:row>
      <xdr:rowOff>76200</xdr:rowOff>
    </xdr:from>
    <xdr:to>
      <xdr:col>60</xdr:col>
      <xdr:colOff>103414</xdr:colOff>
      <xdr:row>78</xdr:row>
      <xdr:rowOff>76200</xdr:rowOff>
    </xdr:to>
    <xdr:cxnSp macro="">
      <xdr:nvCxnSpPr>
        <xdr:cNvPr id="572" name="직선 화살표 연결선 571"/>
        <xdr:cNvCxnSpPr/>
      </xdr:nvCxnSpPr>
      <xdr:spPr>
        <a:xfrm>
          <a:off x="11091454" y="12108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103414</xdr:colOff>
      <xdr:row>77</xdr:row>
      <xdr:rowOff>19050</xdr:rowOff>
    </xdr:from>
    <xdr:to>
      <xdr:col>64</xdr:col>
      <xdr:colOff>63319</xdr:colOff>
      <xdr:row>77</xdr:row>
      <xdr:rowOff>133350</xdr:rowOff>
    </xdr:to>
    <xdr:sp macro="" textlink="">
      <xdr:nvSpPr>
        <xdr:cNvPr id="573" name="74"/>
        <xdr:cNvSpPr/>
      </xdr:nvSpPr>
      <xdr:spPr>
        <a:xfrm>
          <a:off x="7906294" y="11898630"/>
          <a:ext cx="37241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38</xdr:col>
      <xdr:colOff>103414</xdr:colOff>
      <xdr:row>77</xdr:row>
      <xdr:rowOff>76200</xdr:rowOff>
    </xdr:from>
    <xdr:to>
      <xdr:col>38</xdr:col>
      <xdr:colOff>103414</xdr:colOff>
      <xdr:row>77</xdr:row>
      <xdr:rowOff>76200</xdr:rowOff>
    </xdr:to>
    <xdr:cxnSp macro="">
      <xdr:nvCxnSpPr>
        <xdr:cNvPr id="574" name="직선 화살표 연결선 573"/>
        <xdr:cNvCxnSpPr/>
      </xdr:nvCxnSpPr>
      <xdr:spPr>
        <a:xfrm>
          <a:off x="7906294" y="11955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103414</xdr:colOff>
      <xdr:row>76</xdr:row>
      <xdr:rowOff>19050</xdr:rowOff>
    </xdr:from>
    <xdr:to>
      <xdr:col>92</xdr:col>
      <xdr:colOff>63319</xdr:colOff>
      <xdr:row>76</xdr:row>
      <xdr:rowOff>133350</xdr:rowOff>
    </xdr:to>
    <xdr:sp macro="" textlink="">
      <xdr:nvSpPr>
        <xdr:cNvPr id="575" name="73"/>
        <xdr:cNvSpPr/>
      </xdr:nvSpPr>
      <xdr:spPr>
        <a:xfrm>
          <a:off x="7906294" y="11746230"/>
          <a:ext cx="777802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38</xdr:col>
      <xdr:colOff>103414</xdr:colOff>
      <xdr:row>76</xdr:row>
      <xdr:rowOff>76200</xdr:rowOff>
    </xdr:from>
    <xdr:to>
      <xdr:col>38</xdr:col>
      <xdr:colOff>103414</xdr:colOff>
      <xdr:row>76</xdr:row>
      <xdr:rowOff>76200</xdr:rowOff>
    </xdr:to>
    <xdr:cxnSp macro="">
      <xdr:nvCxnSpPr>
        <xdr:cNvPr id="576" name="직선 화살표 연결선 575"/>
        <xdr:cNvCxnSpPr/>
      </xdr:nvCxnSpPr>
      <xdr:spPr>
        <a:xfrm>
          <a:off x="7906294" y="11803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103414</xdr:colOff>
      <xdr:row>75</xdr:row>
      <xdr:rowOff>19050</xdr:rowOff>
    </xdr:from>
    <xdr:to>
      <xdr:col>92</xdr:col>
      <xdr:colOff>125368</xdr:colOff>
      <xdr:row>75</xdr:row>
      <xdr:rowOff>133350</xdr:rowOff>
    </xdr:to>
    <xdr:sp macro="" textlink="">
      <xdr:nvSpPr>
        <xdr:cNvPr id="577" name="72"/>
        <xdr:cNvSpPr/>
      </xdr:nvSpPr>
      <xdr:spPr>
        <a:xfrm>
          <a:off x="7906294" y="11593830"/>
          <a:ext cx="784007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38</xdr:col>
      <xdr:colOff>103414</xdr:colOff>
      <xdr:row>75</xdr:row>
      <xdr:rowOff>76200</xdr:rowOff>
    </xdr:from>
    <xdr:to>
      <xdr:col>38</xdr:col>
      <xdr:colOff>103414</xdr:colOff>
      <xdr:row>75</xdr:row>
      <xdr:rowOff>76200</xdr:rowOff>
    </xdr:to>
    <xdr:cxnSp macro="">
      <xdr:nvCxnSpPr>
        <xdr:cNvPr id="578" name="직선 화살표 연결선 577"/>
        <xdr:cNvCxnSpPr/>
      </xdr:nvCxnSpPr>
      <xdr:spPr>
        <a:xfrm>
          <a:off x="7906294" y="11650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20683</xdr:colOff>
      <xdr:row>74</xdr:row>
      <xdr:rowOff>19050</xdr:rowOff>
    </xdr:from>
    <xdr:to>
      <xdr:col>57</xdr:col>
      <xdr:colOff>104684</xdr:colOff>
      <xdr:row>74</xdr:row>
      <xdr:rowOff>133350</xdr:rowOff>
    </xdr:to>
    <xdr:sp macro="" textlink="">
      <xdr:nvSpPr>
        <xdr:cNvPr id="579" name="71"/>
        <xdr:cNvSpPr/>
      </xdr:nvSpPr>
      <xdr:spPr>
        <a:xfrm>
          <a:off x="9705703" y="11441430"/>
          <a:ext cx="952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20683</xdr:colOff>
      <xdr:row>74</xdr:row>
      <xdr:rowOff>76200</xdr:rowOff>
    </xdr:from>
    <xdr:to>
      <xdr:col>51</xdr:col>
      <xdr:colOff>20683</xdr:colOff>
      <xdr:row>74</xdr:row>
      <xdr:rowOff>76200</xdr:rowOff>
    </xdr:to>
    <xdr:cxnSp macro="">
      <xdr:nvCxnSpPr>
        <xdr:cNvPr id="580" name="직선 화살표 연결선 579"/>
        <xdr:cNvCxnSpPr/>
      </xdr:nvCxnSpPr>
      <xdr:spPr>
        <a:xfrm>
          <a:off x="9705703" y="11498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124097</xdr:colOff>
      <xdr:row>73</xdr:row>
      <xdr:rowOff>19050</xdr:rowOff>
    </xdr:from>
    <xdr:to>
      <xdr:col>51</xdr:col>
      <xdr:colOff>21953</xdr:colOff>
      <xdr:row>73</xdr:row>
      <xdr:rowOff>133350</xdr:rowOff>
    </xdr:to>
    <xdr:sp macro="" textlink="">
      <xdr:nvSpPr>
        <xdr:cNvPr id="581" name="70"/>
        <xdr:cNvSpPr/>
      </xdr:nvSpPr>
      <xdr:spPr>
        <a:xfrm>
          <a:off x="9085217" y="1128903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124097</xdr:colOff>
      <xdr:row>73</xdr:row>
      <xdr:rowOff>76200</xdr:rowOff>
    </xdr:from>
    <xdr:to>
      <xdr:col>46</xdr:col>
      <xdr:colOff>124097</xdr:colOff>
      <xdr:row>73</xdr:row>
      <xdr:rowOff>76200</xdr:rowOff>
    </xdr:to>
    <xdr:cxnSp macro="">
      <xdr:nvCxnSpPr>
        <xdr:cNvPr id="582" name="직선 화살표 연결선 581"/>
        <xdr:cNvCxnSpPr/>
      </xdr:nvCxnSpPr>
      <xdr:spPr>
        <a:xfrm>
          <a:off x="9085217" y="11346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72</xdr:row>
      <xdr:rowOff>19050</xdr:rowOff>
    </xdr:from>
    <xdr:to>
      <xdr:col>46</xdr:col>
      <xdr:colOff>125366</xdr:colOff>
      <xdr:row>72</xdr:row>
      <xdr:rowOff>133350</xdr:rowOff>
    </xdr:to>
    <xdr:sp macro="" textlink="">
      <xdr:nvSpPr>
        <xdr:cNvPr id="583" name="69"/>
        <xdr:cNvSpPr/>
      </xdr:nvSpPr>
      <xdr:spPr>
        <a:xfrm>
          <a:off x="8133806" y="11136630"/>
          <a:ext cx="952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72</xdr:row>
      <xdr:rowOff>76200</xdr:rowOff>
    </xdr:from>
    <xdr:to>
      <xdr:col>40</xdr:col>
      <xdr:colOff>41366</xdr:colOff>
      <xdr:row>72</xdr:row>
      <xdr:rowOff>76200</xdr:rowOff>
    </xdr:to>
    <xdr:cxnSp macro="">
      <xdr:nvCxnSpPr>
        <xdr:cNvPr id="584" name="직선 화살표 연결선 583"/>
        <xdr:cNvCxnSpPr/>
      </xdr:nvCxnSpPr>
      <xdr:spPr>
        <a:xfrm>
          <a:off x="8133806" y="11193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71</xdr:row>
      <xdr:rowOff>19050</xdr:rowOff>
    </xdr:from>
    <xdr:to>
      <xdr:col>57</xdr:col>
      <xdr:colOff>104685</xdr:colOff>
      <xdr:row>71</xdr:row>
      <xdr:rowOff>133350</xdr:rowOff>
    </xdr:to>
    <xdr:sp macro="" textlink="">
      <xdr:nvSpPr>
        <xdr:cNvPr id="585" name="68"/>
        <xdr:cNvSpPr/>
      </xdr:nvSpPr>
      <xdr:spPr>
        <a:xfrm>
          <a:off x="8133806" y="10984230"/>
          <a:ext cx="25245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71</xdr:row>
      <xdr:rowOff>76200</xdr:rowOff>
    </xdr:from>
    <xdr:to>
      <xdr:col>40</xdr:col>
      <xdr:colOff>41366</xdr:colOff>
      <xdr:row>71</xdr:row>
      <xdr:rowOff>76200</xdr:rowOff>
    </xdr:to>
    <xdr:cxnSp macro="">
      <xdr:nvCxnSpPr>
        <xdr:cNvPr id="586" name="직선 화살표 연결선 585"/>
        <xdr:cNvCxnSpPr/>
      </xdr:nvCxnSpPr>
      <xdr:spPr>
        <a:xfrm>
          <a:off x="8133806" y="11041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20683</xdr:colOff>
      <xdr:row>70</xdr:row>
      <xdr:rowOff>19050</xdr:rowOff>
    </xdr:from>
    <xdr:to>
      <xdr:col>57</xdr:col>
      <xdr:colOff>104684</xdr:colOff>
      <xdr:row>70</xdr:row>
      <xdr:rowOff>133350</xdr:rowOff>
    </xdr:to>
    <xdr:sp macro="" textlink="">
      <xdr:nvSpPr>
        <xdr:cNvPr id="587" name="67"/>
        <xdr:cNvSpPr/>
      </xdr:nvSpPr>
      <xdr:spPr>
        <a:xfrm>
          <a:off x="10429603" y="1083183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20683</xdr:colOff>
      <xdr:row>70</xdr:row>
      <xdr:rowOff>76200</xdr:rowOff>
    </xdr:from>
    <xdr:to>
      <xdr:col>56</xdr:col>
      <xdr:colOff>20683</xdr:colOff>
      <xdr:row>70</xdr:row>
      <xdr:rowOff>76200</xdr:rowOff>
    </xdr:to>
    <xdr:cxnSp macro="">
      <xdr:nvCxnSpPr>
        <xdr:cNvPr id="588" name="직선 화살표 연결선 587"/>
        <xdr:cNvCxnSpPr/>
      </xdr:nvCxnSpPr>
      <xdr:spPr>
        <a:xfrm>
          <a:off x="10429603" y="10888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69</xdr:row>
      <xdr:rowOff>19050</xdr:rowOff>
    </xdr:from>
    <xdr:to>
      <xdr:col>42</xdr:col>
      <xdr:colOff>63319</xdr:colOff>
      <xdr:row>69</xdr:row>
      <xdr:rowOff>133350</xdr:rowOff>
    </xdr:to>
    <xdr:sp macro="" textlink="">
      <xdr:nvSpPr>
        <xdr:cNvPr id="589" name="66"/>
        <xdr:cNvSpPr/>
      </xdr:nvSpPr>
      <xdr:spPr>
        <a:xfrm>
          <a:off x="7203077" y="10679430"/>
          <a:ext cx="124224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69</xdr:row>
      <xdr:rowOff>76200</xdr:rowOff>
    </xdr:from>
    <xdr:to>
      <xdr:col>33</xdr:col>
      <xdr:colOff>124097</xdr:colOff>
      <xdr:row>69</xdr:row>
      <xdr:rowOff>76200</xdr:rowOff>
    </xdr:to>
    <xdr:cxnSp macro="">
      <xdr:nvCxnSpPr>
        <xdr:cNvPr id="590" name="직선 화살표 연결선 589"/>
        <xdr:cNvCxnSpPr/>
      </xdr:nvCxnSpPr>
      <xdr:spPr>
        <a:xfrm>
          <a:off x="7203077" y="10736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68</xdr:row>
      <xdr:rowOff>19050</xdr:rowOff>
    </xdr:from>
    <xdr:to>
      <xdr:col>57</xdr:col>
      <xdr:colOff>104685</xdr:colOff>
      <xdr:row>68</xdr:row>
      <xdr:rowOff>133350</xdr:rowOff>
    </xdr:to>
    <xdr:sp macro="" textlink="">
      <xdr:nvSpPr>
        <xdr:cNvPr id="591" name="65"/>
        <xdr:cNvSpPr/>
      </xdr:nvSpPr>
      <xdr:spPr>
        <a:xfrm>
          <a:off x="7203077" y="10527030"/>
          <a:ext cx="345530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68</xdr:row>
      <xdr:rowOff>76200</xdr:rowOff>
    </xdr:from>
    <xdr:to>
      <xdr:col>33</xdr:col>
      <xdr:colOff>124097</xdr:colOff>
      <xdr:row>68</xdr:row>
      <xdr:rowOff>76200</xdr:rowOff>
    </xdr:to>
    <xdr:cxnSp macro="">
      <xdr:nvCxnSpPr>
        <xdr:cNvPr id="592" name="직선 화살표 연결선 591"/>
        <xdr:cNvCxnSpPr/>
      </xdr:nvCxnSpPr>
      <xdr:spPr>
        <a:xfrm>
          <a:off x="7203077" y="10584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67</xdr:row>
      <xdr:rowOff>19050</xdr:rowOff>
    </xdr:from>
    <xdr:to>
      <xdr:col>53</xdr:col>
      <xdr:colOff>42636</xdr:colOff>
      <xdr:row>67</xdr:row>
      <xdr:rowOff>133350</xdr:rowOff>
    </xdr:to>
    <xdr:sp macro="" textlink="">
      <xdr:nvSpPr>
        <xdr:cNvPr id="593" name="64"/>
        <xdr:cNvSpPr/>
      </xdr:nvSpPr>
      <xdr:spPr>
        <a:xfrm>
          <a:off x="9395460" y="1037463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0</xdr:colOff>
      <xdr:row>67</xdr:row>
      <xdr:rowOff>76200</xdr:rowOff>
    </xdr:from>
    <xdr:to>
      <xdr:col>49</xdr:col>
      <xdr:colOff>0</xdr:colOff>
      <xdr:row>67</xdr:row>
      <xdr:rowOff>76200</xdr:rowOff>
    </xdr:to>
    <xdr:cxnSp macro="">
      <xdr:nvCxnSpPr>
        <xdr:cNvPr id="594" name="직선 화살표 연결선 593"/>
        <xdr:cNvCxnSpPr/>
      </xdr:nvCxnSpPr>
      <xdr:spPr>
        <a:xfrm>
          <a:off x="9395460" y="10431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103414</xdr:colOff>
      <xdr:row>66</xdr:row>
      <xdr:rowOff>19050</xdr:rowOff>
    </xdr:from>
    <xdr:to>
      <xdr:col>49</xdr:col>
      <xdr:colOff>1270</xdr:colOff>
      <xdr:row>66</xdr:row>
      <xdr:rowOff>133350</xdr:rowOff>
    </xdr:to>
    <xdr:sp macro="" textlink="">
      <xdr:nvSpPr>
        <xdr:cNvPr id="595" name="63"/>
        <xdr:cNvSpPr/>
      </xdr:nvSpPr>
      <xdr:spPr>
        <a:xfrm>
          <a:off x="8774974" y="1022223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103414</xdr:colOff>
      <xdr:row>66</xdr:row>
      <xdr:rowOff>76200</xdr:rowOff>
    </xdr:from>
    <xdr:to>
      <xdr:col>44</xdr:col>
      <xdr:colOff>103414</xdr:colOff>
      <xdr:row>66</xdr:row>
      <xdr:rowOff>76200</xdr:rowOff>
    </xdr:to>
    <xdr:cxnSp macro="">
      <xdr:nvCxnSpPr>
        <xdr:cNvPr id="596" name="직선 화살표 연결선 595"/>
        <xdr:cNvCxnSpPr/>
      </xdr:nvCxnSpPr>
      <xdr:spPr>
        <a:xfrm>
          <a:off x="8774974" y="10279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41365</xdr:colOff>
      <xdr:row>65</xdr:row>
      <xdr:rowOff>19050</xdr:rowOff>
    </xdr:from>
    <xdr:to>
      <xdr:col>44</xdr:col>
      <xdr:colOff>104684</xdr:colOff>
      <xdr:row>65</xdr:row>
      <xdr:rowOff>133350</xdr:rowOff>
    </xdr:to>
    <xdr:sp macro="" textlink="">
      <xdr:nvSpPr>
        <xdr:cNvPr id="597" name="62"/>
        <xdr:cNvSpPr/>
      </xdr:nvSpPr>
      <xdr:spPr>
        <a:xfrm>
          <a:off x="7554685" y="10069830"/>
          <a:ext cx="122155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41365</xdr:colOff>
      <xdr:row>65</xdr:row>
      <xdr:rowOff>76200</xdr:rowOff>
    </xdr:from>
    <xdr:to>
      <xdr:col>36</xdr:col>
      <xdr:colOff>41365</xdr:colOff>
      <xdr:row>65</xdr:row>
      <xdr:rowOff>76200</xdr:rowOff>
    </xdr:to>
    <xdr:cxnSp macro="">
      <xdr:nvCxnSpPr>
        <xdr:cNvPr id="598" name="직선 화살표 연결선 597"/>
        <xdr:cNvCxnSpPr/>
      </xdr:nvCxnSpPr>
      <xdr:spPr>
        <a:xfrm>
          <a:off x="7554685" y="10126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41365</xdr:colOff>
      <xdr:row>64</xdr:row>
      <xdr:rowOff>19050</xdr:rowOff>
    </xdr:from>
    <xdr:to>
      <xdr:col>53</xdr:col>
      <xdr:colOff>42636</xdr:colOff>
      <xdr:row>64</xdr:row>
      <xdr:rowOff>133350</xdr:rowOff>
    </xdr:to>
    <xdr:sp macro="" textlink="">
      <xdr:nvSpPr>
        <xdr:cNvPr id="599" name="61"/>
        <xdr:cNvSpPr/>
      </xdr:nvSpPr>
      <xdr:spPr>
        <a:xfrm>
          <a:off x="7554685" y="9917430"/>
          <a:ext cx="24625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41365</xdr:colOff>
      <xdr:row>64</xdr:row>
      <xdr:rowOff>76200</xdr:rowOff>
    </xdr:from>
    <xdr:to>
      <xdr:col>36</xdr:col>
      <xdr:colOff>41365</xdr:colOff>
      <xdr:row>64</xdr:row>
      <xdr:rowOff>76200</xdr:rowOff>
    </xdr:to>
    <xdr:cxnSp macro="">
      <xdr:nvCxnSpPr>
        <xdr:cNvPr id="600" name="직선 화살표 연결선 599"/>
        <xdr:cNvCxnSpPr/>
      </xdr:nvCxnSpPr>
      <xdr:spPr>
        <a:xfrm>
          <a:off x="7554685" y="9974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124097</xdr:colOff>
      <xdr:row>63</xdr:row>
      <xdr:rowOff>19050</xdr:rowOff>
    </xdr:from>
    <xdr:to>
      <xdr:col>53</xdr:col>
      <xdr:colOff>42636</xdr:colOff>
      <xdr:row>63</xdr:row>
      <xdr:rowOff>133350</xdr:rowOff>
    </xdr:to>
    <xdr:sp macro="" textlink="">
      <xdr:nvSpPr>
        <xdr:cNvPr id="601" name="60"/>
        <xdr:cNvSpPr/>
      </xdr:nvSpPr>
      <xdr:spPr>
        <a:xfrm>
          <a:off x="6913517" y="9765030"/>
          <a:ext cx="31036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124097</xdr:colOff>
      <xdr:row>63</xdr:row>
      <xdr:rowOff>76200</xdr:rowOff>
    </xdr:from>
    <xdr:to>
      <xdr:col>31</xdr:col>
      <xdr:colOff>124097</xdr:colOff>
      <xdr:row>63</xdr:row>
      <xdr:rowOff>76200</xdr:rowOff>
    </xdr:to>
    <xdr:cxnSp macro="">
      <xdr:nvCxnSpPr>
        <xdr:cNvPr id="602" name="직선 화살표 연결선 601"/>
        <xdr:cNvCxnSpPr/>
      </xdr:nvCxnSpPr>
      <xdr:spPr>
        <a:xfrm>
          <a:off x="6913517" y="9822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62</xdr:row>
      <xdr:rowOff>19050</xdr:rowOff>
    </xdr:from>
    <xdr:to>
      <xdr:col>41</xdr:col>
      <xdr:colOff>1269</xdr:colOff>
      <xdr:row>62</xdr:row>
      <xdr:rowOff>133350</xdr:rowOff>
    </xdr:to>
    <xdr:sp macro="" textlink="">
      <xdr:nvSpPr>
        <xdr:cNvPr id="603" name="59"/>
        <xdr:cNvSpPr/>
      </xdr:nvSpPr>
      <xdr:spPr>
        <a:xfrm>
          <a:off x="7203077" y="9612630"/>
          <a:ext cx="10354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62</xdr:row>
      <xdr:rowOff>76200</xdr:rowOff>
    </xdr:from>
    <xdr:to>
      <xdr:col>33</xdr:col>
      <xdr:colOff>124097</xdr:colOff>
      <xdr:row>62</xdr:row>
      <xdr:rowOff>76200</xdr:rowOff>
    </xdr:to>
    <xdr:cxnSp macro="">
      <xdr:nvCxnSpPr>
        <xdr:cNvPr id="604" name="직선 화살표 연결선 603"/>
        <xdr:cNvCxnSpPr/>
      </xdr:nvCxnSpPr>
      <xdr:spPr>
        <a:xfrm>
          <a:off x="7203077" y="9669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124097</xdr:colOff>
      <xdr:row>61</xdr:row>
      <xdr:rowOff>19050</xdr:rowOff>
    </xdr:from>
    <xdr:to>
      <xdr:col>53</xdr:col>
      <xdr:colOff>42636</xdr:colOff>
      <xdr:row>61</xdr:row>
      <xdr:rowOff>133350</xdr:rowOff>
    </xdr:to>
    <xdr:sp macro="" textlink="">
      <xdr:nvSpPr>
        <xdr:cNvPr id="605" name="58"/>
        <xdr:cNvSpPr/>
      </xdr:nvSpPr>
      <xdr:spPr>
        <a:xfrm>
          <a:off x="6913517" y="9460230"/>
          <a:ext cx="31036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124097</xdr:colOff>
      <xdr:row>61</xdr:row>
      <xdr:rowOff>76200</xdr:rowOff>
    </xdr:from>
    <xdr:to>
      <xdr:col>31</xdr:col>
      <xdr:colOff>124097</xdr:colOff>
      <xdr:row>61</xdr:row>
      <xdr:rowOff>76200</xdr:rowOff>
    </xdr:to>
    <xdr:cxnSp macro="">
      <xdr:nvCxnSpPr>
        <xdr:cNvPr id="606" name="직선 화살표 연결선 605"/>
        <xdr:cNvCxnSpPr/>
      </xdr:nvCxnSpPr>
      <xdr:spPr>
        <a:xfrm>
          <a:off x="6913517" y="9517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41365</xdr:colOff>
      <xdr:row>60</xdr:row>
      <xdr:rowOff>19050</xdr:rowOff>
    </xdr:from>
    <xdr:to>
      <xdr:col>62</xdr:col>
      <xdr:colOff>1270</xdr:colOff>
      <xdr:row>60</xdr:row>
      <xdr:rowOff>133350</xdr:rowOff>
    </xdr:to>
    <xdr:sp macro="" textlink="">
      <xdr:nvSpPr>
        <xdr:cNvPr id="607" name="57"/>
        <xdr:cNvSpPr/>
      </xdr:nvSpPr>
      <xdr:spPr>
        <a:xfrm>
          <a:off x="10450285" y="9307830"/>
          <a:ext cx="828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41365</xdr:colOff>
      <xdr:row>60</xdr:row>
      <xdr:rowOff>76200</xdr:rowOff>
    </xdr:from>
    <xdr:to>
      <xdr:col>56</xdr:col>
      <xdr:colOff>41365</xdr:colOff>
      <xdr:row>60</xdr:row>
      <xdr:rowOff>76200</xdr:rowOff>
    </xdr:to>
    <xdr:cxnSp macro="">
      <xdr:nvCxnSpPr>
        <xdr:cNvPr id="608" name="직선 화살표 연결선 607"/>
        <xdr:cNvCxnSpPr/>
      </xdr:nvCxnSpPr>
      <xdr:spPr>
        <a:xfrm>
          <a:off x="10450285" y="9364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62048</xdr:colOff>
      <xdr:row>59</xdr:row>
      <xdr:rowOff>19050</xdr:rowOff>
    </xdr:from>
    <xdr:to>
      <xdr:col>56</xdr:col>
      <xdr:colOff>42635</xdr:colOff>
      <xdr:row>59</xdr:row>
      <xdr:rowOff>133350</xdr:rowOff>
    </xdr:to>
    <xdr:sp macro="" textlink="">
      <xdr:nvSpPr>
        <xdr:cNvPr id="609" name="56"/>
        <xdr:cNvSpPr/>
      </xdr:nvSpPr>
      <xdr:spPr>
        <a:xfrm>
          <a:off x="10036628" y="9155430"/>
          <a:ext cx="4149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62048</xdr:colOff>
      <xdr:row>59</xdr:row>
      <xdr:rowOff>76200</xdr:rowOff>
    </xdr:from>
    <xdr:to>
      <xdr:col>53</xdr:col>
      <xdr:colOff>62048</xdr:colOff>
      <xdr:row>59</xdr:row>
      <xdr:rowOff>76200</xdr:rowOff>
    </xdr:to>
    <xdr:cxnSp macro="">
      <xdr:nvCxnSpPr>
        <xdr:cNvPr id="610" name="직선 화살표 연결선 609"/>
        <xdr:cNvCxnSpPr/>
      </xdr:nvCxnSpPr>
      <xdr:spPr>
        <a:xfrm>
          <a:off x="10036628" y="9212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58</xdr:row>
      <xdr:rowOff>19050</xdr:rowOff>
    </xdr:from>
    <xdr:to>
      <xdr:col>53</xdr:col>
      <xdr:colOff>63319</xdr:colOff>
      <xdr:row>58</xdr:row>
      <xdr:rowOff>133350</xdr:rowOff>
    </xdr:to>
    <xdr:sp macro="" textlink="">
      <xdr:nvSpPr>
        <xdr:cNvPr id="611" name="55"/>
        <xdr:cNvSpPr/>
      </xdr:nvSpPr>
      <xdr:spPr>
        <a:xfrm>
          <a:off x="8133806" y="9003030"/>
          <a:ext cx="19040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58</xdr:row>
      <xdr:rowOff>76200</xdr:rowOff>
    </xdr:from>
    <xdr:to>
      <xdr:col>40</xdr:col>
      <xdr:colOff>41366</xdr:colOff>
      <xdr:row>58</xdr:row>
      <xdr:rowOff>76200</xdr:rowOff>
    </xdr:to>
    <xdr:cxnSp macro="">
      <xdr:nvCxnSpPr>
        <xdr:cNvPr id="612" name="직선 화살표 연결선 611"/>
        <xdr:cNvCxnSpPr/>
      </xdr:nvCxnSpPr>
      <xdr:spPr>
        <a:xfrm>
          <a:off x="8133806" y="9060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57</xdr:row>
      <xdr:rowOff>19050</xdr:rowOff>
    </xdr:from>
    <xdr:to>
      <xdr:col>62</xdr:col>
      <xdr:colOff>1270</xdr:colOff>
      <xdr:row>57</xdr:row>
      <xdr:rowOff>133350</xdr:rowOff>
    </xdr:to>
    <xdr:sp macro="" textlink="">
      <xdr:nvSpPr>
        <xdr:cNvPr id="613" name="54"/>
        <xdr:cNvSpPr/>
      </xdr:nvSpPr>
      <xdr:spPr>
        <a:xfrm>
          <a:off x="8133806" y="8850630"/>
          <a:ext cx="314506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57</xdr:row>
      <xdr:rowOff>76200</xdr:rowOff>
    </xdr:from>
    <xdr:to>
      <xdr:col>40</xdr:col>
      <xdr:colOff>41366</xdr:colOff>
      <xdr:row>57</xdr:row>
      <xdr:rowOff>76200</xdr:rowOff>
    </xdr:to>
    <xdr:cxnSp macro="">
      <xdr:nvCxnSpPr>
        <xdr:cNvPr id="614" name="직선 화살표 연결선 613"/>
        <xdr:cNvCxnSpPr/>
      </xdr:nvCxnSpPr>
      <xdr:spPr>
        <a:xfrm>
          <a:off x="8133806" y="8907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20683</xdr:colOff>
      <xdr:row>56</xdr:row>
      <xdr:rowOff>19050</xdr:rowOff>
    </xdr:from>
    <xdr:to>
      <xdr:col>57</xdr:col>
      <xdr:colOff>104684</xdr:colOff>
      <xdr:row>56</xdr:row>
      <xdr:rowOff>133350</xdr:rowOff>
    </xdr:to>
    <xdr:sp macro="" textlink="">
      <xdr:nvSpPr>
        <xdr:cNvPr id="615" name="53"/>
        <xdr:cNvSpPr/>
      </xdr:nvSpPr>
      <xdr:spPr>
        <a:xfrm>
          <a:off x="10429603" y="869823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20683</xdr:colOff>
      <xdr:row>56</xdr:row>
      <xdr:rowOff>76200</xdr:rowOff>
    </xdr:from>
    <xdr:to>
      <xdr:col>56</xdr:col>
      <xdr:colOff>20683</xdr:colOff>
      <xdr:row>56</xdr:row>
      <xdr:rowOff>76200</xdr:rowOff>
    </xdr:to>
    <xdr:cxnSp macro="">
      <xdr:nvCxnSpPr>
        <xdr:cNvPr id="616" name="직선 화살표 연결선 615"/>
        <xdr:cNvCxnSpPr/>
      </xdr:nvCxnSpPr>
      <xdr:spPr>
        <a:xfrm>
          <a:off x="10429603" y="8755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55</xdr:row>
      <xdr:rowOff>19050</xdr:rowOff>
    </xdr:from>
    <xdr:to>
      <xdr:col>42</xdr:col>
      <xdr:colOff>63319</xdr:colOff>
      <xdr:row>55</xdr:row>
      <xdr:rowOff>133350</xdr:rowOff>
    </xdr:to>
    <xdr:sp macro="" textlink="">
      <xdr:nvSpPr>
        <xdr:cNvPr id="617" name="52"/>
        <xdr:cNvSpPr/>
      </xdr:nvSpPr>
      <xdr:spPr>
        <a:xfrm>
          <a:off x="7203077" y="8545830"/>
          <a:ext cx="124224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55</xdr:row>
      <xdr:rowOff>76200</xdr:rowOff>
    </xdr:from>
    <xdr:to>
      <xdr:col>33</xdr:col>
      <xdr:colOff>124097</xdr:colOff>
      <xdr:row>55</xdr:row>
      <xdr:rowOff>76200</xdr:rowOff>
    </xdr:to>
    <xdr:cxnSp macro="">
      <xdr:nvCxnSpPr>
        <xdr:cNvPr id="618" name="직선 화살표 연결선 617"/>
        <xdr:cNvCxnSpPr/>
      </xdr:nvCxnSpPr>
      <xdr:spPr>
        <a:xfrm>
          <a:off x="7203077" y="8602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54</xdr:row>
      <xdr:rowOff>19050</xdr:rowOff>
    </xdr:from>
    <xdr:to>
      <xdr:col>62</xdr:col>
      <xdr:colOff>1270</xdr:colOff>
      <xdr:row>54</xdr:row>
      <xdr:rowOff>133350</xdr:rowOff>
    </xdr:to>
    <xdr:sp macro="" textlink="">
      <xdr:nvSpPr>
        <xdr:cNvPr id="619" name="51"/>
        <xdr:cNvSpPr/>
      </xdr:nvSpPr>
      <xdr:spPr>
        <a:xfrm>
          <a:off x="7203077" y="8393430"/>
          <a:ext cx="407579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54</xdr:row>
      <xdr:rowOff>76200</xdr:rowOff>
    </xdr:from>
    <xdr:to>
      <xdr:col>33</xdr:col>
      <xdr:colOff>124097</xdr:colOff>
      <xdr:row>54</xdr:row>
      <xdr:rowOff>76200</xdr:rowOff>
    </xdr:to>
    <xdr:cxnSp macro="">
      <xdr:nvCxnSpPr>
        <xdr:cNvPr id="620" name="직선 화살표 연결선 619"/>
        <xdr:cNvCxnSpPr/>
      </xdr:nvCxnSpPr>
      <xdr:spPr>
        <a:xfrm>
          <a:off x="7203077" y="8450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124097</xdr:colOff>
      <xdr:row>53</xdr:row>
      <xdr:rowOff>19050</xdr:rowOff>
    </xdr:from>
    <xdr:to>
      <xdr:col>57</xdr:col>
      <xdr:colOff>104684</xdr:colOff>
      <xdr:row>53</xdr:row>
      <xdr:rowOff>133350</xdr:rowOff>
    </xdr:to>
    <xdr:sp macro="" textlink="">
      <xdr:nvSpPr>
        <xdr:cNvPr id="621" name="50"/>
        <xdr:cNvSpPr/>
      </xdr:nvSpPr>
      <xdr:spPr>
        <a:xfrm>
          <a:off x="9085217" y="8241030"/>
          <a:ext cx="15731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124097</xdr:colOff>
      <xdr:row>53</xdr:row>
      <xdr:rowOff>76200</xdr:rowOff>
    </xdr:from>
    <xdr:to>
      <xdr:col>46</xdr:col>
      <xdr:colOff>124097</xdr:colOff>
      <xdr:row>53</xdr:row>
      <xdr:rowOff>76200</xdr:rowOff>
    </xdr:to>
    <xdr:cxnSp macro="">
      <xdr:nvCxnSpPr>
        <xdr:cNvPr id="622" name="직선 화살표 연결선 621"/>
        <xdr:cNvCxnSpPr/>
      </xdr:nvCxnSpPr>
      <xdr:spPr>
        <a:xfrm>
          <a:off x="9085217" y="8298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103414</xdr:colOff>
      <xdr:row>52</xdr:row>
      <xdr:rowOff>19050</xdr:rowOff>
    </xdr:from>
    <xdr:to>
      <xdr:col>46</xdr:col>
      <xdr:colOff>125366</xdr:colOff>
      <xdr:row>52</xdr:row>
      <xdr:rowOff>133350</xdr:rowOff>
    </xdr:to>
    <xdr:sp macro="" textlink="">
      <xdr:nvSpPr>
        <xdr:cNvPr id="623" name="49"/>
        <xdr:cNvSpPr/>
      </xdr:nvSpPr>
      <xdr:spPr>
        <a:xfrm>
          <a:off x="8774974" y="8088630"/>
          <a:ext cx="3115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103414</xdr:colOff>
      <xdr:row>52</xdr:row>
      <xdr:rowOff>76200</xdr:rowOff>
    </xdr:from>
    <xdr:to>
      <xdr:col>44</xdr:col>
      <xdr:colOff>103414</xdr:colOff>
      <xdr:row>52</xdr:row>
      <xdr:rowOff>76200</xdr:rowOff>
    </xdr:to>
    <xdr:cxnSp macro="">
      <xdr:nvCxnSpPr>
        <xdr:cNvPr id="624" name="직선 화살표 연결선 623"/>
        <xdr:cNvCxnSpPr/>
      </xdr:nvCxnSpPr>
      <xdr:spPr>
        <a:xfrm>
          <a:off x="8774974" y="8145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51</xdr:row>
      <xdr:rowOff>19050</xdr:rowOff>
    </xdr:from>
    <xdr:to>
      <xdr:col>44</xdr:col>
      <xdr:colOff>104684</xdr:colOff>
      <xdr:row>51</xdr:row>
      <xdr:rowOff>133350</xdr:rowOff>
    </xdr:to>
    <xdr:sp macro="" textlink="">
      <xdr:nvSpPr>
        <xdr:cNvPr id="625" name="48"/>
        <xdr:cNvSpPr/>
      </xdr:nvSpPr>
      <xdr:spPr>
        <a:xfrm>
          <a:off x="8133806" y="793623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51</xdr:row>
      <xdr:rowOff>76200</xdr:rowOff>
    </xdr:from>
    <xdr:to>
      <xdr:col>40</xdr:col>
      <xdr:colOff>41366</xdr:colOff>
      <xdr:row>51</xdr:row>
      <xdr:rowOff>76200</xdr:rowOff>
    </xdr:to>
    <xdr:cxnSp macro="">
      <xdr:nvCxnSpPr>
        <xdr:cNvPr id="626" name="직선 화살표 연결선 625"/>
        <xdr:cNvCxnSpPr/>
      </xdr:nvCxnSpPr>
      <xdr:spPr>
        <a:xfrm>
          <a:off x="8133806" y="7993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50</xdr:row>
      <xdr:rowOff>19050</xdr:rowOff>
    </xdr:from>
    <xdr:to>
      <xdr:col>57</xdr:col>
      <xdr:colOff>104685</xdr:colOff>
      <xdr:row>50</xdr:row>
      <xdr:rowOff>133350</xdr:rowOff>
    </xdr:to>
    <xdr:sp macro="" textlink="">
      <xdr:nvSpPr>
        <xdr:cNvPr id="627" name="47"/>
        <xdr:cNvSpPr/>
      </xdr:nvSpPr>
      <xdr:spPr>
        <a:xfrm>
          <a:off x="8133806" y="7783830"/>
          <a:ext cx="25245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50</xdr:row>
      <xdr:rowOff>76200</xdr:rowOff>
    </xdr:from>
    <xdr:to>
      <xdr:col>40</xdr:col>
      <xdr:colOff>41366</xdr:colOff>
      <xdr:row>50</xdr:row>
      <xdr:rowOff>76200</xdr:rowOff>
    </xdr:to>
    <xdr:cxnSp macro="">
      <xdr:nvCxnSpPr>
        <xdr:cNvPr id="628" name="직선 화살표 연결선 627"/>
        <xdr:cNvCxnSpPr/>
      </xdr:nvCxnSpPr>
      <xdr:spPr>
        <a:xfrm>
          <a:off x="8133806" y="7840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20683</xdr:colOff>
      <xdr:row>49</xdr:row>
      <xdr:rowOff>19050</xdr:rowOff>
    </xdr:from>
    <xdr:to>
      <xdr:col>57</xdr:col>
      <xdr:colOff>104684</xdr:colOff>
      <xdr:row>49</xdr:row>
      <xdr:rowOff>133350</xdr:rowOff>
    </xdr:to>
    <xdr:sp macro="" textlink="">
      <xdr:nvSpPr>
        <xdr:cNvPr id="629" name="46"/>
        <xdr:cNvSpPr/>
      </xdr:nvSpPr>
      <xdr:spPr>
        <a:xfrm>
          <a:off x="10429603" y="763143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20683</xdr:colOff>
      <xdr:row>49</xdr:row>
      <xdr:rowOff>76200</xdr:rowOff>
    </xdr:from>
    <xdr:to>
      <xdr:col>56</xdr:col>
      <xdr:colOff>20683</xdr:colOff>
      <xdr:row>49</xdr:row>
      <xdr:rowOff>76200</xdr:rowOff>
    </xdr:to>
    <xdr:cxnSp macro="">
      <xdr:nvCxnSpPr>
        <xdr:cNvPr id="630" name="직선 화살표 연결선 629"/>
        <xdr:cNvCxnSpPr/>
      </xdr:nvCxnSpPr>
      <xdr:spPr>
        <a:xfrm>
          <a:off x="10429603" y="7688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48</xdr:row>
      <xdr:rowOff>19050</xdr:rowOff>
    </xdr:from>
    <xdr:to>
      <xdr:col>42</xdr:col>
      <xdr:colOff>63319</xdr:colOff>
      <xdr:row>48</xdr:row>
      <xdr:rowOff>133350</xdr:rowOff>
    </xdr:to>
    <xdr:sp macro="" textlink="">
      <xdr:nvSpPr>
        <xdr:cNvPr id="631" name="45"/>
        <xdr:cNvSpPr/>
      </xdr:nvSpPr>
      <xdr:spPr>
        <a:xfrm>
          <a:off x="7203077" y="7479030"/>
          <a:ext cx="124224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48</xdr:row>
      <xdr:rowOff>76200</xdr:rowOff>
    </xdr:from>
    <xdr:to>
      <xdr:col>33</xdr:col>
      <xdr:colOff>124097</xdr:colOff>
      <xdr:row>48</xdr:row>
      <xdr:rowOff>76200</xdr:rowOff>
    </xdr:to>
    <xdr:cxnSp macro="">
      <xdr:nvCxnSpPr>
        <xdr:cNvPr id="632" name="직선 화살표 연결선 631"/>
        <xdr:cNvCxnSpPr/>
      </xdr:nvCxnSpPr>
      <xdr:spPr>
        <a:xfrm>
          <a:off x="7203077" y="7536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47</xdr:row>
      <xdr:rowOff>19050</xdr:rowOff>
    </xdr:from>
    <xdr:to>
      <xdr:col>57</xdr:col>
      <xdr:colOff>104685</xdr:colOff>
      <xdr:row>47</xdr:row>
      <xdr:rowOff>133350</xdr:rowOff>
    </xdr:to>
    <xdr:sp macro="" textlink="">
      <xdr:nvSpPr>
        <xdr:cNvPr id="633" name="44"/>
        <xdr:cNvSpPr/>
      </xdr:nvSpPr>
      <xdr:spPr>
        <a:xfrm>
          <a:off x="7203077" y="7326630"/>
          <a:ext cx="345530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47</xdr:row>
      <xdr:rowOff>76200</xdr:rowOff>
    </xdr:from>
    <xdr:to>
      <xdr:col>33</xdr:col>
      <xdr:colOff>124097</xdr:colOff>
      <xdr:row>47</xdr:row>
      <xdr:rowOff>76200</xdr:rowOff>
    </xdr:to>
    <xdr:cxnSp macro="">
      <xdr:nvCxnSpPr>
        <xdr:cNvPr id="634" name="직선 화살표 연결선 633"/>
        <xdr:cNvCxnSpPr/>
      </xdr:nvCxnSpPr>
      <xdr:spPr>
        <a:xfrm>
          <a:off x="7203077" y="7383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46</xdr:row>
      <xdr:rowOff>19050</xdr:rowOff>
    </xdr:from>
    <xdr:to>
      <xdr:col>53</xdr:col>
      <xdr:colOff>42636</xdr:colOff>
      <xdr:row>46</xdr:row>
      <xdr:rowOff>133350</xdr:rowOff>
    </xdr:to>
    <xdr:sp macro="" textlink="">
      <xdr:nvSpPr>
        <xdr:cNvPr id="635" name="43"/>
        <xdr:cNvSpPr/>
      </xdr:nvSpPr>
      <xdr:spPr>
        <a:xfrm>
          <a:off x="9395460" y="717423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0</xdr:colOff>
      <xdr:row>46</xdr:row>
      <xdr:rowOff>76200</xdr:rowOff>
    </xdr:from>
    <xdr:to>
      <xdr:col>49</xdr:col>
      <xdr:colOff>0</xdr:colOff>
      <xdr:row>46</xdr:row>
      <xdr:rowOff>76200</xdr:rowOff>
    </xdr:to>
    <xdr:cxnSp macro="">
      <xdr:nvCxnSpPr>
        <xdr:cNvPr id="636" name="직선 화살표 연결선 635"/>
        <xdr:cNvCxnSpPr/>
      </xdr:nvCxnSpPr>
      <xdr:spPr>
        <a:xfrm>
          <a:off x="9395460" y="7231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103414</xdr:colOff>
      <xdr:row>45</xdr:row>
      <xdr:rowOff>19050</xdr:rowOff>
    </xdr:from>
    <xdr:to>
      <xdr:col>49</xdr:col>
      <xdr:colOff>1270</xdr:colOff>
      <xdr:row>45</xdr:row>
      <xdr:rowOff>133350</xdr:rowOff>
    </xdr:to>
    <xdr:sp macro="" textlink="">
      <xdr:nvSpPr>
        <xdr:cNvPr id="637" name="42"/>
        <xdr:cNvSpPr/>
      </xdr:nvSpPr>
      <xdr:spPr>
        <a:xfrm>
          <a:off x="8774974" y="702183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103414</xdr:colOff>
      <xdr:row>45</xdr:row>
      <xdr:rowOff>76200</xdr:rowOff>
    </xdr:from>
    <xdr:to>
      <xdr:col>44</xdr:col>
      <xdr:colOff>103414</xdr:colOff>
      <xdr:row>45</xdr:row>
      <xdr:rowOff>76200</xdr:rowOff>
    </xdr:to>
    <xdr:cxnSp macro="">
      <xdr:nvCxnSpPr>
        <xdr:cNvPr id="638" name="직선 화살표 연결선 637"/>
        <xdr:cNvCxnSpPr/>
      </xdr:nvCxnSpPr>
      <xdr:spPr>
        <a:xfrm>
          <a:off x="8774974" y="7078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41365</xdr:colOff>
      <xdr:row>44</xdr:row>
      <xdr:rowOff>19050</xdr:rowOff>
    </xdr:from>
    <xdr:to>
      <xdr:col>44</xdr:col>
      <xdr:colOff>104684</xdr:colOff>
      <xdr:row>44</xdr:row>
      <xdr:rowOff>133350</xdr:rowOff>
    </xdr:to>
    <xdr:sp macro="" textlink="">
      <xdr:nvSpPr>
        <xdr:cNvPr id="639" name="41"/>
        <xdr:cNvSpPr/>
      </xdr:nvSpPr>
      <xdr:spPr>
        <a:xfrm>
          <a:off x="7554685" y="6869430"/>
          <a:ext cx="122155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41365</xdr:colOff>
      <xdr:row>44</xdr:row>
      <xdr:rowOff>76200</xdr:rowOff>
    </xdr:from>
    <xdr:to>
      <xdr:col>36</xdr:col>
      <xdr:colOff>41365</xdr:colOff>
      <xdr:row>44</xdr:row>
      <xdr:rowOff>76200</xdr:rowOff>
    </xdr:to>
    <xdr:cxnSp macro="">
      <xdr:nvCxnSpPr>
        <xdr:cNvPr id="640" name="직선 화살표 연결선 639"/>
        <xdr:cNvCxnSpPr/>
      </xdr:nvCxnSpPr>
      <xdr:spPr>
        <a:xfrm>
          <a:off x="7554685" y="6926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41365</xdr:colOff>
      <xdr:row>43</xdr:row>
      <xdr:rowOff>19050</xdr:rowOff>
    </xdr:from>
    <xdr:to>
      <xdr:col>53</xdr:col>
      <xdr:colOff>42636</xdr:colOff>
      <xdr:row>43</xdr:row>
      <xdr:rowOff>133350</xdr:rowOff>
    </xdr:to>
    <xdr:sp macro="" textlink="">
      <xdr:nvSpPr>
        <xdr:cNvPr id="641" name="40"/>
        <xdr:cNvSpPr/>
      </xdr:nvSpPr>
      <xdr:spPr>
        <a:xfrm>
          <a:off x="7554685" y="6717030"/>
          <a:ext cx="24625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41365</xdr:colOff>
      <xdr:row>43</xdr:row>
      <xdr:rowOff>76200</xdr:rowOff>
    </xdr:from>
    <xdr:to>
      <xdr:col>36</xdr:col>
      <xdr:colOff>41365</xdr:colOff>
      <xdr:row>43</xdr:row>
      <xdr:rowOff>76200</xdr:rowOff>
    </xdr:to>
    <xdr:cxnSp macro="">
      <xdr:nvCxnSpPr>
        <xdr:cNvPr id="642" name="직선 화살표 연결선 641"/>
        <xdr:cNvCxnSpPr/>
      </xdr:nvCxnSpPr>
      <xdr:spPr>
        <a:xfrm>
          <a:off x="7554685" y="6774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124097</xdr:colOff>
      <xdr:row>42</xdr:row>
      <xdr:rowOff>19050</xdr:rowOff>
    </xdr:from>
    <xdr:to>
      <xdr:col>53</xdr:col>
      <xdr:colOff>42636</xdr:colOff>
      <xdr:row>42</xdr:row>
      <xdr:rowOff>133350</xdr:rowOff>
    </xdr:to>
    <xdr:sp macro="" textlink="">
      <xdr:nvSpPr>
        <xdr:cNvPr id="643" name="39"/>
        <xdr:cNvSpPr/>
      </xdr:nvSpPr>
      <xdr:spPr>
        <a:xfrm>
          <a:off x="6913517" y="6564630"/>
          <a:ext cx="31036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124097</xdr:colOff>
      <xdr:row>42</xdr:row>
      <xdr:rowOff>76200</xdr:rowOff>
    </xdr:from>
    <xdr:to>
      <xdr:col>31</xdr:col>
      <xdr:colOff>124097</xdr:colOff>
      <xdr:row>42</xdr:row>
      <xdr:rowOff>76200</xdr:rowOff>
    </xdr:to>
    <xdr:cxnSp macro="">
      <xdr:nvCxnSpPr>
        <xdr:cNvPr id="644" name="직선 화살표 연결선 643"/>
        <xdr:cNvCxnSpPr/>
      </xdr:nvCxnSpPr>
      <xdr:spPr>
        <a:xfrm>
          <a:off x="6913517" y="6621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41</xdr:row>
      <xdr:rowOff>19050</xdr:rowOff>
    </xdr:from>
    <xdr:to>
      <xdr:col>41</xdr:col>
      <xdr:colOff>1269</xdr:colOff>
      <xdr:row>41</xdr:row>
      <xdr:rowOff>133350</xdr:rowOff>
    </xdr:to>
    <xdr:sp macro="" textlink="">
      <xdr:nvSpPr>
        <xdr:cNvPr id="645" name="38"/>
        <xdr:cNvSpPr/>
      </xdr:nvSpPr>
      <xdr:spPr>
        <a:xfrm>
          <a:off x="7203077" y="6412230"/>
          <a:ext cx="10354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41</xdr:row>
      <xdr:rowOff>76200</xdr:rowOff>
    </xdr:from>
    <xdr:to>
      <xdr:col>33</xdr:col>
      <xdr:colOff>124097</xdr:colOff>
      <xdr:row>41</xdr:row>
      <xdr:rowOff>76200</xdr:rowOff>
    </xdr:to>
    <xdr:cxnSp macro="">
      <xdr:nvCxnSpPr>
        <xdr:cNvPr id="646" name="직선 화살표 연결선 645"/>
        <xdr:cNvCxnSpPr/>
      </xdr:nvCxnSpPr>
      <xdr:spPr>
        <a:xfrm>
          <a:off x="7203077" y="6469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124097</xdr:colOff>
      <xdr:row>40</xdr:row>
      <xdr:rowOff>19050</xdr:rowOff>
    </xdr:from>
    <xdr:to>
      <xdr:col>53</xdr:col>
      <xdr:colOff>42636</xdr:colOff>
      <xdr:row>40</xdr:row>
      <xdr:rowOff>133350</xdr:rowOff>
    </xdr:to>
    <xdr:sp macro="" textlink="">
      <xdr:nvSpPr>
        <xdr:cNvPr id="647" name="37"/>
        <xdr:cNvSpPr/>
      </xdr:nvSpPr>
      <xdr:spPr>
        <a:xfrm>
          <a:off x="6913517" y="6259830"/>
          <a:ext cx="31036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124097</xdr:colOff>
      <xdr:row>40</xdr:row>
      <xdr:rowOff>76200</xdr:rowOff>
    </xdr:from>
    <xdr:to>
      <xdr:col>31</xdr:col>
      <xdr:colOff>124097</xdr:colOff>
      <xdr:row>40</xdr:row>
      <xdr:rowOff>76200</xdr:rowOff>
    </xdr:to>
    <xdr:cxnSp macro="">
      <xdr:nvCxnSpPr>
        <xdr:cNvPr id="648" name="직선 화살표 연결선 647"/>
        <xdr:cNvCxnSpPr/>
      </xdr:nvCxnSpPr>
      <xdr:spPr>
        <a:xfrm>
          <a:off x="6913517" y="6316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124097</xdr:colOff>
      <xdr:row>39</xdr:row>
      <xdr:rowOff>19050</xdr:rowOff>
    </xdr:from>
    <xdr:to>
      <xdr:col>57</xdr:col>
      <xdr:colOff>104684</xdr:colOff>
      <xdr:row>39</xdr:row>
      <xdr:rowOff>133350</xdr:rowOff>
    </xdr:to>
    <xdr:sp macro="" textlink="">
      <xdr:nvSpPr>
        <xdr:cNvPr id="649" name="36"/>
        <xdr:cNvSpPr/>
      </xdr:nvSpPr>
      <xdr:spPr>
        <a:xfrm>
          <a:off x="9085217" y="6107430"/>
          <a:ext cx="15731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124097</xdr:colOff>
      <xdr:row>39</xdr:row>
      <xdr:rowOff>76200</xdr:rowOff>
    </xdr:from>
    <xdr:to>
      <xdr:col>46</xdr:col>
      <xdr:colOff>124097</xdr:colOff>
      <xdr:row>39</xdr:row>
      <xdr:rowOff>76200</xdr:rowOff>
    </xdr:to>
    <xdr:cxnSp macro="">
      <xdr:nvCxnSpPr>
        <xdr:cNvPr id="650" name="직선 화살표 연결선 649"/>
        <xdr:cNvCxnSpPr/>
      </xdr:nvCxnSpPr>
      <xdr:spPr>
        <a:xfrm>
          <a:off x="9085217" y="6164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103414</xdr:colOff>
      <xdr:row>38</xdr:row>
      <xdr:rowOff>19050</xdr:rowOff>
    </xdr:from>
    <xdr:to>
      <xdr:col>46</xdr:col>
      <xdr:colOff>125366</xdr:colOff>
      <xdr:row>38</xdr:row>
      <xdr:rowOff>133350</xdr:rowOff>
    </xdr:to>
    <xdr:sp macro="" textlink="">
      <xdr:nvSpPr>
        <xdr:cNvPr id="651" name="35"/>
        <xdr:cNvSpPr/>
      </xdr:nvSpPr>
      <xdr:spPr>
        <a:xfrm>
          <a:off x="8774974" y="5955030"/>
          <a:ext cx="3115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103414</xdr:colOff>
      <xdr:row>38</xdr:row>
      <xdr:rowOff>76200</xdr:rowOff>
    </xdr:from>
    <xdr:to>
      <xdr:col>44</xdr:col>
      <xdr:colOff>103414</xdr:colOff>
      <xdr:row>38</xdr:row>
      <xdr:rowOff>76200</xdr:rowOff>
    </xdr:to>
    <xdr:cxnSp macro="">
      <xdr:nvCxnSpPr>
        <xdr:cNvPr id="652" name="직선 화살표 연결선 651"/>
        <xdr:cNvCxnSpPr/>
      </xdr:nvCxnSpPr>
      <xdr:spPr>
        <a:xfrm>
          <a:off x="8774974" y="6012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37</xdr:row>
      <xdr:rowOff>19050</xdr:rowOff>
    </xdr:from>
    <xdr:to>
      <xdr:col>44</xdr:col>
      <xdr:colOff>104684</xdr:colOff>
      <xdr:row>37</xdr:row>
      <xdr:rowOff>133350</xdr:rowOff>
    </xdr:to>
    <xdr:sp macro="" textlink="">
      <xdr:nvSpPr>
        <xdr:cNvPr id="653" name="34"/>
        <xdr:cNvSpPr/>
      </xdr:nvSpPr>
      <xdr:spPr>
        <a:xfrm>
          <a:off x="8133806" y="580263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37</xdr:row>
      <xdr:rowOff>76200</xdr:rowOff>
    </xdr:from>
    <xdr:to>
      <xdr:col>40</xdr:col>
      <xdr:colOff>41366</xdr:colOff>
      <xdr:row>37</xdr:row>
      <xdr:rowOff>76200</xdr:rowOff>
    </xdr:to>
    <xdr:cxnSp macro="">
      <xdr:nvCxnSpPr>
        <xdr:cNvPr id="654" name="직선 화살표 연결선 653"/>
        <xdr:cNvCxnSpPr/>
      </xdr:nvCxnSpPr>
      <xdr:spPr>
        <a:xfrm>
          <a:off x="8133806" y="5859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36</xdr:row>
      <xdr:rowOff>19050</xdr:rowOff>
    </xdr:from>
    <xdr:to>
      <xdr:col>57</xdr:col>
      <xdr:colOff>104685</xdr:colOff>
      <xdr:row>36</xdr:row>
      <xdr:rowOff>133350</xdr:rowOff>
    </xdr:to>
    <xdr:sp macro="" textlink="">
      <xdr:nvSpPr>
        <xdr:cNvPr id="655" name="33"/>
        <xdr:cNvSpPr/>
      </xdr:nvSpPr>
      <xdr:spPr>
        <a:xfrm>
          <a:off x="8133806" y="5650230"/>
          <a:ext cx="25245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36</xdr:row>
      <xdr:rowOff>76200</xdr:rowOff>
    </xdr:from>
    <xdr:to>
      <xdr:col>40</xdr:col>
      <xdr:colOff>41366</xdr:colOff>
      <xdr:row>36</xdr:row>
      <xdr:rowOff>76200</xdr:rowOff>
    </xdr:to>
    <xdr:cxnSp macro="">
      <xdr:nvCxnSpPr>
        <xdr:cNvPr id="656" name="직선 화살표 연결선 655"/>
        <xdr:cNvCxnSpPr/>
      </xdr:nvCxnSpPr>
      <xdr:spPr>
        <a:xfrm>
          <a:off x="8133806" y="5707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20683</xdr:colOff>
      <xdr:row>35</xdr:row>
      <xdr:rowOff>19050</xdr:rowOff>
    </xdr:from>
    <xdr:to>
      <xdr:col>57</xdr:col>
      <xdr:colOff>104684</xdr:colOff>
      <xdr:row>35</xdr:row>
      <xdr:rowOff>133350</xdr:rowOff>
    </xdr:to>
    <xdr:sp macro="" textlink="">
      <xdr:nvSpPr>
        <xdr:cNvPr id="657" name="32"/>
        <xdr:cNvSpPr/>
      </xdr:nvSpPr>
      <xdr:spPr>
        <a:xfrm>
          <a:off x="10429603" y="549783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20683</xdr:colOff>
      <xdr:row>35</xdr:row>
      <xdr:rowOff>76200</xdr:rowOff>
    </xdr:from>
    <xdr:to>
      <xdr:col>56</xdr:col>
      <xdr:colOff>20683</xdr:colOff>
      <xdr:row>35</xdr:row>
      <xdr:rowOff>76200</xdr:rowOff>
    </xdr:to>
    <xdr:cxnSp macro="">
      <xdr:nvCxnSpPr>
        <xdr:cNvPr id="658" name="직선 화살표 연결선 657"/>
        <xdr:cNvCxnSpPr/>
      </xdr:nvCxnSpPr>
      <xdr:spPr>
        <a:xfrm>
          <a:off x="10429603" y="5554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34</xdr:row>
      <xdr:rowOff>19050</xdr:rowOff>
    </xdr:from>
    <xdr:to>
      <xdr:col>42</xdr:col>
      <xdr:colOff>63319</xdr:colOff>
      <xdr:row>34</xdr:row>
      <xdr:rowOff>133350</xdr:rowOff>
    </xdr:to>
    <xdr:sp macro="" textlink="">
      <xdr:nvSpPr>
        <xdr:cNvPr id="659" name="31"/>
        <xdr:cNvSpPr/>
      </xdr:nvSpPr>
      <xdr:spPr>
        <a:xfrm>
          <a:off x="7203077" y="5345430"/>
          <a:ext cx="124224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34</xdr:row>
      <xdr:rowOff>76200</xdr:rowOff>
    </xdr:from>
    <xdr:to>
      <xdr:col>33</xdr:col>
      <xdr:colOff>124097</xdr:colOff>
      <xdr:row>34</xdr:row>
      <xdr:rowOff>76200</xdr:rowOff>
    </xdr:to>
    <xdr:cxnSp macro="">
      <xdr:nvCxnSpPr>
        <xdr:cNvPr id="660" name="직선 화살표 연결선 659"/>
        <xdr:cNvCxnSpPr/>
      </xdr:nvCxnSpPr>
      <xdr:spPr>
        <a:xfrm>
          <a:off x="7203077" y="5402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33</xdr:row>
      <xdr:rowOff>19050</xdr:rowOff>
    </xdr:from>
    <xdr:to>
      <xdr:col>57</xdr:col>
      <xdr:colOff>104685</xdr:colOff>
      <xdr:row>33</xdr:row>
      <xdr:rowOff>133350</xdr:rowOff>
    </xdr:to>
    <xdr:sp macro="" textlink="">
      <xdr:nvSpPr>
        <xdr:cNvPr id="661" name="30"/>
        <xdr:cNvSpPr/>
      </xdr:nvSpPr>
      <xdr:spPr>
        <a:xfrm>
          <a:off x="7203077" y="5193030"/>
          <a:ext cx="345530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33</xdr:row>
      <xdr:rowOff>76200</xdr:rowOff>
    </xdr:from>
    <xdr:to>
      <xdr:col>33</xdr:col>
      <xdr:colOff>124097</xdr:colOff>
      <xdr:row>33</xdr:row>
      <xdr:rowOff>76200</xdr:rowOff>
    </xdr:to>
    <xdr:cxnSp macro="">
      <xdr:nvCxnSpPr>
        <xdr:cNvPr id="662" name="직선 화살표 연결선 661"/>
        <xdr:cNvCxnSpPr/>
      </xdr:nvCxnSpPr>
      <xdr:spPr>
        <a:xfrm>
          <a:off x="7203077" y="5250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82731</xdr:colOff>
      <xdr:row>32</xdr:row>
      <xdr:rowOff>19050</xdr:rowOff>
    </xdr:from>
    <xdr:to>
      <xdr:col>44</xdr:col>
      <xdr:colOff>104684</xdr:colOff>
      <xdr:row>32</xdr:row>
      <xdr:rowOff>133350</xdr:rowOff>
    </xdr:to>
    <xdr:sp macro="" textlink="">
      <xdr:nvSpPr>
        <xdr:cNvPr id="663" name="29"/>
        <xdr:cNvSpPr/>
      </xdr:nvSpPr>
      <xdr:spPr>
        <a:xfrm>
          <a:off x="8319951" y="5040630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82731</xdr:colOff>
      <xdr:row>32</xdr:row>
      <xdr:rowOff>76200</xdr:rowOff>
    </xdr:from>
    <xdr:to>
      <xdr:col>41</xdr:col>
      <xdr:colOff>82731</xdr:colOff>
      <xdr:row>32</xdr:row>
      <xdr:rowOff>76200</xdr:rowOff>
    </xdr:to>
    <xdr:cxnSp macro="">
      <xdr:nvCxnSpPr>
        <xdr:cNvPr id="664" name="직선 화살표 연결선 663"/>
        <xdr:cNvCxnSpPr/>
      </xdr:nvCxnSpPr>
      <xdr:spPr>
        <a:xfrm>
          <a:off x="8319951" y="5097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82731</xdr:colOff>
      <xdr:row>31</xdr:row>
      <xdr:rowOff>19050</xdr:rowOff>
    </xdr:from>
    <xdr:to>
      <xdr:col>44</xdr:col>
      <xdr:colOff>104684</xdr:colOff>
      <xdr:row>31</xdr:row>
      <xdr:rowOff>133350</xdr:rowOff>
    </xdr:to>
    <xdr:sp macro="" textlink="">
      <xdr:nvSpPr>
        <xdr:cNvPr id="665" name="28"/>
        <xdr:cNvSpPr/>
      </xdr:nvSpPr>
      <xdr:spPr>
        <a:xfrm>
          <a:off x="8319951" y="4888230"/>
          <a:ext cx="4562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82731</xdr:colOff>
      <xdr:row>31</xdr:row>
      <xdr:rowOff>76200</xdr:rowOff>
    </xdr:from>
    <xdr:to>
      <xdr:col>41</xdr:col>
      <xdr:colOff>82731</xdr:colOff>
      <xdr:row>31</xdr:row>
      <xdr:rowOff>76200</xdr:rowOff>
    </xdr:to>
    <xdr:cxnSp macro="">
      <xdr:nvCxnSpPr>
        <xdr:cNvPr id="666" name="직선 화살표 연결선 665"/>
        <xdr:cNvCxnSpPr/>
      </xdr:nvCxnSpPr>
      <xdr:spPr>
        <a:xfrm>
          <a:off x="8319951" y="4945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82731</xdr:colOff>
      <xdr:row>30</xdr:row>
      <xdr:rowOff>19050</xdr:rowOff>
    </xdr:from>
    <xdr:to>
      <xdr:col>46</xdr:col>
      <xdr:colOff>21953</xdr:colOff>
      <xdr:row>30</xdr:row>
      <xdr:rowOff>133350</xdr:rowOff>
    </xdr:to>
    <xdr:sp macro="" textlink="">
      <xdr:nvSpPr>
        <xdr:cNvPr id="667" name="27"/>
        <xdr:cNvSpPr/>
      </xdr:nvSpPr>
      <xdr:spPr>
        <a:xfrm>
          <a:off x="8319951" y="4735830"/>
          <a:ext cx="6631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82731</xdr:colOff>
      <xdr:row>30</xdr:row>
      <xdr:rowOff>76200</xdr:rowOff>
    </xdr:from>
    <xdr:to>
      <xdr:col>41</xdr:col>
      <xdr:colOff>82731</xdr:colOff>
      <xdr:row>30</xdr:row>
      <xdr:rowOff>76200</xdr:rowOff>
    </xdr:to>
    <xdr:cxnSp macro="">
      <xdr:nvCxnSpPr>
        <xdr:cNvPr id="668" name="직선 화살표 연결선 667"/>
        <xdr:cNvCxnSpPr/>
      </xdr:nvCxnSpPr>
      <xdr:spPr>
        <a:xfrm>
          <a:off x="8319951" y="4792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82731</xdr:colOff>
      <xdr:row>29</xdr:row>
      <xdr:rowOff>19050</xdr:rowOff>
    </xdr:from>
    <xdr:to>
      <xdr:col>46</xdr:col>
      <xdr:colOff>21953</xdr:colOff>
      <xdr:row>29</xdr:row>
      <xdr:rowOff>133350</xdr:rowOff>
    </xdr:to>
    <xdr:sp macro="" textlink="">
      <xdr:nvSpPr>
        <xdr:cNvPr id="669" name="26"/>
        <xdr:cNvSpPr/>
      </xdr:nvSpPr>
      <xdr:spPr>
        <a:xfrm>
          <a:off x="8319951" y="4583430"/>
          <a:ext cx="66312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82731</xdr:colOff>
      <xdr:row>29</xdr:row>
      <xdr:rowOff>76200</xdr:rowOff>
    </xdr:from>
    <xdr:to>
      <xdr:col>41</xdr:col>
      <xdr:colOff>82731</xdr:colOff>
      <xdr:row>29</xdr:row>
      <xdr:rowOff>76200</xdr:rowOff>
    </xdr:to>
    <xdr:cxnSp macro="">
      <xdr:nvCxnSpPr>
        <xdr:cNvPr id="670" name="직선 화살표 연결선 669"/>
        <xdr:cNvCxnSpPr/>
      </xdr:nvCxnSpPr>
      <xdr:spPr>
        <a:xfrm>
          <a:off x="8319951" y="4640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103414</xdr:colOff>
      <xdr:row>28</xdr:row>
      <xdr:rowOff>19050</xdr:rowOff>
    </xdr:from>
    <xdr:to>
      <xdr:col>49</xdr:col>
      <xdr:colOff>1270</xdr:colOff>
      <xdr:row>28</xdr:row>
      <xdr:rowOff>133350</xdr:rowOff>
    </xdr:to>
    <xdr:sp macro="" textlink="">
      <xdr:nvSpPr>
        <xdr:cNvPr id="671" name="25"/>
        <xdr:cNvSpPr/>
      </xdr:nvSpPr>
      <xdr:spPr>
        <a:xfrm>
          <a:off x="9064534" y="4431030"/>
          <a:ext cx="3321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103414</xdr:colOff>
      <xdr:row>28</xdr:row>
      <xdr:rowOff>76200</xdr:rowOff>
    </xdr:from>
    <xdr:to>
      <xdr:col>46</xdr:col>
      <xdr:colOff>103414</xdr:colOff>
      <xdr:row>28</xdr:row>
      <xdr:rowOff>76200</xdr:rowOff>
    </xdr:to>
    <xdr:cxnSp macro="">
      <xdr:nvCxnSpPr>
        <xdr:cNvPr id="672" name="직선 화살표 연결선 671"/>
        <xdr:cNvCxnSpPr/>
      </xdr:nvCxnSpPr>
      <xdr:spPr>
        <a:xfrm>
          <a:off x="9064534" y="4488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27</xdr:row>
      <xdr:rowOff>19050</xdr:rowOff>
    </xdr:from>
    <xdr:to>
      <xdr:col>42</xdr:col>
      <xdr:colOff>63319</xdr:colOff>
      <xdr:row>27</xdr:row>
      <xdr:rowOff>133350</xdr:rowOff>
    </xdr:to>
    <xdr:sp macro="" textlink="">
      <xdr:nvSpPr>
        <xdr:cNvPr id="673" name="24"/>
        <xdr:cNvSpPr/>
      </xdr:nvSpPr>
      <xdr:spPr>
        <a:xfrm>
          <a:off x="7203077" y="4278630"/>
          <a:ext cx="124224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27</xdr:row>
      <xdr:rowOff>76200</xdr:rowOff>
    </xdr:from>
    <xdr:to>
      <xdr:col>33</xdr:col>
      <xdr:colOff>124097</xdr:colOff>
      <xdr:row>27</xdr:row>
      <xdr:rowOff>76200</xdr:rowOff>
    </xdr:to>
    <xdr:cxnSp macro="">
      <xdr:nvCxnSpPr>
        <xdr:cNvPr id="674" name="직선 화살표 연결선 673"/>
        <xdr:cNvCxnSpPr/>
      </xdr:nvCxnSpPr>
      <xdr:spPr>
        <a:xfrm>
          <a:off x="7203077" y="4335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26</xdr:row>
      <xdr:rowOff>19050</xdr:rowOff>
    </xdr:from>
    <xdr:to>
      <xdr:col>49</xdr:col>
      <xdr:colOff>1270</xdr:colOff>
      <xdr:row>26</xdr:row>
      <xdr:rowOff>133350</xdr:rowOff>
    </xdr:to>
    <xdr:sp macro="" textlink="">
      <xdr:nvSpPr>
        <xdr:cNvPr id="675" name="23"/>
        <xdr:cNvSpPr/>
      </xdr:nvSpPr>
      <xdr:spPr>
        <a:xfrm>
          <a:off x="7203077" y="4126230"/>
          <a:ext cx="219365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26</xdr:row>
      <xdr:rowOff>76200</xdr:rowOff>
    </xdr:from>
    <xdr:to>
      <xdr:col>33</xdr:col>
      <xdr:colOff>124097</xdr:colOff>
      <xdr:row>26</xdr:row>
      <xdr:rowOff>76200</xdr:rowOff>
    </xdr:to>
    <xdr:cxnSp macro="">
      <xdr:nvCxnSpPr>
        <xdr:cNvPr id="676" name="직선 화살표 연결선 675"/>
        <xdr:cNvCxnSpPr/>
      </xdr:nvCxnSpPr>
      <xdr:spPr>
        <a:xfrm>
          <a:off x="7203077" y="4183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124097</xdr:colOff>
      <xdr:row>25</xdr:row>
      <xdr:rowOff>19050</xdr:rowOff>
    </xdr:from>
    <xdr:to>
      <xdr:col>57</xdr:col>
      <xdr:colOff>104684</xdr:colOff>
      <xdr:row>25</xdr:row>
      <xdr:rowOff>133350</xdr:rowOff>
    </xdr:to>
    <xdr:sp macro="" textlink="">
      <xdr:nvSpPr>
        <xdr:cNvPr id="677" name="22"/>
        <xdr:cNvSpPr/>
      </xdr:nvSpPr>
      <xdr:spPr>
        <a:xfrm>
          <a:off x="9085217" y="3973830"/>
          <a:ext cx="15731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124097</xdr:colOff>
      <xdr:row>25</xdr:row>
      <xdr:rowOff>76200</xdr:rowOff>
    </xdr:from>
    <xdr:to>
      <xdr:col>46</xdr:col>
      <xdr:colOff>124097</xdr:colOff>
      <xdr:row>25</xdr:row>
      <xdr:rowOff>76200</xdr:rowOff>
    </xdr:to>
    <xdr:cxnSp macro="">
      <xdr:nvCxnSpPr>
        <xdr:cNvPr id="678" name="직선 화살표 연결선 677"/>
        <xdr:cNvCxnSpPr/>
      </xdr:nvCxnSpPr>
      <xdr:spPr>
        <a:xfrm>
          <a:off x="9085217" y="4030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103414</xdr:colOff>
      <xdr:row>24</xdr:row>
      <xdr:rowOff>19050</xdr:rowOff>
    </xdr:from>
    <xdr:to>
      <xdr:col>46</xdr:col>
      <xdr:colOff>125366</xdr:colOff>
      <xdr:row>24</xdr:row>
      <xdr:rowOff>133350</xdr:rowOff>
    </xdr:to>
    <xdr:sp macro="" textlink="">
      <xdr:nvSpPr>
        <xdr:cNvPr id="679" name="21"/>
        <xdr:cNvSpPr/>
      </xdr:nvSpPr>
      <xdr:spPr>
        <a:xfrm>
          <a:off x="8774974" y="3821430"/>
          <a:ext cx="3115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103414</xdr:colOff>
      <xdr:row>24</xdr:row>
      <xdr:rowOff>76200</xdr:rowOff>
    </xdr:from>
    <xdr:to>
      <xdr:col>44</xdr:col>
      <xdr:colOff>103414</xdr:colOff>
      <xdr:row>24</xdr:row>
      <xdr:rowOff>76200</xdr:rowOff>
    </xdr:to>
    <xdr:cxnSp macro="">
      <xdr:nvCxnSpPr>
        <xdr:cNvPr id="680" name="직선 화살표 연결선 679"/>
        <xdr:cNvCxnSpPr/>
      </xdr:nvCxnSpPr>
      <xdr:spPr>
        <a:xfrm>
          <a:off x="8774974" y="3878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23</xdr:row>
      <xdr:rowOff>19050</xdr:rowOff>
    </xdr:from>
    <xdr:to>
      <xdr:col>44</xdr:col>
      <xdr:colOff>104684</xdr:colOff>
      <xdr:row>23</xdr:row>
      <xdr:rowOff>133350</xdr:rowOff>
    </xdr:to>
    <xdr:sp macro="" textlink="">
      <xdr:nvSpPr>
        <xdr:cNvPr id="681" name="20"/>
        <xdr:cNvSpPr/>
      </xdr:nvSpPr>
      <xdr:spPr>
        <a:xfrm>
          <a:off x="8133806" y="366903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23</xdr:row>
      <xdr:rowOff>76200</xdr:rowOff>
    </xdr:from>
    <xdr:to>
      <xdr:col>40</xdr:col>
      <xdr:colOff>41366</xdr:colOff>
      <xdr:row>23</xdr:row>
      <xdr:rowOff>76200</xdr:rowOff>
    </xdr:to>
    <xdr:cxnSp macro="">
      <xdr:nvCxnSpPr>
        <xdr:cNvPr id="682" name="직선 화살표 연결선 681"/>
        <xdr:cNvCxnSpPr/>
      </xdr:nvCxnSpPr>
      <xdr:spPr>
        <a:xfrm>
          <a:off x="8133806" y="3726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22</xdr:row>
      <xdr:rowOff>19050</xdr:rowOff>
    </xdr:from>
    <xdr:to>
      <xdr:col>57</xdr:col>
      <xdr:colOff>104685</xdr:colOff>
      <xdr:row>22</xdr:row>
      <xdr:rowOff>133350</xdr:rowOff>
    </xdr:to>
    <xdr:sp macro="" textlink="">
      <xdr:nvSpPr>
        <xdr:cNvPr id="683" name="19"/>
        <xdr:cNvSpPr/>
      </xdr:nvSpPr>
      <xdr:spPr>
        <a:xfrm>
          <a:off x="8133806" y="3516630"/>
          <a:ext cx="25245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22</xdr:row>
      <xdr:rowOff>76200</xdr:rowOff>
    </xdr:from>
    <xdr:to>
      <xdr:col>40</xdr:col>
      <xdr:colOff>41366</xdr:colOff>
      <xdr:row>22</xdr:row>
      <xdr:rowOff>76200</xdr:rowOff>
    </xdr:to>
    <xdr:cxnSp macro="">
      <xdr:nvCxnSpPr>
        <xdr:cNvPr id="684" name="직선 화살표 연결선 683"/>
        <xdr:cNvCxnSpPr/>
      </xdr:nvCxnSpPr>
      <xdr:spPr>
        <a:xfrm>
          <a:off x="8133806" y="3573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20683</xdr:colOff>
      <xdr:row>21</xdr:row>
      <xdr:rowOff>19050</xdr:rowOff>
    </xdr:from>
    <xdr:to>
      <xdr:col>57</xdr:col>
      <xdr:colOff>104684</xdr:colOff>
      <xdr:row>21</xdr:row>
      <xdr:rowOff>133350</xdr:rowOff>
    </xdr:to>
    <xdr:sp macro="" textlink="">
      <xdr:nvSpPr>
        <xdr:cNvPr id="685" name="18"/>
        <xdr:cNvSpPr/>
      </xdr:nvSpPr>
      <xdr:spPr>
        <a:xfrm>
          <a:off x="10429603" y="336423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20683</xdr:colOff>
      <xdr:row>21</xdr:row>
      <xdr:rowOff>76200</xdr:rowOff>
    </xdr:from>
    <xdr:to>
      <xdr:col>56</xdr:col>
      <xdr:colOff>20683</xdr:colOff>
      <xdr:row>21</xdr:row>
      <xdr:rowOff>76200</xdr:rowOff>
    </xdr:to>
    <xdr:cxnSp macro="">
      <xdr:nvCxnSpPr>
        <xdr:cNvPr id="686" name="직선 화살표 연결선 685"/>
        <xdr:cNvCxnSpPr/>
      </xdr:nvCxnSpPr>
      <xdr:spPr>
        <a:xfrm>
          <a:off x="10429603" y="3421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20</xdr:row>
      <xdr:rowOff>19050</xdr:rowOff>
    </xdr:from>
    <xdr:to>
      <xdr:col>42</xdr:col>
      <xdr:colOff>63319</xdr:colOff>
      <xdr:row>20</xdr:row>
      <xdr:rowOff>133350</xdr:rowOff>
    </xdr:to>
    <xdr:sp macro="" textlink="">
      <xdr:nvSpPr>
        <xdr:cNvPr id="687" name="17"/>
        <xdr:cNvSpPr/>
      </xdr:nvSpPr>
      <xdr:spPr>
        <a:xfrm>
          <a:off x="7203077" y="3211830"/>
          <a:ext cx="124224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20</xdr:row>
      <xdr:rowOff>76200</xdr:rowOff>
    </xdr:from>
    <xdr:to>
      <xdr:col>33</xdr:col>
      <xdr:colOff>124097</xdr:colOff>
      <xdr:row>20</xdr:row>
      <xdr:rowOff>76200</xdr:rowOff>
    </xdr:to>
    <xdr:cxnSp macro="">
      <xdr:nvCxnSpPr>
        <xdr:cNvPr id="688" name="직선 화살표 연결선 687"/>
        <xdr:cNvCxnSpPr/>
      </xdr:nvCxnSpPr>
      <xdr:spPr>
        <a:xfrm>
          <a:off x="7203077" y="3268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19</xdr:row>
      <xdr:rowOff>19050</xdr:rowOff>
    </xdr:from>
    <xdr:to>
      <xdr:col>57</xdr:col>
      <xdr:colOff>104685</xdr:colOff>
      <xdr:row>19</xdr:row>
      <xdr:rowOff>133350</xdr:rowOff>
    </xdr:to>
    <xdr:sp macro="" textlink="">
      <xdr:nvSpPr>
        <xdr:cNvPr id="689" name="16"/>
        <xdr:cNvSpPr/>
      </xdr:nvSpPr>
      <xdr:spPr>
        <a:xfrm>
          <a:off x="7203077" y="3059430"/>
          <a:ext cx="345530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19</xdr:row>
      <xdr:rowOff>76200</xdr:rowOff>
    </xdr:from>
    <xdr:to>
      <xdr:col>33</xdr:col>
      <xdr:colOff>124097</xdr:colOff>
      <xdr:row>19</xdr:row>
      <xdr:rowOff>76200</xdr:rowOff>
    </xdr:to>
    <xdr:cxnSp macro="">
      <xdr:nvCxnSpPr>
        <xdr:cNvPr id="690" name="직선 화살표 연결선 689"/>
        <xdr:cNvCxnSpPr/>
      </xdr:nvCxnSpPr>
      <xdr:spPr>
        <a:xfrm>
          <a:off x="7203077" y="3116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124097</xdr:colOff>
      <xdr:row>18</xdr:row>
      <xdr:rowOff>19050</xdr:rowOff>
    </xdr:from>
    <xdr:to>
      <xdr:col>57</xdr:col>
      <xdr:colOff>104684</xdr:colOff>
      <xdr:row>18</xdr:row>
      <xdr:rowOff>133350</xdr:rowOff>
    </xdr:to>
    <xdr:sp macro="" textlink="">
      <xdr:nvSpPr>
        <xdr:cNvPr id="691" name="15"/>
        <xdr:cNvSpPr/>
      </xdr:nvSpPr>
      <xdr:spPr>
        <a:xfrm>
          <a:off x="9085217" y="2907030"/>
          <a:ext cx="15731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124097</xdr:colOff>
      <xdr:row>18</xdr:row>
      <xdr:rowOff>76200</xdr:rowOff>
    </xdr:from>
    <xdr:to>
      <xdr:col>46</xdr:col>
      <xdr:colOff>124097</xdr:colOff>
      <xdr:row>18</xdr:row>
      <xdr:rowOff>76200</xdr:rowOff>
    </xdr:to>
    <xdr:cxnSp macro="">
      <xdr:nvCxnSpPr>
        <xdr:cNvPr id="692" name="직선 화살표 연결선 691"/>
        <xdr:cNvCxnSpPr/>
      </xdr:nvCxnSpPr>
      <xdr:spPr>
        <a:xfrm>
          <a:off x="9085217" y="2964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103414</xdr:colOff>
      <xdr:row>17</xdr:row>
      <xdr:rowOff>19050</xdr:rowOff>
    </xdr:from>
    <xdr:to>
      <xdr:col>46</xdr:col>
      <xdr:colOff>125366</xdr:colOff>
      <xdr:row>17</xdr:row>
      <xdr:rowOff>133350</xdr:rowOff>
    </xdr:to>
    <xdr:sp macro="" textlink="">
      <xdr:nvSpPr>
        <xdr:cNvPr id="693" name="14"/>
        <xdr:cNvSpPr/>
      </xdr:nvSpPr>
      <xdr:spPr>
        <a:xfrm>
          <a:off x="8774974" y="2754630"/>
          <a:ext cx="3115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103414</xdr:colOff>
      <xdr:row>17</xdr:row>
      <xdr:rowOff>76200</xdr:rowOff>
    </xdr:from>
    <xdr:to>
      <xdr:col>44</xdr:col>
      <xdr:colOff>103414</xdr:colOff>
      <xdr:row>17</xdr:row>
      <xdr:rowOff>76200</xdr:rowOff>
    </xdr:to>
    <xdr:cxnSp macro="">
      <xdr:nvCxnSpPr>
        <xdr:cNvPr id="694" name="직선 화살표 연결선 693"/>
        <xdr:cNvCxnSpPr/>
      </xdr:nvCxnSpPr>
      <xdr:spPr>
        <a:xfrm>
          <a:off x="8774974" y="2811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16</xdr:row>
      <xdr:rowOff>19050</xdr:rowOff>
    </xdr:from>
    <xdr:to>
      <xdr:col>44</xdr:col>
      <xdr:colOff>104684</xdr:colOff>
      <xdr:row>16</xdr:row>
      <xdr:rowOff>133350</xdr:rowOff>
    </xdr:to>
    <xdr:sp macro="" textlink="">
      <xdr:nvSpPr>
        <xdr:cNvPr id="695" name="13"/>
        <xdr:cNvSpPr/>
      </xdr:nvSpPr>
      <xdr:spPr>
        <a:xfrm>
          <a:off x="8133806" y="2602230"/>
          <a:ext cx="6424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16</xdr:row>
      <xdr:rowOff>76200</xdr:rowOff>
    </xdr:from>
    <xdr:to>
      <xdr:col>40</xdr:col>
      <xdr:colOff>41366</xdr:colOff>
      <xdr:row>16</xdr:row>
      <xdr:rowOff>76200</xdr:rowOff>
    </xdr:to>
    <xdr:cxnSp macro="">
      <xdr:nvCxnSpPr>
        <xdr:cNvPr id="696" name="직선 화살표 연결선 695"/>
        <xdr:cNvCxnSpPr/>
      </xdr:nvCxnSpPr>
      <xdr:spPr>
        <a:xfrm>
          <a:off x="8133806" y="2659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41366</xdr:colOff>
      <xdr:row>15</xdr:row>
      <xdr:rowOff>19050</xdr:rowOff>
    </xdr:from>
    <xdr:to>
      <xdr:col>57</xdr:col>
      <xdr:colOff>104685</xdr:colOff>
      <xdr:row>15</xdr:row>
      <xdr:rowOff>133350</xdr:rowOff>
    </xdr:to>
    <xdr:sp macro="" textlink="">
      <xdr:nvSpPr>
        <xdr:cNvPr id="697" name="12"/>
        <xdr:cNvSpPr/>
      </xdr:nvSpPr>
      <xdr:spPr>
        <a:xfrm>
          <a:off x="8133806" y="2449830"/>
          <a:ext cx="25245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41366</xdr:colOff>
      <xdr:row>15</xdr:row>
      <xdr:rowOff>76200</xdr:rowOff>
    </xdr:from>
    <xdr:to>
      <xdr:col>40</xdr:col>
      <xdr:colOff>41366</xdr:colOff>
      <xdr:row>15</xdr:row>
      <xdr:rowOff>76200</xdr:rowOff>
    </xdr:to>
    <xdr:cxnSp macro="">
      <xdr:nvCxnSpPr>
        <xdr:cNvPr id="698" name="직선 화살표 연결선 697"/>
        <xdr:cNvCxnSpPr/>
      </xdr:nvCxnSpPr>
      <xdr:spPr>
        <a:xfrm>
          <a:off x="8133806" y="2506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20683</xdr:colOff>
      <xdr:row>14</xdr:row>
      <xdr:rowOff>19050</xdr:rowOff>
    </xdr:from>
    <xdr:to>
      <xdr:col>57</xdr:col>
      <xdr:colOff>104684</xdr:colOff>
      <xdr:row>14</xdr:row>
      <xdr:rowOff>133350</xdr:rowOff>
    </xdr:to>
    <xdr:sp macro="" textlink="">
      <xdr:nvSpPr>
        <xdr:cNvPr id="699" name="11"/>
        <xdr:cNvSpPr/>
      </xdr:nvSpPr>
      <xdr:spPr>
        <a:xfrm>
          <a:off x="10429603" y="2297430"/>
          <a:ext cx="2287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20683</xdr:colOff>
      <xdr:row>14</xdr:row>
      <xdr:rowOff>76200</xdr:rowOff>
    </xdr:from>
    <xdr:to>
      <xdr:col>56</xdr:col>
      <xdr:colOff>20683</xdr:colOff>
      <xdr:row>14</xdr:row>
      <xdr:rowOff>76200</xdr:rowOff>
    </xdr:to>
    <xdr:cxnSp macro="">
      <xdr:nvCxnSpPr>
        <xdr:cNvPr id="700" name="직선 화살표 연결선 699"/>
        <xdr:cNvCxnSpPr/>
      </xdr:nvCxnSpPr>
      <xdr:spPr>
        <a:xfrm>
          <a:off x="10429603" y="2354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13</xdr:row>
      <xdr:rowOff>19050</xdr:rowOff>
    </xdr:from>
    <xdr:to>
      <xdr:col>42</xdr:col>
      <xdr:colOff>63319</xdr:colOff>
      <xdr:row>13</xdr:row>
      <xdr:rowOff>133350</xdr:rowOff>
    </xdr:to>
    <xdr:sp macro="" textlink="">
      <xdr:nvSpPr>
        <xdr:cNvPr id="701" name="10"/>
        <xdr:cNvSpPr/>
      </xdr:nvSpPr>
      <xdr:spPr>
        <a:xfrm>
          <a:off x="7203077" y="2145030"/>
          <a:ext cx="124224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13</xdr:row>
      <xdr:rowOff>76200</xdr:rowOff>
    </xdr:from>
    <xdr:to>
      <xdr:col>33</xdr:col>
      <xdr:colOff>124097</xdr:colOff>
      <xdr:row>13</xdr:row>
      <xdr:rowOff>76200</xdr:rowOff>
    </xdr:to>
    <xdr:cxnSp macro="">
      <xdr:nvCxnSpPr>
        <xdr:cNvPr id="702" name="직선 화살표 연결선 701"/>
        <xdr:cNvCxnSpPr/>
      </xdr:nvCxnSpPr>
      <xdr:spPr>
        <a:xfrm>
          <a:off x="7203077" y="2202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12</xdr:row>
      <xdr:rowOff>19050</xdr:rowOff>
    </xdr:from>
    <xdr:to>
      <xdr:col>57</xdr:col>
      <xdr:colOff>104685</xdr:colOff>
      <xdr:row>12</xdr:row>
      <xdr:rowOff>133350</xdr:rowOff>
    </xdr:to>
    <xdr:sp macro="" textlink="">
      <xdr:nvSpPr>
        <xdr:cNvPr id="703" name="9"/>
        <xdr:cNvSpPr/>
      </xdr:nvSpPr>
      <xdr:spPr>
        <a:xfrm>
          <a:off x="7203077" y="1992630"/>
          <a:ext cx="345530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12</xdr:row>
      <xdr:rowOff>76200</xdr:rowOff>
    </xdr:from>
    <xdr:to>
      <xdr:col>33</xdr:col>
      <xdr:colOff>124097</xdr:colOff>
      <xdr:row>12</xdr:row>
      <xdr:rowOff>76200</xdr:rowOff>
    </xdr:to>
    <xdr:cxnSp macro="">
      <xdr:nvCxnSpPr>
        <xdr:cNvPr id="704" name="직선 화살표 연결선 703"/>
        <xdr:cNvCxnSpPr/>
      </xdr:nvCxnSpPr>
      <xdr:spPr>
        <a:xfrm>
          <a:off x="7203077" y="2049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11</xdr:row>
      <xdr:rowOff>19050</xdr:rowOff>
    </xdr:from>
    <xdr:to>
      <xdr:col>53</xdr:col>
      <xdr:colOff>42636</xdr:colOff>
      <xdr:row>11</xdr:row>
      <xdr:rowOff>133350</xdr:rowOff>
    </xdr:to>
    <xdr:sp macro="" textlink="">
      <xdr:nvSpPr>
        <xdr:cNvPr id="705" name="8"/>
        <xdr:cNvSpPr/>
      </xdr:nvSpPr>
      <xdr:spPr>
        <a:xfrm>
          <a:off x="9395460" y="184023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0</xdr:colOff>
      <xdr:row>11</xdr:row>
      <xdr:rowOff>76200</xdr:rowOff>
    </xdr:from>
    <xdr:to>
      <xdr:col>49</xdr:col>
      <xdr:colOff>0</xdr:colOff>
      <xdr:row>11</xdr:row>
      <xdr:rowOff>76200</xdr:rowOff>
    </xdr:to>
    <xdr:cxnSp macro="">
      <xdr:nvCxnSpPr>
        <xdr:cNvPr id="706" name="직선 화살표 연결선 705"/>
        <xdr:cNvCxnSpPr/>
      </xdr:nvCxnSpPr>
      <xdr:spPr>
        <a:xfrm>
          <a:off x="9395460" y="1897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103414</xdr:colOff>
      <xdr:row>10</xdr:row>
      <xdr:rowOff>19050</xdr:rowOff>
    </xdr:from>
    <xdr:to>
      <xdr:col>49</xdr:col>
      <xdr:colOff>1270</xdr:colOff>
      <xdr:row>10</xdr:row>
      <xdr:rowOff>133350</xdr:rowOff>
    </xdr:to>
    <xdr:sp macro="" textlink="">
      <xdr:nvSpPr>
        <xdr:cNvPr id="707" name="7"/>
        <xdr:cNvSpPr/>
      </xdr:nvSpPr>
      <xdr:spPr>
        <a:xfrm>
          <a:off x="8774974" y="1687830"/>
          <a:ext cx="6217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103414</xdr:colOff>
      <xdr:row>10</xdr:row>
      <xdr:rowOff>76200</xdr:rowOff>
    </xdr:from>
    <xdr:to>
      <xdr:col>44</xdr:col>
      <xdr:colOff>103414</xdr:colOff>
      <xdr:row>10</xdr:row>
      <xdr:rowOff>76200</xdr:rowOff>
    </xdr:to>
    <xdr:cxnSp macro="">
      <xdr:nvCxnSpPr>
        <xdr:cNvPr id="708" name="직선 화살표 연결선 707"/>
        <xdr:cNvCxnSpPr/>
      </xdr:nvCxnSpPr>
      <xdr:spPr>
        <a:xfrm>
          <a:off x="8774974" y="1744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41365</xdr:colOff>
      <xdr:row>9</xdr:row>
      <xdr:rowOff>19050</xdr:rowOff>
    </xdr:from>
    <xdr:to>
      <xdr:col>44</xdr:col>
      <xdr:colOff>104684</xdr:colOff>
      <xdr:row>9</xdr:row>
      <xdr:rowOff>133350</xdr:rowOff>
    </xdr:to>
    <xdr:sp macro="" textlink="">
      <xdr:nvSpPr>
        <xdr:cNvPr id="709" name="6"/>
        <xdr:cNvSpPr/>
      </xdr:nvSpPr>
      <xdr:spPr>
        <a:xfrm>
          <a:off x="7554685" y="1535430"/>
          <a:ext cx="122155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41365</xdr:colOff>
      <xdr:row>9</xdr:row>
      <xdr:rowOff>76200</xdr:rowOff>
    </xdr:from>
    <xdr:to>
      <xdr:col>36</xdr:col>
      <xdr:colOff>41365</xdr:colOff>
      <xdr:row>9</xdr:row>
      <xdr:rowOff>76200</xdr:rowOff>
    </xdr:to>
    <xdr:cxnSp macro="">
      <xdr:nvCxnSpPr>
        <xdr:cNvPr id="710" name="직선 화살표 연결선 709"/>
        <xdr:cNvCxnSpPr/>
      </xdr:nvCxnSpPr>
      <xdr:spPr>
        <a:xfrm>
          <a:off x="7554685" y="1592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41365</xdr:colOff>
      <xdr:row>8</xdr:row>
      <xdr:rowOff>19050</xdr:rowOff>
    </xdr:from>
    <xdr:to>
      <xdr:col>53</xdr:col>
      <xdr:colOff>42636</xdr:colOff>
      <xdr:row>8</xdr:row>
      <xdr:rowOff>133350</xdr:rowOff>
    </xdr:to>
    <xdr:sp macro="" textlink="">
      <xdr:nvSpPr>
        <xdr:cNvPr id="711" name="5"/>
        <xdr:cNvSpPr/>
      </xdr:nvSpPr>
      <xdr:spPr>
        <a:xfrm>
          <a:off x="7554685" y="1383030"/>
          <a:ext cx="246253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41365</xdr:colOff>
      <xdr:row>8</xdr:row>
      <xdr:rowOff>76200</xdr:rowOff>
    </xdr:from>
    <xdr:to>
      <xdr:col>36</xdr:col>
      <xdr:colOff>41365</xdr:colOff>
      <xdr:row>8</xdr:row>
      <xdr:rowOff>76200</xdr:rowOff>
    </xdr:to>
    <xdr:cxnSp macro="">
      <xdr:nvCxnSpPr>
        <xdr:cNvPr id="712" name="직선 화살표 연결선 711"/>
        <xdr:cNvCxnSpPr/>
      </xdr:nvCxnSpPr>
      <xdr:spPr>
        <a:xfrm>
          <a:off x="7554685" y="14401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124097</xdr:colOff>
      <xdr:row>7</xdr:row>
      <xdr:rowOff>19050</xdr:rowOff>
    </xdr:from>
    <xdr:to>
      <xdr:col>53</xdr:col>
      <xdr:colOff>42636</xdr:colOff>
      <xdr:row>7</xdr:row>
      <xdr:rowOff>133350</xdr:rowOff>
    </xdr:to>
    <xdr:sp macro="" textlink="">
      <xdr:nvSpPr>
        <xdr:cNvPr id="713" name="4"/>
        <xdr:cNvSpPr/>
      </xdr:nvSpPr>
      <xdr:spPr>
        <a:xfrm>
          <a:off x="6913517" y="1230630"/>
          <a:ext cx="31036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124097</xdr:colOff>
      <xdr:row>7</xdr:row>
      <xdr:rowOff>76200</xdr:rowOff>
    </xdr:from>
    <xdr:to>
      <xdr:col>31</xdr:col>
      <xdr:colOff>124097</xdr:colOff>
      <xdr:row>7</xdr:row>
      <xdr:rowOff>76200</xdr:rowOff>
    </xdr:to>
    <xdr:cxnSp macro="">
      <xdr:nvCxnSpPr>
        <xdr:cNvPr id="714" name="직선 화살표 연결선 713"/>
        <xdr:cNvCxnSpPr/>
      </xdr:nvCxnSpPr>
      <xdr:spPr>
        <a:xfrm>
          <a:off x="6913517" y="12877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124097</xdr:colOff>
      <xdr:row>6</xdr:row>
      <xdr:rowOff>19050</xdr:rowOff>
    </xdr:from>
    <xdr:to>
      <xdr:col>41</xdr:col>
      <xdr:colOff>1269</xdr:colOff>
      <xdr:row>6</xdr:row>
      <xdr:rowOff>133350</xdr:rowOff>
    </xdr:to>
    <xdr:sp macro="" textlink="">
      <xdr:nvSpPr>
        <xdr:cNvPr id="715" name="3"/>
        <xdr:cNvSpPr/>
      </xdr:nvSpPr>
      <xdr:spPr>
        <a:xfrm>
          <a:off x="7203077" y="1078230"/>
          <a:ext cx="10354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124097</xdr:colOff>
      <xdr:row>6</xdr:row>
      <xdr:rowOff>76200</xdr:rowOff>
    </xdr:from>
    <xdr:to>
      <xdr:col>33</xdr:col>
      <xdr:colOff>124097</xdr:colOff>
      <xdr:row>6</xdr:row>
      <xdr:rowOff>76200</xdr:rowOff>
    </xdr:to>
    <xdr:cxnSp macro="">
      <xdr:nvCxnSpPr>
        <xdr:cNvPr id="716" name="직선 화살표 연결선 715"/>
        <xdr:cNvCxnSpPr/>
      </xdr:nvCxnSpPr>
      <xdr:spPr>
        <a:xfrm>
          <a:off x="7203077" y="11353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124097</xdr:colOff>
      <xdr:row>5</xdr:row>
      <xdr:rowOff>19050</xdr:rowOff>
    </xdr:from>
    <xdr:to>
      <xdr:col>53</xdr:col>
      <xdr:colOff>42636</xdr:colOff>
      <xdr:row>5</xdr:row>
      <xdr:rowOff>133350</xdr:rowOff>
    </xdr:to>
    <xdr:sp macro="" textlink="">
      <xdr:nvSpPr>
        <xdr:cNvPr id="717" name="2"/>
        <xdr:cNvSpPr/>
      </xdr:nvSpPr>
      <xdr:spPr>
        <a:xfrm>
          <a:off x="6913517" y="925830"/>
          <a:ext cx="31036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124097</xdr:colOff>
      <xdr:row>5</xdr:row>
      <xdr:rowOff>76200</xdr:rowOff>
    </xdr:from>
    <xdr:to>
      <xdr:col>31</xdr:col>
      <xdr:colOff>124097</xdr:colOff>
      <xdr:row>5</xdr:row>
      <xdr:rowOff>76200</xdr:rowOff>
    </xdr:to>
    <xdr:cxnSp macro="">
      <xdr:nvCxnSpPr>
        <xdr:cNvPr id="718" name="직선 화살표 연결선 717"/>
        <xdr:cNvCxnSpPr/>
      </xdr:nvCxnSpPr>
      <xdr:spPr>
        <a:xfrm>
          <a:off x="6913517" y="9829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124097</xdr:colOff>
      <xdr:row>4</xdr:row>
      <xdr:rowOff>19050</xdr:rowOff>
    </xdr:from>
    <xdr:to>
      <xdr:col>62</xdr:col>
      <xdr:colOff>1270</xdr:colOff>
      <xdr:row>4</xdr:row>
      <xdr:rowOff>133350</xdr:rowOff>
    </xdr:to>
    <xdr:sp macro="" textlink="">
      <xdr:nvSpPr>
        <xdr:cNvPr id="719" name="1"/>
        <xdr:cNvSpPr/>
      </xdr:nvSpPr>
      <xdr:spPr>
        <a:xfrm>
          <a:off x="6913517" y="773430"/>
          <a:ext cx="436535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124097</xdr:colOff>
      <xdr:row>4</xdr:row>
      <xdr:rowOff>76200</xdr:rowOff>
    </xdr:from>
    <xdr:to>
      <xdr:col>31</xdr:col>
      <xdr:colOff>124097</xdr:colOff>
      <xdr:row>4</xdr:row>
      <xdr:rowOff>76200</xdr:rowOff>
    </xdr:to>
    <xdr:cxnSp macro="">
      <xdr:nvCxnSpPr>
        <xdr:cNvPr id="720" name="직선 화살표 연결선 719"/>
        <xdr:cNvCxnSpPr/>
      </xdr:nvCxnSpPr>
      <xdr:spPr>
        <a:xfrm>
          <a:off x="6913517" y="83058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_7P211022ARECV_SKIET%20&#54260;&#46976;&#46300;%20PH3,4%20&#54980;&#45800;&#47932;&#47448;&#51088;&#46041;&#54868;CV/Master%20Schedule/M2101-P9AS-00-003%20Master%20Schedule_Poland_Ph34%20&#54980;&#45800;&#47932;&#47448;%20&#51088;&#46041;&#54868;_V5_&#49688;&#51221;&#51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elp"/>
      <sheetName val="Schedule"/>
      <sheetName val="Progress"/>
      <sheetName val="AnalysisReport"/>
      <sheetName val="Calendar"/>
      <sheetName val="TranslatedLanguages"/>
      <sheetName val="Workload"/>
      <sheetName val="ServerData"/>
    </sheetNames>
    <sheetDataSet>
      <sheetData sheetId="0"/>
      <sheetData sheetId="1"/>
      <sheetData sheetId="2"/>
      <sheetData sheetId="3">
        <row r="18">
          <cell r="B18">
            <v>0.31888898655181508</v>
          </cell>
        </row>
        <row r="21">
          <cell r="B21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xlworks.net/xlgantt-project-schedule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0:N23"/>
  <sheetViews>
    <sheetView showGridLines="0" tabSelected="1" zoomScaleNormal="100" zoomScaleSheetLayoutView="70" workbookViewId="0"/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214" t="s">
        <v>233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14" ht="19.2" x14ac:dyDescent="0.4">
      <c r="A11" s="227" t="s">
        <v>234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</row>
    <row r="19" spans="3:11" ht="27.6" x14ac:dyDescent="0.4">
      <c r="C19" s="215" t="s">
        <v>849</v>
      </c>
      <c r="D19" s="215"/>
      <c r="E19" s="215"/>
      <c r="F19" s="215"/>
      <c r="G19" s="215"/>
      <c r="H19" s="215"/>
      <c r="I19" s="215"/>
      <c r="J19" s="215"/>
      <c r="K19" s="215"/>
    </row>
    <row r="21" spans="3:11" ht="17.399999999999999" customHeight="1" x14ac:dyDescent="0.4">
      <c r="C21" s="223" t="s">
        <v>122</v>
      </c>
      <c r="D21" s="216" t="s">
        <v>201</v>
      </c>
      <c r="E21" s="218"/>
      <c r="F21" s="218"/>
      <c r="G21" s="217"/>
      <c r="H21" s="216" t="s">
        <v>123</v>
      </c>
      <c r="I21" s="217"/>
      <c r="J21" s="216" t="s">
        <v>124</v>
      </c>
      <c r="K21" s="217"/>
    </row>
    <row r="22" spans="3:11" ht="32.4" customHeight="1" x14ac:dyDescent="0.4">
      <c r="C22" s="224"/>
      <c r="D22" s="225" t="s">
        <v>223</v>
      </c>
      <c r="E22" s="226"/>
      <c r="F22" s="219" t="s">
        <v>224</v>
      </c>
      <c r="G22" s="220"/>
      <c r="H22" s="219" t="s">
        <v>130</v>
      </c>
      <c r="I22" s="220"/>
      <c r="J22" s="219" t="s">
        <v>225</v>
      </c>
      <c r="K22" s="220"/>
    </row>
    <row r="23" spans="3:11" ht="65.400000000000006" customHeight="1" x14ac:dyDescent="0.4">
      <c r="C23" s="224"/>
      <c r="D23" s="216"/>
      <c r="E23" s="217"/>
      <c r="F23" s="216"/>
      <c r="G23" s="217"/>
      <c r="H23" s="221" t="s">
        <v>226</v>
      </c>
      <c r="I23" s="222"/>
      <c r="J23" s="216"/>
      <c r="K23" s="217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M25"/>
  <sheetViews>
    <sheetView showGridLines="0" zoomScale="85" zoomScaleNormal="85" zoomScaleSheetLayoutView="75" workbookViewId="0">
      <selection activeCell="C26" sqref="C26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32" t="s">
        <v>129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2:13" x14ac:dyDescent="0.4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33" t="s">
        <v>235</v>
      </c>
      <c r="D5" s="233"/>
      <c r="E5" s="233"/>
      <c r="F5" s="5" t="s">
        <v>19</v>
      </c>
      <c r="G5" s="233" t="s">
        <v>236</v>
      </c>
      <c r="H5" s="233"/>
      <c r="I5" s="5" t="s">
        <v>20</v>
      </c>
      <c r="J5" s="234" t="s">
        <v>237</v>
      </c>
      <c r="K5" s="234"/>
      <c r="L5" s="235"/>
      <c r="M5" s="6"/>
    </row>
    <row r="6" spans="2:13" ht="29.25" customHeight="1" thickBot="1" x14ac:dyDescent="0.45">
      <c r="B6" s="236" t="s">
        <v>21</v>
      </c>
      <c r="C6" s="237"/>
      <c r="D6" s="237"/>
      <c r="E6" s="237"/>
      <c r="F6" s="237"/>
      <c r="G6" s="237"/>
      <c r="H6" s="237"/>
      <c r="I6" s="237" t="s">
        <v>22</v>
      </c>
      <c r="J6" s="237"/>
      <c r="K6" s="237"/>
      <c r="L6" s="238"/>
      <c r="M6" s="6"/>
    </row>
    <row r="7" spans="2:13" ht="21.75" customHeight="1" x14ac:dyDescent="0.4">
      <c r="B7" s="239" t="s">
        <v>23</v>
      </c>
      <c r="C7" s="240"/>
      <c r="D7" s="241" t="s">
        <v>777</v>
      </c>
      <c r="E7" s="242"/>
      <c r="F7" s="242"/>
      <c r="G7" s="242"/>
      <c r="H7" s="242"/>
      <c r="I7" s="50" t="s">
        <v>24</v>
      </c>
      <c r="J7" s="243" t="s">
        <v>198</v>
      </c>
      <c r="K7" s="244"/>
      <c r="L7" s="245"/>
      <c r="M7" s="6"/>
    </row>
    <row r="8" spans="2:13" ht="21.75" customHeight="1" x14ac:dyDescent="0.4">
      <c r="B8" s="246" t="s">
        <v>25</v>
      </c>
      <c r="C8" s="247"/>
      <c r="D8" s="248" t="s">
        <v>238</v>
      </c>
      <c r="E8" s="249"/>
      <c r="F8" s="249"/>
      <c r="G8" s="249"/>
      <c r="H8" s="249"/>
      <c r="I8" s="51" t="s">
        <v>26</v>
      </c>
      <c r="J8" s="51" t="s">
        <v>27</v>
      </c>
      <c r="K8" s="250" t="s">
        <v>199</v>
      </c>
      <c r="L8" s="251"/>
      <c r="M8" s="6"/>
    </row>
    <row r="9" spans="2:13" ht="21.75" customHeight="1" x14ac:dyDescent="0.4">
      <c r="B9" s="246" t="s">
        <v>28</v>
      </c>
      <c r="C9" s="247"/>
      <c r="D9" s="249" t="s">
        <v>778</v>
      </c>
      <c r="E9" s="249"/>
      <c r="F9" s="249"/>
      <c r="G9" s="249"/>
      <c r="H9" s="249"/>
      <c r="I9" s="254" t="s">
        <v>29</v>
      </c>
      <c r="J9" s="252">
        <v>44713</v>
      </c>
      <c r="K9" s="228" t="s">
        <v>780</v>
      </c>
      <c r="L9" s="229"/>
      <c r="M9" s="6"/>
    </row>
    <row r="10" spans="2:13" ht="25.8" customHeight="1" x14ac:dyDescent="0.4">
      <c r="B10" s="246" t="s">
        <v>30</v>
      </c>
      <c r="C10" s="247"/>
      <c r="D10" s="256" t="s">
        <v>850</v>
      </c>
      <c r="E10" s="256"/>
      <c r="F10" s="256"/>
      <c r="G10" s="256"/>
      <c r="H10" s="256"/>
      <c r="I10" s="255"/>
      <c r="J10" s="253"/>
      <c r="K10" s="230"/>
      <c r="L10" s="231"/>
      <c r="M10" s="6"/>
    </row>
    <row r="11" spans="2:13" ht="21.75" customHeight="1" x14ac:dyDescent="0.4">
      <c r="B11" s="246" t="s">
        <v>31</v>
      </c>
      <c r="C11" s="247"/>
      <c r="D11" s="249" t="s">
        <v>239</v>
      </c>
      <c r="E11" s="249"/>
      <c r="F11" s="249"/>
      <c r="G11" s="249"/>
      <c r="H11" s="249"/>
      <c r="I11" s="254" t="s">
        <v>32</v>
      </c>
      <c r="J11" s="252">
        <v>44723</v>
      </c>
      <c r="K11" s="228" t="s">
        <v>780</v>
      </c>
      <c r="L11" s="229"/>
      <c r="M11" s="6"/>
    </row>
    <row r="12" spans="2:13" ht="21.75" customHeight="1" x14ac:dyDescent="0.4">
      <c r="B12" s="246" t="s">
        <v>33</v>
      </c>
      <c r="C12" s="247"/>
      <c r="D12" s="249" t="s">
        <v>783</v>
      </c>
      <c r="E12" s="249"/>
      <c r="F12" s="249"/>
      <c r="G12" s="249"/>
      <c r="H12" s="249"/>
      <c r="I12" s="255"/>
      <c r="J12" s="253"/>
      <c r="K12" s="230"/>
      <c r="L12" s="231"/>
      <c r="M12" s="6"/>
    </row>
    <row r="13" spans="2:13" ht="21.75" customHeight="1" x14ac:dyDescent="0.4">
      <c r="B13" s="246" t="s">
        <v>34</v>
      </c>
      <c r="C13" s="247"/>
      <c r="D13" s="256" t="s">
        <v>240</v>
      </c>
      <c r="E13" s="256"/>
      <c r="F13" s="256"/>
      <c r="G13" s="256"/>
      <c r="H13" s="256"/>
      <c r="I13" s="254" t="s">
        <v>35</v>
      </c>
      <c r="J13" s="252">
        <v>44729</v>
      </c>
      <c r="K13" s="228" t="s">
        <v>780</v>
      </c>
      <c r="L13" s="229"/>
      <c r="M13" s="6"/>
    </row>
    <row r="14" spans="2:13" ht="21.75" customHeight="1" x14ac:dyDescent="0.4">
      <c r="B14" s="246"/>
      <c r="C14" s="247"/>
      <c r="D14" s="257" t="s">
        <v>852</v>
      </c>
      <c r="E14" s="257"/>
      <c r="F14" s="257"/>
      <c r="G14" s="257"/>
      <c r="H14" s="257"/>
      <c r="I14" s="255"/>
      <c r="J14" s="253"/>
      <c r="K14" s="230"/>
      <c r="L14" s="231"/>
      <c r="M14" s="6"/>
    </row>
    <row r="15" spans="2:13" ht="21.75" customHeight="1" x14ac:dyDescent="0.4">
      <c r="B15" s="258" t="s">
        <v>36</v>
      </c>
      <c r="C15" s="259"/>
      <c r="D15" s="51" t="s">
        <v>37</v>
      </c>
      <c r="E15" s="7" t="s">
        <v>241</v>
      </c>
      <c r="F15" s="8" t="s">
        <v>851</v>
      </c>
      <c r="G15" s="8"/>
      <c r="H15" s="9"/>
      <c r="I15" s="254" t="s">
        <v>38</v>
      </c>
      <c r="J15" s="252">
        <v>44737</v>
      </c>
      <c r="K15" s="228" t="s">
        <v>780</v>
      </c>
      <c r="L15" s="229"/>
      <c r="M15" s="6"/>
    </row>
    <row r="16" spans="2:13" ht="21.75" customHeight="1" x14ac:dyDescent="0.4">
      <c r="B16" s="260"/>
      <c r="C16" s="261"/>
      <c r="D16" s="51" t="s">
        <v>39</v>
      </c>
      <c r="E16" s="287" t="s">
        <v>779</v>
      </c>
      <c r="F16" s="288"/>
      <c r="G16" s="288"/>
      <c r="H16" s="289"/>
      <c r="I16" s="255"/>
      <c r="J16" s="253"/>
      <c r="K16" s="230"/>
      <c r="L16" s="231"/>
      <c r="M16" s="6"/>
    </row>
    <row r="17" spans="2:13" ht="21.75" customHeight="1" x14ac:dyDescent="0.4">
      <c r="B17" s="260"/>
      <c r="C17" s="261"/>
      <c r="D17" s="51" t="s">
        <v>37</v>
      </c>
      <c r="E17" s="194" t="s">
        <v>769</v>
      </c>
      <c r="F17" s="195" t="s">
        <v>775</v>
      </c>
      <c r="G17" s="195"/>
      <c r="H17" s="196"/>
      <c r="I17" s="254" t="s">
        <v>40</v>
      </c>
      <c r="J17" s="252">
        <v>44760</v>
      </c>
      <c r="K17" s="228" t="s">
        <v>780</v>
      </c>
      <c r="L17" s="229"/>
      <c r="M17" s="6"/>
    </row>
    <row r="18" spans="2:13" ht="21.75" customHeight="1" x14ac:dyDescent="0.4">
      <c r="B18" s="260"/>
      <c r="C18" s="261"/>
      <c r="D18" s="51" t="s">
        <v>39</v>
      </c>
      <c r="E18" s="290" t="s">
        <v>774</v>
      </c>
      <c r="F18" s="291"/>
      <c r="G18" s="291"/>
      <c r="H18" s="292"/>
      <c r="I18" s="255"/>
      <c r="J18" s="253"/>
      <c r="K18" s="230"/>
      <c r="L18" s="231"/>
      <c r="M18" s="6"/>
    </row>
    <row r="19" spans="2:13" ht="21.75" customHeight="1" x14ac:dyDescent="0.4">
      <c r="B19" s="260"/>
      <c r="C19" s="261"/>
      <c r="D19" s="51" t="s">
        <v>37</v>
      </c>
      <c r="E19" s="194" t="s">
        <v>773</v>
      </c>
      <c r="F19" s="195" t="s">
        <v>775</v>
      </c>
      <c r="G19" s="195"/>
      <c r="H19" s="197"/>
      <c r="I19" s="275" t="s">
        <v>42</v>
      </c>
      <c r="J19" s="278"/>
      <c r="K19" s="279"/>
      <c r="L19" s="280"/>
      <c r="M19" s="6"/>
    </row>
    <row r="20" spans="2:13" ht="21.75" customHeight="1" x14ac:dyDescent="0.4">
      <c r="B20" s="273"/>
      <c r="C20" s="274"/>
      <c r="D20" s="51" t="s">
        <v>39</v>
      </c>
      <c r="E20" s="293" t="s">
        <v>770</v>
      </c>
      <c r="F20" s="294"/>
      <c r="G20" s="294"/>
      <c r="H20" s="295"/>
      <c r="I20" s="276"/>
      <c r="J20" s="281"/>
      <c r="K20" s="282"/>
      <c r="L20" s="283"/>
      <c r="M20" s="6"/>
    </row>
    <row r="21" spans="2:13" ht="21.75" customHeight="1" x14ac:dyDescent="0.4">
      <c r="B21" s="258" t="s">
        <v>41</v>
      </c>
      <c r="C21" s="259"/>
      <c r="D21" s="264" t="s">
        <v>772</v>
      </c>
      <c r="E21" s="265"/>
      <c r="F21" s="265"/>
      <c r="G21" s="265"/>
      <c r="H21" s="266"/>
      <c r="I21" s="276"/>
      <c r="J21" s="281"/>
      <c r="K21" s="282"/>
      <c r="L21" s="283"/>
      <c r="M21" s="6"/>
    </row>
    <row r="22" spans="2:13" ht="21.75" customHeight="1" x14ac:dyDescent="0.4">
      <c r="B22" s="260"/>
      <c r="C22" s="261"/>
      <c r="D22" s="267"/>
      <c r="E22" s="268"/>
      <c r="F22" s="268"/>
      <c r="G22" s="268"/>
      <c r="H22" s="269"/>
      <c r="I22" s="276"/>
      <c r="J22" s="281"/>
      <c r="K22" s="282"/>
      <c r="L22" s="283"/>
      <c r="M22" s="6"/>
    </row>
    <row r="23" spans="2:13" ht="21.75" customHeight="1" thickBot="1" x14ac:dyDescent="0.45">
      <c r="B23" s="262"/>
      <c r="C23" s="263"/>
      <c r="D23" s="270"/>
      <c r="E23" s="271"/>
      <c r="F23" s="271"/>
      <c r="G23" s="271"/>
      <c r="H23" s="272"/>
      <c r="I23" s="277"/>
      <c r="J23" s="284"/>
      <c r="K23" s="285"/>
      <c r="L23" s="286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5"/>
  <sheetViews>
    <sheetView view="pageBreakPreview" zoomScale="80" zoomScaleNormal="85" zoomScaleSheetLayoutView="80" workbookViewId="0">
      <selection activeCell="H25" sqref="H25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32" t="s">
        <v>131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ht="17.399999999999999" customHeight="1" x14ac:dyDescent="0.4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4" spans="1:14" ht="28.2" customHeight="1" x14ac:dyDescent="0.4">
      <c r="F4" s="224" t="s">
        <v>125</v>
      </c>
      <c r="G4" s="224"/>
      <c r="H4" s="224"/>
      <c r="I4" s="224"/>
    </row>
    <row r="5" spans="1:14" ht="28.2" customHeight="1" x14ac:dyDescent="0.4">
      <c r="F5" s="224"/>
      <c r="G5" s="224"/>
      <c r="H5" s="224"/>
      <c r="I5" s="224"/>
    </row>
    <row r="6" spans="1:14" ht="28.2" customHeight="1" x14ac:dyDescent="0.4">
      <c r="H6" s="31"/>
    </row>
    <row r="7" spans="1:14" ht="28.2" customHeight="1" x14ac:dyDescent="0.4">
      <c r="F7" s="224" t="s">
        <v>128</v>
      </c>
      <c r="G7" s="224"/>
      <c r="H7" s="224"/>
      <c r="I7" s="224"/>
    </row>
    <row r="8" spans="1:14" ht="28.2" customHeight="1" x14ac:dyDescent="0.4">
      <c r="F8" s="224"/>
      <c r="G8" s="224"/>
      <c r="H8" s="224"/>
      <c r="I8" s="224"/>
    </row>
    <row r="9" spans="1:14" ht="28.2" customHeight="1" x14ac:dyDescent="0.4">
      <c r="A9" s="224" t="s">
        <v>130</v>
      </c>
      <c r="B9" s="224"/>
      <c r="C9" s="224"/>
      <c r="D9" s="224"/>
      <c r="E9" s="35"/>
      <c r="F9" s="36"/>
      <c r="G9" s="34"/>
      <c r="H9" s="36"/>
      <c r="I9" s="36"/>
      <c r="J9" s="33"/>
      <c r="K9" s="224" t="s">
        <v>178</v>
      </c>
      <c r="L9" s="224"/>
      <c r="M9" s="224"/>
      <c r="N9" s="224"/>
    </row>
    <row r="10" spans="1:14" ht="28.2" customHeight="1" x14ac:dyDescent="0.4">
      <c r="A10" s="223" t="s">
        <v>853</v>
      </c>
      <c r="B10" s="224"/>
      <c r="C10" s="224"/>
      <c r="D10" s="224"/>
      <c r="G10" s="32"/>
      <c r="K10" s="223" t="s">
        <v>227</v>
      </c>
      <c r="L10" s="224"/>
      <c r="M10" s="224"/>
      <c r="N10" s="224"/>
    </row>
    <row r="11" spans="1:14" ht="28.2" customHeight="1" x14ac:dyDescent="0.4">
      <c r="C11" s="36"/>
      <c r="D11" s="36"/>
      <c r="E11" s="36"/>
      <c r="F11" s="36"/>
      <c r="G11" s="33"/>
      <c r="H11" s="36"/>
      <c r="I11" s="36"/>
      <c r="J11" s="36"/>
      <c r="K11" s="36"/>
      <c r="L11" s="36"/>
    </row>
    <row r="12" spans="1:14" ht="28.2" customHeight="1" x14ac:dyDescent="0.4">
      <c r="B12" s="33"/>
      <c r="G12" s="33"/>
      <c r="M12" s="35"/>
    </row>
    <row r="13" spans="1:14" ht="28.2" customHeight="1" x14ac:dyDescent="0.4">
      <c r="A13" s="224" t="s">
        <v>228</v>
      </c>
      <c r="B13" s="224"/>
      <c r="C13" s="224"/>
      <c r="D13" s="224"/>
      <c r="F13" s="296" t="s">
        <v>229</v>
      </c>
      <c r="G13" s="296"/>
      <c r="H13" s="296"/>
      <c r="I13" s="296"/>
      <c r="J13" s="198"/>
      <c r="K13" s="296" t="s">
        <v>230</v>
      </c>
      <c r="L13" s="296"/>
      <c r="M13" s="296"/>
      <c r="N13" s="296"/>
    </row>
    <row r="14" spans="1:14" ht="28.2" customHeight="1" x14ac:dyDescent="0.4">
      <c r="A14" s="224" t="s">
        <v>127</v>
      </c>
      <c r="B14" s="224"/>
      <c r="C14" s="224" t="s">
        <v>242</v>
      </c>
      <c r="D14" s="224"/>
      <c r="F14" s="296" t="s">
        <v>127</v>
      </c>
      <c r="G14" s="296"/>
      <c r="H14" s="297" t="s">
        <v>781</v>
      </c>
      <c r="I14" s="296"/>
      <c r="J14" s="198"/>
      <c r="K14" s="296" t="s">
        <v>127</v>
      </c>
      <c r="L14" s="296"/>
      <c r="M14" s="297" t="s">
        <v>781</v>
      </c>
      <c r="N14" s="296"/>
    </row>
    <row r="15" spans="1:14" ht="28.2" customHeight="1" x14ac:dyDescent="0.4">
      <c r="C15" s="31"/>
      <c r="F15" s="198"/>
      <c r="G15" s="198"/>
      <c r="H15" s="199"/>
      <c r="I15" s="198"/>
      <c r="J15" s="198"/>
      <c r="K15" s="198"/>
      <c r="L15" s="198"/>
      <c r="M15" s="199"/>
      <c r="N15" s="198"/>
    </row>
    <row r="16" spans="1:14" ht="62.4" customHeight="1" x14ac:dyDescent="0.4">
      <c r="A16" s="224" t="s">
        <v>231</v>
      </c>
      <c r="B16" s="224"/>
      <c r="C16" s="223" t="s">
        <v>782</v>
      </c>
      <c r="D16" s="224"/>
      <c r="F16" s="296" t="s">
        <v>231</v>
      </c>
      <c r="G16" s="296"/>
      <c r="H16" s="297" t="s">
        <v>776</v>
      </c>
      <c r="I16" s="296"/>
      <c r="J16" s="198"/>
      <c r="K16" s="296" t="s">
        <v>231</v>
      </c>
      <c r="L16" s="296"/>
      <c r="M16" s="296" t="s">
        <v>771</v>
      </c>
      <c r="N16" s="296"/>
    </row>
    <row r="17" spans="1:14" ht="28.2" customHeight="1" x14ac:dyDescent="0.4">
      <c r="A17" s="224" t="s">
        <v>126</v>
      </c>
      <c r="B17" s="224"/>
      <c r="C17" s="224" t="s">
        <v>243</v>
      </c>
      <c r="D17" s="224"/>
      <c r="F17" s="296" t="s">
        <v>126</v>
      </c>
      <c r="G17" s="296"/>
      <c r="H17" s="296"/>
      <c r="I17" s="296"/>
      <c r="J17" s="198"/>
      <c r="K17" s="296" t="s">
        <v>126</v>
      </c>
      <c r="L17" s="296"/>
      <c r="M17" s="296"/>
      <c r="N17" s="296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A44A"/>
    <outlinePr summaryBelow="0"/>
    <pageSetUpPr fitToPage="1"/>
  </sheetPr>
  <dimension ref="A1:ACS401"/>
  <sheetViews>
    <sheetView zoomScaleNormal="100" zoomScalePageLayoutView="55" workbookViewId="0">
      <pane ySplit="4" topLeftCell="A5" activePane="bottomLeft" state="frozen"/>
      <selection activeCell="E5" sqref="E5"/>
      <selection pane="bottomLeft" activeCell="AQ46" sqref="AQ46"/>
    </sheetView>
  </sheetViews>
  <sheetFormatPr defaultColWidth="10" defaultRowHeight="12" customHeight="1" outlineLevelRow="3" x14ac:dyDescent="0.4"/>
  <cols>
    <col min="1" max="1" width="14" style="182" hidden="1" customWidth="1"/>
    <col min="2" max="2" width="6.3984375" style="182" hidden="1" customWidth="1"/>
    <col min="3" max="3" width="3.8984375" style="182" hidden="1" customWidth="1"/>
    <col min="4" max="4" width="11.5" style="182" customWidth="1"/>
    <col min="5" max="13" width="2.69921875" style="183" customWidth="1"/>
    <col min="14" max="14" width="12.69921875" style="183" customWidth="1"/>
    <col min="15" max="15" width="5.19921875" style="184" customWidth="1"/>
    <col min="16" max="16" width="10.59765625" style="185" customWidth="1"/>
    <col min="17" max="17" width="9.8984375" style="185" customWidth="1"/>
    <col min="18" max="18" width="7.59765625" style="186" hidden="1" customWidth="1"/>
    <col min="19" max="19" width="6.3984375" style="187" hidden="1" customWidth="1"/>
    <col min="20" max="20" width="6.59765625" style="187" hidden="1" customWidth="1"/>
    <col min="21" max="21" width="5.8984375" style="187" hidden="1" customWidth="1"/>
    <col min="22" max="22" width="5" style="187" hidden="1" customWidth="1"/>
    <col min="23" max="24" width="9.69921875" style="185" hidden="1" customWidth="1"/>
    <col min="25" max="25" width="11.19921875" style="188" hidden="1" customWidth="1"/>
    <col min="26" max="26" width="6" style="189" hidden="1" customWidth="1"/>
    <col min="27" max="27" width="6.09765625" style="187" hidden="1" customWidth="1"/>
    <col min="28" max="28" width="12.3984375" style="190" hidden="1" customWidth="1"/>
    <col min="29" max="29" width="10.19921875" style="191" hidden="1" customWidth="1"/>
    <col min="30" max="30" width="7.69921875" style="192" bestFit="1" customWidth="1"/>
    <col min="31" max="31" width="7.19921875" style="193" customWidth="1"/>
    <col min="32" max="773" width="1.8984375" style="118" customWidth="1"/>
    <col min="774" max="16384" width="10" style="118"/>
  </cols>
  <sheetData>
    <row r="1" spans="1:773" s="86" customFormat="1" ht="19.95" customHeight="1" x14ac:dyDescent="0.4">
      <c r="A1" s="67"/>
      <c r="B1" s="68"/>
      <c r="C1" s="69"/>
      <c r="D1" s="70" t="s">
        <v>246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  <c r="P1" s="70"/>
      <c r="Q1" s="72"/>
      <c r="R1" s="73"/>
      <c r="S1" s="74"/>
      <c r="T1" s="75"/>
      <c r="U1" s="76"/>
      <c r="V1" s="76"/>
      <c r="W1" s="77"/>
      <c r="X1" s="77"/>
      <c r="Y1" s="68"/>
      <c r="Z1" s="78"/>
      <c r="AA1" s="79"/>
      <c r="AB1" s="80"/>
      <c r="AC1" s="81"/>
      <c r="AD1" s="82"/>
      <c r="AE1" s="83" t="e">
        <f t="array" aca="1" ref="AE1" ca="1">xlgantt.ProjectProgressString()</f>
        <v>#NAME?</v>
      </c>
      <c r="AF1" s="84" t="s">
        <v>247</v>
      </c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</row>
    <row r="2" spans="1:773" s="86" customFormat="1" ht="15" customHeight="1" x14ac:dyDescent="0.4">
      <c r="A2" s="67"/>
      <c r="B2" s="67"/>
      <c r="C2" s="69"/>
      <c r="D2" s="333"/>
      <c r="E2" s="333"/>
      <c r="F2" s="333"/>
      <c r="G2" s="87"/>
      <c r="H2" s="88"/>
      <c r="I2" s="87"/>
      <c r="J2" s="87"/>
      <c r="K2" s="87"/>
      <c r="L2" s="87"/>
      <c r="M2" s="87"/>
      <c r="N2" s="87" t="s">
        <v>248</v>
      </c>
      <c r="O2" s="89"/>
      <c r="P2" s="87"/>
      <c r="Q2" s="87"/>
      <c r="R2" s="87"/>
      <c r="S2" s="90"/>
      <c r="T2" s="90"/>
      <c r="U2" s="90"/>
      <c r="V2" s="90"/>
      <c r="W2" s="87"/>
      <c r="X2" s="87"/>
      <c r="Y2" s="87"/>
      <c r="Z2" s="87"/>
      <c r="AA2" s="87"/>
      <c r="AB2" s="89"/>
      <c r="AC2" s="91"/>
      <c r="AD2" s="92"/>
      <c r="AE2" s="87" t="e">
        <f t="array" aca="1" ref="AE2" ca="1">xlgantt.CommentOnHeadArea()</f>
        <v>#NAME?</v>
      </c>
      <c r="AF2" s="323" t="s">
        <v>249</v>
      </c>
      <c r="AG2" s="323"/>
      <c r="AH2" s="323"/>
      <c r="AI2" s="323"/>
      <c r="AJ2" s="323" t="s">
        <v>250</v>
      </c>
      <c r="AK2" s="323"/>
      <c r="AL2" s="323"/>
      <c r="AM2" s="323"/>
      <c r="AN2" s="323" t="s">
        <v>251</v>
      </c>
      <c r="AO2" s="323"/>
      <c r="AP2" s="323"/>
      <c r="AQ2" s="323"/>
      <c r="AR2" s="323" t="s">
        <v>252</v>
      </c>
      <c r="AS2" s="323"/>
      <c r="AT2" s="323"/>
      <c r="AU2" s="323"/>
      <c r="AV2" s="323" t="s">
        <v>253</v>
      </c>
      <c r="AW2" s="323"/>
      <c r="AX2" s="323"/>
      <c r="AY2" s="323"/>
      <c r="AZ2" s="323" t="s">
        <v>254</v>
      </c>
      <c r="BA2" s="323"/>
      <c r="BB2" s="323"/>
      <c r="BC2" s="323"/>
      <c r="BD2" s="323" t="s">
        <v>255</v>
      </c>
      <c r="BE2" s="323"/>
      <c r="BF2" s="323"/>
      <c r="BG2" s="323"/>
      <c r="BH2" s="323" t="s">
        <v>256</v>
      </c>
      <c r="BI2" s="323"/>
      <c r="BJ2" s="323"/>
      <c r="BK2" s="323"/>
      <c r="BL2" s="323" t="s">
        <v>257</v>
      </c>
      <c r="BM2" s="323"/>
      <c r="BN2" s="323"/>
      <c r="BO2" s="323"/>
      <c r="BP2" s="323" t="s">
        <v>258</v>
      </c>
      <c r="BQ2" s="323"/>
      <c r="BR2" s="323"/>
      <c r="BS2" s="323"/>
      <c r="BT2" s="323" t="s">
        <v>259</v>
      </c>
      <c r="BU2" s="323"/>
      <c r="BV2" s="323"/>
      <c r="BW2" s="323"/>
      <c r="BX2" s="323" t="s">
        <v>260</v>
      </c>
      <c r="BY2" s="323"/>
      <c r="BZ2" s="323"/>
      <c r="CA2" s="323"/>
      <c r="CB2" s="323" t="s">
        <v>261</v>
      </c>
      <c r="CC2" s="323"/>
      <c r="CD2" s="323"/>
      <c r="CE2" s="323"/>
      <c r="CF2" s="323" t="s">
        <v>262</v>
      </c>
      <c r="CG2" s="323"/>
      <c r="CH2" s="323"/>
      <c r="CI2" s="323"/>
      <c r="CJ2" s="323" t="s">
        <v>263</v>
      </c>
      <c r="CK2" s="323"/>
      <c r="CL2" s="323"/>
      <c r="CM2" s="323"/>
      <c r="CN2" s="323" t="s">
        <v>264</v>
      </c>
      <c r="CO2" s="323"/>
      <c r="CP2" s="323"/>
      <c r="CQ2" s="323"/>
      <c r="CR2" s="323" t="s">
        <v>265</v>
      </c>
      <c r="CS2" s="323"/>
      <c r="CT2" s="323"/>
      <c r="CU2" s="323"/>
      <c r="CV2" s="323" t="s">
        <v>266</v>
      </c>
      <c r="CW2" s="323"/>
      <c r="CX2" s="323"/>
      <c r="CY2" s="323"/>
      <c r="CZ2" s="323" t="s">
        <v>267</v>
      </c>
      <c r="DA2" s="323"/>
      <c r="DB2" s="323"/>
      <c r="DC2" s="323"/>
      <c r="DD2" s="323" t="s">
        <v>268</v>
      </c>
      <c r="DE2" s="323"/>
      <c r="DF2" s="323"/>
      <c r="DG2" s="323"/>
      <c r="DH2" s="323" t="s">
        <v>269</v>
      </c>
      <c r="DI2" s="323"/>
      <c r="DJ2" s="323"/>
      <c r="DK2" s="323"/>
      <c r="DL2" s="323" t="s">
        <v>270</v>
      </c>
      <c r="DM2" s="323"/>
      <c r="DN2" s="323"/>
      <c r="DO2" s="323"/>
      <c r="DP2" s="323" t="s">
        <v>271</v>
      </c>
      <c r="DQ2" s="323"/>
      <c r="DR2" s="323"/>
      <c r="DS2" s="323"/>
      <c r="DT2" s="323" t="s">
        <v>272</v>
      </c>
      <c r="DU2" s="323"/>
      <c r="DV2" s="323"/>
      <c r="DW2" s="323"/>
      <c r="DX2" s="323" t="s">
        <v>273</v>
      </c>
      <c r="DY2" s="323"/>
      <c r="DZ2" s="323"/>
      <c r="EA2" s="323"/>
      <c r="EB2" s="323" t="s">
        <v>274</v>
      </c>
      <c r="EC2" s="323"/>
      <c r="ED2" s="323"/>
      <c r="EE2" s="323"/>
      <c r="EF2" s="323" t="s">
        <v>275</v>
      </c>
      <c r="EG2" s="323"/>
      <c r="EH2" s="323"/>
      <c r="EI2" s="32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  <c r="YR2" s="93"/>
      <c r="YS2" s="93"/>
      <c r="YT2" s="93"/>
      <c r="YU2" s="93"/>
      <c r="YV2" s="93"/>
      <c r="YW2" s="93"/>
      <c r="YX2" s="93"/>
      <c r="YY2" s="93"/>
      <c r="YZ2" s="93"/>
      <c r="ZA2" s="93"/>
      <c r="ZB2" s="93"/>
      <c r="ZC2" s="93"/>
      <c r="ZD2" s="93"/>
      <c r="ZE2" s="93"/>
      <c r="ZF2" s="93"/>
      <c r="ZG2" s="93"/>
      <c r="ZH2" s="93"/>
      <c r="ZI2" s="93"/>
      <c r="ZJ2" s="93"/>
      <c r="ZK2" s="93"/>
      <c r="ZL2" s="93"/>
      <c r="ZM2" s="93"/>
      <c r="ZN2" s="93"/>
      <c r="ZO2" s="93"/>
      <c r="ZP2" s="93"/>
      <c r="ZQ2" s="93"/>
      <c r="ZR2" s="93"/>
      <c r="ZS2" s="93"/>
      <c r="ZT2" s="93"/>
      <c r="ZU2" s="93"/>
      <c r="ZV2" s="93"/>
      <c r="ZW2" s="93"/>
      <c r="ZX2" s="93"/>
      <c r="ZY2" s="93"/>
      <c r="ZZ2" s="93"/>
      <c r="AAA2" s="93"/>
      <c r="AAB2" s="93"/>
      <c r="AAC2" s="93"/>
      <c r="AAD2" s="93"/>
      <c r="AAE2" s="93"/>
      <c r="AAF2" s="93"/>
      <c r="AAG2" s="93"/>
      <c r="AAH2" s="93"/>
      <c r="AAI2" s="93"/>
      <c r="AAJ2" s="93"/>
      <c r="AAK2" s="93"/>
      <c r="AAL2" s="93"/>
      <c r="AAM2" s="93"/>
      <c r="AAN2" s="93"/>
      <c r="AAO2" s="93"/>
      <c r="AAP2" s="93"/>
      <c r="AAQ2" s="93"/>
      <c r="AAR2" s="93"/>
      <c r="AAS2" s="93"/>
      <c r="AAT2" s="93"/>
      <c r="AAU2" s="93"/>
      <c r="AAV2" s="93"/>
      <c r="AAW2" s="93"/>
      <c r="AAX2" s="93"/>
      <c r="AAY2" s="93"/>
      <c r="AAZ2" s="93"/>
      <c r="ABA2" s="93"/>
      <c r="ABB2" s="93"/>
      <c r="ABC2" s="93"/>
      <c r="ABD2" s="93"/>
      <c r="ABE2" s="93"/>
      <c r="ABF2" s="93"/>
      <c r="ABG2" s="93"/>
      <c r="ABH2" s="93"/>
      <c r="ABI2" s="93"/>
      <c r="ABJ2" s="93"/>
      <c r="ABK2" s="93"/>
      <c r="ABL2" s="93"/>
      <c r="ABM2" s="93"/>
      <c r="ABN2" s="93"/>
      <c r="ABO2" s="93"/>
      <c r="ABP2" s="93"/>
      <c r="ABQ2" s="93"/>
      <c r="ABR2" s="93"/>
      <c r="ABS2" s="93"/>
      <c r="ABT2" s="93"/>
      <c r="ABU2" s="93"/>
      <c r="ABV2" s="93"/>
      <c r="ABW2" s="93"/>
      <c r="ABX2" s="93"/>
      <c r="ABY2" s="93"/>
      <c r="ABZ2" s="93"/>
      <c r="ACA2" s="93"/>
      <c r="ACB2" s="93"/>
      <c r="ACC2" s="93"/>
      <c r="ACD2" s="93"/>
      <c r="ACE2" s="93"/>
      <c r="ACF2" s="93"/>
      <c r="ACG2" s="93"/>
      <c r="ACH2" s="93"/>
      <c r="ACI2" s="93"/>
      <c r="ACJ2" s="93"/>
      <c r="ACK2" s="93"/>
      <c r="ACL2" s="93"/>
      <c r="ACM2" s="93"/>
      <c r="ACN2" s="93"/>
      <c r="ACO2" s="93"/>
      <c r="ACP2" s="93"/>
      <c r="ACQ2" s="93"/>
      <c r="ACR2" s="93"/>
      <c r="ACS2" s="93"/>
    </row>
    <row r="3" spans="1:773" s="94" customFormat="1" ht="19.05" customHeight="1" x14ac:dyDescent="0.4">
      <c r="A3" s="324" t="s">
        <v>276</v>
      </c>
      <c r="B3" s="326" t="s">
        <v>277</v>
      </c>
      <c r="C3" s="328" t="s">
        <v>278</v>
      </c>
      <c r="D3" s="329" t="s">
        <v>279</v>
      </c>
      <c r="E3" s="330" t="s">
        <v>280</v>
      </c>
      <c r="F3" s="331"/>
      <c r="G3" s="331"/>
      <c r="H3" s="331"/>
      <c r="I3" s="331"/>
      <c r="J3" s="331"/>
      <c r="K3" s="331"/>
      <c r="L3" s="331"/>
      <c r="M3" s="331"/>
      <c r="N3" s="331"/>
      <c r="O3" s="301" t="s">
        <v>281</v>
      </c>
      <c r="P3" s="301" t="s">
        <v>282</v>
      </c>
      <c r="Q3" s="301" t="s">
        <v>283</v>
      </c>
      <c r="R3" s="312" t="s">
        <v>284</v>
      </c>
      <c r="S3" s="314" t="s">
        <v>285</v>
      </c>
      <c r="T3" s="316" t="s">
        <v>286</v>
      </c>
      <c r="U3" s="314" t="s">
        <v>287</v>
      </c>
      <c r="V3" s="314" t="s">
        <v>288</v>
      </c>
      <c r="W3" s="318" t="s">
        <v>289</v>
      </c>
      <c r="X3" s="318" t="s">
        <v>290</v>
      </c>
      <c r="Y3" s="319" t="s">
        <v>291</v>
      </c>
      <c r="Z3" s="321" t="s">
        <v>292</v>
      </c>
      <c r="AA3" s="310" t="s">
        <v>293</v>
      </c>
      <c r="AB3" s="301" t="s">
        <v>294</v>
      </c>
      <c r="AC3" s="303" t="s">
        <v>295</v>
      </c>
      <c r="AD3" s="305" t="s">
        <v>296</v>
      </c>
      <c r="AE3" s="307" t="s">
        <v>297</v>
      </c>
      <c r="AF3" s="309" t="s">
        <v>298</v>
      </c>
      <c r="AG3" s="299"/>
      <c r="AH3" s="299"/>
      <c r="AI3" s="299"/>
      <c r="AJ3" s="298" t="s">
        <v>299</v>
      </c>
      <c r="AK3" s="299"/>
      <c r="AL3" s="299"/>
      <c r="AM3" s="299"/>
      <c r="AN3" s="298" t="s">
        <v>300</v>
      </c>
      <c r="AO3" s="299"/>
      <c r="AP3" s="299"/>
      <c r="AQ3" s="299"/>
      <c r="AR3" s="298" t="s">
        <v>301</v>
      </c>
      <c r="AS3" s="299"/>
      <c r="AT3" s="299"/>
      <c r="AU3" s="299"/>
      <c r="AV3" s="298" t="s">
        <v>302</v>
      </c>
      <c r="AW3" s="299"/>
      <c r="AX3" s="299"/>
      <c r="AY3" s="299"/>
      <c r="AZ3" s="298" t="s">
        <v>303</v>
      </c>
      <c r="BA3" s="299"/>
      <c r="BB3" s="299"/>
      <c r="BC3" s="299"/>
      <c r="BD3" s="298" t="s">
        <v>304</v>
      </c>
      <c r="BE3" s="299"/>
      <c r="BF3" s="299"/>
      <c r="BG3" s="299"/>
      <c r="BH3" s="298" t="s">
        <v>305</v>
      </c>
      <c r="BI3" s="299"/>
      <c r="BJ3" s="299"/>
      <c r="BK3" s="299"/>
      <c r="BL3" s="298" t="s">
        <v>306</v>
      </c>
      <c r="BM3" s="299"/>
      <c r="BN3" s="299"/>
      <c r="BO3" s="299"/>
      <c r="BP3" s="298" t="s">
        <v>307</v>
      </c>
      <c r="BQ3" s="299"/>
      <c r="BR3" s="299"/>
      <c r="BS3" s="299"/>
      <c r="BT3" s="298" t="s">
        <v>308</v>
      </c>
      <c r="BU3" s="299"/>
      <c r="BV3" s="299"/>
      <c r="BW3" s="299"/>
      <c r="BX3" s="298" t="s">
        <v>309</v>
      </c>
      <c r="BY3" s="299"/>
      <c r="BZ3" s="299"/>
      <c r="CA3" s="299"/>
      <c r="CB3" s="298" t="s">
        <v>310</v>
      </c>
      <c r="CC3" s="299"/>
      <c r="CD3" s="299"/>
      <c r="CE3" s="299"/>
      <c r="CF3" s="298" t="s">
        <v>311</v>
      </c>
      <c r="CG3" s="299"/>
      <c r="CH3" s="299"/>
      <c r="CI3" s="299"/>
      <c r="CJ3" s="298" t="s">
        <v>312</v>
      </c>
      <c r="CK3" s="299"/>
      <c r="CL3" s="299"/>
      <c r="CM3" s="299"/>
      <c r="CN3" s="298" t="s">
        <v>313</v>
      </c>
      <c r="CO3" s="299"/>
      <c r="CP3" s="299"/>
      <c r="CQ3" s="299"/>
      <c r="CR3" s="298" t="s">
        <v>314</v>
      </c>
      <c r="CS3" s="299"/>
      <c r="CT3" s="299"/>
      <c r="CU3" s="299"/>
      <c r="CV3" s="298" t="s">
        <v>315</v>
      </c>
      <c r="CW3" s="299"/>
      <c r="CX3" s="299"/>
      <c r="CY3" s="299"/>
      <c r="CZ3" s="298" t="s">
        <v>316</v>
      </c>
      <c r="DA3" s="299"/>
      <c r="DB3" s="299"/>
      <c r="DC3" s="299"/>
      <c r="DD3" s="298" t="s">
        <v>317</v>
      </c>
      <c r="DE3" s="299"/>
      <c r="DF3" s="299"/>
      <c r="DG3" s="299"/>
      <c r="DH3" s="298" t="s">
        <v>318</v>
      </c>
      <c r="DI3" s="299"/>
      <c r="DJ3" s="299"/>
      <c r="DK3" s="299"/>
      <c r="DL3" s="298" t="s">
        <v>319</v>
      </c>
      <c r="DM3" s="299"/>
      <c r="DN3" s="299"/>
      <c r="DO3" s="299"/>
      <c r="DP3" s="298" t="s">
        <v>320</v>
      </c>
      <c r="DQ3" s="299"/>
      <c r="DR3" s="299"/>
      <c r="DS3" s="299"/>
      <c r="DT3" s="298" t="s">
        <v>321</v>
      </c>
      <c r="DU3" s="299"/>
      <c r="DV3" s="299"/>
      <c r="DW3" s="299"/>
      <c r="DX3" s="298" t="s">
        <v>322</v>
      </c>
      <c r="DY3" s="299"/>
      <c r="DZ3" s="299"/>
      <c r="EA3" s="299"/>
      <c r="EB3" s="298" t="s">
        <v>323</v>
      </c>
      <c r="EC3" s="299"/>
      <c r="ED3" s="299"/>
      <c r="EE3" s="299"/>
      <c r="EF3" s="298" t="s">
        <v>324</v>
      </c>
      <c r="EG3" s="299"/>
      <c r="EH3" s="299"/>
      <c r="EI3" s="300"/>
    </row>
    <row r="4" spans="1:773" s="100" customFormat="1" ht="6" customHeight="1" x14ac:dyDescent="0.4">
      <c r="A4" s="325"/>
      <c r="B4" s="327"/>
      <c r="C4" s="324"/>
      <c r="D4" s="304"/>
      <c r="E4" s="332"/>
      <c r="F4" s="331"/>
      <c r="G4" s="331"/>
      <c r="H4" s="331"/>
      <c r="I4" s="331"/>
      <c r="J4" s="331"/>
      <c r="K4" s="331"/>
      <c r="L4" s="331"/>
      <c r="M4" s="331"/>
      <c r="N4" s="331"/>
      <c r="O4" s="302"/>
      <c r="P4" s="302"/>
      <c r="Q4" s="302"/>
      <c r="R4" s="313"/>
      <c r="S4" s="315"/>
      <c r="T4" s="317"/>
      <c r="U4" s="315"/>
      <c r="V4" s="315"/>
      <c r="W4" s="302"/>
      <c r="X4" s="302"/>
      <c r="Y4" s="320"/>
      <c r="Z4" s="322"/>
      <c r="AA4" s="311"/>
      <c r="AB4" s="302"/>
      <c r="AC4" s="304"/>
      <c r="AD4" s="306"/>
      <c r="AE4" s="308"/>
      <c r="AF4" s="95">
        <v>44556</v>
      </c>
      <c r="AG4" s="96">
        <v>44563</v>
      </c>
      <c r="AH4" s="96">
        <v>44570</v>
      </c>
      <c r="AI4" s="96">
        <v>44577</v>
      </c>
      <c r="AJ4" s="96">
        <v>44584</v>
      </c>
      <c r="AK4" s="96">
        <v>44591</v>
      </c>
      <c r="AL4" s="96">
        <v>44598</v>
      </c>
      <c r="AM4" s="96">
        <v>44605</v>
      </c>
      <c r="AN4" s="96">
        <v>44612</v>
      </c>
      <c r="AO4" s="96">
        <v>44619</v>
      </c>
      <c r="AP4" s="96">
        <v>44626</v>
      </c>
      <c r="AQ4" s="96">
        <v>44633</v>
      </c>
      <c r="AR4" s="96">
        <v>44640</v>
      </c>
      <c r="AS4" s="96">
        <v>44647</v>
      </c>
      <c r="AT4" s="96">
        <v>44654</v>
      </c>
      <c r="AU4" s="96">
        <v>44661</v>
      </c>
      <c r="AV4" s="96">
        <v>44668</v>
      </c>
      <c r="AW4" s="96">
        <v>44675</v>
      </c>
      <c r="AX4" s="96">
        <v>44682</v>
      </c>
      <c r="AY4" s="96">
        <v>44689</v>
      </c>
      <c r="AZ4" s="96">
        <v>44696</v>
      </c>
      <c r="BA4" s="96">
        <v>44703</v>
      </c>
      <c r="BB4" s="96">
        <v>44710</v>
      </c>
      <c r="BC4" s="96">
        <v>44717</v>
      </c>
      <c r="BD4" s="96">
        <v>44724</v>
      </c>
      <c r="BE4" s="96">
        <v>44731</v>
      </c>
      <c r="BF4" s="96">
        <v>44738</v>
      </c>
      <c r="BG4" s="96">
        <v>44745</v>
      </c>
      <c r="BH4" s="96">
        <v>44752</v>
      </c>
      <c r="BI4" s="96">
        <v>44759</v>
      </c>
      <c r="BJ4" s="96">
        <v>44766</v>
      </c>
      <c r="BK4" s="96">
        <v>44773</v>
      </c>
      <c r="BL4" s="96">
        <v>44780</v>
      </c>
      <c r="BM4" s="96">
        <v>44787</v>
      </c>
      <c r="BN4" s="96">
        <v>44794</v>
      </c>
      <c r="BO4" s="96">
        <v>44801</v>
      </c>
      <c r="BP4" s="96">
        <v>44808</v>
      </c>
      <c r="BQ4" s="96">
        <v>44815</v>
      </c>
      <c r="BR4" s="96">
        <v>44822</v>
      </c>
      <c r="BS4" s="96">
        <v>44829</v>
      </c>
      <c r="BT4" s="96">
        <v>44836</v>
      </c>
      <c r="BU4" s="96">
        <v>44843</v>
      </c>
      <c r="BV4" s="96">
        <v>44850</v>
      </c>
      <c r="BW4" s="96">
        <v>44857</v>
      </c>
      <c r="BX4" s="96">
        <v>44864</v>
      </c>
      <c r="BY4" s="96">
        <v>44871</v>
      </c>
      <c r="BZ4" s="96">
        <v>44878</v>
      </c>
      <c r="CA4" s="96">
        <v>44885</v>
      </c>
      <c r="CB4" s="96">
        <v>44892</v>
      </c>
      <c r="CC4" s="96">
        <v>44899</v>
      </c>
      <c r="CD4" s="96">
        <v>44906</v>
      </c>
      <c r="CE4" s="96">
        <v>44913</v>
      </c>
      <c r="CF4" s="96">
        <v>44920</v>
      </c>
      <c r="CG4" s="96">
        <v>44927</v>
      </c>
      <c r="CH4" s="96">
        <v>44934</v>
      </c>
      <c r="CI4" s="96">
        <v>44941</v>
      </c>
      <c r="CJ4" s="96">
        <v>44948</v>
      </c>
      <c r="CK4" s="96">
        <v>44955</v>
      </c>
      <c r="CL4" s="96">
        <v>44962</v>
      </c>
      <c r="CM4" s="96">
        <v>44969</v>
      </c>
      <c r="CN4" s="96">
        <v>44976</v>
      </c>
      <c r="CO4" s="96">
        <v>44983</v>
      </c>
      <c r="CP4" s="96">
        <v>44990</v>
      </c>
      <c r="CQ4" s="96">
        <v>44997</v>
      </c>
      <c r="CR4" s="96">
        <v>45004</v>
      </c>
      <c r="CS4" s="96">
        <v>45011</v>
      </c>
      <c r="CT4" s="96">
        <v>45018</v>
      </c>
      <c r="CU4" s="96">
        <v>45025</v>
      </c>
      <c r="CV4" s="96">
        <v>45032</v>
      </c>
      <c r="CW4" s="96">
        <v>45039</v>
      </c>
      <c r="CX4" s="96">
        <v>45046</v>
      </c>
      <c r="CY4" s="96">
        <v>45053</v>
      </c>
      <c r="CZ4" s="96">
        <v>45060</v>
      </c>
      <c r="DA4" s="96">
        <v>45067</v>
      </c>
      <c r="DB4" s="96">
        <v>45074</v>
      </c>
      <c r="DC4" s="96">
        <v>45081</v>
      </c>
      <c r="DD4" s="96">
        <v>45088</v>
      </c>
      <c r="DE4" s="96">
        <v>45095</v>
      </c>
      <c r="DF4" s="96">
        <v>45102</v>
      </c>
      <c r="DG4" s="96">
        <v>45109</v>
      </c>
      <c r="DH4" s="96">
        <v>45116</v>
      </c>
      <c r="DI4" s="96">
        <v>45123</v>
      </c>
      <c r="DJ4" s="96">
        <v>45130</v>
      </c>
      <c r="DK4" s="96">
        <v>45137</v>
      </c>
      <c r="DL4" s="96">
        <v>45144</v>
      </c>
      <c r="DM4" s="96">
        <v>45151</v>
      </c>
      <c r="DN4" s="96">
        <v>45158</v>
      </c>
      <c r="DO4" s="96">
        <v>45165</v>
      </c>
      <c r="DP4" s="96">
        <v>45172</v>
      </c>
      <c r="DQ4" s="96">
        <v>45179</v>
      </c>
      <c r="DR4" s="96">
        <v>45186</v>
      </c>
      <c r="DS4" s="96">
        <v>45193</v>
      </c>
      <c r="DT4" s="96">
        <v>45200</v>
      </c>
      <c r="DU4" s="96">
        <v>45207</v>
      </c>
      <c r="DV4" s="96">
        <v>45214</v>
      </c>
      <c r="DW4" s="96">
        <v>45221</v>
      </c>
      <c r="DX4" s="96">
        <v>45228</v>
      </c>
      <c r="DY4" s="96">
        <v>45235</v>
      </c>
      <c r="DZ4" s="96">
        <v>45242</v>
      </c>
      <c r="EA4" s="96">
        <v>45249</v>
      </c>
      <c r="EB4" s="96">
        <v>45256</v>
      </c>
      <c r="EC4" s="96">
        <v>45263</v>
      </c>
      <c r="ED4" s="96">
        <v>45270</v>
      </c>
      <c r="EE4" s="96">
        <v>45277</v>
      </c>
      <c r="EF4" s="96">
        <v>45284</v>
      </c>
      <c r="EG4" s="96">
        <v>45291</v>
      </c>
      <c r="EH4" s="97"/>
      <c r="EI4" s="98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99"/>
      <c r="PB4" s="99"/>
      <c r="PC4" s="99"/>
      <c r="PD4" s="99"/>
      <c r="PE4" s="99"/>
      <c r="PF4" s="99"/>
      <c r="PG4" s="99"/>
      <c r="PH4" s="99"/>
      <c r="PI4" s="99"/>
      <c r="PJ4" s="99"/>
      <c r="PK4" s="99"/>
      <c r="PL4" s="99"/>
      <c r="PM4" s="99"/>
      <c r="PN4" s="99"/>
      <c r="PO4" s="99"/>
      <c r="PP4" s="99"/>
      <c r="PQ4" s="99"/>
      <c r="PR4" s="99"/>
      <c r="PS4" s="99"/>
      <c r="PT4" s="99"/>
      <c r="PU4" s="99"/>
      <c r="PV4" s="99"/>
      <c r="PW4" s="99"/>
      <c r="PX4" s="99"/>
      <c r="PY4" s="99"/>
      <c r="PZ4" s="99"/>
      <c r="QA4" s="99"/>
      <c r="QB4" s="99"/>
      <c r="QC4" s="99"/>
      <c r="QD4" s="99"/>
      <c r="QE4" s="99"/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  <c r="TC4" s="99"/>
      <c r="TD4" s="99"/>
      <c r="TE4" s="99"/>
      <c r="TF4" s="99"/>
      <c r="TG4" s="99"/>
      <c r="TH4" s="99"/>
      <c r="TI4" s="99"/>
      <c r="TJ4" s="99"/>
      <c r="TK4" s="99"/>
      <c r="TL4" s="99"/>
      <c r="TM4" s="99"/>
      <c r="TN4" s="99"/>
      <c r="TO4" s="99"/>
      <c r="TP4" s="99"/>
      <c r="TQ4" s="99"/>
      <c r="TR4" s="99"/>
      <c r="TS4" s="99"/>
      <c r="TT4" s="99"/>
      <c r="TU4" s="99"/>
      <c r="TV4" s="99"/>
      <c r="TW4" s="99"/>
      <c r="TX4" s="99"/>
      <c r="TY4" s="99"/>
      <c r="TZ4" s="99"/>
      <c r="UA4" s="99"/>
      <c r="UB4" s="99"/>
      <c r="UC4" s="99"/>
      <c r="UD4" s="99"/>
      <c r="UE4" s="99"/>
      <c r="UF4" s="99"/>
      <c r="UG4" s="99"/>
      <c r="UH4" s="99"/>
      <c r="UI4" s="99"/>
      <c r="UJ4" s="99"/>
      <c r="UK4" s="99"/>
      <c r="UL4" s="99"/>
      <c r="UM4" s="99"/>
      <c r="UN4" s="99"/>
      <c r="UO4" s="99"/>
      <c r="UP4" s="99"/>
      <c r="UQ4" s="99"/>
      <c r="UR4" s="99"/>
      <c r="US4" s="99"/>
      <c r="UT4" s="99"/>
      <c r="UU4" s="99"/>
      <c r="UV4" s="99"/>
      <c r="UW4" s="99"/>
      <c r="UX4" s="99"/>
      <c r="UY4" s="99"/>
      <c r="UZ4" s="99"/>
      <c r="VA4" s="99"/>
      <c r="VB4" s="99"/>
      <c r="VC4" s="99"/>
      <c r="VD4" s="99"/>
      <c r="VE4" s="99"/>
      <c r="VF4" s="99"/>
      <c r="VG4" s="99"/>
      <c r="VH4" s="99"/>
      <c r="VI4" s="99"/>
      <c r="VJ4" s="99"/>
      <c r="VK4" s="99"/>
      <c r="VL4" s="99"/>
      <c r="VM4" s="99"/>
      <c r="VN4" s="99"/>
      <c r="VO4" s="99"/>
      <c r="VP4" s="99"/>
      <c r="VQ4" s="99"/>
      <c r="VR4" s="99"/>
      <c r="VS4" s="99"/>
      <c r="VT4" s="99"/>
      <c r="VU4" s="99"/>
      <c r="VV4" s="99"/>
      <c r="VW4" s="99"/>
      <c r="VX4" s="99"/>
      <c r="VY4" s="99"/>
      <c r="VZ4" s="99"/>
      <c r="WA4" s="99"/>
      <c r="WB4" s="99"/>
      <c r="WC4" s="99"/>
      <c r="WD4" s="99"/>
      <c r="WE4" s="99"/>
      <c r="WF4" s="99"/>
      <c r="WG4" s="99"/>
      <c r="WH4" s="99"/>
      <c r="WI4" s="99"/>
      <c r="WJ4" s="99"/>
      <c r="WK4" s="99"/>
      <c r="WL4" s="99"/>
      <c r="WM4" s="99"/>
      <c r="WN4" s="99"/>
      <c r="WO4" s="99"/>
      <c r="WP4" s="99"/>
      <c r="WQ4" s="99"/>
      <c r="WR4" s="99"/>
      <c r="WS4" s="99"/>
      <c r="WT4" s="99"/>
      <c r="WU4" s="99"/>
      <c r="WV4" s="99"/>
      <c r="WW4" s="99"/>
      <c r="WX4" s="99"/>
      <c r="WY4" s="99"/>
      <c r="WZ4" s="99"/>
      <c r="XA4" s="99"/>
      <c r="XB4" s="99"/>
      <c r="XC4" s="99"/>
      <c r="XD4" s="99"/>
      <c r="XE4" s="99"/>
      <c r="XF4" s="99"/>
      <c r="XG4" s="99"/>
      <c r="XH4" s="99"/>
      <c r="XI4" s="99"/>
      <c r="XJ4" s="99"/>
      <c r="XK4" s="99"/>
      <c r="XL4" s="99"/>
      <c r="XM4" s="99"/>
      <c r="XN4" s="99"/>
      <c r="XO4" s="99"/>
      <c r="XP4" s="99"/>
      <c r="XQ4" s="99"/>
      <c r="XR4" s="99"/>
      <c r="XS4" s="99"/>
      <c r="XT4" s="99"/>
      <c r="XU4" s="99"/>
      <c r="XV4" s="99"/>
      <c r="XW4" s="99"/>
      <c r="XX4" s="99"/>
      <c r="XY4" s="99"/>
      <c r="XZ4" s="99"/>
      <c r="YA4" s="99"/>
      <c r="YB4" s="99"/>
      <c r="YC4" s="99"/>
      <c r="YD4" s="99"/>
      <c r="YE4" s="99"/>
      <c r="YF4" s="99"/>
      <c r="YG4" s="99"/>
      <c r="YH4" s="99"/>
      <c r="YI4" s="99"/>
      <c r="YJ4" s="99"/>
      <c r="YK4" s="99"/>
      <c r="YL4" s="99"/>
      <c r="YM4" s="99"/>
      <c r="YN4" s="99"/>
      <c r="YO4" s="99"/>
      <c r="YP4" s="99"/>
      <c r="YQ4" s="99"/>
      <c r="YR4" s="99"/>
      <c r="YS4" s="99"/>
      <c r="YT4" s="99"/>
      <c r="YU4" s="99"/>
      <c r="YV4" s="99"/>
      <c r="YW4" s="99"/>
      <c r="YX4" s="99"/>
      <c r="YY4" s="99"/>
      <c r="YZ4" s="99"/>
      <c r="ZA4" s="99"/>
      <c r="ZB4" s="99"/>
      <c r="ZC4" s="99"/>
      <c r="ZD4" s="99"/>
      <c r="ZE4" s="99"/>
      <c r="ZF4" s="99"/>
      <c r="ZG4" s="99"/>
      <c r="ZH4" s="99"/>
      <c r="ZI4" s="99"/>
      <c r="ZJ4" s="99"/>
      <c r="ZK4" s="99"/>
      <c r="ZL4" s="99"/>
      <c r="ZM4" s="99"/>
      <c r="ZN4" s="99"/>
      <c r="ZO4" s="99"/>
      <c r="ZP4" s="99"/>
      <c r="ZQ4" s="99"/>
      <c r="ZR4" s="99"/>
      <c r="ZS4" s="99"/>
      <c r="ZT4" s="99"/>
      <c r="ZU4" s="99"/>
      <c r="ZV4" s="99"/>
      <c r="ZW4" s="99"/>
      <c r="ZX4" s="99"/>
      <c r="ZY4" s="99"/>
      <c r="ZZ4" s="99"/>
      <c r="AAA4" s="99"/>
      <c r="AAB4" s="99"/>
      <c r="AAC4" s="99"/>
      <c r="AAD4" s="99"/>
      <c r="AAE4" s="99"/>
      <c r="AAF4" s="99"/>
      <c r="AAG4" s="99"/>
      <c r="AAH4" s="99"/>
      <c r="AAI4" s="99"/>
      <c r="AAJ4" s="99"/>
      <c r="AAK4" s="99"/>
      <c r="AAL4" s="99"/>
      <c r="AAM4" s="99"/>
      <c r="AAN4" s="99"/>
      <c r="AAO4" s="99"/>
      <c r="AAP4" s="99"/>
      <c r="AAQ4" s="99"/>
      <c r="AAR4" s="99"/>
      <c r="AAS4" s="99"/>
      <c r="AAT4" s="99"/>
      <c r="AAU4" s="99"/>
      <c r="AAV4" s="99"/>
      <c r="AAW4" s="99"/>
      <c r="AAX4" s="99"/>
      <c r="AAY4" s="99"/>
      <c r="AAZ4" s="99"/>
      <c r="ABA4" s="99"/>
      <c r="ABB4" s="99"/>
      <c r="ABC4" s="99"/>
      <c r="ABD4" s="99"/>
      <c r="ABE4" s="99"/>
      <c r="ABF4" s="99"/>
      <c r="ABG4" s="99"/>
      <c r="ABH4" s="99"/>
      <c r="ABI4" s="99"/>
      <c r="ABJ4" s="99"/>
      <c r="ABK4" s="99"/>
      <c r="ABL4" s="99"/>
      <c r="ABM4" s="99"/>
      <c r="ABN4" s="99"/>
      <c r="ABO4" s="99"/>
      <c r="ABP4" s="99"/>
      <c r="ABQ4" s="99"/>
      <c r="ABR4" s="99"/>
      <c r="ABS4" s="99"/>
      <c r="ABT4" s="99"/>
      <c r="ABU4" s="99"/>
      <c r="ABV4" s="99"/>
      <c r="ABW4" s="99"/>
      <c r="ABX4" s="99"/>
      <c r="ABY4" s="99"/>
      <c r="ABZ4" s="99"/>
      <c r="ACA4" s="99"/>
      <c r="ACB4" s="99"/>
      <c r="ACC4" s="99"/>
      <c r="ACD4" s="99"/>
      <c r="ACE4" s="99"/>
      <c r="ACF4" s="99"/>
      <c r="ACG4" s="99"/>
      <c r="ACH4" s="99"/>
      <c r="ACI4" s="99"/>
      <c r="ACJ4" s="99"/>
      <c r="ACK4" s="99"/>
      <c r="ACL4" s="99"/>
      <c r="ACM4" s="99"/>
      <c r="ACN4" s="99"/>
      <c r="ACO4" s="99"/>
      <c r="ACP4" s="99"/>
      <c r="ACQ4" s="99"/>
      <c r="ACR4" s="99"/>
      <c r="ACS4" s="99"/>
    </row>
    <row r="5" spans="1:773" ht="12" customHeight="1" x14ac:dyDescent="0.4">
      <c r="A5" s="101"/>
      <c r="B5" s="101" t="s">
        <v>325</v>
      </c>
      <c r="C5" s="101">
        <v>1</v>
      </c>
      <c r="D5" s="102" t="s">
        <v>326</v>
      </c>
      <c r="E5" s="103" t="s">
        <v>327</v>
      </c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105">
        <v>44562</v>
      </c>
      <c r="Q5" s="105">
        <v>44772</v>
      </c>
      <c r="R5" s="106"/>
      <c r="S5" s="107">
        <v>2297</v>
      </c>
      <c r="T5" s="107">
        <v>2285</v>
      </c>
      <c r="U5" s="107">
        <v>211</v>
      </c>
      <c r="V5" s="107">
        <v>199</v>
      </c>
      <c r="W5" s="108"/>
      <c r="X5" s="108"/>
      <c r="Y5" s="109">
        <v>0</v>
      </c>
      <c r="Z5" s="110">
        <v>0</v>
      </c>
      <c r="AA5" s="107"/>
      <c r="AB5" s="111"/>
      <c r="AC5" s="112"/>
      <c r="AD5" s="113">
        <v>0.9947757945145842</v>
      </c>
      <c r="AE5" s="114">
        <v>0</v>
      </c>
      <c r="AF5" s="115" t="str">
        <f>"      " &amp; TEXT(AE5,"#0.00%") &amp; " "</f>
        <v xml:space="preserve">      0.00% </v>
      </c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 t="str">
        <f>"" &amp; "설계" &amp; " " &amp; IF(P5="","",TEXT(P5,"M/D-")) &amp; IF(Q5="","",TEXT(Q5,"M/D")) &amp; " "</f>
        <v xml:space="preserve">설계 1/1-7/30 </v>
      </c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6"/>
      <c r="EI5" s="117"/>
    </row>
    <row r="6" spans="1:773" ht="12" customHeight="1" outlineLevel="1" x14ac:dyDescent="0.4">
      <c r="A6" s="101"/>
      <c r="B6" s="101" t="s">
        <v>325</v>
      </c>
      <c r="C6" s="101">
        <v>2</v>
      </c>
      <c r="D6" s="102" t="s">
        <v>328</v>
      </c>
      <c r="E6" s="103"/>
      <c r="F6" s="103" t="s">
        <v>329</v>
      </c>
      <c r="G6" s="103"/>
      <c r="H6" s="103"/>
      <c r="I6" s="103"/>
      <c r="J6" s="103"/>
      <c r="K6" s="103"/>
      <c r="L6" s="103"/>
      <c r="M6" s="103"/>
      <c r="N6" s="103"/>
      <c r="O6" s="104" t="s">
        <v>330</v>
      </c>
      <c r="P6" s="105">
        <v>44562</v>
      </c>
      <c r="Q6" s="105">
        <v>44711</v>
      </c>
      <c r="R6" s="106"/>
      <c r="S6" s="107">
        <v>319</v>
      </c>
      <c r="T6" s="107">
        <v>319</v>
      </c>
      <c r="U6" s="107">
        <v>150</v>
      </c>
      <c r="V6" s="107">
        <v>150</v>
      </c>
      <c r="W6" s="108"/>
      <c r="X6" s="108"/>
      <c r="Y6" s="109">
        <v>0</v>
      </c>
      <c r="Z6" s="110">
        <v>0</v>
      </c>
      <c r="AA6" s="107"/>
      <c r="AB6" s="111"/>
      <c r="AC6" s="112"/>
      <c r="AD6" s="113">
        <v>1</v>
      </c>
      <c r="AE6" s="114">
        <v>0</v>
      </c>
      <c r="AF6" s="115" t="str">
        <f>"      " &amp; TEXT(AE6,"#0.00%") &amp; " "</f>
        <v xml:space="preserve">      0.00% </v>
      </c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 t="str">
        <f>"  " &amp; "BUFFER STK" &amp; " " &amp; IF(P6="","",TEXT(P6,"M/D-")) &amp; IF(Q6="","",TEXT(Q6,"M/D")) &amp; " "</f>
        <v xml:space="preserve">  BUFFER STK 1/1-5/30 </v>
      </c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6"/>
    </row>
    <row r="7" spans="1:773" ht="12" customHeight="1" outlineLevel="2" x14ac:dyDescent="0.4">
      <c r="A7" s="101"/>
      <c r="B7" s="101"/>
      <c r="C7" s="101">
        <v>3</v>
      </c>
      <c r="D7" s="102" t="s">
        <v>331</v>
      </c>
      <c r="E7" s="103"/>
      <c r="F7" s="103"/>
      <c r="G7" s="103" t="s">
        <v>332</v>
      </c>
      <c r="H7" s="103"/>
      <c r="I7" s="103"/>
      <c r="J7" s="103"/>
      <c r="K7" s="103"/>
      <c r="L7" s="103"/>
      <c r="M7" s="103"/>
      <c r="N7" s="103"/>
      <c r="O7" s="104"/>
      <c r="P7" s="105">
        <v>44576</v>
      </c>
      <c r="Q7" s="105">
        <v>44625</v>
      </c>
      <c r="R7" s="106"/>
      <c r="S7" s="107">
        <v>50</v>
      </c>
      <c r="T7" s="107">
        <v>50</v>
      </c>
      <c r="U7" s="107">
        <v>50</v>
      </c>
      <c r="V7" s="107">
        <v>50</v>
      </c>
      <c r="W7" s="108"/>
      <c r="X7" s="108"/>
      <c r="Y7" s="109"/>
      <c r="Z7" s="110">
        <v>0</v>
      </c>
      <c r="AA7" s="107"/>
      <c r="AB7" s="111"/>
      <c r="AC7" s="112"/>
      <c r="AD7" s="113">
        <v>1</v>
      </c>
      <c r="AE7" s="119">
        <v>0</v>
      </c>
      <c r="AF7" s="115"/>
      <c r="AG7" s="115"/>
      <c r="AH7" s="115" t="str">
        <f>"      " &amp; TEXT(AE7,"#0.00%") &amp; " "</f>
        <v xml:space="preserve">      0.00% </v>
      </c>
      <c r="AI7" s="115"/>
      <c r="AJ7" s="115"/>
      <c r="AK7" s="115"/>
      <c r="AL7" s="115"/>
      <c r="AM7" s="115"/>
      <c r="AN7" s="115"/>
      <c r="AO7" s="115"/>
      <c r="AP7" s="115" t="str">
        <f>"" &amp; "Layout" &amp; " " &amp; IF(P7="","",TEXT(P7,"M/D-")) &amp; IF(Q7="","",TEXT(Q7,"M/D")) &amp; " "</f>
        <v xml:space="preserve">Layout 1/15-3/5 </v>
      </c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6"/>
    </row>
    <row r="8" spans="1:773" ht="12" customHeight="1" outlineLevel="2" x14ac:dyDescent="0.4">
      <c r="A8" s="101"/>
      <c r="B8" s="101"/>
      <c r="C8" s="101">
        <v>3</v>
      </c>
      <c r="D8" s="102" t="s">
        <v>333</v>
      </c>
      <c r="E8" s="103"/>
      <c r="F8" s="103"/>
      <c r="G8" s="103" t="s">
        <v>334</v>
      </c>
      <c r="H8" s="103"/>
      <c r="I8" s="103"/>
      <c r="J8" s="103"/>
      <c r="K8" s="103"/>
      <c r="L8" s="103"/>
      <c r="M8" s="103"/>
      <c r="N8" s="103"/>
      <c r="O8" s="104"/>
      <c r="P8" s="105">
        <v>44562</v>
      </c>
      <c r="Q8" s="105">
        <v>44711</v>
      </c>
      <c r="R8" s="106"/>
      <c r="S8" s="107">
        <v>150</v>
      </c>
      <c r="T8" s="107">
        <v>150</v>
      </c>
      <c r="U8" s="107">
        <v>150</v>
      </c>
      <c r="V8" s="107">
        <v>150</v>
      </c>
      <c r="W8" s="108"/>
      <c r="X8" s="108"/>
      <c r="Y8" s="109"/>
      <c r="Z8" s="110">
        <v>0</v>
      </c>
      <c r="AA8" s="107"/>
      <c r="AB8" s="111"/>
      <c r="AC8" s="112"/>
      <c r="AD8" s="113">
        <v>1</v>
      </c>
      <c r="AE8" s="119">
        <v>0</v>
      </c>
      <c r="AF8" s="115" t="str">
        <f>"      " &amp; TEXT(AE8,"#0.00%") &amp; " "</f>
        <v xml:space="preserve">      0.00% </v>
      </c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 t="str">
        <f>"  " &amp; "설계DR" &amp; " " &amp; IF(P8="","",TEXT(P8,"M/D-")) &amp; IF(Q8="","",TEXT(Q8,"M/D")) &amp; " "</f>
        <v xml:space="preserve">  설계DR 1/1-5/30 </v>
      </c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6"/>
    </row>
    <row r="9" spans="1:773" ht="12" customHeight="1" outlineLevel="2" x14ac:dyDescent="0.4">
      <c r="A9" s="101"/>
      <c r="B9" s="101" t="s">
        <v>325</v>
      </c>
      <c r="C9" s="101">
        <v>3</v>
      </c>
      <c r="D9" s="102" t="s">
        <v>335</v>
      </c>
      <c r="E9" s="103"/>
      <c r="F9" s="103"/>
      <c r="G9" s="103" t="s">
        <v>336</v>
      </c>
      <c r="H9" s="103"/>
      <c r="I9" s="103"/>
      <c r="J9" s="103"/>
      <c r="K9" s="103"/>
      <c r="L9" s="103"/>
      <c r="M9" s="103"/>
      <c r="N9" s="103"/>
      <c r="O9" s="104"/>
      <c r="P9" s="105">
        <v>44593</v>
      </c>
      <c r="Q9" s="105">
        <v>44711</v>
      </c>
      <c r="R9" s="106"/>
      <c r="S9" s="107">
        <v>119</v>
      </c>
      <c r="T9" s="107">
        <v>119</v>
      </c>
      <c r="U9" s="107">
        <v>119</v>
      </c>
      <c r="V9" s="107">
        <v>119</v>
      </c>
      <c r="W9" s="108"/>
      <c r="X9" s="108"/>
      <c r="Y9" s="109">
        <v>0</v>
      </c>
      <c r="Z9" s="110">
        <v>0</v>
      </c>
      <c r="AA9" s="107"/>
      <c r="AB9" s="111"/>
      <c r="AC9" s="112"/>
      <c r="AD9" s="113">
        <v>1</v>
      </c>
      <c r="AE9" s="114">
        <v>0</v>
      </c>
      <c r="AF9" s="115"/>
      <c r="AG9" s="115"/>
      <c r="AH9" s="115"/>
      <c r="AI9" s="115"/>
      <c r="AJ9" s="115"/>
      <c r="AK9" s="115" t="str">
        <f>"  " &amp; TEXT(AE9,"#0.00%") &amp; " "</f>
        <v xml:space="preserve">  0.00% </v>
      </c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 t="str">
        <f>"  " &amp; "상세설계" &amp; " " &amp; IF(P9="","",TEXT(P9,"M/D-")) &amp; IF(Q9="","",TEXT(Q9,"M/D")) &amp; " "</f>
        <v xml:space="preserve">  상세설계 2/1-5/30 </v>
      </c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6"/>
    </row>
    <row r="10" spans="1:773" ht="12" customHeight="1" outlineLevel="3" x14ac:dyDescent="0.4">
      <c r="A10" s="101"/>
      <c r="B10" s="101"/>
      <c r="C10" s="101">
        <v>4</v>
      </c>
      <c r="D10" s="102" t="s">
        <v>337</v>
      </c>
      <c r="E10" s="103"/>
      <c r="F10" s="103"/>
      <c r="G10" s="103"/>
      <c r="H10" s="103" t="s">
        <v>338</v>
      </c>
      <c r="I10" s="103"/>
      <c r="J10" s="103"/>
      <c r="K10" s="103"/>
      <c r="L10" s="103"/>
      <c r="M10" s="103"/>
      <c r="N10" s="103"/>
      <c r="O10" s="104"/>
      <c r="P10" s="105">
        <v>44593</v>
      </c>
      <c r="Q10" s="105">
        <v>44651</v>
      </c>
      <c r="R10" s="106"/>
      <c r="S10" s="107">
        <v>59</v>
      </c>
      <c r="T10" s="107">
        <v>59</v>
      </c>
      <c r="U10" s="107">
        <v>59</v>
      </c>
      <c r="V10" s="107">
        <v>59</v>
      </c>
      <c r="W10" s="108"/>
      <c r="X10" s="108"/>
      <c r="Y10" s="109"/>
      <c r="Z10" s="110">
        <v>0</v>
      </c>
      <c r="AA10" s="107"/>
      <c r="AB10" s="111"/>
      <c r="AC10" s="112"/>
      <c r="AD10" s="113">
        <v>1</v>
      </c>
      <c r="AE10" s="119">
        <v>0</v>
      </c>
      <c r="AF10" s="115"/>
      <c r="AG10" s="115"/>
      <c r="AH10" s="115"/>
      <c r="AI10" s="115"/>
      <c r="AJ10" s="115"/>
      <c r="AK10" s="115" t="str">
        <f>"  " &amp; TEXT(AE10,"#0.00%") &amp; " "</f>
        <v xml:space="preserve">  0.00% </v>
      </c>
      <c r="AL10" s="115"/>
      <c r="AM10" s="115"/>
      <c r="AN10" s="115"/>
      <c r="AO10" s="115"/>
      <c r="AP10" s="115"/>
      <c r="AQ10" s="115"/>
      <c r="AR10" s="115"/>
      <c r="AS10" s="115" t="str">
        <f>"     " &amp; "Concept" &amp; " " &amp; IF(P10="","",TEXT(P10,"M/D-")) &amp; IF(Q10="","",TEXT(Q10,"M/D")) &amp; " "</f>
        <v xml:space="preserve">     Concept 2/1-3/31 </v>
      </c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6"/>
    </row>
    <row r="11" spans="1:773" ht="12" customHeight="1" outlineLevel="3" x14ac:dyDescent="0.4">
      <c r="A11" s="101"/>
      <c r="B11" s="101"/>
      <c r="C11" s="101">
        <v>4</v>
      </c>
      <c r="D11" s="102" t="s">
        <v>339</v>
      </c>
      <c r="E11" s="103"/>
      <c r="F11" s="103"/>
      <c r="G11" s="103"/>
      <c r="H11" s="103" t="s">
        <v>340</v>
      </c>
      <c r="I11" s="103"/>
      <c r="J11" s="103"/>
      <c r="K11" s="103"/>
      <c r="L11" s="103"/>
      <c r="M11" s="103"/>
      <c r="N11" s="103"/>
      <c r="O11" s="104"/>
      <c r="P11" s="105">
        <v>44652</v>
      </c>
      <c r="Q11" s="105">
        <v>44681</v>
      </c>
      <c r="R11" s="106"/>
      <c r="S11" s="107">
        <v>30</v>
      </c>
      <c r="T11" s="107">
        <v>30</v>
      </c>
      <c r="U11" s="107">
        <v>30</v>
      </c>
      <c r="V11" s="107">
        <v>30</v>
      </c>
      <c r="W11" s="108"/>
      <c r="X11" s="108"/>
      <c r="Y11" s="109"/>
      <c r="Z11" s="110">
        <v>0</v>
      </c>
      <c r="AA11" s="107"/>
      <c r="AB11" s="111"/>
      <c r="AC11" s="112"/>
      <c r="AD11" s="113">
        <v>1</v>
      </c>
      <c r="AE11" s="119">
        <v>0</v>
      </c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 t="str">
        <f>"     " &amp; TEXT(AE11,"#0.00%") &amp; " "</f>
        <v xml:space="preserve">     0.00% </v>
      </c>
      <c r="AT11" s="115"/>
      <c r="AU11" s="115"/>
      <c r="AV11" s="115"/>
      <c r="AW11" s="115"/>
      <c r="AX11" s="115" t="str">
        <f>"" &amp; "Ass'y" &amp; " " &amp; IF(P11="","",TEXT(P11,"M/D-")) &amp; IF(Q11="","",TEXT(Q11,"M/D")) &amp; " "</f>
        <v xml:space="preserve">Ass'y 4/1-4/30 </v>
      </c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6"/>
    </row>
    <row r="12" spans="1:773" ht="12" customHeight="1" outlineLevel="3" x14ac:dyDescent="0.4">
      <c r="A12" s="101"/>
      <c r="B12" s="101"/>
      <c r="C12" s="101">
        <v>4</v>
      </c>
      <c r="D12" s="102" t="s">
        <v>341</v>
      </c>
      <c r="E12" s="103"/>
      <c r="F12" s="103"/>
      <c r="G12" s="103"/>
      <c r="H12" s="103" t="s">
        <v>342</v>
      </c>
      <c r="I12" s="103"/>
      <c r="J12" s="103"/>
      <c r="K12" s="103"/>
      <c r="L12" s="103"/>
      <c r="M12" s="103"/>
      <c r="N12" s="103"/>
      <c r="O12" s="104"/>
      <c r="P12" s="105">
        <v>44682</v>
      </c>
      <c r="Q12" s="105">
        <v>44711</v>
      </c>
      <c r="R12" s="106"/>
      <c r="S12" s="107">
        <v>30</v>
      </c>
      <c r="T12" s="107">
        <v>30</v>
      </c>
      <c r="U12" s="107">
        <v>30</v>
      </c>
      <c r="V12" s="107">
        <v>30</v>
      </c>
      <c r="W12" s="108"/>
      <c r="X12" s="108"/>
      <c r="Y12" s="109"/>
      <c r="Z12" s="110">
        <v>0</v>
      </c>
      <c r="AA12" s="107"/>
      <c r="AB12" s="111"/>
      <c r="AC12" s="112"/>
      <c r="AD12" s="113">
        <v>1</v>
      </c>
      <c r="AE12" s="119">
        <v>0</v>
      </c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 t="str">
        <f>"" &amp; TEXT(AE12,"#0.00%") &amp; " "</f>
        <v xml:space="preserve">0.00% </v>
      </c>
      <c r="AY12" s="115"/>
      <c r="AZ12" s="115"/>
      <c r="BA12" s="115"/>
      <c r="BB12" s="115" t="str">
        <f>"  " &amp; "Part" &amp; " " &amp; IF(P12="","",TEXT(P12,"M/D-")) &amp; IF(Q12="","",TEXT(Q12,"M/D")) &amp; " "</f>
        <v xml:space="preserve">  Part 5/1-5/30 </v>
      </c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6"/>
    </row>
    <row r="13" spans="1:773" ht="12" customHeight="1" outlineLevel="1" x14ac:dyDescent="0.4">
      <c r="A13" s="101"/>
      <c r="B13" s="101" t="s">
        <v>325</v>
      </c>
      <c r="C13" s="101">
        <v>2</v>
      </c>
      <c r="D13" s="102" t="s">
        <v>343</v>
      </c>
      <c r="E13" s="103"/>
      <c r="F13" s="103" t="s">
        <v>344</v>
      </c>
      <c r="G13" s="103"/>
      <c r="H13" s="103"/>
      <c r="I13" s="103"/>
      <c r="J13" s="103"/>
      <c r="K13" s="103"/>
      <c r="L13" s="103"/>
      <c r="M13" s="103"/>
      <c r="N13" s="103"/>
      <c r="O13" s="104" t="s">
        <v>345</v>
      </c>
      <c r="P13" s="105">
        <v>44576</v>
      </c>
      <c r="Q13" s="105">
        <v>44742</v>
      </c>
      <c r="R13" s="106"/>
      <c r="S13" s="107">
        <v>193</v>
      </c>
      <c r="T13" s="107">
        <v>193</v>
      </c>
      <c r="U13" s="107">
        <v>167</v>
      </c>
      <c r="V13" s="107">
        <v>167</v>
      </c>
      <c r="W13" s="108"/>
      <c r="X13" s="108"/>
      <c r="Y13" s="109">
        <v>0</v>
      </c>
      <c r="Z13" s="110">
        <v>0</v>
      </c>
      <c r="AA13" s="107"/>
      <c r="AB13" s="111"/>
      <c r="AC13" s="112"/>
      <c r="AD13" s="113">
        <v>1</v>
      </c>
      <c r="AE13" s="114">
        <v>0</v>
      </c>
      <c r="AF13" s="115"/>
      <c r="AG13" s="115"/>
      <c r="AH13" s="115" t="str">
        <f>"      " &amp; TEXT(AE13,"#0.00%") &amp; " "</f>
        <v xml:space="preserve">      0.00% </v>
      </c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 t="str">
        <f>"     " &amp; "BUFFER 입출고 물류" &amp; " " &amp; IF(P13="","",TEXT(P13,"M/D-")) &amp; IF(Q13="","",TEXT(Q13,"M/D")) &amp; " "</f>
        <v xml:space="preserve">     BUFFER 입출고 물류 1/15-6/30 </v>
      </c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6"/>
    </row>
    <row r="14" spans="1:773" ht="12" customHeight="1" outlineLevel="2" x14ac:dyDescent="0.4">
      <c r="A14" s="101"/>
      <c r="B14" s="101"/>
      <c r="C14" s="101">
        <v>3</v>
      </c>
      <c r="D14" s="102" t="s">
        <v>346</v>
      </c>
      <c r="E14" s="103"/>
      <c r="F14" s="103"/>
      <c r="G14" s="103" t="s">
        <v>332</v>
      </c>
      <c r="H14" s="103"/>
      <c r="I14" s="103"/>
      <c r="J14" s="103"/>
      <c r="K14" s="103"/>
      <c r="L14" s="103"/>
      <c r="M14" s="103"/>
      <c r="N14" s="103"/>
      <c r="O14" s="104"/>
      <c r="P14" s="105">
        <v>44576</v>
      </c>
      <c r="Q14" s="105">
        <v>44635</v>
      </c>
      <c r="R14" s="106"/>
      <c r="S14" s="107">
        <v>60</v>
      </c>
      <c r="T14" s="107">
        <v>60</v>
      </c>
      <c r="U14" s="107">
        <v>60</v>
      </c>
      <c r="V14" s="107">
        <v>60</v>
      </c>
      <c r="W14" s="108"/>
      <c r="X14" s="108"/>
      <c r="Y14" s="109"/>
      <c r="Z14" s="110">
        <v>0</v>
      </c>
      <c r="AA14" s="107"/>
      <c r="AB14" s="111"/>
      <c r="AC14" s="112"/>
      <c r="AD14" s="113">
        <v>1</v>
      </c>
      <c r="AE14" s="119">
        <v>0</v>
      </c>
      <c r="AF14" s="115"/>
      <c r="AG14" s="115"/>
      <c r="AH14" s="115" t="str">
        <f>"      " &amp; TEXT(AE14,"#0.00%") &amp; " "</f>
        <v xml:space="preserve">      0.00% </v>
      </c>
      <c r="AI14" s="115"/>
      <c r="AJ14" s="115"/>
      <c r="AK14" s="115"/>
      <c r="AL14" s="115"/>
      <c r="AM14" s="115"/>
      <c r="AN14" s="115"/>
      <c r="AO14" s="115"/>
      <c r="AP14" s="115"/>
      <c r="AQ14" s="115" t="str">
        <f>"   " &amp; "Layout" &amp; " " &amp; IF(P14="","",TEXT(P14,"M/D-")) &amp; IF(Q14="","",TEXT(Q14,"M/D")) &amp; " "</f>
        <v xml:space="preserve">   Layout 1/15-3/15 </v>
      </c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6"/>
    </row>
    <row r="15" spans="1:773" ht="12" customHeight="1" outlineLevel="2" x14ac:dyDescent="0.4">
      <c r="A15" s="101"/>
      <c r="B15" s="101"/>
      <c r="C15" s="101">
        <v>3</v>
      </c>
      <c r="D15" s="102" t="s">
        <v>347</v>
      </c>
      <c r="E15" s="103"/>
      <c r="F15" s="103"/>
      <c r="G15" s="103" t="s">
        <v>334</v>
      </c>
      <c r="H15" s="103"/>
      <c r="I15" s="103"/>
      <c r="J15" s="103"/>
      <c r="K15" s="103"/>
      <c r="L15" s="103"/>
      <c r="M15" s="103"/>
      <c r="N15" s="103"/>
      <c r="O15" s="104"/>
      <c r="P15" s="105">
        <v>44732</v>
      </c>
      <c r="Q15" s="105">
        <v>44742</v>
      </c>
      <c r="R15" s="106"/>
      <c r="S15" s="107">
        <v>11</v>
      </c>
      <c r="T15" s="107">
        <v>11</v>
      </c>
      <c r="U15" s="107">
        <v>11</v>
      </c>
      <c r="V15" s="107">
        <v>11</v>
      </c>
      <c r="W15" s="108"/>
      <c r="X15" s="108"/>
      <c r="Y15" s="109"/>
      <c r="Z15" s="110">
        <v>0</v>
      </c>
      <c r="AA15" s="107"/>
      <c r="AB15" s="111"/>
      <c r="AC15" s="112"/>
      <c r="AD15" s="113">
        <v>1</v>
      </c>
      <c r="AE15" s="119">
        <v>0</v>
      </c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 t="str">
        <f>" " &amp; TEXT(AE15,"#0.00%") &amp; " " &amp; "설계DR" &amp; " " &amp; IF(P15="","",TEXT(P15,"M/D-")) &amp; IF(Q15="","",TEXT(Q15,"M/D")) &amp; " "</f>
        <v xml:space="preserve"> 0.00% 설계DR 6/20-6/30 </v>
      </c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6"/>
    </row>
    <row r="16" spans="1:773" ht="12" customHeight="1" outlineLevel="2" x14ac:dyDescent="0.4">
      <c r="A16" s="101"/>
      <c r="B16" s="101" t="s">
        <v>325</v>
      </c>
      <c r="C16" s="101">
        <v>3</v>
      </c>
      <c r="D16" s="102" t="s">
        <v>348</v>
      </c>
      <c r="E16" s="103"/>
      <c r="F16" s="103"/>
      <c r="G16" s="103" t="s">
        <v>336</v>
      </c>
      <c r="H16" s="103"/>
      <c r="I16" s="103"/>
      <c r="J16" s="103"/>
      <c r="K16" s="103"/>
      <c r="L16" s="103"/>
      <c r="M16" s="103"/>
      <c r="N16" s="103"/>
      <c r="O16" s="104"/>
      <c r="P16" s="105">
        <v>44621</v>
      </c>
      <c r="Q16" s="105">
        <v>44742</v>
      </c>
      <c r="R16" s="106"/>
      <c r="S16" s="107">
        <v>122</v>
      </c>
      <c r="T16" s="107">
        <v>122</v>
      </c>
      <c r="U16" s="107">
        <v>122</v>
      </c>
      <c r="V16" s="107">
        <v>122</v>
      </c>
      <c r="W16" s="108"/>
      <c r="X16" s="108"/>
      <c r="Y16" s="109">
        <v>0</v>
      </c>
      <c r="Z16" s="110">
        <v>0</v>
      </c>
      <c r="AA16" s="107"/>
      <c r="AB16" s="111"/>
      <c r="AC16" s="112"/>
      <c r="AD16" s="113">
        <v>1</v>
      </c>
      <c r="AE16" s="114">
        <v>0</v>
      </c>
      <c r="AF16" s="115"/>
      <c r="AG16" s="115"/>
      <c r="AH16" s="115"/>
      <c r="AI16" s="115"/>
      <c r="AJ16" s="115"/>
      <c r="AK16" s="115"/>
      <c r="AL16" s="115"/>
      <c r="AM16" s="115"/>
      <c r="AN16" s="115"/>
      <c r="AO16" s="115" t="str">
        <f>"  " &amp; TEXT(AE16,"#0.00%") &amp; " "</f>
        <v xml:space="preserve">  0.00% </v>
      </c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 t="str">
        <f>"     " &amp; "상세설계" &amp; " " &amp; IF(P16="","",TEXT(P16,"M/D-")) &amp; IF(Q16="","",TEXT(Q16,"M/D")) &amp; " "</f>
        <v xml:space="preserve">     상세설계 3/1-6/30 </v>
      </c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6"/>
    </row>
    <row r="17" spans="1:138" ht="12" customHeight="1" outlineLevel="3" x14ac:dyDescent="0.4">
      <c r="A17" s="101"/>
      <c r="B17" s="101"/>
      <c r="C17" s="101">
        <v>4</v>
      </c>
      <c r="D17" s="102" t="s">
        <v>349</v>
      </c>
      <c r="E17" s="103"/>
      <c r="F17" s="103"/>
      <c r="G17" s="103"/>
      <c r="H17" s="103" t="s">
        <v>338</v>
      </c>
      <c r="I17" s="103"/>
      <c r="J17" s="103"/>
      <c r="K17" s="103"/>
      <c r="L17" s="103"/>
      <c r="M17" s="103"/>
      <c r="N17" s="103"/>
      <c r="O17" s="104"/>
      <c r="P17" s="105">
        <v>44621</v>
      </c>
      <c r="Q17" s="105">
        <v>44651</v>
      </c>
      <c r="R17" s="106"/>
      <c r="S17" s="107">
        <v>31</v>
      </c>
      <c r="T17" s="107">
        <v>31</v>
      </c>
      <c r="U17" s="107">
        <v>31</v>
      </c>
      <c r="V17" s="107">
        <v>31</v>
      </c>
      <c r="W17" s="108"/>
      <c r="X17" s="108"/>
      <c r="Y17" s="109"/>
      <c r="Z17" s="110">
        <v>0</v>
      </c>
      <c r="AA17" s="107"/>
      <c r="AB17" s="111"/>
      <c r="AC17" s="112"/>
      <c r="AD17" s="113">
        <v>1</v>
      </c>
      <c r="AE17" s="119">
        <v>0</v>
      </c>
      <c r="AF17" s="115"/>
      <c r="AG17" s="115"/>
      <c r="AH17" s="115"/>
      <c r="AI17" s="115"/>
      <c r="AJ17" s="115"/>
      <c r="AK17" s="115"/>
      <c r="AL17" s="115"/>
      <c r="AM17" s="115"/>
      <c r="AN17" s="115"/>
      <c r="AO17" s="115" t="str">
        <f>"  " &amp; TEXT(AE17,"#0.00%") &amp; " "</f>
        <v xml:space="preserve">  0.00% </v>
      </c>
      <c r="AP17" s="115"/>
      <c r="AQ17" s="115"/>
      <c r="AR17" s="115"/>
      <c r="AS17" s="115" t="str">
        <f>"     " &amp; "Concept" &amp; " " &amp; IF(P17="","",TEXT(P17,"M/D-")) &amp; IF(Q17="","",TEXT(Q17,"M/D")) &amp; " "</f>
        <v xml:space="preserve">     Concept 3/1-3/31 </v>
      </c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6"/>
    </row>
    <row r="18" spans="1:138" ht="12" customHeight="1" outlineLevel="3" x14ac:dyDescent="0.4">
      <c r="A18" s="101"/>
      <c r="B18" s="101"/>
      <c r="C18" s="101">
        <v>4</v>
      </c>
      <c r="D18" s="102" t="s">
        <v>350</v>
      </c>
      <c r="E18" s="103"/>
      <c r="F18" s="103"/>
      <c r="G18" s="103"/>
      <c r="H18" s="103" t="s">
        <v>340</v>
      </c>
      <c r="I18" s="103"/>
      <c r="J18" s="103"/>
      <c r="K18" s="103"/>
      <c r="L18" s="103"/>
      <c r="M18" s="103"/>
      <c r="N18" s="103"/>
      <c r="O18" s="104"/>
      <c r="P18" s="105">
        <v>44652</v>
      </c>
      <c r="Q18" s="105">
        <v>44666</v>
      </c>
      <c r="R18" s="106"/>
      <c r="S18" s="107">
        <v>15</v>
      </c>
      <c r="T18" s="107">
        <v>15</v>
      </c>
      <c r="U18" s="107">
        <v>15</v>
      </c>
      <c r="V18" s="107">
        <v>15</v>
      </c>
      <c r="W18" s="108"/>
      <c r="X18" s="108"/>
      <c r="Y18" s="109"/>
      <c r="Z18" s="110">
        <v>0</v>
      </c>
      <c r="AA18" s="107"/>
      <c r="AB18" s="111"/>
      <c r="AC18" s="112"/>
      <c r="AD18" s="113">
        <v>1</v>
      </c>
      <c r="AE18" s="119">
        <v>0</v>
      </c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 t="str">
        <f>"     " &amp; TEXT(AE18,"#0.00%") &amp; " " &amp; "Ass'y" &amp; " " &amp; IF(P18="","",TEXT(P18,"M/D-")) &amp; IF(Q18="","",TEXT(Q18,"M/D")) &amp; " "</f>
        <v xml:space="preserve">     0.00% Ass'y 4/1-4/15 </v>
      </c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6"/>
    </row>
    <row r="19" spans="1:138" ht="12" customHeight="1" outlineLevel="3" x14ac:dyDescent="0.4">
      <c r="A19" s="101"/>
      <c r="B19" s="101"/>
      <c r="C19" s="101">
        <v>4</v>
      </c>
      <c r="D19" s="102" t="s">
        <v>351</v>
      </c>
      <c r="E19" s="103"/>
      <c r="F19" s="103"/>
      <c r="G19" s="103"/>
      <c r="H19" s="103" t="s">
        <v>342</v>
      </c>
      <c r="I19" s="103"/>
      <c r="J19" s="103"/>
      <c r="K19" s="103"/>
      <c r="L19" s="103"/>
      <c r="M19" s="103"/>
      <c r="N19" s="103"/>
      <c r="O19" s="104"/>
      <c r="P19" s="105">
        <v>44667</v>
      </c>
      <c r="Q19" s="105">
        <v>44742</v>
      </c>
      <c r="R19" s="106"/>
      <c r="S19" s="107">
        <v>76</v>
      </c>
      <c r="T19" s="107">
        <v>76</v>
      </c>
      <c r="U19" s="107">
        <v>76</v>
      </c>
      <c r="V19" s="107">
        <v>76</v>
      </c>
      <c r="W19" s="108"/>
      <c r="X19" s="108"/>
      <c r="Y19" s="109"/>
      <c r="Z19" s="110">
        <v>0</v>
      </c>
      <c r="AA19" s="107"/>
      <c r="AB19" s="111"/>
      <c r="AC19" s="112"/>
      <c r="AD19" s="113">
        <v>1</v>
      </c>
      <c r="AE19" s="119">
        <v>0</v>
      </c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 t="str">
        <f>"      " &amp; TEXT(AE19,"#0.00%") &amp; " "</f>
        <v xml:space="preserve">      0.00% </v>
      </c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 t="str">
        <f>"     " &amp; "Part" &amp; " " &amp; IF(P19="","",TEXT(P19,"M/D-")) &amp; IF(Q19="","",TEXT(Q19,"M/D")) &amp; " "</f>
        <v xml:space="preserve">     Part 4/16-6/30 </v>
      </c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6"/>
    </row>
    <row r="20" spans="1:138" ht="12" customHeight="1" outlineLevel="1" x14ac:dyDescent="0.4">
      <c r="A20" s="101"/>
      <c r="B20" s="101" t="s">
        <v>325</v>
      </c>
      <c r="C20" s="101">
        <v>2</v>
      </c>
      <c r="D20" s="102" t="s">
        <v>352</v>
      </c>
      <c r="E20" s="103"/>
      <c r="F20" s="103" t="s">
        <v>353</v>
      </c>
      <c r="G20" s="103"/>
      <c r="H20" s="103"/>
      <c r="I20" s="103"/>
      <c r="J20" s="103"/>
      <c r="K20" s="103"/>
      <c r="L20" s="103"/>
      <c r="M20" s="103"/>
      <c r="N20" s="103"/>
      <c r="O20" s="104" t="s">
        <v>345</v>
      </c>
      <c r="P20" s="105">
        <v>44576</v>
      </c>
      <c r="Q20" s="105">
        <v>44742</v>
      </c>
      <c r="R20" s="106"/>
      <c r="S20" s="107">
        <v>193</v>
      </c>
      <c r="T20" s="107">
        <v>193</v>
      </c>
      <c r="U20" s="107">
        <v>167</v>
      </c>
      <c r="V20" s="107">
        <v>167</v>
      </c>
      <c r="W20" s="108"/>
      <c r="X20" s="108"/>
      <c r="Y20" s="109">
        <v>0</v>
      </c>
      <c r="Z20" s="110">
        <v>0</v>
      </c>
      <c r="AA20" s="107"/>
      <c r="AB20" s="111"/>
      <c r="AC20" s="112"/>
      <c r="AD20" s="113">
        <v>1</v>
      </c>
      <c r="AE20" s="114">
        <v>0</v>
      </c>
      <c r="AF20" s="115"/>
      <c r="AG20" s="115"/>
      <c r="AH20" s="115" t="str">
        <f>"      " &amp; TEXT(AE20,"#0.00%") &amp; " "</f>
        <v xml:space="preserve">      0.00% </v>
      </c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 t="str">
        <f>"     " &amp; "외관검사기 물류" &amp; " " &amp; IF(P20="","",TEXT(P20,"M/D-")) &amp; IF(Q20="","",TEXT(Q20,"M/D")) &amp; " "</f>
        <v xml:space="preserve">     외관검사기 물류 1/15-6/30 </v>
      </c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6"/>
    </row>
    <row r="21" spans="1:138" ht="12" customHeight="1" outlineLevel="2" x14ac:dyDescent="0.4">
      <c r="A21" s="101"/>
      <c r="B21" s="101"/>
      <c r="C21" s="101">
        <v>3</v>
      </c>
      <c r="D21" s="102" t="s">
        <v>354</v>
      </c>
      <c r="E21" s="103"/>
      <c r="F21" s="103"/>
      <c r="G21" s="103" t="s">
        <v>332</v>
      </c>
      <c r="H21" s="103"/>
      <c r="I21" s="103"/>
      <c r="J21" s="103"/>
      <c r="K21" s="103"/>
      <c r="L21" s="103"/>
      <c r="M21" s="103"/>
      <c r="N21" s="103"/>
      <c r="O21" s="104"/>
      <c r="P21" s="105">
        <v>44576</v>
      </c>
      <c r="Q21" s="105">
        <v>44635</v>
      </c>
      <c r="R21" s="106"/>
      <c r="S21" s="107">
        <v>60</v>
      </c>
      <c r="T21" s="107">
        <v>60</v>
      </c>
      <c r="U21" s="107">
        <v>60</v>
      </c>
      <c r="V21" s="107">
        <v>60</v>
      </c>
      <c r="W21" s="108"/>
      <c r="X21" s="108"/>
      <c r="Y21" s="109"/>
      <c r="Z21" s="110">
        <v>0</v>
      </c>
      <c r="AA21" s="107"/>
      <c r="AB21" s="111"/>
      <c r="AC21" s="112"/>
      <c r="AD21" s="113">
        <v>1</v>
      </c>
      <c r="AE21" s="119">
        <v>0</v>
      </c>
      <c r="AF21" s="115"/>
      <c r="AG21" s="115"/>
      <c r="AH21" s="115" t="str">
        <f>"      " &amp; TEXT(AE21,"#0.00%") &amp; " "</f>
        <v xml:space="preserve">      0.00% </v>
      </c>
      <c r="AI21" s="115"/>
      <c r="AJ21" s="115"/>
      <c r="AK21" s="115"/>
      <c r="AL21" s="115"/>
      <c r="AM21" s="115"/>
      <c r="AN21" s="115"/>
      <c r="AO21" s="115"/>
      <c r="AP21" s="115"/>
      <c r="AQ21" s="115" t="str">
        <f>"   " &amp; "Layout" &amp; " " &amp; IF(P21="","",TEXT(P21,"M/D-")) &amp; IF(Q21="","",TEXT(Q21,"M/D")) &amp; " "</f>
        <v xml:space="preserve">   Layout 1/15-3/15 </v>
      </c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6"/>
    </row>
    <row r="22" spans="1:138" ht="12" customHeight="1" outlineLevel="2" x14ac:dyDescent="0.4">
      <c r="A22" s="101"/>
      <c r="B22" s="101"/>
      <c r="C22" s="101">
        <v>3</v>
      </c>
      <c r="D22" s="102" t="s">
        <v>355</v>
      </c>
      <c r="E22" s="103"/>
      <c r="F22" s="103"/>
      <c r="G22" s="103" t="s">
        <v>334</v>
      </c>
      <c r="H22" s="103"/>
      <c r="I22" s="103"/>
      <c r="J22" s="103"/>
      <c r="K22" s="103"/>
      <c r="L22" s="103"/>
      <c r="M22" s="103"/>
      <c r="N22" s="103"/>
      <c r="O22" s="104"/>
      <c r="P22" s="105">
        <v>44732</v>
      </c>
      <c r="Q22" s="105">
        <v>44742</v>
      </c>
      <c r="R22" s="106"/>
      <c r="S22" s="107">
        <v>11</v>
      </c>
      <c r="T22" s="107">
        <v>11</v>
      </c>
      <c r="U22" s="107">
        <v>11</v>
      </c>
      <c r="V22" s="107">
        <v>11</v>
      </c>
      <c r="W22" s="108"/>
      <c r="X22" s="108"/>
      <c r="Y22" s="109"/>
      <c r="Z22" s="110">
        <v>0</v>
      </c>
      <c r="AA22" s="107"/>
      <c r="AB22" s="111"/>
      <c r="AC22" s="112"/>
      <c r="AD22" s="113">
        <v>1</v>
      </c>
      <c r="AE22" s="119">
        <v>0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 t="str">
        <f>" " &amp; TEXT(AE22,"#0.00%") &amp; " " &amp; "설계DR" &amp; " " &amp; IF(P22="","",TEXT(P22,"M/D-")) &amp; IF(Q22="","",TEXT(Q22,"M/D")) &amp; " "</f>
        <v xml:space="preserve"> 0.00% 설계DR 6/20-6/30 </v>
      </c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6"/>
    </row>
    <row r="23" spans="1:138" ht="12" customHeight="1" outlineLevel="2" x14ac:dyDescent="0.4">
      <c r="A23" s="101"/>
      <c r="B23" s="101" t="s">
        <v>325</v>
      </c>
      <c r="C23" s="101">
        <v>3</v>
      </c>
      <c r="D23" s="102" t="s">
        <v>356</v>
      </c>
      <c r="E23" s="103"/>
      <c r="F23" s="103"/>
      <c r="G23" s="103" t="s">
        <v>336</v>
      </c>
      <c r="H23" s="103"/>
      <c r="I23" s="103"/>
      <c r="J23" s="103"/>
      <c r="K23" s="103"/>
      <c r="L23" s="103"/>
      <c r="M23" s="103"/>
      <c r="N23" s="103"/>
      <c r="O23" s="104"/>
      <c r="P23" s="105">
        <v>44621</v>
      </c>
      <c r="Q23" s="105">
        <v>44742</v>
      </c>
      <c r="R23" s="106"/>
      <c r="S23" s="107">
        <v>122</v>
      </c>
      <c r="T23" s="107">
        <v>122</v>
      </c>
      <c r="U23" s="107">
        <v>122</v>
      </c>
      <c r="V23" s="107">
        <v>122</v>
      </c>
      <c r="W23" s="108"/>
      <c r="X23" s="108"/>
      <c r="Y23" s="109">
        <v>0</v>
      </c>
      <c r="Z23" s="110">
        <v>0</v>
      </c>
      <c r="AA23" s="107"/>
      <c r="AB23" s="111"/>
      <c r="AC23" s="112"/>
      <c r="AD23" s="113">
        <v>1</v>
      </c>
      <c r="AE23" s="114">
        <v>0</v>
      </c>
      <c r="AF23" s="115"/>
      <c r="AG23" s="115"/>
      <c r="AH23" s="115"/>
      <c r="AI23" s="115"/>
      <c r="AJ23" s="115"/>
      <c r="AK23" s="115"/>
      <c r="AL23" s="115"/>
      <c r="AM23" s="115"/>
      <c r="AN23" s="115"/>
      <c r="AO23" s="115" t="str">
        <f>"  " &amp; TEXT(AE23,"#0.00%") &amp; " "</f>
        <v xml:space="preserve">  0.00% </v>
      </c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 t="str">
        <f>"     " &amp; "상세설계" &amp; " " &amp; IF(P23="","",TEXT(P23,"M/D-")) &amp; IF(Q23="","",TEXT(Q23,"M/D")) &amp; " "</f>
        <v xml:space="preserve">     상세설계 3/1-6/30 </v>
      </c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6"/>
    </row>
    <row r="24" spans="1:138" ht="12" customHeight="1" outlineLevel="3" x14ac:dyDescent="0.4">
      <c r="A24" s="101"/>
      <c r="B24" s="101"/>
      <c r="C24" s="101">
        <v>4</v>
      </c>
      <c r="D24" s="102" t="s">
        <v>357</v>
      </c>
      <c r="E24" s="103"/>
      <c r="F24" s="103"/>
      <c r="G24" s="103"/>
      <c r="H24" s="103" t="s">
        <v>338</v>
      </c>
      <c r="I24" s="103"/>
      <c r="J24" s="103"/>
      <c r="K24" s="103"/>
      <c r="L24" s="103"/>
      <c r="M24" s="103"/>
      <c r="N24" s="103"/>
      <c r="O24" s="104"/>
      <c r="P24" s="105">
        <v>44621</v>
      </c>
      <c r="Q24" s="105">
        <v>44651</v>
      </c>
      <c r="R24" s="106"/>
      <c r="S24" s="107">
        <v>31</v>
      </c>
      <c r="T24" s="107">
        <v>31</v>
      </c>
      <c r="U24" s="107">
        <v>31</v>
      </c>
      <c r="V24" s="107">
        <v>31</v>
      </c>
      <c r="W24" s="108"/>
      <c r="X24" s="108"/>
      <c r="Y24" s="109"/>
      <c r="Z24" s="110">
        <v>0</v>
      </c>
      <c r="AA24" s="107"/>
      <c r="AB24" s="111"/>
      <c r="AC24" s="112"/>
      <c r="AD24" s="113">
        <v>1</v>
      </c>
      <c r="AE24" s="119">
        <v>0</v>
      </c>
      <c r="AF24" s="115"/>
      <c r="AG24" s="115"/>
      <c r="AH24" s="115"/>
      <c r="AI24" s="115"/>
      <c r="AJ24" s="115"/>
      <c r="AK24" s="115"/>
      <c r="AL24" s="115"/>
      <c r="AM24" s="115"/>
      <c r="AN24" s="115"/>
      <c r="AO24" s="115" t="str">
        <f>"  " &amp; TEXT(AE24,"#0.00%") &amp; " "</f>
        <v xml:space="preserve">  0.00% </v>
      </c>
      <c r="AP24" s="115"/>
      <c r="AQ24" s="115"/>
      <c r="AR24" s="115"/>
      <c r="AS24" s="115" t="str">
        <f>"     " &amp; "Concept" &amp; " " &amp; IF(P24="","",TEXT(P24,"M/D-")) &amp; IF(Q24="","",TEXT(Q24,"M/D")) &amp; " "</f>
        <v xml:space="preserve">     Concept 3/1-3/31 </v>
      </c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6"/>
    </row>
    <row r="25" spans="1:138" ht="12" customHeight="1" outlineLevel="3" x14ac:dyDescent="0.4">
      <c r="A25" s="101"/>
      <c r="B25" s="101"/>
      <c r="C25" s="101">
        <v>4</v>
      </c>
      <c r="D25" s="102" t="s">
        <v>358</v>
      </c>
      <c r="E25" s="103"/>
      <c r="F25" s="103"/>
      <c r="G25" s="103"/>
      <c r="H25" s="103" t="s">
        <v>340</v>
      </c>
      <c r="I25" s="103"/>
      <c r="J25" s="103"/>
      <c r="K25" s="103"/>
      <c r="L25" s="103"/>
      <c r="M25" s="103"/>
      <c r="N25" s="103"/>
      <c r="O25" s="104"/>
      <c r="P25" s="105">
        <v>44652</v>
      </c>
      <c r="Q25" s="105">
        <v>44666</v>
      </c>
      <c r="R25" s="106"/>
      <c r="S25" s="107">
        <v>15</v>
      </c>
      <c r="T25" s="107">
        <v>15</v>
      </c>
      <c r="U25" s="107">
        <v>15</v>
      </c>
      <c r="V25" s="107">
        <v>15</v>
      </c>
      <c r="W25" s="108"/>
      <c r="X25" s="108"/>
      <c r="Y25" s="109"/>
      <c r="Z25" s="110">
        <v>0</v>
      </c>
      <c r="AA25" s="107"/>
      <c r="AB25" s="111"/>
      <c r="AC25" s="112"/>
      <c r="AD25" s="113">
        <v>1</v>
      </c>
      <c r="AE25" s="119">
        <v>0</v>
      </c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 t="str">
        <f>"     " &amp; TEXT(AE25,"#0.00%") &amp; " " &amp; "Ass'y" &amp; " " &amp; IF(P25="","",TEXT(P25,"M/D-")) &amp; IF(Q25="","",TEXT(Q25,"M/D")) &amp; " "</f>
        <v xml:space="preserve">     0.00% Ass'y 4/1-4/15 </v>
      </c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6"/>
    </row>
    <row r="26" spans="1:138" ht="12" customHeight="1" outlineLevel="3" x14ac:dyDescent="0.4">
      <c r="A26" s="101"/>
      <c r="B26" s="101"/>
      <c r="C26" s="101">
        <v>4</v>
      </c>
      <c r="D26" s="102" t="s">
        <v>359</v>
      </c>
      <c r="E26" s="103"/>
      <c r="F26" s="103"/>
      <c r="G26" s="103"/>
      <c r="H26" s="103" t="s">
        <v>342</v>
      </c>
      <c r="I26" s="103"/>
      <c r="J26" s="103"/>
      <c r="K26" s="103"/>
      <c r="L26" s="103"/>
      <c r="M26" s="103"/>
      <c r="N26" s="103"/>
      <c r="O26" s="104"/>
      <c r="P26" s="105">
        <v>44667</v>
      </c>
      <c r="Q26" s="105">
        <v>44742</v>
      </c>
      <c r="R26" s="106"/>
      <c r="S26" s="107">
        <v>76</v>
      </c>
      <c r="T26" s="107">
        <v>76</v>
      </c>
      <c r="U26" s="107">
        <v>76</v>
      </c>
      <c r="V26" s="107">
        <v>76</v>
      </c>
      <c r="W26" s="108"/>
      <c r="X26" s="108"/>
      <c r="Y26" s="109"/>
      <c r="Z26" s="110">
        <v>0</v>
      </c>
      <c r="AA26" s="107"/>
      <c r="AB26" s="111"/>
      <c r="AC26" s="112"/>
      <c r="AD26" s="113">
        <v>1</v>
      </c>
      <c r="AE26" s="119">
        <v>0</v>
      </c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 t="str">
        <f>"      " &amp; TEXT(AE26,"#0.00%") &amp; " "</f>
        <v xml:space="preserve">      0.00% </v>
      </c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 t="str">
        <f>"     " &amp; "Part" &amp; " " &amp; IF(P26="","",TEXT(P26,"M/D-")) &amp; IF(Q26="","",TEXT(Q26,"M/D")) &amp; " "</f>
        <v xml:space="preserve">     Part 4/16-6/30 </v>
      </c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6"/>
    </row>
    <row r="27" spans="1:138" ht="12" customHeight="1" outlineLevel="1" x14ac:dyDescent="0.4">
      <c r="A27" s="101"/>
      <c r="B27" s="101" t="s">
        <v>325</v>
      </c>
      <c r="C27" s="101">
        <v>2</v>
      </c>
      <c r="D27" s="102" t="s">
        <v>360</v>
      </c>
      <c r="E27" s="103"/>
      <c r="F27" s="103" t="s">
        <v>361</v>
      </c>
      <c r="G27" s="103"/>
      <c r="H27" s="120"/>
      <c r="I27" s="103"/>
      <c r="J27" s="103"/>
      <c r="K27" s="103"/>
      <c r="L27" s="103"/>
      <c r="M27" s="103"/>
      <c r="N27" s="103"/>
      <c r="O27" s="104" t="s">
        <v>345</v>
      </c>
      <c r="P27" s="105">
        <v>44576</v>
      </c>
      <c r="Q27" s="105">
        <v>44681</v>
      </c>
      <c r="R27" s="106"/>
      <c r="S27" s="107">
        <v>152</v>
      </c>
      <c r="T27" s="107">
        <v>152</v>
      </c>
      <c r="U27" s="107">
        <v>106</v>
      </c>
      <c r="V27" s="107">
        <v>106</v>
      </c>
      <c r="W27" s="108"/>
      <c r="X27" s="108"/>
      <c r="Y27" s="109">
        <v>0</v>
      </c>
      <c r="Z27" s="110">
        <v>0</v>
      </c>
      <c r="AA27" s="107"/>
      <c r="AB27" s="111"/>
      <c r="AC27" s="112"/>
      <c r="AD27" s="113">
        <v>1</v>
      </c>
      <c r="AE27" s="114">
        <v>0</v>
      </c>
      <c r="AF27" s="115"/>
      <c r="AG27" s="115"/>
      <c r="AH27" s="115" t="str">
        <f>"      " &amp; TEXT(AE27,"#0.00%") &amp; " "</f>
        <v xml:space="preserve">      0.00% </v>
      </c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 t="str">
        <f>"" &amp; "OHT" &amp; " " &amp; IF(P27="","",TEXT(P27,"M/D-")) &amp; IF(Q27="","",TEXT(Q27,"M/D")) &amp; " "</f>
        <v xml:space="preserve">OHT 1/15-4/30 </v>
      </c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6"/>
    </row>
    <row r="28" spans="1:138" ht="12" customHeight="1" outlineLevel="2" x14ac:dyDescent="0.4">
      <c r="A28" s="101"/>
      <c r="B28" s="101"/>
      <c r="C28" s="101">
        <v>3</v>
      </c>
      <c r="D28" s="102" t="s">
        <v>362</v>
      </c>
      <c r="E28" s="103"/>
      <c r="F28" s="103"/>
      <c r="G28" s="103" t="s">
        <v>332</v>
      </c>
      <c r="H28" s="103"/>
      <c r="I28" s="103"/>
      <c r="J28" s="103"/>
      <c r="K28" s="103"/>
      <c r="L28" s="103"/>
      <c r="M28" s="103"/>
      <c r="N28" s="103"/>
      <c r="O28" s="104"/>
      <c r="P28" s="105">
        <v>44576</v>
      </c>
      <c r="Q28" s="105">
        <v>44635</v>
      </c>
      <c r="R28" s="106"/>
      <c r="S28" s="107">
        <v>60</v>
      </c>
      <c r="T28" s="107">
        <v>60</v>
      </c>
      <c r="U28" s="107">
        <v>60</v>
      </c>
      <c r="V28" s="107">
        <v>60</v>
      </c>
      <c r="W28" s="108"/>
      <c r="X28" s="108"/>
      <c r="Y28" s="109"/>
      <c r="Z28" s="110">
        <v>0</v>
      </c>
      <c r="AA28" s="107"/>
      <c r="AB28" s="111"/>
      <c r="AC28" s="112"/>
      <c r="AD28" s="113">
        <v>1</v>
      </c>
      <c r="AE28" s="119">
        <v>0</v>
      </c>
      <c r="AF28" s="115"/>
      <c r="AG28" s="115"/>
      <c r="AH28" s="115" t="str">
        <f>"      " &amp; TEXT(AE28,"#0.00%") &amp; " "</f>
        <v xml:space="preserve">      0.00% </v>
      </c>
      <c r="AI28" s="115"/>
      <c r="AJ28" s="115"/>
      <c r="AK28" s="115"/>
      <c r="AL28" s="115"/>
      <c r="AM28" s="115"/>
      <c r="AN28" s="115"/>
      <c r="AO28" s="115"/>
      <c r="AP28" s="115"/>
      <c r="AQ28" s="115" t="str">
        <f>"   " &amp; "Layout" &amp; " " &amp; IF(P28="","",TEXT(P28,"M/D-")) &amp; IF(Q28="","",TEXT(Q28,"M/D")) &amp; " "</f>
        <v xml:space="preserve">   Layout 1/15-3/15 </v>
      </c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6"/>
    </row>
    <row r="29" spans="1:138" ht="12" customHeight="1" outlineLevel="2" x14ac:dyDescent="0.4">
      <c r="A29" s="101"/>
      <c r="B29" s="101"/>
      <c r="C29" s="101">
        <v>3</v>
      </c>
      <c r="D29" s="102" t="s">
        <v>363</v>
      </c>
      <c r="E29" s="103"/>
      <c r="F29" s="103"/>
      <c r="G29" s="103" t="s">
        <v>334</v>
      </c>
      <c r="H29" s="103"/>
      <c r="I29" s="103"/>
      <c r="J29" s="103"/>
      <c r="K29" s="103"/>
      <c r="L29" s="103"/>
      <c r="M29" s="103"/>
      <c r="N29" s="103"/>
      <c r="O29" s="104"/>
      <c r="P29" s="105">
        <v>44666</v>
      </c>
      <c r="Q29" s="105">
        <v>44681</v>
      </c>
      <c r="R29" s="106"/>
      <c r="S29" s="107">
        <v>16</v>
      </c>
      <c r="T29" s="107">
        <v>16</v>
      </c>
      <c r="U29" s="107">
        <v>16</v>
      </c>
      <c r="V29" s="107">
        <v>16</v>
      </c>
      <c r="W29" s="108"/>
      <c r="X29" s="108"/>
      <c r="Y29" s="109"/>
      <c r="Z29" s="110">
        <v>0</v>
      </c>
      <c r="AA29" s="107"/>
      <c r="AB29" s="111"/>
      <c r="AC29" s="112"/>
      <c r="AD29" s="113">
        <v>1</v>
      </c>
      <c r="AE29" s="119">
        <v>0</v>
      </c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 t="str">
        <f>"     " &amp; TEXT(AE29,"#0.00%") &amp; " " &amp; "설계DR" &amp; " " &amp; IF(P29="","",TEXT(P29,"M/D-")) &amp; IF(Q29="","",TEXT(Q29,"M/D")) &amp; " "</f>
        <v xml:space="preserve">     0.00% 설계DR 4/15-4/30 </v>
      </c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6"/>
    </row>
    <row r="30" spans="1:138" ht="12" customHeight="1" outlineLevel="2" x14ac:dyDescent="0.4">
      <c r="A30" s="101"/>
      <c r="B30" s="101" t="s">
        <v>325</v>
      </c>
      <c r="C30" s="101">
        <v>3</v>
      </c>
      <c r="D30" s="102" t="s">
        <v>364</v>
      </c>
      <c r="E30" s="103"/>
      <c r="F30" s="103"/>
      <c r="G30" s="103" t="s">
        <v>336</v>
      </c>
      <c r="H30" s="103"/>
      <c r="I30" s="103"/>
      <c r="J30" s="103"/>
      <c r="K30" s="103"/>
      <c r="L30" s="103"/>
      <c r="M30" s="103"/>
      <c r="N30" s="103"/>
      <c r="O30" s="104"/>
      <c r="P30" s="105">
        <v>44630</v>
      </c>
      <c r="Q30" s="105">
        <v>44661</v>
      </c>
      <c r="R30" s="106"/>
      <c r="S30" s="107">
        <v>76</v>
      </c>
      <c r="T30" s="107">
        <v>76</v>
      </c>
      <c r="U30" s="107">
        <v>32</v>
      </c>
      <c r="V30" s="107">
        <v>32</v>
      </c>
      <c r="W30" s="108"/>
      <c r="X30" s="108"/>
      <c r="Y30" s="109">
        <v>0</v>
      </c>
      <c r="Z30" s="110">
        <v>0</v>
      </c>
      <c r="AA30" s="107"/>
      <c r="AB30" s="111"/>
      <c r="AC30" s="112"/>
      <c r="AD30" s="113">
        <v>1</v>
      </c>
      <c r="AE30" s="114">
        <v>0</v>
      </c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 t="str">
        <f>"    " &amp; TEXT(AE30,"#0.00%") &amp; " "</f>
        <v xml:space="preserve">    0.00% </v>
      </c>
      <c r="AQ30" s="115"/>
      <c r="AR30" s="115"/>
      <c r="AS30" s="115"/>
      <c r="AT30" s="115"/>
      <c r="AU30" s="115" t="str">
        <f>" " &amp; "상세설계" &amp; " " &amp; IF(P30="","",TEXT(P30,"M/D-")) &amp; IF(Q30="","",TEXT(Q30,"M/D")) &amp; " "</f>
        <v xml:space="preserve"> 상세설계 3/10-4/10 </v>
      </c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6"/>
    </row>
    <row r="31" spans="1:138" ht="12" customHeight="1" outlineLevel="3" x14ac:dyDescent="0.4">
      <c r="A31" s="101"/>
      <c r="B31" s="101"/>
      <c r="C31" s="101">
        <v>4</v>
      </c>
      <c r="D31" s="102" t="s">
        <v>365</v>
      </c>
      <c r="E31" s="103"/>
      <c r="F31" s="103"/>
      <c r="G31" s="103"/>
      <c r="H31" s="103" t="s">
        <v>366</v>
      </c>
      <c r="I31" s="103"/>
      <c r="J31" s="103"/>
      <c r="K31" s="103"/>
      <c r="L31" s="103"/>
      <c r="M31" s="103"/>
      <c r="N31" s="103"/>
      <c r="O31" s="104"/>
      <c r="P31" s="105">
        <v>44630</v>
      </c>
      <c r="Q31" s="105">
        <v>44661</v>
      </c>
      <c r="R31" s="106"/>
      <c r="S31" s="107">
        <v>32</v>
      </c>
      <c r="T31" s="107">
        <v>32</v>
      </c>
      <c r="U31" s="107">
        <v>32</v>
      </c>
      <c r="V31" s="107">
        <v>32</v>
      </c>
      <c r="W31" s="108"/>
      <c r="X31" s="108"/>
      <c r="Y31" s="109"/>
      <c r="Z31" s="110">
        <v>0</v>
      </c>
      <c r="AA31" s="107"/>
      <c r="AB31" s="111"/>
      <c r="AC31" s="112"/>
      <c r="AD31" s="113">
        <v>1</v>
      </c>
      <c r="AE31" s="119">
        <v>0</v>
      </c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 t="str">
        <f>"    " &amp; TEXT(AE31,"#0.00%") &amp; " "</f>
        <v xml:space="preserve">    0.00% </v>
      </c>
      <c r="AQ31" s="115"/>
      <c r="AR31" s="115"/>
      <c r="AS31" s="115"/>
      <c r="AT31" s="115"/>
      <c r="AU31" s="115" t="str">
        <f>" " &amp; "RAIL" &amp; " " &amp; IF(P31="","",TEXT(P31,"M/D-")) &amp; IF(Q31="","",TEXT(Q31,"M/D")) &amp; " "</f>
        <v xml:space="preserve"> RAIL 3/10-4/10 </v>
      </c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6"/>
    </row>
    <row r="32" spans="1:138" ht="12" customHeight="1" outlineLevel="3" x14ac:dyDescent="0.4">
      <c r="A32" s="101"/>
      <c r="B32" s="101"/>
      <c r="C32" s="101">
        <v>4</v>
      </c>
      <c r="D32" s="102" t="s">
        <v>367</v>
      </c>
      <c r="E32" s="103"/>
      <c r="F32" s="103"/>
      <c r="G32" s="103"/>
      <c r="H32" s="103" t="s">
        <v>368</v>
      </c>
      <c r="I32" s="103"/>
      <c r="J32" s="103"/>
      <c r="K32" s="103"/>
      <c r="L32" s="103"/>
      <c r="M32" s="103"/>
      <c r="N32" s="103"/>
      <c r="O32" s="104"/>
      <c r="P32" s="105">
        <v>44630</v>
      </c>
      <c r="Q32" s="105">
        <v>44651</v>
      </c>
      <c r="R32" s="106"/>
      <c r="S32" s="107">
        <v>22</v>
      </c>
      <c r="T32" s="107">
        <v>22</v>
      </c>
      <c r="U32" s="107">
        <v>22</v>
      </c>
      <c r="V32" s="107">
        <v>22</v>
      </c>
      <c r="W32" s="108"/>
      <c r="X32" s="108"/>
      <c r="Y32" s="109"/>
      <c r="Z32" s="110">
        <v>0</v>
      </c>
      <c r="AA32" s="107"/>
      <c r="AB32" s="111"/>
      <c r="AC32" s="112"/>
      <c r="AD32" s="113">
        <v>1</v>
      </c>
      <c r="AE32" s="119">
        <v>0</v>
      </c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 t="str">
        <f>"    " &amp; TEXT(AE32,"#0.00%") &amp; " " &amp; "VEHICLE" &amp; " " &amp; IF(P32="","",TEXT(P32,"M/D-")) &amp; IF(Q32="","",TEXT(Q32,"M/D")) &amp; " "</f>
        <v xml:space="preserve">    0.00% VEHICLE 3/10-3/31 </v>
      </c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6"/>
    </row>
    <row r="33" spans="1:138" ht="12" customHeight="1" outlineLevel="3" x14ac:dyDescent="0.4">
      <c r="A33" s="101"/>
      <c r="B33" s="101"/>
      <c r="C33" s="101">
        <v>4</v>
      </c>
      <c r="D33" s="102" t="s">
        <v>369</v>
      </c>
      <c r="E33" s="103"/>
      <c r="F33" s="103"/>
      <c r="G33" s="103"/>
      <c r="H33" s="103" t="s">
        <v>370</v>
      </c>
      <c r="I33" s="103"/>
      <c r="J33" s="103"/>
      <c r="K33" s="103"/>
      <c r="L33" s="103"/>
      <c r="M33" s="103"/>
      <c r="N33" s="103"/>
      <c r="O33" s="104"/>
      <c r="P33" s="105">
        <v>44630</v>
      </c>
      <c r="Q33" s="105">
        <v>44651</v>
      </c>
      <c r="R33" s="106"/>
      <c r="S33" s="107">
        <v>22</v>
      </c>
      <c r="T33" s="107">
        <v>22</v>
      </c>
      <c r="U33" s="107">
        <v>22</v>
      </c>
      <c r="V33" s="107">
        <v>22</v>
      </c>
      <c r="W33" s="108"/>
      <c r="X33" s="108"/>
      <c r="Y33" s="109"/>
      <c r="Z33" s="110">
        <v>0</v>
      </c>
      <c r="AA33" s="107"/>
      <c r="AB33" s="111"/>
      <c r="AC33" s="112"/>
      <c r="AD33" s="113">
        <v>1</v>
      </c>
      <c r="AE33" s="119">
        <v>0</v>
      </c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 t="str">
        <f>"    " &amp; TEXT(AE33,"#0.00%") &amp; " " &amp; "MTL" &amp; " " &amp; IF(P33="","",TEXT(P33,"M/D-")) &amp; IF(Q33="","",TEXT(Q33,"M/D")) &amp; " "</f>
        <v xml:space="preserve">    0.00% MTL 3/10-3/31 </v>
      </c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6"/>
    </row>
    <row r="34" spans="1:138" ht="12" customHeight="1" outlineLevel="1" x14ac:dyDescent="0.4">
      <c r="A34" s="101"/>
      <c r="B34" s="101" t="s">
        <v>325</v>
      </c>
      <c r="C34" s="101">
        <v>2</v>
      </c>
      <c r="D34" s="102" t="s">
        <v>371</v>
      </c>
      <c r="E34" s="103"/>
      <c r="F34" s="103" t="s">
        <v>372</v>
      </c>
      <c r="G34" s="103"/>
      <c r="H34" s="103"/>
      <c r="I34" s="103"/>
      <c r="J34" s="103"/>
      <c r="K34" s="103"/>
      <c r="L34" s="103"/>
      <c r="M34" s="103"/>
      <c r="N34" s="103"/>
      <c r="O34" s="104" t="s">
        <v>345</v>
      </c>
      <c r="P34" s="105">
        <v>44576</v>
      </c>
      <c r="Q34" s="105">
        <v>44742</v>
      </c>
      <c r="R34" s="106"/>
      <c r="S34" s="107">
        <v>193</v>
      </c>
      <c r="T34" s="107">
        <v>193</v>
      </c>
      <c r="U34" s="107">
        <v>167</v>
      </c>
      <c r="V34" s="107">
        <v>167</v>
      </c>
      <c r="W34" s="108"/>
      <c r="X34" s="108"/>
      <c r="Y34" s="109">
        <v>0</v>
      </c>
      <c r="Z34" s="110">
        <v>0</v>
      </c>
      <c r="AA34" s="107"/>
      <c r="AB34" s="111"/>
      <c r="AC34" s="112"/>
      <c r="AD34" s="113">
        <v>1</v>
      </c>
      <c r="AE34" s="114">
        <v>0</v>
      </c>
      <c r="AF34" s="115"/>
      <c r="AG34" s="115"/>
      <c r="AH34" s="115" t="str">
        <f>"      " &amp; TEXT(AE34,"#0.00%") &amp; " "</f>
        <v xml:space="preserve">      0.00% </v>
      </c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 t="str">
        <f>"     " &amp; "CCS 물류" &amp; " " &amp; IF(P34="","",TEXT(P34,"M/D-")) &amp; IF(Q34="","",TEXT(Q34,"M/D")) &amp; " "</f>
        <v xml:space="preserve">     CCS 물류 1/15-6/30 </v>
      </c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6"/>
    </row>
    <row r="35" spans="1:138" ht="12" customHeight="1" outlineLevel="2" x14ac:dyDescent="0.4">
      <c r="A35" s="101"/>
      <c r="B35" s="101"/>
      <c r="C35" s="101">
        <v>3</v>
      </c>
      <c r="D35" s="102" t="s">
        <v>373</v>
      </c>
      <c r="E35" s="103"/>
      <c r="F35" s="103"/>
      <c r="G35" s="103" t="s">
        <v>332</v>
      </c>
      <c r="H35" s="103"/>
      <c r="I35" s="103"/>
      <c r="J35" s="103"/>
      <c r="K35" s="103"/>
      <c r="L35" s="103"/>
      <c r="M35" s="103"/>
      <c r="N35" s="103"/>
      <c r="O35" s="104"/>
      <c r="P35" s="105">
        <v>44576</v>
      </c>
      <c r="Q35" s="105">
        <v>44635</v>
      </c>
      <c r="R35" s="106"/>
      <c r="S35" s="107">
        <v>60</v>
      </c>
      <c r="T35" s="107">
        <v>60</v>
      </c>
      <c r="U35" s="107">
        <v>60</v>
      </c>
      <c r="V35" s="107">
        <v>60</v>
      </c>
      <c r="W35" s="108"/>
      <c r="X35" s="108"/>
      <c r="Y35" s="109"/>
      <c r="Z35" s="110">
        <v>0</v>
      </c>
      <c r="AA35" s="107"/>
      <c r="AB35" s="111"/>
      <c r="AC35" s="112"/>
      <c r="AD35" s="113">
        <v>1</v>
      </c>
      <c r="AE35" s="119">
        <v>0</v>
      </c>
      <c r="AF35" s="115"/>
      <c r="AG35" s="115"/>
      <c r="AH35" s="115" t="str">
        <f>"      " &amp; TEXT(AE35,"#0.00%") &amp; " "</f>
        <v xml:space="preserve">      0.00% </v>
      </c>
      <c r="AI35" s="115"/>
      <c r="AJ35" s="115"/>
      <c r="AK35" s="115"/>
      <c r="AL35" s="115"/>
      <c r="AM35" s="115"/>
      <c r="AN35" s="115"/>
      <c r="AO35" s="115"/>
      <c r="AP35" s="115"/>
      <c r="AQ35" s="115" t="str">
        <f>"   " &amp; "Layout" &amp; " " &amp; IF(P35="","",TEXT(P35,"M/D-")) &amp; IF(Q35="","",TEXT(Q35,"M/D")) &amp; " "</f>
        <v xml:space="preserve">   Layout 1/15-3/15 </v>
      </c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6"/>
    </row>
    <row r="36" spans="1:138" ht="12" customHeight="1" outlineLevel="2" x14ac:dyDescent="0.4">
      <c r="A36" s="101"/>
      <c r="B36" s="101"/>
      <c r="C36" s="101">
        <v>3</v>
      </c>
      <c r="D36" s="102" t="s">
        <v>374</v>
      </c>
      <c r="E36" s="103"/>
      <c r="F36" s="103"/>
      <c r="G36" s="103" t="s">
        <v>334</v>
      </c>
      <c r="H36" s="103"/>
      <c r="I36" s="103"/>
      <c r="J36" s="103"/>
      <c r="K36" s="103"/>
      <c r="L36" s="103"/>
      <c r="M36" s="103"/>
      <c r="N36" s="103"/>
      <c r="O36" s="104"/>
      <c r="P36" s="105">
        <v>44732</v>
      </c>
      <c r="Q36" s="105">
        <v>44742</v>
      </c>
      <c r="R36" s="106"/>
      <c r="S36" s="107">
        <v>11</v>
      </c>
      <c r="T36" s="107">
        <v>11</v>
      </c>
      <c r="U36" s="107">
        <v>11</v>
      </c>
      <c r="V36" s="107">
        <v>11</v>
      </c>
      <c r="W36" s="108"/>
      <c r="X36" s="108"/>
      <c r="Y36" s="109"/>
      <c r="Z36" s="110">
        <v>0</v>
      </c>
      <c r="AA36" s="107"/>
      <c r="AB36" s="111"/>
      <c r="AC36" s="112"/>
      <c r="AD36" s="113">
        <v>1</v>
      </c>
      <c r="AE36" s="119">
        <v>0</v>
      </c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 t="str">
        <f>" " &amp; TEXT(AE36,"#0.00%") &amp; " " &amp; "설계DR" &amp; " " &amp; IF(P36="","",TEXT(P36,"M/D-")) &amp; IF(Q36="","",TEXT(Q36,"M/D")) &amp; " "</f>
        <v xml:space="preserve"> 0.00% 설계DR 6/20-6/30 </v>
      </c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6"/>
    </row>
    <row r="37" spans="1:138" ht="12" customHeight="1" outlineLevel="2" x14ac:dyDescent="0.4">
      <c r="A37" s="101"/>
      <c r="B37" s="101" t="s">
        <v>325</v>
      </c>
      <c r="C37" s="101">
        <v>3</v>
      </c>
      <c r="D37" s="102" t="s">
        <v>375</v>
      </c>
      <c r="E37" s="103"/>
      <c r="F37" s="103"/>
      <c r="G37" s="103" t="s">
        <v>336</v>
      </c>
      <c r="H37" s="103"/>
      <c r="I37" s="103"/>
      <c r="J37" s="103"/>
      <c r="K37" s="103"/>
      <c r="L37" s="103"/>
      <c r="M37" s="103"/>
      <c r="N37" s="103"/>
      <c r="O37" s="104"/>
      <c r="P37" s="121">
        <v>44621</v>
      </c>
      <c r="Q37" s="105">
        <v>44742</v>
      </c>
      <c r="R37" s="106"/>
      <c r="S37" s="107">
        <v>122</v>
      </c>
      <c r="T37" s="107">
        <v>122</v>
      </c>
      <c r="U37" s="107">
        <v>122</v>
      </c>
      <c r="V37" s="107">
        <v>122</v>
      </c>
      <c r="W37" s="108"/>
      <c r="X37" s="108"/>
      <c r="Y37" s="109">
        <v>0</v>
      </c>
      <c r="Z37" s="110">
        <v>0</v>
      </c>
      <c r="AA37" s="107"/>
      <c r="AB37" s="111"/>
      <c r="AC37" s="112"/>
      <c r="AD37" s="113">
        <v>1</v>
      </c>
      <c r="AE37" s="114">
        <v>0</v>
      </c>
      <c r="AF37" s="115"/>
      <c r="AG37" s="115"/>
      <c r="AH37" s="115"/>
      <c r="AI37" s="115"/>
      <c r="AJ37" s="115"/>
      <c r="AK37" s="115"/>
      <c r="AL37" s="115"/>
      <c r="AM37" s="115"/>
      <c r="AN37" s="115"/>
      <c r="AO37" s="115" t="str">
        <f>"  " &amp; TEXT(AE37,"#0.00%") &amp; " "</f>
        <v xml:space="preserve">  0.00% </v>
      </c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 t="str">
        <f>"     " &amp; "상세설계" &amp; " " &amp; IF(P37="","",TEXT(P37,"M/D-")) &amp; IF(Q37="","",TEXT(Q37,"M/D")) &amp; " "</f>
        <v xml:space="preserve">     상세설계 3/1-6/30 </v>
      </c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6"/>
    </row>
    <row r="38" spans="1:138" ht="12" customHeight="1" outlineLevel="3" x14ac:dyDescent="0.4">
      <c r="A38" s="101"/>
      <c r="B38" s="101"/>
      <c r="C38" s="101">
        <v>4</v>
      </c>
      <c r="D38" s="102" t="s">
        <v>376</v>
      </c>
      <c r="E38" s="103"/>
      <c r="F38" s="103"/>
      <c r="G38" s="103"/>
      <c r="H38" s="103" t="s">
        <v>338</v>
      </c>
      <c r="I38" s="103"/>
      <c r="J38" s="103"/>
      <c r="K38" s="103"/>
      <c r="L38" s="103"/>
      <c r="M38" s="103"/>
      <c r="N38" s="103"/>
      <c r="O38" s="122"/>
      <c r="P38" s="105">
        <v>44621</v>
      </c>
      <c r="Q38" s="105">
        <v>44651</v>
      </c>
      <c r="R38" s="106"/>
      <c r="S38" s="107">
        <v>31</v>
      </c>
      <c r="T38" s="107">
        <v>31</v>
      </c>
      <c r="U38" s="107">
        <v>31</v>
      </c>
      <c r="V38" s="107">
        <v>31</v>
      </c>
      <c r="W38" s="108"/>
      <c r="X38" s="108"/>
      <c r="Y38" s="109"/>
      <c r="Z38" s="110">
        <v>0</v>
      </c>
      <c r="AA38" s="107"/>
      <c r="AB38" s="111"/>
      <c r="AC38" s="112"/>
      <c r="AD38" s="113">
        <v>1</v>
      </c>
      <c r="AE38" s="119">
        <v>0</v>
      </c>
      <c r="AF38" s="115"/>
      <c r="AG38" s="115"/>
      <c r="AH38" s="115"/>
      <c r="AI38" s="115"/>
      <c r="AJ38" s="115"/>
      <c r="AK38" s="115"/>
      <c r="AL38" s="115"/>
      <c r="AM38" s="115"/>
      <c r="AN38" s="115"/>
      <c r="AO38" s="115" t="str">
        <f>"  " &amp; TEXT(AE38,"#0.00%") &amp; " "</f>
        <v xml:space="preserve">  0.00% </v>
      </c>
      <c r="AP38" s="115"/>
      <c r="AQ38" s="115"/>
      <c r="AR38" s="115"/>
      <c r="AS38" s="115" t="str">
        <f>"     " &amp; "Concept" &amp; " " &amp; IF(P38="","",TEXT(P38,"M/D-")) &amp; IF(Q38="","",TEXT(Q38,"M/D")) &amp; " "</f>
        <v xml:space="preserve">     Concept 3/1-3/31 </v>
      </c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6"/>
    </row>
    <row r="39" spans="1:138" ht="12" customHeight="1" outlineLevel="3" x14ac:dyDescent="0.4">
      <c r="A39" s="101"/>
      <c r="B39" s="101"/>
      <c r="C39" s="101">
        <v>4</v>
      </c>
      <c r="D39" s="102" t="s">
        <v>377</v>
      </c>
      <c r="E39" s="103"/>
      <c r="F39" s="103"/>
      <c r="G39" s="103"/>
      <c r="H39" s="103" t="s">
        <v>340</v>
      </c>
      <c r="I39" s="103"/>
      <c r="J39" s="103"/>
      <c r="K39" s="103"/>
      <c r="L39" s="103"/>
      <c r="M39" s="103"/>
      <c r="N39" s="103"/>
      <c r="O39" s="122"/>
      <c r="P39" s="105">
        <v>44652</v>
      </c>
      <c r="Q39" s="105">
        <v>44666</v>
      </c>
      <c r="R39" s="106"/>
      <c r="S39" s="107">
        <v>15</v>
      </c>
      <c r="T39" s="107">
        <v>15</v>
      </c>
      <c r="U39" s="107">
        <v>15</v>
      </c>
      <c r="V39" s="107">
        <v>15</v>
      </c>
      <c r="W39" s="108"/>
      <c r="X39" s="108"/>
      <c r="Y39" s="109"/>
      <c r="Z39" s="110">
        <v>0</v>
      </c>
      <c r="AA39" s="107"/>
      <c r="AB39" s="111"/>
      <c r="AC39" s="112"/>
      <c r="AD39" s="113">
        <v>1</v>
      </c>
      <c r="AE39" s="119">
        <v>0</v>
      </c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 t="str">
        <f>"     " &amp; TEXT(AE39,"#0.00%") &amp; " " &amp; "Ass'y" &amp; " " &amp; IF(P39="","",TEXT(P39,"M/D-")) &amp; IF(Q39="","",TEXT(Q39,"M/D")) &amp; " "</f>
        <v xml:space="preserve">     0.00% Ass'y 4/1-4/15 </v>
      </c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6"/>
    </row>
    <row r="40" spans="1:138" ht="12" customHeight="1" outlineLevel="3" x14ac:dyDescent="0.4">
      <c r="A40" s="101"/>
      <c r="B40" s="101"/>
      <c r="C40" s="101">
        <v>4</v>
      </c>
      <c r="D40" s="102" t="s">
        <v>378</v>
      </c>
      <c r="E40" s="103"/>
      <c r="F40" s="103"/>
      <c r="G40" s="103"/>
      <c r="H40" s="103" t="s">
        <v>342</v>
      </c>
      <c r="I40" s="103"/>
      <c r="J40" s="103"/>
      <c r="K40" s="103"/>
      <c r="L40" s="103"/>
      <c r="M40" s="103"/>
      <c r="N40" s="103"/>
      <c r="O40" s="122"/>
      <c r="P40" s="105">
        <v>44667</v>
      </c>
      <c r="Q40" s="105">
        <v>44742</v>
      </c>
      <c r="R40" s="106"/>
      <c r="S40" s="107">
        <v>76</v>
      </c>
      <c r="T40" s="107">
        <v>76</v>
      </c>
      <c r="U40" s="107">
        <v>76</v>
      </c>
      <c r="V40" s="107">
        <v>76</v>
      </c>
      <c r="W40" s="108"/>
      <c r="X40" s="108"/>
      <c r="Y40" s="109"/>
      <c r="Z40" s="110">
        <v>0</v>
      </c>
      <c r="AA40" s="107"/>
      <c r="AB40" s="111"/>
      <c r="AC40" s="112"/>
      <c r="AD40" s="113">
        <v>1</v>
      </c>
      <c r="AE40" s="119">
        <v>0</v>
      </c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 t="str">
        <f>"      " &amp; TEXT(AE40,"#0.00%") &amp; " "</f>
        <v xml:space="preserve">      0.00% </v>
      </c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 t="str">
        <f>"     " &amp; "Part" &amp; " " &amp; IF(P40="","",TEXT(P40,"M/D-")) &amp; IF(Q40="","",TEXT(Q40,"M/D")) &amp; " "</f>
        <v xml:space="preserve">     Part 4/16-6/30 </v>
      </c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6"/>
    </row>
    <row r="41" spans="1:138" ht="12" customHeight="1" outlineLevel="1" x14ac:dyDescent="0.4">
      <c r="A41" s="101"/>
      <c r="B41" s="101" t="s">
        <v>325</v>
      </c>
      <c r="C41" s="101">
        <v>2</v>
      </c>
      <c r="D41" s="102" t="s">
        <v>379</v>
      </c>
      <c r="E41" s="103"/>
      <c r="F41" s="103" t="s">
        <v>380</v>
      </c>
      <c r="G41" s="103"/>
      <c r="H41" s="103"/>
      <c r="I41" s="103"/>
      <c r="J41" s="103"/>
      <c r="K41" s="103"/>
      <c r="L41" s="103"/>
      <c r="M41" s="103"/>
      <c r="N41" s="103"/>
      <c r="O41" s="104" t="s">
        <v>330</v>
      </c>
      <c r="P41" s="105">
        <v>44562</v>
      </c>
      <c r="Q41" s="105">
        <v>44711</v>
      </c>
      <c r="R41" s="106"/>
      <c r="S41" s="107">
        <v>319</v>
      </c>
      <c r="T41" s="107">
        <v>319</v>
      </c>
      <c r="U41" s="107">
        <v>150</v>
      </c>
      <c r="V41" s="107">
        <v>150</v>
      </c>
      <c r="W41" s="108"/>
      <c r="X41" s="108"/>
      <c r="Y41" s="109">
        <v>0</v>
      </c>
      <c r="Z41" s="110">
        <v>0</v>
      </c>
      <c r="AA41" s="107"/>
      <c r="AB41" s="111"/>
      <c r="AC41" s="112"/>
      <c r="AD41" s="113">
        <v>1</v>
      </c>
      <c r="AE41" s="114">
        <v>0</v>
      </c>
      <c r="AF41" s="115" t="str">
        <f>"      " &amp; TEXT(AE41,"#0.00%") &amp; " "</f>
        <v xml:space="preserve">      0.00% </v>
      </c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 t="str">
        <f>"  " &amp; "OVEN &amp; OVEN STK" &amp; " " &amp; IF(P41="","",TEXT(P41,"M/D-")) &amp; IF(Q41="","",TEXT(Q41,"M/D")) &amp; " "</f>
        <v xml:space="preserve">  OVEN &amp; OVEN STK 1/1-5/30 </v>
      </c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6"/>
    </row>
    <row r="42" spans="1:138" ht="12" customHeight="1" outlineLevel="2" x14ac:dyDescent="0.4">
      <c r="A42" s="101"/>
      <c r="B42" s="101"/>
      <c r="C42" s="101">
        <v>3</v>
      </c>
      <c r="D42" s="102" t="s">
        <v>381</v>
      </c>
      <c r="E42" s="103"/>
      <c r="F42" s="103"/>
      <c r="G42" s="103" t="s">
        <v>332</v>
      </c>
      <c r="H42" s="103"/>
      <c r="I42" s="103"/>
      <c r="J42" s="103"/>
      <c r="K42" s="103"/>
      <c r="L42" s="103"/>
      <c r="M42" s="103"/>
      <c r="N42" s="103"/>
      <c r="O42" s="104"/>
      <c r="P42" s="105">
        <v>44576</v>
      </c>
      <c r="Q42" s="105">
        <v>44625</v>
      </c>
      <c r="R42" s="106"/>
      <c r="S42" s="107">
        <v>50</v>
      </c>
      <c r="T42" s="107">
        <v>50</v>
      </c>
      <c r="U42" s="107">
        <v>50</v>
      </c>
      <c r="V42" s="107">
        <v>50</v>
      </c>
      <c r="W42" s="108"/>
      <c r="X42" s="108"/>
      <c r="Y42" s="109"/>
      <c r="Z42" s="110">
        <v>0</v>
      </c>
      <c r="AA42" s="107"/>
      <c r="AB42" s="111"/>
      <c r="AC42" s="112"/>
      <c r="AD42" s="113">
        <v>1</v>
      </c>
      <c r="AE42" s="119">
        <v>0</v>
      </c>
      <c r="AF42" s="115"/>
      <c r="AG42" s="115"/>
      <c r="AH42" s="115" t="str">
        <f>"      " &amp; TEXT(AE42,"#0.00%") &amp; " "</f>
        <v xml:space="preserve">      0.00% </v>
      </c>
      <c r="AI42" s="115"/>
      <c r="AJ42" s="115"/>
      <c r="AK42" s="115"/>
      <c r="AL42" s="115"/>
      <c r="AM42" s="115"/>
      <c r="AN42" s="115"/>
      <c r="AO42" s="115"/>
      <c r="AP42" s="115" t="str">
        <f>"" &amp; "Layout" &amp; " " &amp; IF(P42="","",TEXT(P42,"M/D-")) &amp; IF(Q42="","",TEXT(Q42,"M/D")) &amp; " "</f>
        <v xml:space="preserve">Layout 1/15-3/5 </v>
      </c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6"/>
    </row>
    <row r="43" spans="1:138" ht="12" customHeight="1" outlineLevel="2" x14ac:dyDescent="0.4">
      <c r="A43" s="101"/>
      <c r="B43" s="101"/>
      <c r="C43" s="101">
        <v>3</v>
      </c>
      <c r="D43" s="102" t="s">
        <v>382</v>
      </c>
      <c r="E43" s="103"/>
      <c r="F43" s="103"/>
      <c r="G43" s="103" t="s">
        <v>334</v>
      </c>
      <c r="H43" s="103"/>
      <c r="I43" s="103"/>
      <c r="J43" s="103"/>
      <c r="K43" s="103"/>
      <c r="L43" s="103"/>
      <c r="M43" s="103"/>
      <c r="N43" s="103"/>
      <c r="O43" s="104"/>
      <c r="P43" s="105">
        <v>44562</v>
      </c>
      <c r="Q43" s="105">
        <v>44711</v>
      </c>
      <c r="R43" s="106"/>
      <c r="S43" s="107">
        <v>150</v>
      </c>
      <c r="T43" s="107">
        <v>150</v>
      </c>
      <c r="U43" s="107">
        <v>150</v>
      </c>
      <c r="V43" s="107">
        <v>150</v>
      </c>
      <c r="W43" s="108"/>
      <c r="X43" s="108"/>
      <c r="Y43" s="109"/>
      <c r="Z43" s="110">
        <v>0</v>
      </c>
      <c r="AA43" s="107"/>
      <c r="AB43" s="111"/>
      <c r="AC43" s="112"/>
      <c r="AD43" s="113">
        <v>1</v>
      </c>
      <c r="AE43" s="119">
        <v>0</v>
      </c>
      <c r="AF43" s="115" t="str">
        <f>"      " &amp; TEXT(AE43,"#0.00%") &amp; " "</f>
        <v xml:space="preserve">      0.00% </v>
      </c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 t="str">
        <f>"  " &amp; "설계DR" &amp; " " &amp; IF(P43="","",TEXT(P43,"M/D-")) &amp; IF(Q43="","",TEXT(Q43,"M/D")) &amp; " "</f>
        <v xml:space="preserve">  설계DR 1/1-5/30 </v>
      </c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6"/>
    </row>
    <row r="44" spans="1:138" ht="12" customHeight="1" outlineLevel="2" x14ac:dyDescent="0.4">
      <c r="A44" s="101"/>
      <c r="B44" s="101" t="s">
        <v>325</v>
      </c>
      <c r="C44" s="101">
        <v>3</v>
      </c>
      <c r="D44" s="102" t="s">
        <v>383</v>
      </c>
      <c r="E44" s="103"/>
      <c r="F44" s="103"/>
      <c r="G44" s="103" t="s">
        <v>336</v>
      </c>
      <c r="H44" s="103"/>
      <c r="I44" s="103"/>
      <c r="J44" s="103"/>
      <c r="K44" s="103"/>
      <c r="L44" s="103"/>
      <c r="M44" s="103"/>
      <c r="N44" s="103"/>
      <c r="O44" s="104"/>
      <c r="P44" s="105">
        <v>44593</v>
      </c>
      <c r="Q44" s="105">
        <v>44711</v>
      </c>
      <c r="R44" s="106"/>
      <c r="S44" s="107">
        <v>119</v>
      </c>
      <c r="T44" s="107">
        <v>119</v>
      </c>
      <c r="U44" s="107">
        <v>119</v>
      </c>
      <c r="V44" s="107">
        <v>119</v>
      </c>
      <c r="W44" s="108"/>
      <c r="X44" s="108"/>
      <c r="Y44" s="109">
        <v>0</v>
      </c>
      <c r="Z44" s="110">
        <v>0</v>
      </c>
      <c r="AA44" s="107"/>
      <c r="AB44" s="111"/>
      <c r="AC44" s="112"/>
      <c r="AD44" s="113">
        <v>1</v>
      </c>
      <c r="AE44" s="114">
        <v>0</v>
      </c>
      <c r="AF44" s="115"/>
      <c r="AG44" s="115"/>
      <c r="AH44" s="115"/>
      <c r="AI44" s="115"/>
      <c r="AJ44" s="115"/>
      <c r="AK44" s="115" t="str">
        <f>"  " &amp; TEXT(AE44,"#0.00%") &amp; " "</f>
        <v xml:space="preserve">  0.00% </v>
      </c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 t="str">
        <f>"  " &amp; "상세설계" &amp; " " &amp; IF(P44="","",TEXT(P44,"M/D-")) &amp; IF(Q44="","",TEXT(Q44,"M/D")) &amp; " "</f>
        <v xml:space="preserve">  상세설계 2/1-5/30 </v>
      </c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6"/>
    </row>
    <row r="45" spans="1:138" ht="12" customHeight="1" outlineLevel="3" x14ac:dyDescent="0.4">
      <c r="A45" s="101"/>
      <c r="B45" s="101"/>
      <c r="C45" s="101">
        <v>4</v>
      </c>
      <c r="D45" s="102" t="s">
        <v>384</v>
      </c>
      <c r="E45" s="103"/>
      <c r="F45" s="103"/>
      <c r="G45" s="103"/>
      <c r="H45" s="103" t="s">
        <v>338</v>
      </c>
      <c r="I45" s="103"/>
      <c r="J45" s="103"/>
      <c r="K45" s="103"/>
      <c r="L45" s="103"/>
      <c r="M45" s="103"/>
      <c r="N45" s="103"/>
      <c r="O45" s="122"/>
      <c r="P45" s="105">
        <v>44593</v>
      </c>
      <c r="Q45" s="105">
        <v>44651</v>
      </c>
      <c r="R45" s="106"/>
      <c r="S45" s="107">
        <v>59</v>
      </c>
      <c r="T45" s="107">
        <v>59</v>
      </c>
      <c r="U45" s="107">
        <v>59</v>
      </c>
      <c r="V45" s="107">
        <v>59</v>
      </c>
      <c r="W45" s="108"/>
      <c r="X45" s="108"/>
      <c r="Y45" s="109"/>
      <c r="Z45" s="110">
        <v>0</v>
      </c>
      <c r="AA45" s="107"/>
      <c r="AB45" s="111"/>
      <c r="AC45" s="112"/>
      <c r="AD45" s="113">
        <v>1</v>
      </c>
      <c r="AE45" s="119">
        <v>0</v>
      </c>
      <c r="AF45" s="115"/>
      <c r="AG45" s="115"/>
      <c r="AH45" s="115"/>
      <c r="AI45" s="115"/>
      <c r="AJ45" s="115"/>
      <c r="AK45" s="115" t="str">
        <f>"  " &amp; TEXT(AE45,"#0.00%") &amp; " "</f>
        <v xml:space="preserve">  0.00% </v>
      </c>
      <c r="AL45" s="115"/>
      <c r="AM45" s="115"/>
      <c r="AN45" s="115"/>
      <c r="AO45" s="115"/>
      <c r="AP45" s="115"/>
      <c r="AQ45" s="115"/>
      <c r="AR45" s="115"/>
      <c r="AS45" s="115" t="str">
        <f>"     " &amp; "Concept" &amp; " " &amp; IF(P45="","",TEXT(P45,"M/D-")) &amp; IF(Q45="","",TEXT(Q45,"M/D")) &amp; " "</f>
        <v xml:space="preserve">     Concept 2/1-3/31 </v>
      </c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6"/>
    </row>
    <row r="46" spans="1:138" ht="12" customHeight="1" outlineLevel="3" x14ac:dyDescent="0.4">
      <c r="A46" s="101"/>
      <c r="B46" s="101"/>
      <c r="C46" s="101">
        <v>4</v>
      </c>
      <c r="D46" s="102" t="s">
        <v>385</v>
      </c>
      <c r="E46" s="103"/>
      <c r="F46" s="103"/>
      <c r="G46" s="103"/>
      <c r="H46" s="103" t="s">
        <v>340</v>
      </c>
      <c r="I46" s="103"/>
      <c r="J46" s="103"/>
      <c r="K46" s="103"/>
      <c r="L46" s="103"/>
      <c r="M46" s="103"/>
      <c r="N46" s="103"/>
      <c r="O46" s="122"/>
      <c r="P46" s="105">
        <v>44652</v>
      </c>
      <c r="Q46" s="105">
        <v>44681</v>
      </c>
      <c r="R46" s="106"/>
      <c r="S46" s="107">
        <v>30</v>
      </c>
      <c r="T46" s="107">
        <v>30</v>
      </c>
      <c r="U46" s="107">
        <v>30</v>
      </c>
      <c r="V46" s="107">
        <v>30</v>
      </c>
      <c r="W46" s="108"/>
      <c r="X46" s="108"/>
      <c r="Y46" s="109"/>
      <c r="Z46" s="110">
        <v>0</v>
      </c>
      <c r="AA46" s="107"/>
      <c r="AB46" s="111"/>
      <c r="AC46" s="112"/>
      <c r="AD46" s="113">
        <v>1</v>
      </c>
      <c r="AE46" s="119">
        <v>0</v>
      </c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 t="str">
        <f>"     " &amp; TEXT(AE46,"#0.00%") &amp; " "</f>
        <v xml:space="preserve">     0.00% </v>
      </c>
      <c r="AT46" s="115"/>
      <c r="AU46" s="115"/>
      <c r="AV46" s="115"/>
      <c r="AW46" s="115"/>
      <c r="AX46" s="115" t="str">
        <f>"" &amp; "Ass'y" &amp; " " &amp; IF(P46="","",TEXT(P46,"M/D-")) &amp; IF(Q46="","",TEXT(Q46,"M/D")) &amp; " "</f>
        <v xml:space="preserve">Ass'y 4/1-4/30 </v>
      </c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6"/>
    </row>
    <row r="47" spans="1:138" ht="12" customHeight="1" outlineLevel="3" x14ac:dyDescent="0.4">
      <c r="A47" s="101"/>
      <c r="B47" s="101"/>
      <c r="C47" s="101">
        <v>4</v>
      </c>
      <c r="D47" s="102" t="s">
        <v>386</v>
      </c>
      <c r="E47" s="103"/>
      <c r="F47" s="103"/>
      <c r="G47" s="103"/>
      <c r="H47" s="103" t="s">
        <v>342</v>
      </c>
      <c r="I47" s="103"/>
      <c r="J47" s="103"/>
      <c r="K47" s="103"/>
      <c r="L47" s="103"/>
      <c r="M47" s="103"/>
      <c r="N47" s="103"/>
      <c r="O47" s="122"/>
      <c r="P47" s="105">
        <v>44682</v>
      </c>
      <c r="Q47" s="105">
        <v>44711</v>
      </c>
      <c r="R47" s="106"/>
      <c r="S47" s="107">
        <v>30</v>
      </c>
      <c r="T47" s="107">
        <v>30</v>
      </c>
      <c r="U47" s="107">
        <v>30</v>
      </c>
      <c r="V47" s="107">
        <v>30</v>
      </c>
      <c r="W47" s="108"/>
      <c r="X47" s="108"/>
      <c r="Y47" s="109"/>
      <c r="Z47" s="110">
        <v>0</v>
      </c>
      <c r="AA47" s="107"/>
      <c r="AB47" s="111"/>
      <c r="AC47" s="112"/>
      <c r="AD47" s="113">
        <v>1</v>
      </c>
      <c r="AE47" s="119">
        <v>0</v>
      </c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 t="str">
        <f>"" &amp; TEXT(AE47,"#0.00%") &amp; " "</f>
        <v xml:space="preserve">0.00% </v>
      </c>
      <c r="AY47" s="115"/>
      <c r="AZ47" s="115"/>
      <c r="BA47" s="115"/>
      <c r="BB47" s="115" t="str">
        <f>"  " &amp; "Part" &amp; " " &amp; IF(P47="","",TEXT(P47,"M/D-")) &amp; IF(Q47="","",TEXT(Q47,"M/D")) &amp; " "</f>
        <v xml:space="preserve">  Part 5/1-5/30 </v>
      </c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6"/>
    </row>
    <row r="48" spans="1:138" ht="12" customHeight="1" outlineLevel="1" x14ac:dyDescent="0.4">
      <c r="A48" s="101"/>
      <c r="B48" s="101" t="s">
        <v>325</v>
      </c>
      <c r="C48" s="101">
        <v>2</v>
      </c>
      <c r="D48" s="102" t="s">
        <v>387</v>
      </c>
      <c r="E48" s="103"/>
      <c r="F48" s="103" t="s">
        <v>388</v>
      </c>
      <c r="G48" s="103"/>
      <c r="H48" s="103"/>
      <c r="I48" s="103"/>
      <c r="J48" s="103"/>
      <c r="K48" s="103"/>
      <c r="L48" s="103"/>
      <c r="M48" s="103"/>
      <c r="N48" s="103"/>
      <c r="O48" s="104" t="s">
        <v>345</v>
      </c>
      <c r="P48" s="105">
        <v>44576</v>
      </c>
      <c r="Q48" s="105">
        <v>44742</v>
      </c>
      <c r="R48" s="106"/>
      <c r="S48" s="107">
        <v>193</v>
      </c>
      <c r="T48" s="107">
        <v>193</v>
      </c>
      <c r="U48" s="107">
        <v>167</v>
      </c>
      <c r="V48" s="107">
        <v>167</v>
      </c>
      <c r="W48" s="108"/>
      <c r="X48" s="108"/>
      <c r="Y48" s="109">
        <v>0</v>
      </c>
      <c r="Z48" s="110">
        <v>0</v>
      </c>
      <c r="AA48" s="107"/>
      <c r="AB48" s="111"/>
      <c r="AC48" s="112"/>
      <c r="AD48" s="113">
        <v>1</v>
      </c>
      <c r="AE48" s="114">
        <v>0</v>
      </c>
      <c r="AF48" s="115"/>
      <c r="AG48" s="115"/>
      <c r="AH48" s="115" t="str">
        <f>"      " &amp; TEXT(AE48,"#0.00%") &amp; " "</f>
        <v xml:space="preserve">      0.00% </v>
      </c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 t="str">
        <f>"     " &amp; "OVEN 연결물류 " &amp; " " &amp; IF(P48="","",TEXT(P48,"M/D-")) &amp; IF(Q48="","",TEXT(Q48,"M/D")) &amp; " "</f>
        <v xml:space="preserve">     OVEN 연결물류  1/15-6/30 </v>
      </c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6"/>
    </row>
    <row r="49" spans="1:138" ht="12" customHeight="1" outlineLevel="2" x14ac:dyDescent="0.4">
      <c r="A49" s="101"/>
      <c r="B49" s="101"/>
      <c r="C49" s="101">
        <v>3</v>
      </c>
      <c r="D49" s="102" t="s">
        <v>389</v>
      </c>
      <c r="E49" s="103"/>
      <c r="F49" s="103"/>
      <c r="G49" s="103" t="s">
        <v>332</v>
      </c>
      <c r="H49" s="103"/>
      <c r="I49" s="103"/>
      <c r="J49" s="103"/>
      <c r="K49" s="103"/>
      <c r="L49" s="103"/>
      <c r="M49" s="103"/>
      <c r="N49" s="103"/>
      <c r="O49" s="104"/>
      <c r="P49" s="105">
        <v>44576</v>
      </c>
      <c r="Q49" s="105">
        <v>44635</v>
      </c>
      <c r="R49" s="106"/>
      <c r="S49" s="107">
        <v>60</v>
      </c>
      <c r="T49" s="107">
        <v>60</v>
      </c>
      <c r="U49" s="107">
        <v>60</v>
      </c>
      <c r="V49" s="107">
        <v>60</v>
      </c>
      <c r="W49" s="108"/>
      <c r="X49" s="108"/>
      <c r="Y49" s="109"/>
      <c r="Z49" s="110">
        <v>0</v>
      </c>
      <c r="AA49" s="107"/>
      <c r="AB49" s="111"/>
      <c r="AC49" s="112"/>
      <c r="AD49" s="113">
        <v>1</v>
      </c>
      <c r="AE49" s="119">
        <v>0</v>
      </c>
      <c r="AF49" s="115"/>
      <c r="AG49" s="115"/>
      <c r="AH49" s="115" t="str">
        <f>"      " &amp; TEXT(AE49,"#0.00%") &amp; " "</f>
        <v xml:space="preserve">      0.00% </v>
      </c>
      <c r="AI49" s="115"/>
      <c r="AJ49" s="115"/>
      <c r="AK49" s="115"/>
      <c r="AL49" s="115"/>
      <c r="AM49" s="115"/>
      <c r="AN49" s="115"/>
      <c r="AO49" s="115"/>
      <c r="AP49" s="115"/>
      <c r="AQ49" s="115" t="str">
        <f>"   " &amp; "Layout" &amp; " " &amp; IF(P49="","",TEXT(P49,"M/D-")) &amp; IF(Q49="","",TEXT(Q49,"M/D")) &amp; " "</f>
        <v xml:space="preserve">   Layout 1/15-3/15 </v>
      </c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6"/>
    </row>
    <row r="50" spans="1:138" ht="12" customHeight="1" outlineLevel="2" x14ac:dyDescent="0.4">
      <c r="A50" s="101"/>
      <c r="B50" s="101"/>
      <c r="C50" s="101">
        <v>3</v>
      </c>
      <c r="D50" s="102" t="s">
        <v>390</v>
      </c>
      <c r="E50" s="103"/>
      <c r="F50" s="103"/>
      <c r="G50" s="103" t="s">
        <v>334</v>
      </c>
      <c r="H50" s="103"/>
      <c r="I50" s="103"/>
      <c r="J50" s="103"/>
      <c r="K50" s="103"/>
      <c r="L50" s="103"/>
      <c r="M50" s="103"/>
      <c r="N50" s="103"/>
      <c r="O50" s="104"/>
      <c r="P50" s="105">
        <v>44732</v>
      </c>
      <c r="Q50" s="105">
        <v>44742</v>
      </c>
      <c r="R50" s="106"/>
      <c r="S50" s="107">
        <v>11</v>
      </c>
      <c r="T50" s="107">
        <v>11</v>
      </c>
      <c r="U50" s="107">
        <v>11</v>
      </c>
      <c r="V50" s="107">
        <v>11</v>
      </c>
      <c r="W50" s="108"/>
      <c r="X50" s="108"/>
      <c r="Y50" s="109"/>
      <c r="Z50" s="110">
        <v>0</v>
      </c>
      <c r="AA50" s="107"/>
      <c r="AB50" s="111"/>
      <c r="AC50" s="112"/>
      <c r="AD50" s="113">
        <v>1</v>
      </c>
      <c r="AE50" s="119">
        <v>0</v>
      </c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 t="str">
        <f>" " &amp; TEXT(AE50,"#0.00%") &amp; " " &amp; "설계DR" &amp; " " &amp; IF(P50="","",TEXT(P50,"M/D-")) &amp; IF(Q50="","",TEXT(Q50,"M/D")) &amp; " "</f>
        <v xml:space="preserve"> 0.00% 설계DR 6/20-6/30 </v>
      </c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6"/>
    </row>
    <row r="51" spans="1:138" ht="12" customHeight="1" outlineLevel="2" x14ac:dyDescent="0.4">
      <c r="A51" s="101"/>
      <c r="B51" s="101" t="s">
        <v>325</v>
      </c>
      <c r="C51" s="101">
        <v>3</v>
      </c>
      <c r="D51" s="102" t="s">
        <v>391</v>
      </c>
      <c r="E51" s="103"/>
      <c r="F51" s="103"/>
      <c r="G51" s="103" t="s">
        <v>336</v>
      </c>
      <c r="H51" s="103"/>
      <c r="I51" s="103"/>
      <c r="J51" s="103"/>
      <c r="K51" s="103"/>
      <c r="L51" s="103"/>
      <c r="M51" s="103"/>
      <c r="N51" s="103"/>
      <c r="O51" s="104"/>
      <c r="P51" s="105">
        <v>44621</v>
      </c>
      <c r="Q51" s="105">
        <v>44742</v>
      </c>
      <c r="R51" s="106"/>
      <c r="S51" s="107">
        <v>122</v>
      </c>
      <c r="T51" s="107">
        <v>122</v>
      </c>
      <c r="U51" s="107">
        <v>122</v>
      </c>
      <c r="V51" s="107">
        <v>122</v>
      </c>
      <c r="W51" s="108"/>
      <c r="X51" s="108"/>
      <c r="Y51" s="109">
        <v>0</v>
      </c>
      <c r="Z51" s="110">
        <v>0</v>
      </c>
      <c r="AA51" s="107"/>
      <c r="AB51" s="111"/>
      <c r="AC51" s="112"/>
      <c r="AD51" s="113">
        <v>1</v>
      </c>
      <c r="AE51" s="114">
        <v>0</v>
      </c>
      <c r="AF51" s="115"/>
      <c r="AG51" s="115"/>
      <c r="AH51" s="115"/>
      <c r="AI51" s="115"/>
      <c r="AJ51" s="115"/>
      <c r="AK51" s="115"/>
      <c r="AL51" s="115"/>
      <c r="AM51" s="115"/>
      <c r="AN51" s="115"/>
      <c r="AO51" s="115" t="str">
        <f>"  " &amp; TEXT(AE51,"#0.00%") &amp; " "</f>
        <v xml:space="preserve">  0.00% </v>
      </c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 t="str">
        <f>"     " &amp; "상세설계" &amp; " " &amp; IF(P51="","",TEXT(P51,"M/D-")) &amp; IF(Q51="","",TEXT(Q51,"M/D")) &amp; " "</f>
        <v xml:space="preserve">     상세설계 3/1-6/30 </v>
      </c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6"/>
    </row>
    <row r="52" spans="1:138" ht="12" customHeight="1" outlineLevel="3" x14ac:dyDescent="0.4">
      <c r="A52" s="101"/>
      <c r="B52" s="101"/>
      <c r="C52" s="101">
        <v>4</v>
      </c>
      <c r="D52" s="102" t="s">
        <v>392</v>
      </c>
      <c r="E52" s="103"/>
      <c r="F52" s="103"/>
      <c r="G52" s="103"/>
      <c r="H52" s="103" t="s">
        <v>338</v>
      </c>
      <c r="I52" s="103"/>
      <c r="J52" s="103"/>
      <c r="K52" s="103"/>
      <c r="L52" s="103"/>
      <c r="M52" s="103"/>
      <c r="N52" s="103"/>
      <c r="O52" s="104"/>
      <c r="P52" s="105">
        <v>44621</v>
      </c>
      <c r="Q52" s="105">
        <v>44651</v>
      </c>
      <c r="R52" s="106"/>
      <c r="S52" s="107">
        <v>31</v>
      </c>
      <c r="T52" s="107">
        <v>31</v>
      </c>
      <c r="U52" s="107">
        <v>31</v>
      </c>
      <c r="V52" s="107">
        <v>31</v>
      </c>
      <c r="W52" s="108"/>
      <c r="X52" s="108"/>
      <c r="Y52" s="109"/>
      <c r="Z52" s="110">
        <v>0</v>
      </c>
      <c r="AA52" s="107"/>
      <c r="AB52" s="111"/>
      <c r="AC52" s="112"/>
      <c r="AD52" s="113">
        <v>1</v>
      </c>
      <c r="AE52" s="119">
        <v>0</v>
      </c>
      <c r="AF52" s="115"/>
      <c r="AG52" s="115"/>
      <c r="AH52" s="115"/>
      <c r="AI52" s="115"/>
      <c r="AJ52" s="115"/>
      <c r="AK52" s="115"/>
      <c r="AL52" s="115"/>
      <c r="AM52" s="115"/>
      <c r="AN52" s="115"/>
      <c r="AO52" s="115" t="str">
        <f>"  " &amp; TEXT(AE52,"#0.00%") &amp; " "</f>
        <v xml:space="preserve">  0.00% </v>
      </c>
      <c r="AP52" s="115"/>
      <c r="AQ52" s="115"/>
      <c r="AR52" s="115"/>
      <c r="AS52" s="115" t="str">
        <f>"     " &amp; "Concept" &amp; " " &amp; IF(P52="","",TEXT(P52,"M/D-")) &amp; IF(Q52="","",TEXT(Q52,"M/D")) &amp; " "</f>
        <v xml:space="preserve">     Concept 3/1-3/31 </v>
      </c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6"/>
    </row>
    <row r="53" spans="1:138" ht="12" customHeight="1" outlineLevel="3" x14ac:dyDescent="0.4">
      <c r="A53" s="101"/>
      <c r="B53" s="101"/>
      <c r="C53" s="101">
        <v>4</v>
      </c>
      <c r="D53" s="102" t="s">
        <v>393</v>
      </c>
      <c r="E53" s="103"/>
      <c r="F53" s="103"/>
      <c r="G53" s="103"/>
      <c r="H53" s="103" t="s">
        <v>340</v>
      </c>
      <c r="I53" s="103"/>
      <c r="J53" s="103"/>
      <c r="K53" s="103"/>
      <c r="L53" s="103"/>
      <c r="M53" s="103"/>
      <c r="N53" s="103"/>
      <c r="O53" s="104"/>
      <c r="P53" s="105">
        <v>44652</v>
      </c>
      <c r="Q53" s="105">
        <v>44666</v>
      </c>
      <c r="R53" s="106"/>
      <c r="S53" s="107">
        <v>15</v>
      </c>
      <c r="T53" s="107">
        <v>15</v>
      </c>
      <c r="U53" s="107">
        <v>15</v>
      </c>
      <c r="V53" s="107">
        <v>15</v>
      </c>
      <c r="W53" s="108"/>
      <c r="X53" s="108"/>
      <c r="Y53" s="109"/>
      <c r="Z53" s="110">
        <v>0</v>
      </c>
      <c r="AA53" s="107"/>
      <c r="AB53" s="111"/>
      <c r="AC53" s="112"/>
      <c r="AD53" s="113">
        <v>1</v>
      </c>
      <c r="AE53" s="119">
        <v>0</v>
      </c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 t="str">
        <f>"     " &amp; TEXT(AE53,"#0.00%") &amp; " " &amp; "Ass'y" &amp; " " &amp; IF(P53="","",TEXT(P53,"M/D-")) &amp; IF(Q53="","",TEXT(Q53,"M/D")) &amp; " "</f>
        <v xml:space="preserve">     0.00% Ass'y 4/1-4/15 </v>
      </c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6"/>
    </row>
    <row r="54" spans="1:138" ht="12" customHeight="1" outlineLevel="3" x14ac:dyDescent="0.4">
      <c r="A54" s="101"/>
      <c r="B54" s="101"/>
      <c r="C54" s="101">
        <v>4</v>
      </c>
      <c r="D54" s="102" t="s">
        <v>394</v>
      </c>
      <c r="E54" s="103"/>
      <c r="F54" s="103"/>
      <c r="G54" s="103"/>
      <c r="H54" s="103" t="s">
        <v>342</v>
      </c>
      <c r="I54" s="103"/>
      <c r="J54" s="103"/>
      <c r="K54" s="103"/>
      <c r="L54" s="103"/>
      <c r="M54" s="103"/>
      <c r="N54" s="103"/>
      <c r="O54" s="104"/>
      <c r="P54" s="105">
        <v>44667</v>
      </c>
      <c r="Q54" s="105">
        <v>44742</v>
      </c>
      <c r="R54" s="106"/>
      <c r="S54" s="107">
        <v>76</v>
      </c>
      <c r="T54" s="107">
        <v>76</v>
      </c>
      <c r="U54" s="107">
        <v>76</v>
      </c>
      <c r="V54" s="107">
        <v>76</v>
      </c>
      <c r="W54" s="108"/>
      <c r="X54" s="108"/>
      <c r="Y54" s="109"/>
      <c r="Z54" s="110">
        <v>0</v>
      </c>
      <c r="AA54" s="107"/>
      <c r="AB54" s="111"/>
      <c r="AC54" s="112"/>
      <c r="AD54" s="113">
        <v>1</v>
      </c>
      <c r="AE54" s="119">
        <v>0</v>
      </c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 t="str">
        <f>"      " &amp; TEXT(AE54,"#0.00%") &amp; " "</f>
        <v xml:space="preserve">      0.00% </v>
      </c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 t="str">
        <f>"     " &amp; "Part" &amp; " " &amp; IF(P54="","",TEXT(P54,"M/D-")) &amp; IF(Q54="","",TEXT(Q54,"M/D")) &amp; " "</f>
        <v xml:space="preserve">     Part 4/16-6/30 </v>
      </c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6"/>
    </row>
    <row r="55" spans="1:138" ht="12" customHeight="1" outlineLevel="1" x14ac:dyDescent="0.4">
      <c r="A55" s="101"/>
      <c r="B55" s="101" t="s">
        <v>325</v>
      </c>
      <c r="C55" s="101">
        <v>2</v>
      </c>
      <c r="D55" s="102" t="s">
        <v>395</v>
      </c>
      <c r="E55" s="103"/>
      <c r="F55" s="103" t="s">
        <v>396</v>
      </c>
      <c r="G55" s="103"/>
      <c r="H55" s="103"/>
      <c r="I55" s="103"/>
      <c r="J55" s="103"/>
      <c r="K55" s="103"/>
      <c r="L55" s="103"/>
      <c r="M55" s="103"/>
      <c r="N55" s="103"/>
      <c r="O55" s="104" t="s">
        <v>345</v>
      </c>
      <c r="P55" s="105">
        <v>44576</v>
      </c>
      <c r="Q55" s="105">
        <v>44772</v>
      </c>
      <c r="R55" s="106"/>
      <c r="S55" s="107">
        <v>223</v>
      </c>
      <c r="T55" s="107">
        <v>211</v>
      </c>
      <c r="U55" s="107">
        <v>197</v>
      </c>
      <c r="V55" s="107">
        <v>185</v>
      </c>
      <c r="W55" s="108"/>
      <c r="X55" s="108"/>
      <c r="Y55" s="109">
        <v>0</v>
      </c>
      <c r="Z55" s="110">
        <v>0</v>
      </c>
      <c r="AA55" s="107"/>
      <c r="AB55" s="111"/>
      <c r="AC55" s="112"/>
      <c r="AD55" s="113">
        <v>0.94618834080717484</v>
      </c>
      <c r="AE55" s="114">
        <v>0</v>
      </c>
      <c r="AF55" s="115"/>
      <c r="AG55" s="115"/>
      <c r="AH55" s="115" t="str">
        <f>"      " &amp; TEXT(AE55,"#0.00%") &amp; " "</f>
        <v xml:space="preserve">      0.00% </v>
      </c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 t="str">
        <f>"" &amp; "CCS 포장물류" &amp; " " &amp; IF(P55="","",TEXT(P55,"M/D-")) &amp; IF(Q55="","",TEXT(Q55,"M/D")) &amp; " "</f>
        <v xml:space="preserve">CCS 포장물류 1/15-7/30 </v>
      </c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6"/>
    </row>
    <row r="56" spans="1:138" ht="12" customHeight="1" outlineLevel="2" x14ac:dyDescent="0.4">
      <c r="A56" s="101"/>
      <c r="B56" s="101"/>
      <c r="C56" s="101">
        <v>3</v>
      </c>
      <c r="D56" s="102" t="s">
        <v>397</v>
      </c>
      <c r="E56" s="103"/>
      <c r="F56" s="103"/>
      <c r="G56" s="103" t="s">
        <v>332</v>
      </c>
      <c r="H56" s="103"/>
      <c r="I56" s="103"/>
      <c r="J56" s="103"/>
      <c r="K56" s="103"/>
      <c r="L56" s="103"/>
      <c r="M56" s="103"/>
      <c r="N56" s="103"/>
      <c r="O56" s="104"/>
      <c r="P56" s="105">
        <v>44576</v>
      </c>
      <c r="Q56" s="105">
        <v>44635</v>
      </c>
      <c r="R56" s="106"/>
      <c r="S56" s="107">
        <v>60</v>
      </c>
      <c r="T56" s="107">
        <v>60</v>
      </c>
      <c r="U56" s="107">
        <v>60</v>
      </c>
      <c r="V56" s="107">
        <v>60</v>
      </c>
      <c r="W56" s="108"/>
      <c r="X56" s="108"/>
      <c r="Y56" s="109"/>
      <c r="Z56" s="110">
        <v>0</v>
      </c>
      <c r="AA56" s="107"/>
      <c r="AB56" s="111"/>
      <c r="AC56" s="112"/>
      <c r="AD56" s="113">
        <v>1</v>
      </c>
      <c r="AE56" s="119">
        <v>0</v>
      </c>
      <c r="AF56" s="115"/>
      <c r="AG56" s="115"/>
      <c r="AH56" s="115" t="str">
        <f>"      " &amp; TEXT(AE56,"#0.00%") &amp; " "</f>
        <v xml:space="preserve">      0.00% </v>
      </c>
      <c r="AI56" s="115"/>
      <c r="AJ56" s="115"/>
      <c r="AK56" s="115"/>
      <c r="AL56" s="115"/>
      <c r="AM56" s="115"/>
      <c r="AN56" s="115"/>
      <c r="AO56" s="115"/>
      <c r="AP56" s="115"/>
      <c r="AQ56" s="115" t="str">
        <f>"   " &amp; "Layout" &amp; " " &amp; IF(P56="","",TEXT(P56,"M/D-")) &amp; IF(Q56="","",TEXT(Q56,"M/D")) &amp; " "</f>
        <v xml:space="preserve">   Layout 1/15-3/15 </v>
      </c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6"/>
    </row>
    <row r="57" spans="1:138" ht="12" customHeight="1" outlineLevel="2" x14ac:dyDescent="0.4">
      <c r="A57" s="101"/>
      <c r="B57" s="101"/>
      <c r="C57" s="101">
        <v>3</v>
      </c>
      <c r="D57" s="102" t="s">
        <v>398</v>
      </c>
      <c r="E57" s="103"/>
      <c r="F57" s="103"/>
      <c r="G57" s="103" t="s">
        <v>334</v>
      </c>
      <c r="H57" s="103"/>
      <c r="I57" s="103"/>
      <c r="J57" s="103"/>
      <c r="K57" s="103"/>
      <c r="L57" s="103"/>
      <c r="M57" s="103"/>
      <c r="N57" s="103"/>
      <c r="O57" s="104"/>
      <c r="P57" s="105">
        <v>44732</v>
      </c>
      <c r="Q57" s="105">
        <v>44742</v>
      </c>
      <c r="R57" s="106"/>
      <c r="S57" s="107">
        <v>11</v>
      </c>
      <c r="T57" s="107">
        <v>11</v>
      </c>
      <c r="U57" s="107">
        <v>11</v>
      </c>
      <c r="V57" s="107">
        <v>11</v>
      </c>
      <c r="W57" s="108"/>
      <c r="X57" s="108"/>
      <c r="Y57" s="109"/>
      <c r="Z57" s="110">
        <v>0</v>
      </c>
      <c r="AA57" s="107"/>
      <c r="AB57" s="111"/>
      <c r="AC57" s="112"/>
      <c r="AD57" s="113">
        <v>1</v>
      </c>
      <c r="AE57" s="119">
        <v>0</v>
      </c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 t="str">
        <f>" " &amp; TEXT(AE57,"#0.00%") &amp; " " &amp; "설계DR" &amp; " " &amp; IF(P57="","",TEXT(P57,"M/D-")) &amp; IF(Q57="","",TEXT(Q57,"M/D")) &amp; " "</f>
        <v xml:space="preserve"> 0.00% 설계DR 6/20-6/30 </v>
      </c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6"/>
    </row>
    <row r="58" spans="1:138" ht="12" customHeight="1" outlineLevel="2" x14ac:dyDescent="0.4">
      <c r="A58" s="101"/>
      <c r="B58" s="101" t="s">
        <v>325</v>
      </c>
      <c r="C58" s="101">
        <v>3</v>
      </c>
      <c r="D58" s="102" t="s">
        <v>399</v>
      </c>
      <c r="E58" s="103"/>
      <c r="F58" s="103"/>
      <c r="G58" s="103" t="s">
        <v>336</v>
      </c>
      <c r="H58" s="103"/>
      <c r="I58" s="103"/>
      <c r="J58" s="103"/>
      <c r="K58" s="103"/>
      <c r="L58" s="103"/>
      <c r="M58" s="103"/>
      <c r="N58" s="103"/>
      <c r="O58" s="104"/>
      <c r="P58" s="105">
        <v>44621</v>
      </c>
      <c r="Q58" s="105">
        <v>44772</v>
      </c>
      <c r="R58" s="106"/>
      <c r="S58" s="107">
        <v>152</v>
      </c>
      <c r="T58" s="107">
        <v>140</v>
      </c>
      <c r="U58" s="107">
        <v>152</v>
      </c>
      <c r="V58" s="107">
        <v>140</v>
      </c>
      <c r="W58" s="108"/>
      <c r="X58" s="108"/>
      <c r="Y58" s="109">
        <v>0</v>
      </c>
      <c r="Z58" s="110">
        <v>0</v>
      </c>
      <c r="AA58" s="107"/>
      <c r="AB58" s="111"/>
      <c r="AC58" s="112"/>
      <c r="AD58" s="113">
        <v>0.92105263157894735</v>
      </c>
      <c r="AE58" s="114">
        <v>0</v>
      </c>
      <c r="AF58" s="115"/>
      <c r="AG58" s="115"/>
      <c r="AH58" s="115"/>
      <c r="AI58" s="115"/>
      <c r="AJ58" s="115"/>
      <c r="AK58" s="115"/>
      <c r="AL58" s="115"/>
      <c r="AM58" s="115"/>
      <c r="AN58" s="115"/>
      <c r="AO58" s="115" t="str">
        <f>"  " &amp; TEXT(AE58,"#0.00%") &amp; " "</f>
        <v xml:space="preserve">  0.00% </v>
      </c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 t="str">
        <f>"" &amp; "상세설계" &amp; " " &amp; IF(P58="","",TEXT(P58,"M/D-")) &amp; IF(Q58="","",TEXT(Q58,"M/D")) &amp; " "</f>
        <v xml:space="preserve">상세설계 3/1-7/30 </v>
      </c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6"/>
    </row>
    <row r="59" spans="1:138" ht="12" customHeight="1" outlineLevel="3" x14ac:dyDescent="0.4">
      <c r="A59" s="101"/>
      <c r="B59" s="101"/>
      <c r="C59" s="101">
        <v>4</v>
      </c>
      <c r="D59" s="102" t="s">
        <v>400</v>
      </c>
      <c r="E59" s="103"/>
      <c r="F59" s="103"/>
      <c r="G59" s="103"/>
      <c r="H59" s="103" t="s">
        <v>338</v>
      </c>
      <c r="I59" s="103"/>
      <c r="J59" s="103"/>
      <c r="K59" s="103"/>
      <c r="L59" s="103"/>
      <c r="M59" s="103"/>
      <c r="N59" s="103"/>
      <c r="O59" s="104"/>
      <c r="P59" s="105">
        <v>44621</v>
      </c>
      <c r="Q59" s="105">
        <v>44712</v>
      </c>
      <c r="R59" s="106"/>
      <c r="S59" s="107">
        <v>92</v>
      </c>
      <c r="T59" s="107">
        <v>92</v>
      </c>
      <c r="U59" s="107">
        <v>92</v>
      </c>
      <c r="V59" s="107">
        <v>92</v>
      </c>
      <c r="W59" s="108"/>
      <c r="X59" s="108"/>
      <c r="Y59" s="109"/>
      <c r="Z59" s="110">
        <v>0</v>
      </c>
      <c r="AA59" s="107"/>
      <c r="AB59" s="111"/>
      <c r="AC59" s="112"/>
      <c r="AD59" s="113">
        <v>1</v>
      </c>
      <c r="AE59" s="119">
        <v>0</v>
      </c>
      <c r="AF59" s="115"/>
      <c r="AG59" s="115"/>
      <c r="AH59" s="115"/>
      <c r="AI59" s="115"/>
      <c r="AJ59" s="115"/>
      <c r="AK59" s="115"/>
      <c r="AL59" s="115"/>
      <c r="AM59" s="115"/>
      <c r="AN59" s="115"/>
      <c r="AO59" s="115" t="str">
        <f>"  " &amp; TEXT(AE59,"#0.00%") &amp; " "</f>
        <v xml:space="preserve">  0.00% </v>
      </c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 t="str">
        <f>"   " &amp; "Concept" &amp; " " &amp; IF(P59="","",TEXT(P59,"M/D-")) &amp; IF(Q59="","",TEXT(Q59,"M/D")) &amp; " "</f>
        <v xml:space="preserve">   Concept 3/1-5/31 </v>
      </c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6"/>
    </row>
    <row r="60" spans="1:138" ht="12" customHeight="1" outlineLevel="3" x14ac:dyDescent="0.4">
      <c r="A60" s="101"/>
      <c r="B60" s="101"/>
      <c r="C60" s="101">
        <v>4</v>
      </c>
      <c r="D60" s="102" t="s">
        <v>401</v>
      </c>
      <c r="E60" s="103"/>
      <c r="F60" s="103"/>
      <c r="G60" s="103"/>
      <c r="H60" s="103" t="s">
        <v>340</v>
      </c>
      <c r="I60" s="103"/>
      <c r="J60" s="103"/>
      <c r="K60" s="103"/>
      <c r="L60" s="103"/>
      <c r="M60" s="103"/>
      <c r="N60" s="103"/>
      <c r="O60" s="104"/>
      <c r="P60" s="105">
        <v>44713</v>
      </c>
      <c r="Q60" s="105">
        <v>44732</v>
      </c>
      <c r="R60" s="106"/>
      <c r="S60" s="107">
        <v>20</v>
      </c>
      <c r="T60" s="107">
        <v>20</v>
      </c>
      <c r="U60" s="107">
        <v>20</v>
      </c>
      <c r="V60" s="107">
        <v>20</v>
      </c>
      <c r="W60" s="108"/>
      <c r="X60" s="108"/>
      <c r="Y60" s="109"/>
      <c r="Z60" s="110">
        <v>0</v>
      </c>
      <c r="AA60" s="107"/>
      <c r="AB60" s="111"/>
      <c r="AC60" s="112"/>
      <c r="AD60" s="113">
        <v>1</v>
      </c>
      <c r="AE60" s="119">
        <v>0</v>
      </c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 t="str">
        <f>"   " &amp; TEXT(AE60,"#0.00%") &amp; " "</f>
        <v xml:space="preserve">   0.00% </v>
      </c>
      <c r="BC60" s="115"/>
      <c r="BD60" s="115"/>
      <c r="BE60" s="115" t="str">
        <f>"  " &amp; "Ass'y" &amp; " " &amp; IF(P60="","",TEXT(P60,"M/D-")) &amp; IF(Q60="","",TEXT(Q60,"M/D")) &amp; " "</f>
        <v xml:space="preserve">  Ass'y 6/1-6/20 </v>
      </c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6"/>
    </row>
    <row r="61" spans="1:138" ht="12" customHeight="1" outlineLevel="3" x14ac:dyDescent="0.4">
      <c r="A61" s="101"/>
      <c r="B61" s="101"/>
      <c r="C61" s="101">
        <v>4</v>
      </c>
      <c r="D61" s="102" t="s">
        <v>402</v>
      </c>
      <c r="E61" s="103"/>
      <c r="F61" s="103"/>
      <c r="G61" s="103"/>
      <c r="H61" s="103" t="s">
        <v>342</v>
      </c>
      <c r="I61" s="103"/>
      <c r="J61" s="103"/>
      <c r="K61" s="103"/>
      <c r="L61" s="103"/>
      <c r="M61" s="103"/>
      <c r="N61" s="103"/>
      <c r="O61" s="104"/>
      <c r="P61" s="105">
        <v>44733</v>
      </c>
      <c r="Q61" s="105">
        <v>44772</v>
      </c>
      <c r="R61" s="106"/>
      <c r="S61" s="107">
        <v>40</v>
      </c>
      <c r="T61" s="107">
        <v>28</v>
      </c>
      <c r="U61" s="107">
        <v>40</v>
      </c>
      <c r="V61" s="107">
        <v>28</v>
      </c>
      <c r="W61" s="108"/>
      <c r="X61" s="108"/>
      <c r="Y61" s="109"/>
      <c r="Z61" s="110">
        <v>0</v>
      </c>
      <c r="AA61" s="107"/>
      <c r="AB61" s="111"/>
      <c r="AC61" s="112"/>
      <c r="AD61" s="113">
        <v>0.7</v>
      </c>
      <c r="AE61" s="119">
        <v>0</v>
      </c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 t="str">
        <f>"  " &amp; TEXT(AE61,"#0.00%") &amp; " "</f>
        <v xml:space="preserve">  0.00% </v>
      </c>
      <c r="BF61" s="115"/>
      <c r="BG61" s="115"/>
      <c r="BH61" s="115"/>
      <c r="BI61" s="115"/>
      <c r="BJ61" s="115"/>
      <c r="BK61" s="115" t="str">
        <f>"" &amp; "Part" &amp; " " &amp; IF(P61="","",TEXT(P61,"M/D-")) &amp; IF(Q61="","",TEXT(Q61,"M/D")) &amp; " "</f>
        <v xml:space="preserve">Part 6/21-7/30 </v>
      </c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6"/>
    </row>
    <row r="62" spans="1:138" ht="12" customHeight="1" outlineLevel="1" x14ac:dyDescent="0.4">
      <c r="A62" s="101"/>
      <c r="B62" s="101" t="s">
        <v>325</v>
      </c>
      <c r="C62" s="101">
        <v>2</v>
      </c>
      <c r="D62" s="102" t="s">
        <v>403</v>
      </c>
      <c r="E62" s="103"/>
      <c r="F62" s="103" t="s">
        <v>404</v>
      </c>
      <c r="G62" s="103"/>
      <c r="H62" s="103"/>
      <c r="I62" s="103"/>
      <c r="J62" s="103"/>
      <c r="K62" s="103"/>
      <c r="L62" s="103"/>
      <c r="M62" s="103"/>
      <c r="N62" s="103"/>
      <c r="O62" s="104" t="s">
        <v>330</v>
      </c>
      <c r="P62" s="105">
        <v>44562</v>
      </c>
      <c r="Q62" s="105">
        <v>44711</v>
      </c>
      <c r="R62" s="106"/>
      <c r="S62" s="107">
        <v>319</v>
      </c>
      <c r="T62" s="107">
        <v>319</v>
      </c>
      <c r="U62" s="107">
        <v>150</v>
      </c>
      <c r="V62" s="107">
        <v>150</v>
      </c>
      <c r="W62" s="108"/>
      <c r="X62" s="108"/>
      <c r="Y62" s="109">
        <v>0</v>
      </c>
      <c r="Z62" s="110">
        <v>0</v>
      </c>
      <c r="AA62" s="107"/>
      <c r="AB62" s="111"/>
      <c r="AC62" s="112"/>
      <c r="AD62" s="113">
        <v>1</v>
      </c>
      <c r="AE62" s="114">
        <v>0</v>
      </c>
      <c r="AF62" s="115" t="str">
        <f>"      " &amp; TEXT(AE62,"#0.00%") &amp; " "</f>
        <v xml:space="preserve">      0.00% </v>
      </c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 t="str">
        <f>"  " &amp; "완제품 창고" &amp; " " &amp; IF(P62="","",TEXT(P62,"M/D-")) &amp; IF(Q62="","",TEXT(Q62,"M/D")) &amp; " "</f>
        <v xml:space="preserve">  완제품 창고 1/1-5/30 </v>
      </c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6"/>
    </row>
    <row r="63" spans="1:138" ht="12" customHeight="1" outlineLevel="2" x14ac:dyDescent="0.4">
      <c r="A63" s="101"/>
      <c r="B63" s="101"/>
      <c r="C63" s="101">
        <v>3</v>
      </c>
      <c r="D63" s="102" t="s">
        <v>405</v>
      </c>
      <c r="E63" s="103"/>
      <c r="F63" s="103"/>
      <c r="G63" s="103" t="s">
        <v>332</v>
      </c>
      <c r="H63" s="103"/>
      <c r="I63" s="103"/>
      <c r="J63" s="103"/>
      <c r="K63" s="103"/>
      <c r="L63" s="103"/>
      <c r="M63" s="103"/>
      <c r="N63" s="103"/>
      <c r="O63" s="104"/>
      <c r="P63" s="105">
        <v>44576</v>
      </c>
      <c r="Q63" s="105">
        <v>44625</v>
      </c>
      <c r="R63" s="106"/>
      <c r="S63" s="107">
        <v>50</v>
      </c>
      <c r="T63" s="107">
        <v>50</v>
      </c>
      <c r="U63" s="107">
        <v>50</v>
      </c>
      <c r="V63" s="107">
        <v>50</v>
      </c>
      <c r="W63" s="108"/>
      <c r="X63" s="108"/>
      <c r="Y63" s="109"/>
      <c r="Z63" s="110">
        <v>0</v>
      </c>
      <c r="AA63" s="107"/>
      <c r="AB63" s="111"/>
      <c r="AC63" s="112"/>
      <c r="AD63" s="113">
        <v>1</v>
      </c>
      <c r="AE63" s="119">
        <v>0</v>
      </c>
      <c r="AF63" s="115"/>
      <c r="AG63" s="115"/>
      <c r="AH63" s="115" t="str">
        <f>"      " &amp; TEXT(AE63,"#0.00%") &amp; " "</f>
        <v xml:space="preserve">      0.00% </v>
      </c>
      <c r="AI63" s="115"/>
      <c r="AJ63" s="115"/>
      <c r="AK63" s="115"/>
      <c r="AL63" s="115"/>
      <c r="AM63" s="115"/>
      <c r="AN63" s="115"/>
      <c r="AO63" s="115"/>
      <c r="AP63" s="115" t="str">
        <f>"" &amp; "Layout" &amp; " " &amp; IF(P63="","",TEXT(P63,"M/D-")) &amp; IF(Q63="","",TEXT(Q63,"M/D")) &amp; " "</f>
        <v xml:space="preserve">Layout 1/15-3/5 </v>
      </c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6"/>
    </row>
    <row r="64" spans="1:138" ht="12" customHeight="1" outlineLevel="2" x14ac:dyDescent="0.4">
      <c r="A64" s="101"/>
      <c r="B64" s="101"/>
      <c r="C64" s="101">
        <v>3</v>
      </c>
      <c r="D64" s="102" t="s">
        <v>406</v>
      </c>
      <c r="E64" s="103"/>
      <c r="F64" s="123"/>
      <c r="G64" s="103" t="s">
        <v>334</v>
      </c>
      <c r="H64" s="103"/>
      <c r="I64" s="103"/>
      <c r="J64" s="103"/>
      <c r="K64" s="103"/>
      <c r="L64" s="103"/>
      <c r="M64" s="103"/>
      <c r="N64" s="103"/>
      <c r="O64" s="104"/>
      <c r="P64" s="105">
        <v>44562</v>
      </c>
      <c r="Q64" s="105">
        <v>44711</v>
      </c>
      <c r="R64" s="106"/>
      <c r="S64" s="107">
        <v>150</v>
      </c>
      <c r="T64" s="107">
        <v>150</v>
      </c>
      <c r="U64" s="107">
        <v>150</v>
      </c>
      <c r="V64" s="107">
        <v>150</v>
      </c>
      <c r="W64" s="108"/>
      <c r="X64" s="108"/>
      <c r="Y64" s="109"/>
      <c r="Z64" s="110">
        <v>0</v>
      </c>
      <c r="AA64" s="107"/>
      <c r="AB64" s="111"/>
      <c r="AC64" s="112"/>
      <c r="AD64" s="113">
        <v>1</v>
      </c>
      <c r="AE64" s="119">
        <v>0</v>
      </c>
      <c r="AF64" s="115" t="str">
        <f>"      " &amp; TEXT(AE64,"#0.00%") &amp; " "</f>
        <v xml:space="preserve">      0.00% </v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 t="str">
        <f>"  " &amp; "설계DR" &amp; " " &amp; IF(P64="","",TEXT(P64,"M/D-")) &amp; IF(Q64="","",TEXT(Q64,"M/D")) &amp; " "</f>
        <v xml:space="preserve">  설계DR 1/1-5/30 </v>
      </c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6"/>
    </row>
    <row r="65" spans="1:138" ht="12" customHeight="1" outlineLevel="2" x14ac:dyDescent="0.4">
      <c r="A65" s="101"/>
      <c r="B65" s="101" t="s">
        <v>325</v>
      </c>
      <c r="C65" s="101">
        <v>3</v>
      </c>
      <c r="D65" s="102" t="s">
        <v>407</v>
      </c>
      <c r="E65" s="103"/>
      <c r="F65" s="123"/>
      <c r="G65" s="103" t="s">
        <v>336</v>
      </c>
      <c r="H65" s="103"/>
      <c r="I65" s="103"/>
      <c r="J65" s="103"/>
      <c r="K65" s="103"/>
      <c r="L65" s="103"/>
      <c r="M65" s="103"/>
      <c r="N65" s="103"/>
      <c r="O65" s="104"/>
      <c r="P65" s="105">
        <v>44593</v>
      </c>
      <c r="Q65" s="105">
        <v>44711</v>
      </c>
      <c r="R65" s="106"/>
      <c r="S65" s="107">
        <v>119</v>
      </c>
      <c r="T65" s="107">
        <v>119</v>
      </c>
      <c r="U65" s="107">
        <v>119</v>
      </c>
      <c r="V65" s="107">
        <v>119</v>
      </c>
      <c r="W65" s="108"/>
      <c r="X65" s="108"/>
      <c r="Y65" s="109">
        <v>0</v>
      </c>
      <c r="Z65" s="110">
        <v>0</v>
      </c>
      <c r="AA65" s="107"/>
      <c r="AB65" s="111"/>
      <c r="AC65" s="112"/>
      <c r="AD65" s="113">
        <v>1</v>
      </c>
      <c r="AE65" s="114">
        <v>0</v>
      </c>
      <c r="AF65" s="115"/>
      <c r="AG65" s="115"/>
      <c r="AH65" s="115"/>
      <c r="AI65" s="115"/>
      <c r="AJ65" s="115"/>
      <c r="AK65" s="115" t="str">
        <f>"  " &amp; TEXT(AE65,"#0.00%") &amp; " "</f>
        <v xml:space="preserve">  0.00% </v>
      </c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 t="str">
        <f>"  " &amp; "상세설계" &amp; " " &amp; IF(P65="","",TEXT(P65,"M/D-")) &amp; IF(Q65="","",TEXT(Q65,"M/D")) &amp; " "</f>
        <v xml:space="preserve">  상세설계 2/1-5/30 </v>
      </c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6"/>
    </row>
    <row r="66" spans="1:138" ht="12" customHeight="1" outlineLevel="3" x14ac:dyDescent="0.4">
      <c r="A66" s="101"/>
      <c r="B66" s="101"/>
      <c r="C66" s="101">
        <v>4</v>
      </c>
      <c r="D66" s="102" t="s">
        <v>408</v>
      </c>
      <c r="E66" s="103"/>
      <c r="F66" s="123"/>
      <c r="G66" s="103"/>
      <c r="H66" s="103" t="s">
        <v>338</v>
      </c>
      <c r="I66" s="103"/>
      <c r="J66" s="103"/>
      <c r="K66" s="103"/>
      <c r="L66" s="103"/>
      <c r="M66" s="103"/>
      <c r="N66" s="103"/>
      <c r="O66" s="104"/>
      <c r="P66" s="105">
        <v>44593</v>
      </c>
      <c r="Q66" s="105">
        <v>44651</v>
      </c>
      <c r="R66" s="106"/>
      <c r="S66" s="107">
        <v>59</v>
      </c>
      <c r="T66" s="107">
        <v>59</v>
      </c>
      <c r="U66" s="107">
        <v>59</v>
      </c>
      <c r="V66" s="107">
        <v>59</v>
      </c>
      <c r="W66" s="108"/>
      <c r="X66" s="108"/>
      <c r="Y66" s="109"/>
      <c r="Z66" s="110">
        <v>0</v>
      </c>
      <c r="AA66" s="107"/>
      <c r="AB66" s="111"/>
      <c r="AC66" s="112"/>
      <c r="AD66" s="113">
        <v>1</v>
      </c>
      <c r="AE66" s="119">
        <v>0</v>
      </c>
      <c r="AF66" s="115"/>
      <c r="AG66" s="115"/>
      <c r="AH66" s="115"/>
      <c r="AI66" s="115"/>
      <c r="AJ66" s="115"/>
      <c r="AK66" s="115" t="str">
        <f>"  " &amp; TEXT(AE66,"#0.00%") &amp; " "</f>
        <v xml:space="preserve">  0.00% </v>
      </c>
      <c r="AL66" s="115"/>
      <c r="AM66" s="115"/>
      <c r="AN66" s="115"/>
      <c r="AO66" s="115"/>
      <c r="AP66" s="115"/>
      <c r="AQ66" s="115"/>
      <c r="AR66" s="115"/>
      <c r="AS66" s="115" t="str">
        <f>"     " &amp; "Concept" &amp; " " &amp; IF(P66="","",TEXT(P66,"M/D-")) &amp; IF(Q66="","",TEXT(Q66,"M/D")) &amp; " "</f>
        <v xml:space="preserve">     Concept 2/1-3/31 </v>
      </c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6"/>
    </row>
    <row r="67" spans="1:138" ht="12" customHeight="1" outlineLevel="3" x14ac:dyDescent="0.4">
      <c r="A67" s="101"/>
      <c r="B67" s="101"/>
      <c r="C67" s="101">
        <v>4</v>
      </c>
      <c r="D67" s="102" t="s">
        <v>409</v>
      </c>
      <c r="E67" s="103"/>
      <c r="F67" s="123"/>
      <c r="G67" s="103"/>
      <c r="H67" s="103" t="s">
        <v>340</v>
      </c>
      <c r="I67" s="103"/>
      <c r="J67" s="103"/>
      <c r="K67" s="103"/>
      <c r="L67" s="103"/>
      <c r="M67" s="103"/>
      <c r="N67" s="103"/>
      <c r="O67" s="104"/>
      <c r="P67" s="105">
        <v>44652</v>
      </c>
      <c r="Q67" s="105">
        <v>44681</v>
      </c>
      <c r="R67" s="106"/>
      <c r="S67" s="107">
        <v>30</v>
      </c>
      <c r="T67" s="107">
        <v>30</v>
      </c>
      <c r="U67" s="107">
        <v>30</v>
      </c>
      <c r="V67" s="107">
        <v>30</v>
      </c>
      <c r="W67" s="108"/>
      <c r="X67" s="108"/>
      <c r="Y67" s="109"/>
      <c r="Z67" s="110">
        <v>0</v>
      </c>
      <c r="AA67" s="107"/>
      <c r="AB67" s="111"/>
      <c r="AC67" s="112"/>
      <c r="AD67" s="113">
        <v>1</v>
      </c>
      <c r="AE67" s="119">
        <v>0</v>
      </c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 t="str">
        <f>"     " &amp; TEXT(AE67,"#0.00%") &amp; " "</f>
        <v xml:space="preserve">     0.00% </v>
      </c>
      <c r="AT67" s="115"/>
      <c r="AU67" s="115"/>
      <c r="AV67" s="115"/>
      <c r="AW67" s="115"/>
      <c r="AX67" s="115" t="str">
        <f>"" &amp; "Ass'y" &amp; " " &amp; IF(P67="","",TEXT(P67,"M/D-")) &amp; IF(Q67="","",TEXT(Q67,"M/D")) &amp; " "</f>
        <v xml:space="preserve">Ass'y 4/1-4/30 </v>
      </c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6"/>
    </row>
    <row r="68" spans="1:138" ht="12" customHeight="1" outlineLevel="3" x14ac:dyDescent="0.4">
      <c r="A68" s="101"/>
      <c r="B68" s="101"/>
      <c r="C68" s="101">
        <v>4</v>
      </c>
      <c r="D68" s="102" t="s">
        <v>410</v>
      </c>
      <c r="E68" s="103"/>
      <c r="F68" s="123"/>
      <c r="G68" s="103"/>
      <c r="H68" s="103" t="s">
        <v>342</v>
      </c>
      <c r="I68" s="103"/>
      <c r="J68" s="124"/>
      <c r="K68" s="124"/>
      <c r="L68" s="124"/>
      <c r="M68" s="103"/>
      <c r="N68" s="103"/>
      <c r="O68" s="104"/>
      <c r="P68" s="105">
        <v>44682</v>
      </c>
      <c r="Q68" s="105">
        <v>44711</v>
      </c>
      <c r="R68" s="106"/>
      <c r="S68" s="107">
        <v>30</v>
      </c>
      <c r="T68" s="107">
        <v>30</v>
      </c>
      <c r="U68" s="107">
        <v>30</v>
      </c>
      <c r="V68" s="107">
        <v>30</v>
      </c>
      <c r="W68" s="108"/>
      <c r="X68" s="108"/>
      <c r="Y68" s="109"/>
      <c r="Z68" s="110">
        <v>0</v>
      </c>
      <c r="AA68" s="107"/>
      <c r="AB68" s="111"/>
      <c r="AC68" s="112"/>
      <c r="AD68" s="113">
        <v>1</v>
      </c>
      <c r="AE68" s="119">
        <v>0</v>
      </c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 t="str">
        <f>"" &amp; TEXT(AE68,"#0.00%") &amp; " "</f>
        <v xml:space="preserve">0.00% </v>
      </c>
      <c r="AY68" s="115"/>
      <c r="AZ68" s="115"/>
      <c r="BA68" s="115"/>
      <c r="BB68" s="115" t="str">
        <f>"  " &amp; "Part" &amp; " " &amp; IF(P68="","",TEXT(P68,"M/D-")) &amp; IF(Q68="","",TEXT(Q68,"M/D")) &amp; " "</f>
        <v xml:space="preserve">  Part 5/1-5/30 </v>
      </c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6"/>
    </row>
    <row r="69" spans="1:138" ht="12" customHeight="1" outlineLevel="1" x14ac:dyDescent="0.4">
      <c r="A69" s="101"/>
      <c r="B69" s="101" t="s">
        <v>325</v>
      </c>
      <c r="C69" s="101">
        <v>2</v>
      </c>
      <c r="D69" s="102" t="s">
        <v>411</v>
      </c>
      <c r="E69" s="103"/>
      <c r="F69" s="123" t="s">
        <v>412</v>
      </c>
      <c r="G69" s="103"/>
      <c r="H69" s="103"/>
      <c r="I69" s="103"/>
      <c r="J69" s="103"/>
      <c r="K69" s="103"/>
      <c r="L69" s="103"/>
      <c r="M69" s="103"/>
      <c r="N69" s="103"/>
      <c r="O69" s="104" t="s">
        <v>345</v>
      </c>
      <c r="P69" s="105">
        <v>44576</v>
      </c>
      <c r="Q69" s="105">
        <v>44742</v>
      </c>
      <c r="R69" s="106"/>
      <c r="S69" s="107">
        <v>193</v>
      </c>
      <c r="T69" s="107">
        <v>193</v>
      </c>
      <c r="U69" s="107">
        <v>167</v>
      </c>
      <c r="V69" s="107">
        <v>167</v>
      </c>
      <c r="W69" s="108"/>
      <c r="X69" s="108"/>
      <c r="Y69" s="109">
        <v>0</v>
      </c>
      <c r="Z69" s="110">
        <v>0</v>
      </c>
      <c r="AA69" s="107"/>
      <c r="AB69" s="111"/>
      <c r="AC69" s="112"/>
      <c r="AD69" s="113">
        <v>1</v>
      </c>
      <c r="AE69" s="114">
        <v>0</v>
      </c>
      <c r="AF69" s="115"/>
      <c r="AG69" s="115"/>
      <c r="AH69" s="115" t="str">
        <f>"      " &amp; TEXT(AE69,"#0.00%") &amp; " "</f>
        <v xml:space="preserve">      0.00% </v>
      </c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 t="str">
        <f>"     " &amp; "완제품 창고 연결물류" &amp; " " &amp; IF(P69="","",TEXT(P69,"M/D-")) &amp; IF(Q69="","",TEXT(Q69,"M/D")) &amp; " "</f>
        <v xml:space="preserve">     완제품 창고 연결물류 1/15-6/30 </v>
      </c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6"/>
    </row>
    <row r="70" spans="1:138" ht="12" customHeight="1" outlineLevel="2" x14ac:dyDescent="0.4">
      <c r="A70" s="101"/>
      <c r="B70" s="101"/>
      <c r="C70" s="101">
        <v>3</v>
      </c>
      <c r="D70" s="102" t="s">
        <v>413</v>
      </c>
      <c r="E70" s="103"/>
      <c r="F70" s="123"/>
      <c r="G70" s="103" t="s">
        <v>332</v>
      </c>
      <c r="H70" s="103"/>
      <c r="I70" s="103"/>
      <c r="J70" s="103"/>
      <c r="K70" s="103"/>
      <c r="L70" s="103"/>
      <c r="M70" s="103"/>
      <c r="N70" s="103"/>
      <c r="O70" s="104"/>
      <c r="P70" s="105">
        <v>44576</v>
      </c>
      <c r="Q70" s="105">
        <v>44635</v>
      </c>
      <c r="R70" s="106"/>
      <c r="S70" s="107">
        <v>60</v>
      </c>
      <c r="T70" s="107">
        <v>60</v>
      </c>
      <c r="U70" s="107">
        <v>60</v>
      </c>
      <c r="V70" s="107">
        <v>60</v>
      </c>
      <c r="W70" s="108"/>
      <c r="X70" s="108"/>
      <c r="Y70" s="109"/>
      <c r="Z70" s="110">
        <v>0</v>
      </c>
      <c r="AA70" s="107"/>
      <c r="AB70" s="111"/>
      <c r="AC70" s="112"/>
      <c r="AD70" s="113">
        <v>1</v>
      </c>
      <c r="AE70" s="119">
        <v>0</v>
      </c>
      <c r="AF70" s="115"/>
      <c r="AG70" s="115"/>
      <c r="AH70" s="115" t="str">
        <f>"      " &amp; TEXT(AE70,"#0.00%") &amp; " "</f>
        <v xml:space="preserve">      0.00% </v>
      </c>
      <c r="AI70" s="115"/>
      <c r="AJ70" s="115"/>
      <c r="AK70" s="115"/>
      <c r="AL70" s="115"/>
      <c r="AM70" s="115"/>
      <c r="AN70" s="115"/>
      <c r="AO70" s="115"/>
      <c r="AP70" s="115"/>
      <c r="AQ70" s="115" t="str">
        <f>"   " &amp; "Layout" &amp; " " &amp; IF(P70="","",TEXT(P70,"M/D-")) &amp; IF(Q70="","",TEXT(Q70,"M/D")) &amp; " "</f>
        <v xml:space="preserve">   Layout 1/15-3/15 </v>
      </c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6"/>
    </row>
    <row r="71" spans="1:138" ht="12" customHeight="1" outlineLevel="2" x14ac:dyDescent="0.4">
      <c r="A71" s="101"/>
      <c r="B71" s="101"/>
      <c r="C71" s="101">
        <v>3</v>
      </c>
      <c r="D71" s="102" t="s">
        <v>414</v>
      </c>
      <c r="E71" s="103"/>
      <c r="F71" s="123"/>
      <c r="G71" s="103" t="s">
        <v>334</v>
      </c>
      <c r="H71" s="103"/>
      <c r="I71" s="103"/>
      <c r="J71" s="103"/>
      <c r="K71" s="103"/>
      <c r="L71" s="103"/>
      <c r="M71" s="103"/>
      <c r="N71" s="103"/>
      <c r="O71" s="104"/>
      <c r="P71" s="105">
        <v>44732</v>
      </c>
      <c r="Q71" s="105">
        <v>44742</v>
      </c>
      <c r="R71" s="106"/>
      <c r="S71" s="107">
        <v>11</v>
      </c>
      <c r="T71" s="107">
        <v>11</v>
      </c>
      <c r="U71" s="107">
        <v>11</v>
      </c>
      <c r="V71" s="107">
        <v>11</v>
      </c>
      <c r="W71" s="108"/>
      <c r="X71" s="108"/>
      <c r="Y71" s="109"/>
      <c r="Z71" s="110">
        <v>0</v>
      </c>
      <c r="AA71" s="107"/>
      <c r="AB71" s="111"/>
      <c r="AC71" s="112"/>
      <c r="AD71" s="113">
        <v>1</v>
      </c>
      <c r="AE71" s="119">
        <v>0</v>
      </c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 t="str">
        <f>" " &amp; TEXT(AE71,"#0.00%") &amp; " " &amp; "설계DR" &amp; " " &amp; IF(P71="","",TEXT(P71,"M/D-")) &amp; IF(Q71="","",TEXT(Q71,"M/D")) &amp; " "</f>
        <v xml:space="preserve"> 0.00% 설계DR 6/20-6/30 </v>
      </c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6"/>
    </row>
    <row r="72" spans="1:138" ht="12" customHeight="1" outlineLevel="2" x14ac:dyDescent="0.4">
      <c r="A72" s="101"/>
      <c r="B72" s="101" t="s">
        <v>325</v>
      </c>
      <c r="C72" s="101">
        <v>3</v>
      </c>
      <c r="D72" s="102" t="s">
        <v>415</v>
      </c>
      <c r="E72" s="103"/>
      <c r="F72" s="123"/>
      <c r="G72" s="103" t="s">
        <v>336</v>
      </c>
      <c r="H72" s="103"/>
      <c r="I72" s="103"/>
      <c r="J72" s="103"/>
      <c r="K72" s="103"/>
      <c r="L72" s="103"/>
      <c r="M72" s="103"/>
      <c r="N72" s="103"/>
      <c r="O72" s="104"/>
      <c r="P72" s="105">
        <v>44621</v>
      </c>
      <c r="Q72" s="105">
        <v>44742</v>
      </c>
      <c r="R72" s="106"/>
      <c r="S72" s="107">
        <v>122</v>
      </c>
      <c r="T72" s="107">
        <v>122</v>
      </c>
      <c r="U72" s="107">
        <v>122</v>
      </c>
      <c r="V72" s="107">
        <v>122</v>
      </c>
      <c r="W72" s="108"/>
      <c r="X72" s="108"/>
      <c r="Y72" s="109">
        <v>0</v>
      </c>
      <c r="Z72" s="110">
        <v>0</v>
      </c>
      <c r="AA72" s="107"/>
      <c r="AB72" s="111"/>
      <c r="AC72" s="112"/>
      <c r="AD72" s="113">
        <v>1</v>
      </c>
      <c r="AE72" s="114">
        <v>0</v>
      </c>
      <c r="AF72" s="115"/>
      <c r="AG72" s="115"/>
      <c r="AH72" s="115"/>
      <c r="AI72" s="115"/>
      <c r="AJ72" s="115"/>
      <c r="AK72" s="115"/>
      <c r="AL72" s="115"/>
      <c r="AM72" s="115"/>
      <c r="AN72" s="115"/>
      <c r="AO72" s="115" t="str">
        <f>"  " &amp; TEXT(AE72,"#0.00%") &amp; " "</f>
        <v xml:space="preserve">  0.00% </v>
      </c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 t="str">
        <f>"     " &amp; "상세설계" &amp; " " &amp; IF(P72="","",TEXT(P72,"M/D-")) &amp; IF(Q72="","",TEXT(Q72,"M/D")) &amp; " "</f>
        <v xml:space="preserve">     상세설계 3/1-6/30 </v>
      </c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6"/>
    </row>
    <row r="73" spans="1:138" ht="12" customHeight="1" outlineLevel="3" x14ac:dyDescent="0.4">
      <c r="A73" s="101"/>
      <c r="B73" s="101"/>
      <c r="C73" s="101">
        <v>4</v>
      </c>
      <c r="D73" s="102" t="s">
        <v>416</v>
      </c>
      <c r="E73" s="103"/>
      <c r="F73" s="103"/>
      <c r="G73" s="103"/>
      <c r="H73" s="103" t="s">
        <v>338</v>
      </c>
      <c r="I73" s="103"/>
      <c r="J73" s="103"/>
      <c r="K73" s="103"/>
      <c r="L73" s="103"/>
      <c r="M73" s="103"/>
      <c r="N73" s="103"/>
      <c r="O73" s="104"/>
      <c r="P73" s="105">
        <v>44621</v>
      </c>
      <c r="Q73" s="105">
        <v>44666</v>
      </c>
      <c r="R73" s="106"/>
      <c r="S73" s="107">
        <v>46</v>
      </c>
      <c r="T73" s="107">
        <v>46</v>
      </c>
      <c r="U73" s="107">
        <v>46</v>
      </c>
      <c r="V73" s="107">
        <v>46</v>
      </c>
      <c r="W73" s="108"/>
      <c r="X73" s="108"/>
      <c r="Y73" s="109"/>
      <c r="Z73" s="110">
        <v>0</v>
      </c>
      <c r="AA73" s="107"/>
      <c r="AB73" s="111"/>
      <c r="AC73" s="112"/>
      <c r="AD73" s="113">
        <v>1</v>
      </c>
      <c r="AE73" s="119">
        <v>0</v>
      </c>
      <c r="AF73" s="115"/>
      <c r="AG73" s="115"/>
      <c r="AH73" s="115"/>
      <c r="AI73" s="115"/>
      <c r="AJ73" s="115"/>
      <c r="AK73" s="115"/>
      <c r="AL73" s="115"/>
      <c r="AM73" s="115"/>
      <c r="AN73" s="115"/>
      <c r="AO73" s="115" t="str">
        <f>"  " &amp; TEXT(AE73,"#0.00%") &amp; " "</f>
        <v xml:space="preserve">  0.00% </v>
      </c>
      <c r="AP73" s="115"/>
      <c r="AQ73" s="115"/>
      <c r="AR73" s="115"/>
      <c r="AS73" s="115"/>
      <c r="AT73" s="115"/>
      <c r="AU73" s="115" t="str">
        <f>"      " &amp; "Concept" &amp; " " &amp; IF(P73="","",TEXT(P73,"M/D-")) &amp; IF(Q73="","",TEXT(Q73,"M/D")) &amp; " "</f>
        <v xml:space="preserve">      Concept 3/1-4/15 </v>
      </c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6"/>
    </row>
    <row r="74" spans="1:138" ht="12" customHeight="1" outlineLevel="3" x14ac:dyDescent="0.4">
      <c r="A74" s="101"/>
      <c r="B74" s="101"/>
      <c r="C74" s="101">
        <v>4</v>
      </c>
      <c r="D74" s="102" t="s">
        <v>417</v>
      </c>
      <c r="E74" s="103"/>
      <c r="F74" s="103"/>
      <c r="G74" s="103"/>
      <c r="H74" s="103" t="s">
        <v>340</v>
      </c>
      <c r="I74" s="103"/>
      <c r="J74" s="103"/>
      <c r="K74" s="103"/>
      <c r="L74" s="103"/>
      <c r="M74" s="103"/>
      <c r="N74" s="103"/>
      <c r="O74" s="104"/>
      <c r="P74" s="105">
        <v>44667</v>
      </c>
      <c r="Q74" s="105">
        <v>44696</v>
      </c>
      <c r="R74" s="106"/>
      <c r="S74" s="107">
        <v>30</v>
      </c>
      <c r="T74" s="107">
        <v>30</v>
      </c>
      <c r="U74" s="107">
        <v>30</v>
      </c>
      <c r="V74" s="107">
        <v>30</v>
      </c>
      <c r="W74" s="108"/>
      <c r="X74" s="108"/>
      <c r="Y74" s="109"/>
      <c r="Z74" s="110">
        <v>0</v>
      </c>
      <c r="AA74" s="107"/>
      <c r="AB74" s="111"/>
      <c r="AC74" s="112"/>
      <c r="AD74" s="113">
        <v>1</v>
      </c>
      <c r="AE74" s="119">
        <v>0</v>
      </c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 t="str">
        <f>"      " &amp; TEXT(AE74,"#0.00%") &amp; " "</f>
        <v xml:space="preserve">      0.00% </v>
      </c>
      <c r="AV74" s="115"/>
      <c r="AW74" s="115"/>
      <c r="AX74" s="115"/>
      <c r="AY74" s="115"/>
      <c r="AZ74" s="115" t="str">
        <f>" " &amp; "Ass'y" &amp; " " &amp; IF(P74="","",TEXT(P74,"M/D-")) &amp; IF(Q74="","",TEXT(Q74,"M/D")) &amp; " "</f>
        <v xml:space="preserve"> Ass'y 4/16-5/15 </v>
      </c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6"/>
    </row>
    <row r="75" spans="1:138" ht="12" customHeight="1" outlineLevel="3" x14ac:dyDescent="0.4">
      <c r="A75" s="101"/>
      <c r="B75" s="101"/>
      <c r="C75" s="101">
        <v>4</v>
      </c>
      <c r="D75" s="102" t="s">
        <v>418</v>
      </c>
      <c r="E75" s="103"/>
      <c r="F75" s="103"/>
      <c r="G75" s="103"/>
      <c r="H75" s="103" t="s">
        <v>342</v>
      </c>
      <c r="I75" s="103"/>
      <c r="J75" s="103"/>
      <c r="K75" s="103"/>
      <c r="L75" s="103"/>
      <c r="M75" s="103"/>
      <c r="N75" s="103"/>
      <c r="O75" s="104"/>
      <c r="P75" s="105">
        <v>44697</v>
      </c>
      <c r="Q75" s="105">
        <v>44742</v>
      </c>
      <c r="R75" s="106"/>
      <c r="S75" s="107">
        <v>46</v>
      </c>
      <c r="T75" s="107">
        <v>46</v>
      </c>
      <c r="U75" s="107">
        <v>46</v>
      </c>
      <c r="V75" s="107">
        <v>46</v>
      </c>
      <c r="W75" s="108"/>
      <c r="X75" s="108"/>
      <c r="Y75" s="109"/>
      <c r="Z75" s="110">
        <v>0</v>
      </c>
      <c r="AA75" s="107"/>
      <c r="AB75" s="111"/>
      <c r="AC75" s="112"/>
      <c r="AD75" s="113">
        <v>1</v>
      </c>
      <c r="AE75" s="119">
        <v>0</v>
      </c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 t="str">
        <f>" " &amp; TEXT(AE75,"#0.00%") &amp; " "</f>
        <v xml:space="preserve"> 0.00% </v>
      </c>
      <c r="BA75" s="115"/>
      <c r="BB75" s="115"/>
      <c r="BC75" s="115"/>
      <c r="BD75" s="115"/>
      <c r="BE75" s="115"/>
      <c r="BF75" s="115" t="str">
        <f>"     " &amp; "Part" &amp; " " &amp; IF(P75="","",TEXT(P75,"M/D-")) &amp; IF(Q75="","",TEXT(Q75,"M/D")) &amp; " "</f>
        <v xml:space="preserve">     Part 5/16-6/30 </v>
      </c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6"/>
    </row>
    <row r="76" spans="1:138" ht="12" customHeight="1" x14ac:dyDescent="0.4">
      <c r="A76" s="101"/>
      <c r="B76" s="101" t="s">
        <v>325</v>
      </c>
      <c r="C76" s="101">
        <v>1</v>
      </c>
      <c r="D76" s="102" t="s">
        <v>419</v>
      </c>
      <c r="E76" s="103" t="s">
        <v>420</v>
      </c>
      <c r="F76" s="103"/>
      <c r="G76" s="103"/>
      <c r="H76" s="103"/>
      <c r="I76" s="103"/>
      <c r="J76" s="103"/>
      <c r="K76" s="103"/>
      <c r="L76" s="103"/>
      <c r="M76" s="103"/>
      <c r="N76" s="103"/>
      <c r="O76" s="104"/>
      <c r="P76" s="105">
        <v>44610</v>
      </c>
      <c r="Q76" s="105">
        <v>44988</v>
      </c>
      <c r="R76" s="106"/>
      <c r="S76" s="107">
        <v>4390</v>
      </c>
      <c r="T76" s="107">
        <v>1343</v>
      </c>
      <c r="U76" s="107">
        <v>379</v>
      </c>
      <c r="V76" s="107">
        <v>151</v>
      </c>
      <c r="W76" s="108"/>
      <c r="X76" s="108"/>
      <c r="Y76" s="109">
        <v>0</v>
      </c>
      <c r="Z76" s="110">
        <v>0</v>
      </c>
      <c r="AA76" s="107"/>
      <c r="AB76" s="111"/>
      <c r="AC76" s="112"/>
      <c r="AD76" s="113">
        <v>0.3059225512528474</v>
      </c>
      <c r="AE76" s="114">
        <v>0</v>
      </c>
      <c r="AF76" s="115"/>
      <c r="AG76" s="115"/>
      <c r="AH76" s="115"/>
      <c r="AI76" s="115"/>
      <c r="AJ76" s="115"/>
      <c r="AK76" s="115"/>
      <c r="AL76" s="115"/>
      <c r="AM76" s="115" t="str">
        <f>"     " &amp; TEXT(AE76,"#0.00%") &amp; " "</f>
        <v xml:space="preserve">     0.00% </v>
      </c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 t="str">
        <f>"      " &amp; "제작" &amp; " " &amp; IF(P76="","",TEXT(P76,"M/D-")) &amp; IF(Q76="","",TEXT(Q76,"M/D")) &amp; " "</f>
        <v xml:space="preserve">      제작 2/18-3/3 </v>
      </c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6"/>
    </row>
    <row r="77" spans="1:138" ht="12" customHeight="1" outlineLevel="1" x14ac:dyDescent="0.4">
      <c r="A77" s="101"/>
      <c r="B77" s="101" t="s">
        <v>325</v>
      </c>
      <c r="C77" s="101">
        <v>2</v>
      </c>
      <c r="D77" s="102" t="s">
        <v>421</v>
      </c>
      <c r="E77" s="103"/>
      <c r="F77" s="103" t="s">
        <v>329</v>
      </c>
      <c r="G77" s="103"/>
      <c r="H77" s="103"/>
      <c r="I77" s="103"/>
      <c r="J77" s="103"/>
      <c r="K77" s="103"/>
      <c r="L77" s="103"/>
      <c r="M77" s="103"/>
      <c r="N77" s="103"/>
      <c r="O77" s="104" t="s">
        <v>330</v>
      </c>
      <c r="P77" s="105">
        <v>44610</v>
      </c>
      <c r="Q77" s="105">
        <v>44985</v>
      </c>
      <c r="R77" s="106"/>
      <c r="S77" s="107">
        <v>538</v>
      </c>
      <c r="T77" s="107">
        <v>151</v>
      </c>
      <c r="U77" s="107">
        <v>376</v>
      </c>
      <c r="V77" s="107">
        <v>151</v>
      </c>
      <c r="W77" s="108"/>
      <c r="X77" s="108"/>
      <c r="Y77" s="109">
        <v>0</v>
      </c>
      <c r="Z77" s="110">
        <v>0</v>
      </c>
      <c r="AA77" s="107"/>
      <c r="AB77" s="111"/>
      <c r="AC77" s="112"/>
      <c r="AD77" s="113">
        <v>0.28066914498141265</v>
      </c>
      <c r="AE77" s="114">
        <v>0</v>
      </c>
      <c r="AF77" s="115"/>
      <c r="AG77" s="115"/>
      <c r="AH77" s="115"/>
      <c r="AI77" s="115"/>
      <c r="AJ77" s="115"/>
      <c r="AK77" s="115"/>
      <c r="AL77" s="115"/>
      <c r="AM77" s="115" t="str">
        <f>"     " &amp; TEXT(AE77,"#0.00%") &amp; " "</f>
        <v xml:space="preserve">     0.00% </v>
      </c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 t="str">
        <f>"   " &amp; "BUFFER STK" &amp; " " &amp; IF(P77="","",TEXT(P77,"M/D-")) &amp; IF(Q77="","",TEXT(Q77,"M/D")) &amp; " "</f>
        <v xml:space="preserve">   BUFFER STK 2/18-2/28 </v>
      </c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6"/>
    </row>
    <row r="78" spans="1:138" ht="12" customHeight="1" outlineLevel="2" x14ac:dyDescent="0.4">
      <c r="A78" s="101"/>
      <c r="B78" s="101"/>
      <c r="C78" s="101">
        <v>3</v>
      </c>
      <c r="D78" s="102" t="s">
        <v>422</v>
      </c>
      <c r="E78" s="103"/>
      <c r="F78" s="103"/>
      <c r="G78" s="125" t="s">
        <v>423</v>
      </c>
      <c r="H78" s="125"/>
      <c r="I78" s="125"/>
      <c r="J78" s="125"/>
      <c r="K78" s="125"/>
      <c r="L78" s="125"/>
      <c r="M78" s="125"/>
      <c r="N78" s="125"/>
      <c r="O78" s="126"/>
      <c r="P78" s="105">
        <v>44610</v>
      </c>
      <c r="Q78" s="105">
        <v>44789</v>
      </c>
      <c r="R78" s="127"/>
      <c r="S78" s="128">
        <v>180</v>
      </c>
      <c r="T78" s="128">
        <v>151</v>
      </c>
      <c r="U78" s="128">
        <v>180</v>
      </c>
      <c r="V78" s="128">
        <v>151</v>
      </c>
      <c r="W78" s="105"/>
      <c r="X78" s="105"/>
      <c r="Y78" s="129"/>
      <c r="Z78" s="130">
        <v>0</v>
      </c>
      <c r="AA78" s="128"/>
      <c r="AB78" s="131"/>
      <c r="AC78" s="121"/>
      <c r="AD78" s="132">
        <v>0.83888888888888891</v>
      </c>
      <c r="AE78" s="119">
        <v>0</v>
      </c>
      <c r="AF78" s="115"/>
      <c r="AG78" s="115"/>
      <c r="AH78" s="115"/>
      <c r="AI78" s="115"/>
      <c r="AJ78" s="115"/>
      <c r="AK78" s="115"/>
      <c r="AL78" s="115"/>
      <c r="AM78" s="115" t="str">
        <f>"     " &amp; TEXT(AE78,"#0.00%") &amp; " "</f>
        <v xml:space="preserve">     0.00% </v>
      </c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 t="str">
        <f>"   " &amp; "구매품 발주 및 입고" &amp; " " &amp; IF(P78="","",TEXT(P78,"M/D-")) &amp; IF(Q78="","",TEXT(Q78,"M/D")) &amp; " "</f>
        <v xml:space="preserve">   구매품 발주 및 입고 2/18-8/16 </v>
      </c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6"/>
    </row>
    <row r="79" spans="1:138" ht="12" customHeight="1" outlineLevel="2" x14ac:dyDescent="0.4">
      <c r="A79" s="101"/>
      <c r="B79" s="101"/>
      <c r="C79" s="101">
        <v>3</v>
      </c>
      <c r="D79" s="102" t="s">
        <v>424</v>
      </c>
      <c r="E79" s="103"/>
      <c r="F79" s="103"/>
      <c r="G79" s="125" t="s">
        <v>425</v>
      </c>
      <c r="H79" s="133"/>
      <c r="I79" s="125"/>
      <c r="J79" s="125"/>
      <c r="K79" s="125"/>
      <c r="L79" s="125"/>
      <c r="M79" s="125"/>
      <c r="N79" s="125"/>
      <c r="O79" s="126"/>
      <c r="P79" s="108">
        <v>44764</v>
      </c>
      <c r="Q79" s="108">
        <v>44856</v>
      </c>
      <c r="R79" s="127"/>
      <c r="S79" s="128">
        <v>93</v>
      </c>
      <c r="T79" s="128">
        <v>0</v>
      </c>
      <c r="U79" s="128">
        <v>93</v>
      </c>
      <c r="V79" s="128">
        <v>0</v>
      </c>
      <c r="W79" s="105"/>
      <c r="X79" s="105"/>
      <c r="Y79" s="129"/>
      <c r="Z79" s="130">
        <v>0</v>
      </c>
      <c r="AA79" s="128"/>
      <c r="AB79" s="131"/>
      <c r="AC79" s="121"/>
      <c r="AD79" s="132">
        <v>0</v>
      </c>
      <c r="AE79" s="134">
        <v>0</v>
      </c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 t="str">
        <f>"     " &amp; TEXT(AE79,"#0.00%") &amp; " "</f>
        <v xml:space="preserve">     0.00% </v>
      </c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 t="str">
        <f>"" &amp; "가공 및 제작 (국내)" &amp; " " &amp; IF(P79="","",TEXT(P79,"M/D-")) &amp; IF(Q79="","",TEXT(Q79,"M/D")) &amp; " "</f>
        <v xml:space="preserve">가공 및 제작 (국내) 7/22-10/22 </v>
      </c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6"/>
    </row>
    <row r="80" spans="1:138" ht="12" customHeight="1" outlineLevel="2" x14ac:dyDescent="0.4">
      <c r="A80" s="101"/>
      <c r="B80" s="101"/>
      <c r="C80" s="101">
        <v>3</v>
      </c>
      <c r="D80" s="102" t="s">
        <v>426</v>
      </c>
      <c r="E80" s="103"/>
      <c r="F80" s="103"/>
      <c r="G80" s="125" t="s">
        <v>427</v>
      </c>
      <c r="H80" s="133"/>
      <c r="I80" s="125"/>
      <c r="J80" s="125"/>
      <c r="K80" s="125"/>
      <c r="L80" s="125"/>
      <c r="M80" s="125"/>
      <c r="N80" s="125"/>
      <c r="O80" s="126"/>
      <c r="P80" s="108">
        <v>44913</v>
      </c>
      <c r="Q80" s="108">
        <v>44985</v>
      </c>
      <c r="R80" s="127"/>
      <c r="S80" s="128">
        <v>73</v>
      </c>
      <c r="T80" s="128">
        <v>0</v>
      </c>
      <c r="U80" s="128">
        <v>73</v>
      </c>
      <c r="V80" s="128">
        <v>0</v>
      </c>
      <c r="W80" s="105"/>
      <c r="X80" s="105"/>
      <c r="Y80" s="129"/>
      <c r="Z80" s="130">
        <v>0</v>
      </c>
      <c r="AA80" s="128"/>
      <c r="AB80" s="131"/>
      <c r="AC80" s="121"/>
      <c r="AD80" s="132">
        <v>0</v>
      </c>
      <c r="AE80" s="134">
        <v>0</v>
      </c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 t="str">
        <f>"" &amp; TEXT(AE80,"#0.00%") &amp; " "</f>
        <v xml:space="preserve">0.00% </v>
      </c>
      <c r="CF80" s="115"/>
      <c r="CG80" s="115"/>
      <c r="CH80" s="115"/>
      <c r="CI80" s="115"/>
      <c r="CJ80" s="115"/>
      <c r="CK80" s="115"/>
      <c r="CL80" s="115"/>
      <c r="CM80" s="115"/>
      <c r="CN80" s="115"/>
      <c r="CO80" s="115" t="str">
        <f>"   " &amp; "가공 및 제작 (현지)" &amp; " " &amp; IF(P80="","",TEXT(P80,"M/D-")) &amp; IF(Q80="","",TEXT(Q80,"M/D")) &amp; " "</f>
        <v xml:space="preserve">   가공 및 제작 (현지) 12/18-2/28 </v>
      </c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6"/>
    </row>
    <row r="81" spans="1:138" ht="12" customHeight="1" outlineLevel="2" x14ac:dyDescent="0.4">
      <c r="A81" s="101"/>
      <c r="B81" s="101"/>
      <c r="C81" s="101">
        <v>3</v>
      </c>
      <c r="D81" s="102" t="s">
        <v>428</v>
      </c>
      <c r="E81" s="103"/>
      <c r="F81" s="103"/>
      <c r="G81" s="125" t="s">
        <v>429</v>
      </c>
      <c r="H81" s="125"/>
      <c r="I81" s="125"/>
      <c r="J81" s="125"/>
      <c r="K81" s="125"/>
      <c r="L81" s="125"/>
      <c r="M81" s="125"/>
      <c r="N81" s="125"/>
      <c r="O81" s="126"/>
      <c r="P81" s="108">
        <v>44837</v>
      </c>
      <c r="Q81" s="108">
        <v>44882</v>
      </c>
      <c r="R81" s="127"/>
      <c r="S81" s="128">
        <v>46</v>
      </c>
      <c r="T81" s="128">
        <v>0</v>
      </c>
      <c r="U81" s="128">
        <v>46</v>
      </c>
      <c r="V81" s="128">
        <v>0</v>
      </c>
      <c r="W81" s="105"/>
      <c r="X81" s="105"/>
      <c r="Y81" s="129"/>
      <c r="Z81" s="130">
        <v>0</v>
      </c>
      <c r="AA81" s="128"/>
      <c r="AB81" s="131"/>
      <c r="AC81" s="121"/>
      <c r="AD81" s="132">
        <v>0</v>
      </c>
      <c r="AE81" s="134">
        <v>0</v>
      </c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 t="str">
        <f>" " &amp; TEXT(AE81,"#0.00%") &amp; " "</f>
        <v xml:space="preserve"> 0.00% </v>
      </c>
      <c r="BU81" s="115"/>
      <c r="BV81" s="115"/>
      <c r="BW81" s="115"/>
      <c r="BX81" s="115"/>
      <c r="BY81" s="115"/>
      <c r="BZ81" s="115" t="str">
        <f>"     " &amp; "기구 조립" &amp; " " &amp; IF(P81="","",TEXT(P81,"M/D-")) &amp; IF(Q81="","",TEXT(Q81,"M/D")) &amp; " "</f>
        <v xml:space="preserve">     기구 조립 10/3-11/17 </v>
      </c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6"/>
    </row>
    <row r="82" spans="1:138" ht="12" customHeight="1" outlineLevel="2" x14ac:dyDescent="0.4">
      <c r="A82" s="101"/>
      <c r="B82" s="101"/>
      <c r="C82" s="101">
        <v>3</v>
      </c>
      <c r="D82" s="102" t="s">
        <v>430</v>
      </c>
      <c r="E82" s="103"/>
      <c r="F82" s="103"/>
      <c r="G82" s="125" t="s">
        <v>431</v>
      </c>
      <c r="H82" s="125"/>
      <c r="I82" s="125"/>
      <c r="J82" s="125"/>
      <c r="K82" s="125"/>
      <c r="L82" s="125"/>
      <c r="M82" s="125"/>
      <c r="N82" s="125"/>
      <c r="O82" s="126"/>
      <c r="P82" s="108">
        <v>44852</v>
      </c>
      <c r="Q82" s="108">
        <v>44902</v>
      </c>
      <c r="R82" s="127"/>
      <c r="S82" s="128">
        <v>51</v>
      </c>
      <c r="T82" s="128">
        <v>0</v>
      </c>
      <c r="U82" s="128">
        <v>51</v>
      </c>
      <c r="V82" s="128">
        <v>0</v>
      </c>
      <c r="W82" s="105"/>
      <c r="X82" s="105"/>
      <c r="Y82" s="129"/>
      <c r="Z82" s="130">
        <v>0</v>
      </c>
      <c r="AA82" s="128"/>
      <c r="AB82" s="131"/>
      <c r="AC82" s="121"/>
      <c r="AD82" s="132">
        <v>0</v>
      </c>
      <c r="AE82" s="134">
        <v>0</v>
      </c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 t="str">
        <f>"  " &amp; TEXT(AE82,"#0.00%") &amp; " "</f>
        <v xml:space="preserve">  0.00% </v>
      </c>
      <c r="BW82" s="115"/>
      <c r="BX82" s="115"/>
      <c r="BY82" s="115"/>
      <c r="BZ82" s="115"/>
      <c r="CA82" s="115"/>
      <c r="CB82" s="115"/>
      <c r="CC82" s="115" t="str">
        <f>"    " &amp; "전장 배선" &amp; " " &amp; IF(P82="","",TEXT(P82,"M/D-")) &amp; IF(Q82="","",TEXT(Q82,"M/D")) &amp; " "</f>
        <v xml:space="preserve">    전장 배선 10/18-12/7 </v>
      </c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6"/>
    </row>
    <row r="83" spans="1:138" ht="12" customHeight="1" outlineLevel="2" x14ac:dyDescent="0.4">
      <c r="A83" s="101"/>
      <c r="B83" s="101"/>
      <c r="C83" s="101">
        <v>3</v>
      </c>
      <c r="D83" s="102" t="s">
        <v>432</v>
      </c>
      <c r="E83" s="103"/>
      <c r="F83" s="103"/>
      <c r="G83" s="125" t="s">
        <v>433</v>
      </c>
      <c r="H83" s="125"/>
      <c r="I83" s="125"/>
      <c r="J83" s="125"/>
      <c r="K83" s="125"/>
      <c r="L83" s="125"/>
      <c r="M83" s="125"/>
      <c r="N83" s="125"/>
      <c r="O83" s="126"/>
      <c r="P83" s="105">
        <v>44859</v>
      </c>
      <c r="Q83" s="105">
        <v>44908</v>
      </c>
      <c r="R83" s="127"/>
      <c r="S83" s="128">
        <v>50</v>
      </c>
      <c r="T83" s="128">
        <v>0</v>
      </c>
      <c r="U83" s="128">
        <v>50</v>
      </c>
      <c r="V83" s="128">
        <v>0</v>
      </c>
      <c r="W83" s="105"/>
      <c r="X83" s="105"/>
      <c r="Y83" s="129"/>
      <c r="Z83" s="130">
        <v>0</v>
      </c>
      <c r="AA83" s="128"/>
      <c r="AB83" s="131"/>
      <c r="AC83" s="121"/>
      <c r="AD83" s="132">
        <v>0</v>
      </c>
      <c r="AE83" s="134">
        <v>0</v>
      </c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 t="str">
        <f>"  " &amp; TEXT(AE83,"#0.00%") &amp; " "</f>
        <v xml:space="preserve">  0.00% </v>
      </c>
      <c r="BX83" s="115"/>
      <c r="BY83" s="115"/>
      <c r="BZ83" s="115"/>
      <c r="CA83" s="115"/>
      <c r="CB83" s="115"/>
      <c r="CC83" s="115"/>
      <c r="CD83" s="115" t="str">
        <f>"   " &amp; "단동 TEST" &amp; " " &amp; IF(P83="","",TEXT(P83,"M/D-")) &amp; IF(Q83="","",TEXT(Q83,"M/D")) &amp; " "</f>
        <v xml:space="preserve">   단동 TEST 10/25-12/13 </v>
      </c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6"/>
    </row>
    <row r="84" spans="1:138" ht="12" customHeight="1" outlineLevel="2" x14ac:dyDescent="0.4">
      <c r="A84" s="101"/>
      <c r="B84" s="101"/>
      <c r="C84" s="101">
        <v>3</v>
      </c>
      <c r="D84" s="102" t="s">
        <v>434</v>
      </c>
      <c r="E84" s="103"/>
      <c r="F84" s="103"/>
      <c r="G84" s="125" t="s">
        <v>435</v>
      </c>
      <c r="H84" s="125"/>
      <c r="I84" s="125"/>
      <c r="J84" s="125"/>
      <c r="K84" s="125"/>
      <c r="L84" s="125"/>
      <c r="M84" s="125"/>
      <c r="N84" s="125"/>
      <c r="O84" s="126"/>
      <c r="P84" s="105">
        <v>44872</v>
      </c>
      <c r="Q84" s="105">
        <v>44915</v>
      </c>
      <c r="R84" s="127"/>
      <c r="S84" s="128">
        <v>44</v>
      </c>
      <c r="T84" s="128">
        <v>0</v>
      </c>
      <c r="U84" s="128">
        <v>44</v>
      </c>
      <c r="V84" s="128">
        <v>0</v>
      </c>
      <c r="W84" s="105"/>
      <c r="X84" s="105"/>
      <c r="Y84" s="129"/>
      <c r="Z84" s="130">
        <v>0</v>
      </c>
      <c r="AA84" s="128"/>
      <c r="AB84" s="131"/>
      <c r="AC84" s="121"/>
      <c r="AD84" s="132">
        <v>0</v>
      </c>
      <c r="AE84" s="134">
        <v>0</v>
      </c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 t="str">
        <f>" " &amp; TEXT(AE84,"#0.00%") &amp; " "</f>
        <v xml:space="preserve"> 0.00% </v>
      </c>
      <c r="BZ84" s="115"/>
      <c r="CA84" s="115"/>
      <c r="CB84" s="115"/>
      <c r="CC84" s="115"/>
      <c r="CD84" s="115"/>
      <c r="CE84" s="115" t="str">
        <f>"   " &amp; "연동 TEST" &amp; " " &amp; IF(P84="","",TEXT(P84,"M/D-")) &amp; IF(Q84="","",TEXT(Q84,"M/D")) &amp; " "</f>
        <v xml:space="preserve">   연동 TEST 11/7-12/20 </v>
      </c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6"/>
    </row>
    <row r="85" spans="1:138" ht="12" customHeight="1" outlineLevel="2" x14ac:dyDescent="0.4">
      <c r="A85" s="101"/>
      <c r="B85" s="101"/>
      <c r="C85" s="101">
        <v>3</v>
      </c>
      <c r="D85" s="102" t="s">
        <v>436</v>
      </c>
      <c r="E85" s="103"/>
      <c r="F85" s="103"/>
      <c r="G85" s="125" t="s">
        <v>437</v>
      </c>
      <c r="H85" s="125"/>
      <c r="I85" s="125"/>
      <c r="J85" s="125"/>
      <c r="K85" s="125"/>
      <c r="L85" s="125"/>
      <c r="M85" s="125"/>
      <c r="N85" s="125"/>
      <c r="O85" s="126"/>
      <c r="P85" s="105">
        <v>44875</v>
      </c>
      <c r="Q85" s="105">
        <v>44875</v>
      </c>
      <c r="R85" s="127"/>
      <c r="S85" s="128">
        <v>1</v>
      </c>
      <c r="T85" s="128">
        <v>0</v>
      </c>
      <c r="U85" s="128">
        <v>1</v>
      </c>
      <c r="V85" s="128">
        <v>0</v>
      </c>
      <c r="W85" s="105"/>
      <c r="X85" s="105"/>
      <c r="Y85" s="129"/>
      <c r="Z85" s="130">
        <v>0</v>
      </c>
      <c r="AA85" s="128"/>
      <c r="AB85" s="131"/>
      <c r="AC85" s="121"/>
      <c r="AD85" s="132">
        <v>0</v>
      </c>
      <c r="AE85" s="134">
        <v>0</v>
      </c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 t="str">
        <f>"    " &amp; TEXT(AE85,"#0.00%") &amp; " " &amp; "고객사 검수" &amp; " " &amp; IF(P85="","",TEXT(P85,"M/D-")) &amp; IF(Q85="","",TEXT(Q85,"M/D")) &amp; " "</f>
        <v xml:space="preserve">    0.00% 고객사 검수 11/10-11/10 </v>
      </c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6"/>
    </row>
    <row r="86" spans="1:138" ht="13.2" outlineLevel="1" x14ac:dyDescent="0.4">
      <c r="A86" s="101" t="s">
        <v>438</v>
      </c>
      <c r="B86" s="101" t="s">
        <v>325</v>
      </c>
      <c r="C86" s="101">
        <v>2</v>
      </c>
      <c r="D86" s="102" t="s">
        <v>439</v>
      </c>
      <c r="E86" s="103"/>
      <c r="F86" s="103" t="s">
        <v>344</v>
      </c>
      <c r="G86" s="125"/>
      <c r="H86" s="125"/>
      <c r="I86" s="125"/>
      <c r="J86" s="125"/>
      <c r="K86" s="125"/>
      <c r="L86" s="125"/>
      <c r="M86" s="125"/>
      <c r="N86" s="125"/>
      <c r="O86" s="104" t="s">
        <v>345</v>
      </c>
      <c r="P86" s="105">
        <v>44635</v>
      </c>
      <c r="Q86" s="105">
        <v>44905</v>
      </c>
      <c r="R86" s="127"/>
      <c r="S86" s="128">
        <v>437</v>
      </c>
      <c r="T86" s="128">
        <v>130</v>
      </c>
      <c r="U86" s="128">
        <v>271</v>
      </c>
      <c r="V86" s="128">
        <v>126</v>
      </c>
      <c r="W86" s="105"/>
      <c r="X86" s="105"/>
      <c r="Y86" s="129">
        <v>0</v>
      </c>
      <c r="Z86" s="130">
        <v>0</v>
      </c>
      <c r="AA86" s="128"/>
      <c r="AB86" s="131"/>
      <c r="AC86" s="121"/>
      <c r="AD86" s="132">
        <v>0.2974828375286041</v>
      </c>
      <c r="AE86" s="114">
        <v>0</v>
      </c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 t="str">
        <f>"  " &amp; TEXT(AE86,"#0.00%") &amp; " "</f>
        <v xml:space="preserve">  0.00% </v>
      </c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 t="str">
        <f>"" &amp; "BUFFER 입출고 물류" &amp; " " &amp; IF(P86="","",TEXT(P86,"M/D-")) &amp; IF(Q86="","",TEXT(Q86,"M/D")) &amp; " "</f>
        <v xml:space="preserve">BUFFER 입출고 물류 3/15-12/10 </v>
      </c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6"/>
    </row>
    <row r="87" spans="1:138" ht="12" customHeight="1" outlineLevel="2" x14ac:dyDescent="0.4">
      <c r="A87" s="101"/>
      <c r="B87" s="101"/>
      <c r="C87" s="101">
        <v>3</v>
      </c>
      <c r="D87" s="102" t="s">
        <v>440</v>
      </c>
      <c r="E87" s="103"/>
      <c r="F87" s="103"/>
      <c r="G87" s="125" t="s">
        <v>423</v>
      </c>
      <c r="H87" s="125"/>
      <c r="I87" s="125"/>
      <c r="J87" s="125"/>
      <c r="K87" s="125"/>
      <c r="L87" s="125"/>
      <c r="M87" s="125"/>
      <c r="N87" s="125"/>
      <c r="O87" s="126"/>
      <c r="P87" s="105">
        <v>44635</v>
      </c>
      <c r="Q87" s="105">
        <v>44819</v>
      </c>
      <c r="R87" s="127"/>
      <c r="S87" s="128">
        <v>185</v>
      </c>
      <c r="T87" s="128">
        <v>126</v>
      </c>
      <c r="U87" s="128">
        <v>185</v>
      </c>
      <c r="V87" s="128">
        <v>126</v>
      </c>
      <c r="W87" s="105"/>
      <c r="X87" s="105"/>
      <c r="Y87" s="129"/>
      <c r="Z87" s="130">
        <v>0</v>
      </c>
      <c r="AA87" s="128"/>
      <c r="AB87" s="131"/>
      <c r="AC87" s="121"/>
      <c r="AD87" s="132">
        <v>0.68108108108108112</v>
      </c>
      <c r="AE87" s="119">
        <v>0</v>
      </c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 t="str">
        <f>"  " &amp; TEXT(AE87,"#0.00%") &amp; " "</f>
        <v xml:space="preserve">  0.00% </v>
      </c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 t="str">
        <f>"     " &amp; "구매품 발주 및 입고" &amp; " " &amp; IF(P87="","",TEXT(P87,"M/D-")) &amp; IF(Q87="","",TEXT(Q87,"M/D")) &amp; " "</f>
        <v xml:space="preserve">     구매품 발주 및 입고 3/15-9/15 </v>
      </c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6"/>
    </row>
    <row r="88" spans="1:138" ht="12" customHeight="1" outlineLevel="2" x14ac:dyDescent="0.4">
      <c r="A88" s="101"/>
      <c r="B88" s="101"/>
      <c r="C88" s="101">
        <v>3</v>
      </c>
      <c r="D88" s="102" t="s">
        <v>441</v>
      </c>
      <c r="E88" s="103"/>
      <c r="F88" s="103"/>
      <c r="G88" s="125" t="s">
        <v>442</v>
      </c>
      <c r="H88" s="133"/>
      <c r="I88" s="125"/>
      <c r="J88" s="125"/>
      <c r="K88" s="125"/>
      <c r="L88" s="125"/>
      <c r="M88" s="125"/>
      <c r="N88" s="125"/>
      <c r="O88" s="126"/>
      <c r="P88" s="135">
        <v>44757</v>
      </c>
      <c r="Q88" s="135">
        <v>44824</v>
      </c>
      <c r="R88" s="127"/>
      <c r="S88" s="128">
        <v>68</v>
      </c>
      <c r="T88" s="128">
        <v>4</v>
      </c>
      <c r="U88" s="128">
        <v>68</v>
      </c>
      <c r="V88" s="128">
        <v>4</v>
      </c>
      <c r="W88" s="105"/>
      <c r="X88" s="105"/>
      <c r="Y88" s="129"/>
      <c r="Z88" s="130">
        <v>0</v>
      </c>
      <c r="AA88" s="128"/>
      <c r="AB88" s="131"/>
      <c r="AC88" s="121"/>
      <c r="AD88" s="132">
        <v>5.8823529411764705E-2</v>
      </c>
      <c r="AE88" s="119">
        <v>0</v>
      </c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 t="str">
        <f>"     " &amp; TEXT(AE88,"#0.00%") &amp; " "</f>
        <v xml:space="preserve">     0.00% </v>
      </c>
      <c r="BI88" s="115"/>
      <c r="BJ88" s="115"/>
      <c r="BK88" s="115"/>
      <c r="BL88" s="115"/>
      <c r="BM88" s="115"/>
      <c r="BN88" s="115"/>
      <c r="BO88" s="115"/>
      <c r="BP88" s="115"/>
      <c r="BQ88" s="115"/>
      <c r="BR88" s="115" t="str">
        <f>"   " &amp; "가공 및 제작" &amp; " " &amp; IF(P88="","",TEXT(P88,"M/D-")) &amp; IF(Q88="","",TEXT(Q88,"M/D")) &amp; " "</f>
        <v xml:space="preserve">   가공 및 제작 7/15-9/20 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6"/>
    </row>
    <row r="89" spans="1:138" ht="12" customHeight="1" outlineLevel="2" x14ac:dyDescent="0.4">
      <c r="A89" s="101"/>
      <c r="B89" s="101"/>
      <c r="C89" s="101">
        <v>3</v>
      </c>
      <c r="D89" s="102" t="s">
        <v>443</v>
      </c>
      <c r="E89" s="103"/>
      <c r="F89" s="103"/>
      <c r="G89" s="125" t="s">
        <v>429</v>
      </c>
      <c r="H89" s="125"/>
      <c r="I89" s="125"/>
      <c r="J89" s="125"/>
      <c r="K89" s="125"/>
      <c r="L89" s="125"/>
      <c r="M89" s="125"/>
      <c r="N89" s="125"/>
      <c r="O89" s="126"/>
      <c r="P89" s="135">
        <v>44788</v>
      </c>
      <c r="Q89" s="135">
        <v>44854</v>
      </c>
      <c r="R89" s="127"/>
      <c r="S89" s="128">
        <v>67</v>
      </c>
      <c r="T89" s="128">
        <v>0</v>
      </c>
      <c r="U89" s="128">
        <v>67</v>
      </c>
      <c r="V89" s="128">
        <v>0</v>
      </c>
      <c r="W89" s="105"/>
      <c r="X89" s="105"/>
      <c r="Y89" s="129"/>
      <c r="Z89" s="130">
        <v>0</v>
      </c>
      <c r="AA89" s="128"/>
      <c r="AB89" s="131"/>
      <c r="AC89" s="121"/>
      <c r="AD89" s="132">
        <v>0</v>
      </c>
      <c r="AE89" s="134">
        <v>0</v>
      </c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 t="str">
        <f>" " &amp; TEXT(AE89,"#0.00%") &amp; " "</f>
        <v xml:space="preserve"> 0.00% </v>
      </c>
      <c r="BN89" s="115"/>
      <c r="BO89" s="115"/>
      <c r="BP89" s="115"/>
      <c r="BQ89" s="115"/>
      <c r="BR89" s="115"/>
      <c r="BS89" s="115"/>
      <c r="BT89" s="115"/>
      <c r="BU89" s="115"/>
      <c r="BV89" s="115" t="str">
        <f>"     " &amp; "기구 조립" &amp; " " &amp; IF(P89="","",TEXT(P89,"M/D-")) &amp; IF(Q89="","",TEXT(Q89,"M/D")) &amp; " "</f>
        <v xml:space="preserve">     기구 조립 8/15-10/20 </v>
      </c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115"/>
      <c r="DW89" s="115"/>
      <c r="DX89" s="115"/>
      <c r="DY89" s="115"/>
      <c r="DZ89" s="115"/>
      <c r="EA89" s="115"/>
      <c r="EB89" s="115"/>
      <c r="EC89" s="115"/>
      <c r="ED89" s="115"/>
      <c r="EE89" s="115"/>
      <c r="EF89" s="115"/>
      <c r="EG89" s="115"/>
      <c r="EH89" s="116"/>
    </row>
    <row r="90" spans="1:138" ht="12" customHeight="1" outlineLevel="2" x14ac:dyDescent="0.4">
      <c r="A90" s="101"/>
      <c r="B90" s="101"/>
      <c r="C90" s="101">
        <v>3</v>
      </c>
      <c r="D90" s="102" t="s">
        <v>444</v>
      </c>
      <c r="E90" s="103"/>
      <c r="F90" s="103"/>
      <c r="G90" s="125" t="s">
        <v>431</v>
      </c>
      <c r="H90" s="125"/>
      <c r="I90" s="125"/>
      <c r="J90" s="125"/>
      <c r="K90" s="125"/>
      <c r="L90" s="125"/>
      <c r="M90" s="125"/>
      <c r="N90" s="125"/>
      <c r="O90" s="126"/>
      <c r="P90" s="135">
        <v>44814</v>
      </c>
      <c r="Q90" s="135">
        <v>44890</v>
      </c>
      <c r="R90" s="127"/>
      <c r="S90" s="128">
        <v>77</v>
      </c>
      <c r="T90" s="128">
        <v>0</v>
      </c>
      <c r="U90" s="128">
        <v>77</v>
      </c>
      <c r="V90" s="128">
        <v>0</v>
      </c>
      <c r="W90" s="105"/>
      <c r="X90" s="105"/>
      <c r="Y90" s="129"/>
      <c r="Z90" s="130">
        <v>0</v>
      </c>
      <c r="AA90" s="128"/>
      <c r="AB90" s="131"/>
      <c r="AC90" s="121"/>
      <c r="AD90" s="132">
        <v>0</v>
      </c>
      <c r="AE90" s="134">
        <v>0</v>
      </c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 t="str">
        <f>"      " &amp; TEXT(AE90,"#0.00%") &amp; " "</f>
        <v xml:space="preserve">      0.00% </v>
      </c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 t="str">
        <f>"      " &amp; "전장 배선" &amp; " " &amp; IF(P90="","",TEXT(P90,"M/D-")) &amp; IF(Q90="","",TEXT(Q90,"M/D")) &amp; " "</f>
        <v xml:space="preserve">      전장 배선 9/10-11/25 </v>
      </c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6"/>
    </row>
    <row r="91" spans="1:138" ht="12" customHeight="1" outlineLevel="2" x14ac:dyDescent="0.4">
      <c r="A91" s="101"/>
      <c r="B91" s="101"/>
      <c r="C91" s="101">
        <v>3</v>
      </c>
      <c r="D91" s="102" t="s">
        <v>445</v>
      </c>
      <c r="E91" s="103"/>
      <c r="F91" s="103"/>
      <c r="G91" s="125" t="s">
        <v>433</v>
      </c>
      <c r="H91" s="125"/>
      <c r="I91" s="125"/>
      <c r="J91" s="125"/>
      <c r="K91" s="125"/>
      <c r="L91" s="125"/>
      <c r="M91" s="125"/>
      <c r="N91" s="125"/>
      <c r="O91" s="126"/>
      <c r="P91" s="135">
        <v>44866</v>
      </c>
      <c r="Q91" s="135">
        <v>44895</v>
      </c>
      <c r="R91" s="127"/>
      <c r="S91" s="128">
        <v>30</v>
      </c>
      <c r="T91" s="128">
        <v>0</v>
      </c>
      <c r="U91" s="128">
        <v>30</v>
      </c>
      <c r="V91" s="128">
        <v>0</v>
      </c>
      <c r="W91" s="105"/>
      <c r="X91" s="105"/>
      <c r="Y91" s="129"/>
      <c r="Z91" s="130">
        <v>0</v>
      </c>
      <c r="AA91" s="128"/>
      <c r="AB91" s="131"/>
      <c r="AC91" s="121"/>
      <c r="AD91" s="132">
        <v>0</v>
      </c>
      <c r="AE91" s="134">
        <v>0</v>
      </c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 t="str">
        <f>"  " &amp; TEXT(AE91,"#0.00%") &amp; " "</f>
        <v xml:space="preserve">  0.00% </v>
      </c>
      <c r="BY91" s="115"/>
      <c r="BZ91" s="115"/>
      <c r="CA91" s="115"/>
      <c r="CB91" s="115" t="str">
        <f>"    " &amp; "단동 TEST" &amp; " " &amp; IF(P91="","",TEXT(P91,"M/D-")) &amp; IF(Q91="","",TEXT(Q91,"M/D")) &amp; " "</f>
        <v xml:space="preserve">    단동 TEST 11/1-11/30 </v>
      </c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6"/>
    </row>
    <row r="92" spans="1:138" ht="12" customHeight="1" outlineLevel="2" x14ac:dyDescent="0.4">
      <c r="A92" s="101"/>
      <c r="B92" s="101"/>
      <c r="C92" s="101">
        <v>3</v>
      </c>
      <c r="D92" s="102" t="s">
        <v>446</v>
      </c>
      <c r="E92" s="103"/>
      <c r="F92" s="103"/>
      <c r="G92" s="125" t="s">
        <v>437</v>
      </c>
      <c r="H92" s="125"/>
      <c r="I92" s="125"/>
      <c r="J92" s="125"/>
      <c r="K92" s="125"/>
      <c r="L92" s="125"/>
      <c r="M92" s="125"/>
      <c r="N92" s="125"/>
      <c r="O92" s="126"/>
      <c r="P92" s="135">
        <v>44896</v>
      </c>
      <c r="Q92" s="135">
        <v>44905</v>
      </c>
      <c r="R92" s="127"/>
      <c r="S92" s="128">
        <v>10</v>
      </c>
      <c r="T92" s="128">
        <v>0</v>
      </c>
      <c r="U92" s="128">
        <v>10</v>
      </c>
      <c r="V92" s="128">
        <v>0</v>
      </c>
      <c r="W92" s="105"/>
      <c r="X92" s="105"/>
      <c r="Y92" s="129"/>
      <c r="Z92" s="130">
        <v>0</v>
      </c>
      <c r="AA92" s="128"/>
      <c r="AB92" s="131"/>
      <c r="AC92" s="121"/>
      <c r="AD92" s="132">
        <v>0</v>
      </c>
      <c r="AE92" s="134">
        <v>0</v>
      </c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 t="str">
        <f>"    " &amp; TEXT(AE92,"#0.00%") &amp; " " &amp; "고객사 검수" &amp; " " &amp; IF(P92="","",TEXT(P92,"M/D-")) &amp; IF(Q92="","",TEXT(Q92,"M/D")) &amp; " "</f>
        <v xml:space="preserve">    0.00% 고객사 검수 12/1-12/10 </v>
      </c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6"/>
    </row>
    <row r="93" spans="1:138" ht="12" customHeight="1" outlineLevel="1" x14ac:dyDescent="0.4">
      <c r="A93" s="101"/>
      <c r="B93" s="101" t="s">
        <v>325</v>
      </c>
      <c r="C93" s="101">
        <v>2</v>
      </c>
      <c r="D93" s="102" t="s">
        <v>447</v>
      </c>
      <c r="E93" s="103"/>
      <c r="F93" s="103" t="s">
        <v>353</v>
      </c>
      <c r="G93" s="125"/>
      <c r="H93" s="125"/>
      <c r="I93" s="125"/>
      <c r="J93" s="125"/>
      <c r="K93" s="125"/>
      <c r="L93" s="125"/>
      <c r="M93" s="125"/>
      <c r="N93" s="125"/>
      <c r="O93" s="104" t="s">
        <v>345</v>
      </c>
      <c r="P93" s="105">
        <v>44635</v>
      </c>
      <c r="Q93" s="105">
        <v>44885</v>
      </c>
      <c r="R93" s="127"/>
      <c r="S93" s="128">
        <v>327</v>
      </c>
      <c r="T93" s="128">
        <v>130</v>
      </c>
      <c r="U93" s="128">
        <v>251</v>
      </c>
      <c r="V93" s="128">
        <v>126</v>
      </c>
      <c r="W93" s="105"/>
      <c r="X93" s="105"/>
      <c r="Y93" s="129">
        <v>0</v>
      </c>
      <c r="Z93" s="130">
        <v>0</v>
      </c>
      <c r="AA93" s="128"/>
      <c r="AB93" s="131"/>
      <c r="AC93" s="121"/>
      <c r="AD93" s="132">
        <v>0.39755351681957185</v>
      </c>
      <c r="AE93" s="114">
        <v>0</v>
      </c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 t="str">
        <f>"  " &amp; TEXT(AE93,"#0.00%") &amp; " "</f>
        <v xml:space="preserve">  0.00% </v>
      </c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 t="str">
        <f>" " &amp; "외관검사기 물류" &amp; " " &amp; IF(P93="","",TEXT(P93,"M/D-")) &amp; IF(Q93="","",TEXT(Q93,"M/D")) &amp; " "</f>
        <v xml:space="preserve"> 외관검사기 물류 3/15-11/20 </v>
      </c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6"/>
    </row>
    <row r="94" spans="1:138" ht="12" customHeight="1" outlineLevel="2" x14ac:dyDescent="0.4">
      <c r="A94" s="101"/>
      <c r="B94" s="101"/>
      <c r="C94" s="101">
        <v>3</v>
      </c>
      <c r="D94" s="102" t="s">
        <v>448</v>
      </c>
      <c r="E94" s="103"/>
      <c r="F94" s="103"/>
      <c r="G94" s="125" t="s">
        <v>423</v>
      </c>
      <c r="H94" s="125"/>
      <c r="I94" s="125"/>
      <c r="J94" s="125"/>
      <c r="K94" s="125"/>
      <c r="L94" s="125"/>
      <c r="M94" s="125"/>
      <c r="N94" s="125"/>
      <c r="O94" s="126"/>
      <c r="P94" s="105">
        <v>44635</v>
      </c>
      <c r="Q94" s="105">
        <v>44819</v>
      </c>
      <c r="R94" s="127"/>
      <c r="S94" s="128">
        <v>185</v>
      </c>
      <c r="T94" s="128">
        <v>126</v>
      </c>
      <c r="U94" s="128">
        <v>185</v>
      </c>
      <c r="V94" s="128">
        <v>126</v>
      </c>
      <c r="W94" s="105"/>
      <c r="X94" s="105"/>
      <c r="Y94" s="129"/>
      <c r="Z94" s="130">
        <v>0</v>
      </c>
      <c r="AA94" s="128"/>
      <c r="AB94" s="131"/>
      <c r="AC94" s="121"/>
      <c r="AD94" s="132">
        <v>0.68108108108108112</v>
      </c>
      <c r="AE94" s="119">
        <v>0</v>
      </c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 t="str">
        <f>"  " &amp; TEXT(AE94,"#0.00%") &amp; " "</f>
        <v xml:space="preserve">  0.00% </v>
      </c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 t="str">
        <f>"     " &amp; "구매품 발주 및 입고" &amp; " " &amp; IF(P94="","",TEXT(P94,"M/D-")) &amp; IF(Q94="","",TEXT(Q94,"M/D")) &amp; " "</f>
        <v xml:space="preserve">     구매품 발주 및 입고 3/15-9/15 </v>
      </c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6"/>
    </row>
    <row r="95" spans="1:138" ht="12" customHeight="1" outlineLevel="2" x14ac:dyDescent="0.4">
      <c r="A95" s="101"/>
      <c r="B95" s="101"/>
      <c r="C95" s="101">
        <v>3</v>
      </c>
      <c r="D95" s="102" t="s">
        <v>449</v>
      </c>
      <c r="E95" s="103"/>
      <c r="F95" s="103"/>
      <c r="G95" s="125" t="s">
        <v>442</v>
      </c>
      <c r="H95" s="133"/>
      <c r="I95" s="125"/>
      <c r="J95" s="125"/>
      <c r="K95" s="125"/>
      <c r="L95" s="125"/>
      <c r="M95" s="125"/>
      <c r="N95" s="125"/>
      <c r="O95" s="126"/>
      <c r="P95" s="105">
        <v>44757</v>
      </c>
      <c r="Q95" s="105">
        <v>44804</v>
      </c>
      <c r="R95" s="127"/>
      <c r="S95" s="128">
        <v>48</v>
      </c>
      <c r="T95" s="128">
        <v>4</v>
      </c>
      <c r="U95" s="128">
        <v>48</v>
      </c>
      <c r="V95" s="128">
        <v>4</v>
      </c>
      <c r="W95" s="105"/>
      <c r="X95" s="105"/>
      <c r="Y95" s="129"/>
      <c r="Z95" s="130">
        <v>0</v>
      </c>
      <c r="AA95" s="128"/>
      <c r="AB95" s="131"/>
      <c r="AC95" s="121"/>
      <c r="AD95" s="132">
        <v>8.3333333333333329E-2</v>
      </c>
      <c r="AE95" s="119">
        <v>0</v>
      </c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 t="str">
        <f>"     " &amp; TEXT(AE95,"#0.00%") &amp; " "</f>
        <v xml:space="preserve">     0.00% </v>
      </c>
      <c r="BI95" s="115"/>
      <c r="BJ95" s="115"/>
      <c r="BK95" s="115"/>
      <c r="BL95" s="115"/>
      <c r="BM95" s="115"/>
      <c r="BN95" s="115"/>
      <c r="BO95" s="115" t="str">
        <f>"    " &amp; "가공 및 제작" &amp; " " &amp; IF(P95="","",TEXT(P95,"M/D-")) &amp; IF(Q95="","",TEXT(Q95,"M/D")) &amp; " "</f>
        <v xml:space="preserve">    가공 및 제작 7/15-8/31 </v>
      </c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6"/>
    </row>
    <row r="96" spans="1:138" ht="12" customHeight="1" outlineLevel="2" x14ac:dyDescent="0.4">
      <c r="A96" s="101"/>
      <c r="B96" s="101"/>
      <c r="C96" s="101">
        <v>3</v>
      </c>
      <c r="D96" s="102" t="s">
        <v>450</v>
      </c>
      <c r="E96" s="103"/>
      <c r="F96" s="103"/>
      <c r="G96" s="125" t="s">
        <v>429</v>
      </c>
      <c r="H96" s="125"/>
      <c r="I96" s="125"/>
      <c r="J96" s="125"/>
      <c r="K96" s="125"/>
      <c r="L96" s="125"/>
      <c r="M96" s="125"/>
      <c r="N96" s="125"/>
      <c r="O96" s="126"/>
      <c r="P96" s="105">
        <v>44805</v>
      </c>
      <c r="Q96" s="105">
        <v>44834</v>
      </c>
      <c r="R96" s="127"/>
      <c r="S96" s="128">
        <v>30</v>
      </c>
      <c r="T96" s="128">
        <v>0</v>
      </c>
      <c r="U96" s="128">
        <v>30</v>
      </c>
      <c r="V96" s="128">
        <v>0</v>
      </c>
      <c r="W96" s="105"/>
      <c r="X96" s="105"/>
      <c r="Y96" s="129"/>
      <c r="Z96" s="130">
        <v>0</v>
      </c>
      <c r="AA96" s="128"/>
      <c r="AB96" s="131"/>
      <c r="AC96" s="121"/>
      <c r="AD96" s="132">
        <v>0</v>
      </c>
      <c r="AE96" s="134">
        <v>0</v>
      </c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 t="str">
        <f>"    " &amp; TEXT(AE96,"#0.00%") &amp; " "</f>
        <v xml:space="preserve">    0.00% </v>
      </c>
      <c r="BP96" s="115"/>
      <c r="BQ96" s="115"/>
      <c r="BR96" s="115"/>
      <c r="BS96" s="115" t="str">
        <f>"      " &amp; "기구 조립" &amp; " " &amp; IF(P96="","",TEXT(P96,"M/D-")) &amp; IF(Q96="","",TEXT(Q96,"M/D")) &amp; " "</f>
        <v xml:space="preserve">      기구 조립 9/1-9/30 </v>
      </c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6"/>
    </row>
    <row r="97" spans="1:138" ht="12" customHeight="1" outlineLevel="2" x14ac:dyDescent="0.4">
      <c r="A97" s="101"/>
      <c r="B97" s="101"/>
      <c r="C97" s="101">
        <v>3</v>
      </c>
      <c r="D97" s="102" t="s">
        <v>451</v>
      </c>
      <c r="E97" s="103"/>
      <c r="F97" s="103"/>
      <c r="G97" s="125" t="s">
        <v>431</v>
      </c>
      <c r="H97" s="125"/>
      <c r="I97" s="125"/>
      <c r="J97" s="125"/>
      <c r="K97" s="125"/>
      <c r="L97" s="125"/>
      <c r="M97" s="125"/>
      <c r="N97" s="125"/>
      <c r="O97" s="126"/>
      <c r="P97" s="105">
        <v>44824</v>
      </c>
      <c r="Q97" s="105">
        <v>44854</v>
      </c>
      <c r="R97" s="127"/>
      <c r="S97" s="128">
        <v>31</v>
      </c>
      <c r="T97" s="128">
        <v>0</v>
      </c>
      <c r="U97" s="128">
        <v>31</v>
      </c>
      <c r="V97" s="128">
        <v>0</v>
      </c>
      <c r="W97" s="105"/>
      <c r="X97" s="105"/>
      <c r="Y97" s="129"/>
      <c r="Z97" s="130">
        <v>0</v>
      </c>
      <c r="AA97" s="128"/>
      <c r="AB97" s="131"/>
      <c r="AC97" s="121"/>
      <c r="AD97" s="132">
        <v>0</v>
      </c>
      <c r="AE97" s="134">
        <v>0</v>
      </c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 t="str">
        <f>"  " &amp; TEXT(AE97,"#0.00%") &amp; " "</f>
        <v xml:space="preserve">  0.00% </v>
      </c>
      <c r="BS97" s="115"/>
      <c r="BT97" s="115"/>
      <c r="BU97" s="115"/>
      <c r="BV97" s="115" t="str">
        <f>"     " &amp; "전장 배선" &amp; " " &amp; IF(P97="","",TEXT(P97,"M/D-")) &amp; IF(Q97="","",TEXT(Q97,"M/D")) &amp; " "</f>
        <v xml:space="preserve">     전장 배선 9/20-10/20 </v>
      </c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6"/>
    </row>
    <row r="98" spans="1:138" ht="12" customHeight="1" outlineLevel="2" x14ac:dyDescent="0.4">
      <c r="A98" s="101"/>
      <c r="B98" s="101"/>
      <c r="C98" s="101">
        <v>3</v>
      </c>
      <c r="D98" s="102" t="s">
        <v>452</v>
      </c>
      <c r="E98" s="103"/>
      <c r="F98" s="103"/>
      <c r="G98" s="125" t="s">
        <v>433</v>
      </c>
      <c r="H98" s="125"/>
      <c r="I98" s="125"/>
      <c r="J98" s="125"/>
      <c r="K98" s="125"/>
      <c r="L98" s="125"/>
      <c r="M98" s="125"/>
      <c r="N98" s="125"/>
      <c r="O98" s="126"/>
      <c r="P98" s="105">
        <v>44854</v>
      </c>
      <c r="Q98" s="105">
        <v>44880</v>
      </c>
      <c r="R98" s="127"/>
      <c r="S98" s="128">
        <v>27</v>
      </c>
      <c r="T98" s="128">
        <v>0</v>
      </c>
      <c r="U98" s="128">
        <v>27</v>
      </c>
      <c r="V98" s="128">
        <v>0</v>
      </c>
      <c r="W98" s="105"/>
      <c r="X98" s="105"/>
      <c r="Y98" s="129"/>
      <c r="Z98" s="130">
        <v>0</v>
      </c>
      <c r="AA98" s="128"/>
      <c r="AB98" s="131"/>
      <c r="AC98" s="121"/>
      <c r="AD98" s="132">
        <v>0</v>
      </c>
      <c r="AE98" s="134">
        <v>0</v>
      </c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 t="str">
        <f>"    " &amp; TEXT(AE98,"#0.00%") &amp; " "</f>
        <v xml:space="preserve">    0.00% </v>
      </c>
      <c r="BW98" s="115"/>
      <c r="BX98" s="115"/>
      <c r="BY98" s="115"/>
      <c r="BZ98" s="115" t="str">
        <f>"   " &amp; "단동 TEST" &amp; " " &amp; IF(P98="","",TEXT(P98,"M/D-")) &amp; IF(Q98="","",TEXT(Q98,"M/D")) &amp; " "</f>
        <v xml:space="preserve">   단동 TEST 10/20-11/15 </v>
      </c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6"/>
    </row>
    <row r="99" spans="1:138" ht="12" customHeight="1" outlineLevel="2" x14ac:dyDescent="0.4">
      <c r="A99" s="101"/>
      <c r="B99" s="101"/>
      <c r="C99" s="101">
        <v>3</v>
      </c>
      <c r="D99" s="102" t="s">
        <v>453</v>
      </c>
      <c r="E99" s="103"/>
      <c r="F99" s="103"/>
      <c r="G99" s="125" t="s">
        <v>437</v>
      </c>
      <c r="H99" s="125"/>
      <c r="I99" s="125"/>
      <c r="J99" s="125"/>
      <c r="K99" s="125"/>
      <c r="L99" s="125"/>
      <c r="M99" s="125"/>
      <c r="N99" s="125"/>
      <c r="O99" s="126"/>
      <c r="P99" s="105">
        <v>44880</v>
      </c>
      <c r="Q99" s="105">
        <v>44885</v>
      </c>
      <c r="R99" s="127"/>
      <c r="S99" s="128">
        <v>6</v>
      </c>
      <c r="T99" s="128">
        <v>0</v>
      </c>
      <c r="U99" s="128">
        <v>6</v>
      </c>
      <c r="V99" s="128">
        <v>0</v>
      </c>
      <c r="W99" s="105"/>
      <c r="X99" s="105"/>
      <c r="Y99" s="129"/>
      <c r="Z99" s="130">
        <v>0</v>
      </c>
      <c r="AA99" s="128"/>
      <c r="AB99" s="131"/>
      <c r="AC99" s="121"/>
      <c r="AD99" s="132">
        <v>0</v>
      </c>
      <c r="AE99" s="134">
        <v>0</v>
      </c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 t="str">
        <f>"  " &amp; TEXT(AE99,"#0.00%") &amp; " " &amp; "고객사 검수" &amp; " " &amp; IF(P99="","",TEXT(P99,"M/D-")) &amp; IF(Q99="","",TEXT(Q99,"M/D")) &amp; " "</f>
        <v xml:space="preserve">  0.00% 고객사 검수 11/15-11/20 </v>
      </c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6"/>
    </row>
    <row r="100" spans="1:138" ht="12" customHeight="1" outlineLevel="1" x14ac:dyDescent="0.4">
      <c r="A100" s="101"/>
      <c r="B100" s="101" t="s">
        <v>325</v>
      </c>
      <c r="C100" s="101">
        <v>2</v>
      </c>
      <c r="D100" s="102" t="s">
        <v>454</v>
      </c>
      <c r="E100" s="103"/>
      <c r="F100" s="103" t="s">
        <v>361</v>
      </c>
      <c r="G100" s="103"/>
      <c r="H100" s="103"/>
      <c r="I100" s="103"/>
      <c r="J100" s="103"/>
      <c r="K100" s="103"/>
      <c r="L100" s="103"/>
      <c r="M100" s="103"/>
      <c r="N100" s="103"/>
      <c r="O100" s="104" t="s">
        <v>345</v>
      </c>
      <c r="P100" s="108">
        <v>44635</v>
      </c>
      <c r="Q100" s="108">
        <v>44905</v>
      </c>
      <c r="R100" s="106"/>
      <c r="S100" s="107">
        <v>499</v>
      </c>
      <c r="T100" s="107">
        <v>144</v>
      </c>
      <c r="U100" s="107">
        <v>271</v>
      </c>
      <c r="V100" s="107">
        <v>126</v>
      </c>
      <c r="W100" s="108"/>
      <c r="X100" s="108"/>
      <c r="Y100" s="109">
        <v>0</v>
      </c>
      <c r="Z100" s="110">
        <v>0</v>
      </c>
      <c r="AA100" s="107"/>
      <c r="AB100" s="111"/>
      <c r="AC100" s="112"/>
      <c r="AD100" s="113">
        <v>0.28857715430861725</v>
      </c>
      <c r="AE100" s="114">
        <v>0</v>
      </c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 t="str">
        <f>"  " &amp; TEXT(AE100,"#0.00%") &amp; " "</f>
        <v xml:space="preserve">  0.00% </v>
      </c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 t="str">
        <f>"" &amp; "OHT" &amp; " " &amp; IF(P100="","",TEXT(P100,"M/D-")) &amp; IF(Q100="","",TEXT(Q100,"M/D")) &amp; " "</f>
        <v xml:space="preserve">OHT 3/15-12/10 </v>
      </c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6"/>
    </row>
    <row r="101" spans="1:138" ht="12" customHeight="1" outlineLevel="2" x14ac:dyDescent="0.4">
      <c r="A101" s="101"/>
      <c r="B101" s="101"/>
      <c r="C101" s="101">
        <v>3</v>
      </c>
      <c r="D101" s="102" t="s">
        <v>455</v>
      </c>
      <c r="E101" s="103"/>
      <c r="F101" s="103"/>
      <c r="G101" s="125" t="s">
        <v>423</v>
      </c>
      <c r="H101" s="103"/>
      <c r="I101" s="103"/>
      <c r="J101" s="103"/>
      <c r="K101" s="103"/>
      <c r="L101" s="103"/>
      <c r="M101" s="103"/>
      <c r="N101" s="103"/>
      <c r="O101" s="104"/>
      <c r="P101" s="105">
        <v>44635</v>
      </c>
      <c r="Q101" s="105">
        <v>44819</v>
      </c>
      <c r="R101" s="106"/>
      <c r="S101" s="107">
        <v>185</v>
      </c>
      <c r="T101" s="107">
        <v>126</v>
      </c>
      <c r="U101" s="107">
        <v>185</v>
      </c>
      <c r="V101" s="107">
        <v>126</v>
      </c>
      <c r="W101" s="108"/>
      <c r="X101" s="108"/>
      <c r="Y101" s="109"/>
      <c r="Z101" s="110">
        <v>0</v>
      </c>
      <c r="AA101" s="107"/>
      <c r="AB101" s="111"/>
      <c r="AC101" s="112"/>
      <c r="AD101" s="113">
        <v>0.68108108108108112</v>
      </c>
      <c r="AE101" s="119">
        <v>0</v>
      </c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 t="str">
        <f>"  " &amp; TEXT(AE101,"#0.00%") &amp; " "</f>
        <v xml:space="preserve">  0.00% </v>
      </c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 t="str">
        <f>"     " &amp; "구매품 발주 및 입고" &amp; " " &amp; IF(P101="","",TEXT(P101,"M/D-")) &amp; IF(Q101="","",TEXT(Q101,"M/D")) &amp; " "</f>
        <v xml:space="preserve">     구매품 발주 및 입고 3/15-9/15 </v>
      </c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6"/>
    </row>
    <row r="102" spans="1:138" ht="12" customHeight="1" outlineLevel="2" x14ac:dyDescent="0.4">
      <c r="A102" s="101"/>
      <c r="B102" s="101"/>
      <c r="C102" s="101">
        <v>3</v>
      </c>
      <c r="D102" s="102" t="s">
        <v>456</v>
      </c>
      <c r="E102" s="103"/>
      <c r="F102" s="103"/>
      <c r="G102" s="125" t="s">
        <v>442</v>
      </c>
      <c r="H102" s="120"/>
      <c r="I102" s="103"/>
      <c r="J102" s="103"/>
      <c r="K102" s="103"/>
      <c r="L102" s="103"/>
      <c r="M102" s="103"/>
      <c r="N102" s="103"/>
      <c r="O102" s="104"/>
      <c r="P102" s="105">
        <v>44743</v>
      </c>
      <c r="Q102" s="105">
        <v>44834</v>
      </c>
      <c r="R102" s="106"/>
      <c r="S102" s="107">
        <v>92</v>
      </c>
      <c r="T102" s="107">
        <v>18</v>
      </c>
      <c r="U102" s="107">
        <v>92</v>
      </c>
      <c r="V102" s="107">
        <v>18</v>
      </c>
      <c r="W102" s="108"/>
      <c r="X102" s="108"/>
      <c r="Y102" s="109"/>
      <c r="Z102" s="110">
        <v>0</v>
      </c>
      <c r="AA102" s="107"/>
      <c r="AB102" s="111"/>
      <c r="AC102" s="112"/>
      <c r="AD102" s="113">
        <v>0.19565217391304349</v>
      </c>
      <c r="AE102" s="119">
        <v>0</v>
      </c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 t="str">
        <f>"     " &amp; TEXT(AE102,"#0.00%") &amp; " "</f>
        <v xml:space="preserve">     0.00% </v>
      </c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 t="str">
        <f>"      " &amp; "가공 및 제작" &amp; " " &amp; IF(P102="","",TEXT(P102,"M/D-")) &amp; IF(Q102="","",TEXT(Q102,"M/D")) &amp; " "</f>
        <v xml:space="preserve">      가공 및 제작 7/1-9/30 </v>
      </c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6"/>
    </row>
    <row r="103" spans="1:138" ht="12" customHeight="1" outlineLevel="2" x14ac:dyDescent="0.4">
      <c r="A103" s="101"/>
      <c r="B103" s="101"/>
      <c r="C103" s="101">
        <v>3</v>
      </c>
      <c r="D103" s="102" t="s">
        <v>457</v>
      </c>
      <c r="E103" s="103"/>
      <c r="F103" s="103"/>
      <c r="G103" s="125" t="s">
        <v>458</v>
      </c>
      <c r="H103" s="120"/>
      <c r="I103" s="103"/>
      <c r="J103" s="103"/>
      <c r="K103" s="103"/>
      <c r="L103" s="103"/>
      <c r="M103" s="103"/>
      <c r="N103" s="103"/>
      <c r="O103" s="104"/>
      <c r="P103" s="105">
        <v>44793</v>
      </c>
      <c r="Q103" s="105">
        <v>44865</v>
      </c>
      <c r="R103" s="106"/>
      <c r="S103" s="107">
        <v>73</v>
      </c>
      <c r="T103" s="107">
        <v>0</v>
      </c>
      <c r="U103" s="107">
        <v>73</v>
      </c>
      <c r="V103" s="107">
        <v>0</v>
      </c>
      <c r="W103" s="108"/>
      <c r="X103" s="108"/>
      <c r="Y103" s="109"/>
      <c r="Z103" s="110">
        <v>0</v>
      </c>
      <c r="AA103" s="107"/>
      <c r="AB103" s="111"/>
      <c r="AC103" s="112"/>
      <c r="AD103" s="113">
        <v>0</v>
      </c>
      <c r="AE103" s="134">
        <v>0</v>
      </c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 t="str">
        <f>"      " &amp; TEXT(AE103,"#0.00%") &amp; " "</f>
        <v xml:space="preserve">      0.00% </v>
      </c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 t="str">
        <f>"  " &amp; "기구조립(RAIL)" &amp; " " &amp; IF(P103="","",TEXT(P103,"M/D-")) &amp; IF(Q103="","",TEXT(Q103,"M/D")) &amp; " "</f>
        <v xml:space="preserve">  기구조립(RAIL) 8/20-10/31 </v>
      </c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6"/>
    </row>
    <row r="104" spans="1:138" ht="12" customHeight="1" outlineLevel="2" x14ac:dyDescent="0.4">
      <c r="A104" s="101"/>
      <c r="B104" s="101"/>
      <c r="C104" s="101">
        <v>3</v>
      </c>
      <c r="D104" s="102" t="s">
        <v>459</v>
      </c>
      <c r="E104" s="103"/>
      <c r="F104" s="103"/>
      <c r="G104" s="125" t="s">
        <v>460</v>
      </c>
      <c r="H104" s="103"/>
      <c r="I104" s="103"/>
      <c r="J104" s="103"/>
      <c r="K104" s="103"/>
      <c r="L104" s="103"/>
      <c r="M104" s="103"/>
      <c r="N104" s="103"/>
      <c r="O104" s="104"/>
      <c r="P104" s="105">
        <v>44788</v>
      </c>
      <c r="Q104" s="105">
        <v>44849</v>
      </c>
      <c r="R104" s="106"/>
      <c r="S104" s="107">
        <v>62</v>
      </c>
      <c r="T104" s="107">
        <v>0</v>
      </c>
      <c r="U104" s="107">
        <v>62</v>
      </c>
      <c r="V104" s="107">
        <v>0</v>
      </c>
      <c r="W104" s="108"/>
      <c r="X104" s="108"/>
      <c r="Y104" s="109"/>
      <c r="Z104" s="110">
        <v>0</v>
      </c>
      <c r="AA104" s="107"/>
      <c r="AB104" s="111"/>
      <c r="AC104" s="112"/>
      <c r="AD104" s="113">
        <v>0</v>
      </c>
      <c r="AE104" s="134">
        <v>0</v>
      </c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 t="str">
        <f>" " &amp; TEXT(AE104,"#0.00%") &amp; " "</f>
        <v xml:space="preserve"> 0.00% </v>
      </c>
      <c r="BN104" s="115"/>
      <c r="BO104" s="115"/>
      <c r="BP104" s="115"/>
      <c r="BQ104" s="115"/>
      <c r="BR104" s="115"/>
      <c r="BS104" s="115"/>
      <c r="BT104" s="115"/>
      <c r="BU104" s="115"/>
      <c r="BV104" s="115" t="str">
        <f>"" &amp; "기구 조립 (VEHICLE, MTL)" &amp; " " &amp; IF(P104="","",TEXT(P104,"M/D-")) &amp; IF(Q104="","",TEXT(Q104,"M/D")) &amp; " "</f>
        <v xml:space="preserve">기구 조립 (VEHICLE, MTL) 8/15-10/15 </v>
      </c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6"/>
    </row>
    <row r="105" spans="1:138" ht="12" customHeight="1" outlineLevel="2" x14ac:dyDescent="0.4">
      <c r="A105" s="101"/>
      <c r="B105" s="101"/>
      <c r="C105" s="101">
        <v>3</v>
      </c>
      <c r="D105" s="102" t="s">
        <v>461</v>
      </c>
      <c r="E105" s="103"/>
      <c r="F105" s="103"/>
      <c r="G105" s="125" t="s">
        <v>462</v>
      </c>
      <c r="H105" s="103"/>
      <c r="I105" s="103"/>
      <c r="J105" s="103"/>
      <c r="K105" s="103"/>
      <c r="L105" s="103"/>
      <c r="M105" s="103"/>
      <c r="N105" s="103"/>
      <c r="O105" s="104"/>
      <c r="P105" s="135">
        <v>44819</v>
      </c>
      <c r="Q105" s="135">
        <v>44865</v>
      </c>
      <c r="R105" s="106"/>
      <c r="S105" s="107">
        <v>47</v>
      </c>
      <c r="T105" s="107">
        <v>0</v>
      </c>
      <c r="U105" s="107">
        <v>47</v>
      </c>
      <c r="V105" s="107">
        <v>0</v>
      </c>
      <c r="W105" s="108"/>
      <c r="X105" s="108"/>
      <c r="Y105" s="109"/>
      <c r="Z105" s="110">
        <v>0</v>
      </c>
      <c r="AA105" s="107"/>
      <c r="AB105" s="111"/>
      <c r="AC105" s="112"/>
      <c r="AD105" s="113">
        <v>0</v>
      </c>
      <c r="AE105" s="134">
        <v>0</v>
      </c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 t="str">
        <f>"    " &amp; TEXT(AE105,"#0.00%") &amp; " "</f>
        <v xml:space="preserve">    0.00% </v>
      </c>
      <c r="BR105" s="115"/>
      <c r="BS105" s="115"/>
      <c r="BT105" s="115"/>
      <c r="BU105" s="115"/>
      <c r="BV105" s="115"/>
      <c r="BW105" s="115"/>
      <c r="BX105" s="115" t="str">
        <f>"  " &amp; "전장 배선 (VEHICLE, MTL)" &amp; " " &amp; IF(P105="","",TEXT(P105,"M/D-")) &amp; IF(Q105="","",TEXT(Q105,"M/D")) &amp; " "</f>
        <v xml:space="preserve">  전장 배선 (VEHICLE, MTL) 9/15-10/31 </v>
      </c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6"/>
    </row>
    <row r="106" spans="1:138" ht="12" customHeight="1" outlineLevel="2" x14ac:dyDescent="0.4">
      <c r="A106" s="101"/>
      <c r="B106" s="101"/>
      <c r="C106" s="101">
        <v>3</v>
      </c>
      <c r="D106" s="102" t="s">
        <v>463</v>
      </c>
      <c r="E106" s="103"/>
      <c r="F106" s="103"/>
      <c r="G106" s="125" t="s">
        <v>464</v>
      </c>
      <c r="H106" s="103"/>
      <c r="I106" s="103"/>
      <c r="J106" s="103"/>
      <c r="K106" s="103"/>
      <c r="L106" s="103"/>
      <c r="M106" s="103"/>
      <c r="N106" s="103"/>
      <c r="O106" s="104"/>
      <c r="P106" s="135">
        <v>44866</v>
      </c>
      <c r="Q106" s="135">
        <v>44895</v>
      </c>
      <c r="R106" s="106"/>
      <c r="S106" s="107">
        <v>30</v>
      </c>
      <c r="T106" s="107">
        <v>0</v>
      </c>
      <c r="U106" s="107">
        <v>30</v>
      </c>
      <c r="V106" s="107">
        <v>0</v>
      </c>
      <c r="W106" s="108"/>
      <c r="X106" s="108"/>
      <c r="Y106" s="109"/>
      <c r="Z106" s="110">
        <v>0</v>
      </c>
      <c r="AA106" s="107"/>
      <c r="AB106" s="111"/>
      <c r="AC106" s="112"/>
      <c r="AD106" s="113">
        <v>0</v>
      </c>
      <c r="AE106" s="134">
        <v>0</v>
      </c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 t="str">
        <f>"  " &amp; TEXT(AE106,"#0.00%") &amp; " "</f>
        <v xml:space="preserve">  0.00% </v>
      </c>
      <c r="BY106" s="115"/>
      <c r="BZ106" s="115"/>
      <c r="CA106" s="115"/>
      <c r="CB106" s="115" t="str">
        <f>"    " &amp; "단동 TEST (VEHICLE, MTL)" &amp; " " &amp; IF(P106="","",TEXT(P106,"M/D-")) &amp; IF(Q106="","",TEXT(Q106,"M/D")) &amp; " "</f>
        <v xml:space="preserve">    단동 TEST (VEHICLE, MTL) 11/1-11/30 </v>
      </c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6"/>
    </row>
    <row r="107" spans="1:138" ht="12" customHeight="1" outlineLevel="2" x14ac:dyDescent="0.4">
      <c r="A107" s="101"/>
      <c r="B107" s="101"/>
      <c r="C107" s="101">
        <v>3</v>
      </c>
      <c r="D107" s="102" t="s">
        <v>465</v>
      </c>
      <c r="E107" s="103"/>
      <c r="F107" s="103"/>
      <c r="G107" s="125" t="s">
        <v>466</v>
      </c>
      <c r="H107" s="103"/>
      <c r="I107" s="103"/>
      <c r="J107" s="103"/>
      <c r="K107" s="103"/>
      <c r="L107" s="103"/>
      <c r="M107" s="103"/>
      <c r="N107" s="103"/>
      <c r="O107" s="104"/>
      <c r="P107" s="135">
        <v>44896</v>
      </c>
      <c r="Q107" s="135">
        <v>44905</v>
      </c>
      <c r="R107" s="106"/>
      <c r="S107" s="107">
        <v>10</v>
      </c>
      <c r="T107" s="107">
        <v>0</v>
      </c>
      <c r="U107" s="107">
        <v>10</v>
      </c>
      <c r="V107" s="107">
        <v>0</v>
      </c>
      <c r="W107" s="108"/>
      <c r="X107" s="108"/>
      <c r="Y107" s="109"/>
      <c r="Z107" s="110">
        <v>0</v>
      </c>
      <c r="AA107" s="107"/>
      <c r="AB107" s="111"/>
      <c r="AC107" s="112"/>
      <c r="AD107" s="113">
        <v>0</v>
      </c>
      <c r="AE107" s="134">
        <v>0</v>
      </c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 t="str">
        <f>"    " &amp; TEXT(AE107,"#0.00%") &amp; " " &amp; "고객사 검수 (VEHICLE, MTL)" &amp; " " &amp; IF(P107="","",TEXT(P107,"M/D-")) &amp; IF(Q107="","",TEXT(Q107,"M/D")) &amp; " "</f>
        <v xml:space="preserve">    0.00% 고객사 검수 (VEHICLE, MTL) 12/1-12/10 </v>
      </c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6"/>
    </row>
    <row r="108" spans="1:138" ht="12" customHeight="1" outlineLevel="1" x14ac:dyDescent="0.4">
      <c r="A108" s="101"/>
      <c r="B108" s="101" t="s">
        <v>325</v>
      </c>
      <c r="C108" s="101">
        <v>2</v>
      </c>
      <c r="D108" s="102" t="s">
        <v>467</v>
      </c>
      <c r="E108" s="103"/>
      <c r="F108" s="103" t="s">
        <v>372</v>
      </c>
      <c r="G108" s="103"/>
      <c r="H108" s="103"/>
      <c r="I108" s="103"/>
      <c r="J108" s="103"/>
      <c r="K108" s="103"/>
      <c r="L108" s="103"/>
      <c r="M108" s="103"/>
      <c r="N108" s="103"/>
      <c r="O108" s="104" t="s">
        <v>345</v>
      </c>
      <c r="P108" s="108">
        <v>44713</v>
      </c>
      <c r="Q108" s="108">
        <v>44875</v>
      </c>
      <c r="R108" s="106"/>
      <c r="S108" s="107">
        <v>297</v>
      </c>
      <c r="T108" s="107">
        <v>52</v>
      </c>
      <c r="U108" s="107">
        <v>163</v>
      </c>
      <c r="V108" s="107">
        <v>48</v>
      </c>
      <c r="W108" s="108"/>
      <c r="X108" s="108"/>
      <c r="Y108" s="109">
        <v>0</v>
      </c>
      <c r="Z108" s="110">
        <v>0</v>
      </c>
      <c r="AA108" s="107"/>
      <c r="AB108" s="111"/>
      <c r="AC108" s="112"/>
      <c r="AD108" s="113">
        <v>0.17508417508417509</v>
      </c>
      <c r="AE108" s="114">
        <v>0</v>
      </c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 t="str">
        <f>"   " &amp; TEXT(AE108,"#0.00%") &amp; " "</f>
        <v xml:space="preserve">   0.00% </v>
      </c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 t="str">
        <f>"     " &amp; "CCS 물류" &amp; " " &amp; IF(P108="","",TEXT(P108,"M/D-")) &amp; IF(Q108="","",TEXT(Q108,"M/D")) &amp; " "</f>
        <v xml:space="preserve">     CCS 물류 6/1-11/10 </v>
      </c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6"/>
    </row>
    <row r="109" spans="1:138" ht="12" customHeight="1" outlineLevel="2" x14ac:dyDescent="0.4">
      <c r="A109" s="101"/>
      <c r="B109" s="101"/>
      <c r="C109" s="101">
        <v>3</v>
      </c>
      <c r="D109" s="102" t="s">
        <v>468</v>
      </c>
      <c r="E109" s="103"/>
      <c r="F109" s="103"/>
      <c r="G109" s="125" t="s">
        <v>423</v>
      </c>
      <c r="H109" s="103"/>
      <c r="I109" s="103"/>
      <c r="J109" s="103"/>
      <c r="K109" s="103"/>
      <c r="L109" s="103"/>
      <c r="M109" s="103"/>
      <c r="N109" s="103"/>
      <c r="O109" s="104"/>
      <c r="P109" s="105">
        <v>44713</v>
      </c>
      <c r="Q109" s="105">
        <v>44819</v>
      </c>
      <c r="R109" s="106"/>
      <c r="S109" s="107">
        <v>107</v>
      </c>
      <c r="T109" s="107">
        <v>48</v>
      </c>
      <c r="U109" s="107">
        <v>107</v>
      </c>
      <c r="V109" s="107">
        <v>48</v>
      </c>
      <c r="W109" s="108"/>
      <c r="X109" s="108"/>
      <c r="Y109" s="109"/>
      <c r="Z109" s="110">
        <v>0</v>
      </c>
      <c r="AA109" s="107"/>
      <c r="AB109" s="111"/>
      <c r="AC109" s="112"/>
      <c r="AD109" s="113">
        <v>0.44859813084112149</v>
      </c>
      <c r="AE109" s="119">
        <v>0</v>
      </c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 t="str">
        <f>"   " &amp; TEXT(AE109,"#0.00%") &amp; " "</f>
        <v xml:space="preserve">   0.00% </v>
      </c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 t="str">
        <f>"     " &amp; "구매품 발주 및 입고" &amp; " " &amp; IF(P109="","",TEXT(P109,"M/D-")) &amp; IF(Q109="","",TEXT(Q109,"M/D")) &amp; " "</f>
        <v xml:space="preserve">     구매품 발주 및 입고 6/1-9/15 </v>
      </c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6"/>
    </row>
    <row r="110" spans="1:138" ht="12" customHeight="1" outlineLevel="2" x14ac:dyDescent="0.4">
      <c r="A110" s="101"/>
      <c r="B110" s="101"/>
      <c r="C110" s="101">
        <v>3</v>
      </c>
      <c r="D110" s="102" t="s">
        <v>469</v>
      </c>
      <c r="E110" s="103"/>
      <c r="F110" s="103"/>
      <c r="G110" s="125" t="s">
        <v>442</v>
      </c>
      <c r="H110" s="120"/>
      <c r="I110" s="103"/>
      <c r="J110" s="103"/>
      <c r="K110" s="103"/>
      <c r="L110" s="103"/>
      <c r="M110" s="103"/>
      <c r="N110" s="103"/>
      <c r="O110" s="104"/>
      <c r="P110" s="105">
        <v>44757</v>
      </c>
      <c r="Q110" s="105">
        <v>44804</v>
      </c>
      <c r="R110" s="106"/>
      <c r="S110" s="107">
        <v>48</v>
      </c>
      <c r="T110" s="107">
        <v>4</v>
      </c>
      <c r="U110" s="107">
        <v>48</v>
      </c>
      <c r="V110" s="107">
        <v>4</v>
      </c>
      <c r="W110" s="108"/>
      <c r="X110" s="108"/>
      <c r="Y110" s="109"/>
      <c r="Z110" s="110">
        <v>0</v>
      </c>
      <c r="AA110" s="107"/>
      <c r="AB110" s="111"/>
      <c r="AC110" s="112"/>
      <c r="AD110" s="113">
        <v>8.3333333333333329E-2</v>
      </c>
      <c r="AE110" s="119">
        <v>0</v>
      </c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 t="str">
        <f>"     " &amp; TEXT(AE110,"#0.00%") &amp; " "</f>
        <v xml:space="preserve">     0.00% </v>
      </c>
      <c r="BI110" s="115"/>
      <c r="BJ110" s="115"/>
      <c r="BK110" s="115"/>
      <c r="BL110" s="115"/>
      <c r="BM110" s="115"/>
      <c r="BN110" s="115"/>
      <c r="BO110" s="115" t="str">
        <f>"    " &amp; "가공 및 제작" &amp; " " &amp; IF(P110="","",TEXT(P110,"M/D-")) &amp; IF(Q110="","",TEXT(Q110,"M/D")) &amp; " "</f>
        <v xml:space="preserve">    가공 및 제작 7/15-8/31 </v>
      </c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6"/>
    </row>
    <row r="111" spans="1:138" ht="12" customHeight="1" outlineLevel="2" x14ac:dyDescent="0.4">
      <c r="A111" s="101"/>
      <c r="B111" s="101"/>
      <c r="C111" s="101">
        <v>3</v>
      </c>
      <c r="D111" s="102" t="s">
        <v>470</v>
      </c>
      <c r="E111" s="103"/>
      <c r="F111" s="103"/>
      <c r="G111" s="125" t="s">
        <v>429</v>
      </c>
      <c r="H111" s="103"/>
      <c r="I111" s="103"/>
      <c r="J111" s="103"/>
      <c r="K111" s="103"/>
      <c r="L111" s="103"/>
      <c r="M111" s="103"/>
      <c r="N111" s="103"/>
      <c r="O111" s="104"/>
      <c r="P111" s="105">
        <v>44767</v>
      </c>
      <c r="Q111" s="105">
        <v>44819</v>
      </c>
      <c r="R111" s="106"/>
      <c r="S111" s="107">
        <v>53</v>
      </c>
      <c r="T111" s="107">
        <v>0</v>
      </c>
      <c r="U111" s="107">
        <v>53</v>
      </c>
      <c r="V111" s="107">
        <v>0</v>
      </c>
      <c r="W111" s="108"/>
      <c r="X111" s="108"/>
      <c r="Y111" s="109"/>
      <c r="Z111" s="110">
        <v>0</v>
      </c>
      <c r="AA111" s="107"/>
      <c r="AB111" s="111"/>
      <c r="AC111" s="112"/>
      <c r="AD111" s="113">
        <v>0</v>
      </c>
      <c r="AE111" s="134">
        <v>0</v>
      </c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 t="str">
        <f>" " &amp; TEXT(AE111,"#0.00%") &amp; " "</f>
        <v xml:space="preserve"> 0.00% </v>
      </c>
      <c r="BK111" s="115"/>
      <c r="BL111" s="115"/>
      <c r="BM111" s="115"/>
      <c r="BN111" s="115"/>
      <c r="BO111" s="115"/>
      <c r="BP111" s="115"/>
      <c r="BQ111" s="115" t="str">
        <f>"     " &amp; "기구 조립" &amp; " " &amp; IF(P111="","",TEXT(P111,"M/D-")) &amp; IF(Q111="","",TEXT(Q111,"M/D")) &amp; " "</f>
        <v xml:space="preserve">     기구 조립 7/25-9/15 </v>
      </c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6"/>
    </row>
    <row r="112" spans="1:138" ht="12" customHeight="1" outlineLevel="2" x14ac:dyDescent="0.4">
      <c r="A112" s="101"/>
      <c r="B112" s="101"/>
      <c r="C112" s="101">
        <v>3</v>
      </c>
      <c r="D112" s="102" t="s">
        <v>471</v>
      </c>
      <c r="E112" s="103"/>
      <c r="F112" s="103"/>
      <c r="G112" s="125" t="s">
        <v>431</v>
      </c>
      <c r="H112" s="103"/>
      <c r="I112" s="103"/>
      <c r="J112" s="103"/>
      <c r="K112" s="103"/>
      <c r="L112" s="103"/>
      <c r="M112" s="103"/>
      <c r="N112" s="103"/>
      <c r="O112" s="104"/>
      <c r="P112" s="105">
        <v>44803</v>
      </c>
      <c r="Q112" s="105">
        <v>44849</v>
      </c>
      <c r="R112" s="106"/>
      <c r="S112" s="107">
        <v>47</v>
      </c>
      <c r="T112" s="107">
        <v>0</v>
      </c>
      <c r="U112" s="107">
        <v>47</v>
      </c>
      <c r="V112" s="107">
        <v>0</v>
      </c>
      <c r="W112" s="108"/>
      <c r="X112" s="108"/>
      <c r="Y112" s="109"/>
      <c r="Z112" s="110">
        <v>0</v>
      </c>
      <c r="AA112" s="107"/>
      <c r="AB112" s="111"/>
      <c r="AC112" s="112"/>
      <c r="AD112" s="113">
        <v>0</v>
      </c>
      <c r="AE112" s="134">
        <v>0</v>
      </c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 t="str">
        <f>"  " &amp; TEXT(AE112,"#0.00%") &amp; " "</f>
        <v xml:space="preserve">  0.00% </v>
      </c>
      <c r="BP112" s="115"/>
      <c r="BQ112" s="115"/>
      <c r="BR112" s="115"/>
      <c r="BS112" s="115"/>
      <c r="BT112" s="115"/>
      <c r="BU112" s="115"/>
      <c r="BV112" s="115" t="str">
        <f>"" &amp; "전장 배선" &amp; " " &amp; IF(P112="","",TEXT(P112,"M/D-")) &amp; IF(Q112="","",TEXT(Q112,"M/D")) &amp; " "</f>
        <v xml:space="preserve">전장 배선 8/30-10/15 </v>
      </c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6"/>
    </row>
    <row r="113" spans="1:138" ht="12" customHeight="1" outlineLevel="2" x14ac:dyDescent="0.4">
      <c r="A113" s="101"/>
      <c r="B113" s="101"/>
      <c r="C113" s="101">
        <v>3</v>
      </c>
      <c r="D113" s="102" t="s">
        <v>472</v>
      </c>
      <c r="E113" s="103"/>
      <c r="F113" s="103"/>
      <c r="G113" s="125" t="s">
        <v>433</v>
      </c>
      <c r="H113" s="103"/>
      <c r="I113" s="103"/>
      <c r="J113" s="103"/>
      <c r="K113" s="103"/>
      <c r="L113" s="103"/>
      <c r="M113" s="103"/>
      <c r="N113" s="103"/>
      <c r="O113" s="104"/>
      <c r="P113" s="105">
        <v>44844</v>
      </c>
      <c r="Q113" s="105">
        <v>44875</v>
      </c>
      <c r="R113" s="106"/>
      <c r="S113" s="107">
        <v>32</v>
      </c>
      <c r="T113" s="107">
        <v>0</v>
      </c>
      <c r="U113" s="107">
        <v>32</v>
      </c>
      <c r="V113" s="107">
        <v>0</v>
      </c>
      <c r="W113" s="108"/>
      <c r="X113" s="108"/>
      <c r="Y113" s="109"/>
      <c r="Z113" s="110">
        <v>0</v>
      </c>
      <c r="AA113" s="107"/>
      <c r="AB113" s="111"/>
      <c r="AC113" s="112"/>
      <c r="AD113" s="113">
        <v>0</v>
      </c>
      <c r="AE113" s="134">
        <v>0</v>
      </c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 t="str">
        <f>" " &amp; TEXT(AE113,"#0.00%") &amp; " "</f>
        <v xml:space="preserve"> 0.00% </v>
      </c>
      <c r="BV113" s="115"/>
      <c r="BW113" s="115"/>
      <c r="BX113" s="115"/>
      <c r="BY113" s="115" t="str">
        <f>"     " &amp; "단동 TEST" &amp; " " &amp; IF(P113="","",TEXT(P113,"M/D-")) &amp; IF(Q113="","",TEXT(Q113,"M/D")) &amp; " "</f>
        <v xml:space="preserve">     단동 TEST 10/10-11/10 </v>
      </c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6"/>
    </row>
    <row r="114" spans="1:138" ht="12" customHeight="1" outlineLevel="2" x14ac:dyDescent="0.4">
      <c r="A114" s="101"/>
      <c r="B114" s="101"/>
      <c r="C114" s="101">
        <v>3</v>
      </c>
      <c r="D114" s="102" t="s">
        <v>473</v>
      </c>
      <c r="E114" s="103"/>
      <c r="F114" s="103"/>
      <c r="G114" s="125" t="s">
        <v>437</v>
      </c>
      <c r="H114" s="103"/>
      <c r="I114" s="103"/>
      <c r="J114" s="103"/>
      <c r="K114" s="103"/>
      <c r="L114" s="103"/>
      <c r="M114" s="103"/>
      <c r="N114" s="103"/>
      <c r="O114" s="104"/>
      <c r="P114" s="105">
        <v>44866</v>
      </c>
      <c r="Q114" s="105">
        <v>44875</v>
      </c>
      <c r="R114" s="106"/>
      <c r="S114" s="107">
        <v>10</v>
      </c>
      <c r="T114" s="107">
        <v>0</v>
      </c>
      <c r="U114" s="107">
        <v>10</v>
      </c>
      <c r="V114" s="107">
        <v>0</v>
      </c>
      <c r="W114" s="108"/>
      <c r="X114" s="108"/>
      <c r="Y114" s="109"/>
      <c r="Z114" s="110">
        <v>0</v>
      </c>
      <c r="AA114" s="107"/>
      <c r="AB114" s="111"/>
      <c r="AC114" s="112"/>
      <c r="AD114" s="113">
        <v>0</v>
      </c>
      <c r="AE114" s="134">
        <v>0</v>
      </c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 t="str">
        <f>"  " &amp; TEXT(AE114,"#0.00%") &amp; " " &amp; "고객사 검수" &amp; " " &amp; IF(P114="","",TEXT(P114,"M/D-")) &amp; IF(Q114="","",TEXT(Q114,"M/D")) &amp; " "</f>
        <v xml:space="preserve">  0.00% 고객사 검수 11/1-11/10 </v>
      </c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6"/>
    </row>
    <row r="115" spans="1:138" ht="12" customHeight="1" outlineLevel="1" x14ac:dyDescent="0.4">
      <c r="A115" s="101"/>
      <c r="B115" s="101" t="s">
        <v>325</v>
      </c>
      <c r="C115" s="101">
        <v>2</v>
      </c>
      <c r="D115" s="102" t="s">
        <v>474</v>
      </c>
      <c r="E115" s="103"/>
      <c r="F115" s="103" t="s">
        <v>380</v>
      </c>
      <c r="G115" s="103"/>
      <c r="H115" s="103"/>
      <c r="I115" s="103"/>
      <c r="J115" s="103"/>
      <c r="K115" s="103"/>
      <c r="L115" s="103"/>
      <c r="M115" s="103"/>
      <c r="N115" s="103"/>
      <c r="O115" s="104" t="s">
        <v>330</v>
      </c>
      <c r="P115" s="108">
        <v>44610</v>
      </c>
      <c r="Q115" s="108">
        <v>44985</v>
      </c>
      <c r="R115" s="106"/>
      <c r="S115" s="107">
        <v>538</v>
      </c>
      <c r="T115" s="107">
        <v>151</v>
      </c>
      <c r="U115" s="107">
        <v>376</v>
      </c>
      <c r="V115" s="107">
        <v>151</v>
      </c>
      <c r="W115" s="108"/>
      <c r="X115" s="108"/>
      <c r="Y115" s="109">
        <v>0</v>
      </c>
      <c r="Z115" s="110">
        <v>0</v>
      </c>
      <c r="AA115" s="107"/>
      <c r="AB115" s="111"/>
      <c r="AC115" s="112"/>
      <c r="AD115" s="113">
        <v>0.28066914498141265</v>
      </c>
      <c r="AE115" s="114">
        <v>0</v>
      </c>
      <c r="AF115" s="115"/>
      <c r="AG115" s="115"/>
      <c r="AH115" s="115"/>
      <c r="AI115" s="115"/>
      <c r="AJ115" s="115"/>
      <c r="AK115" s="115"/>
      <c r="AL115" s="115"/>
      <c r="AM115" s="115" t="str">
        <f>"     " &amp; TEXT(AE115,"#0.00%") &amp; " "</f>
        <v xml:space="preserve">     0.00% </v>
      </c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 t="str">
        <f>"   " &amp; "OVEN &amp; OVEN STK" &amp; " " &amp; IF(P115="","",TEXT(P115,"M/D-")) &amp; IF(Q115="","",TEXT(Q115,"M/D")) &amp; " "</f>
        <v xml:space="preserve">   OVEN &amp; OVEN STK 2/18-2/28 </v>
      </c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6"/>
    </row>
    <row r="116" spans="1:138" ht="12" customHeight="1" outlineLevel="2" x14ac:dyDescent="0.4">
      <c r="A116" s="101"/>
      <c r="B116" s="101"/>
      <c r="C116" s="101">
        <v>3</v>
      </c>
      <c r="D116" s="102" t="s">
        <v>475</v>
      </c>
      <c r="E116" s="103"/>
      <c r="F116" s="103"/>
      <c r="G116" s="125" t="s">
        <v>423</v>
      </c>
      <c r="H116" s="103"/>
      <c r="I116" s="103"/>
      <c r="J116" s="103"/>
      <c r="K116" s="103"/>
      <c r="L116" s="103"/>
      <c r="M116" s="103"/>
      <c r="N116" s="103"/>
      <c r="O116" s="104"/>
      <c r="P116" s="105">
        <v>44610</v>
      </c>
      <c r="Q116" s="105">
        <v>44789</v>
      </c>
      <c r="R116" s="106"/>
      <c r="S116" s="107">
        <v>180</v>
      </c>
      <c r="T116" s="107">
        <v>151</v>
      </c>
      <c r="U116" s="107">
        <v>180</v>
      </c>
      <c r="V116" s="107">
        <v>151</v>
      </c>
      <c r="W116" s="108"/>
      <c r="X116" s="108"/>
      <c r="Y116" s="109"/>
      <c r="Z116" s="110">
        <v>0</v>
      </c>
      <c r="AA116" s="107"/>
      <c r="AB116" s="111"/>
      <c r="AC116" s="112"/>
      <c r="AD116" s="113">
        <v>0.83888888888888891</v>
      </c>
      <c r="AE116" s="119">
        <v>0</v>
      </c>
      <c r="AF116" s="115"/>
      <c r="AG116" s="115"/>
      <c r="AH116" s="115"/>
      <c r="AI116" s="115"/>
      <c r="AJ116" s="115"/>
      <c r="AK116" s="115"/>
      <c r="AL116" s="115"/>
      <c r="AM116" s="115" t="str">
        <f>"     " &amp; TEXT(AE116,"#0.00%") &amp; " "</f>
        <v xml:space="preserve">     0.00% </v>
      </c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 t="str">
        <f>"   " &amp; "구매품 발주 및 입고" &amp; " " &amp; IF(P116="","",TEXT(P116,"M/D-")) &amp; IF(Q116="","",TEXT(Q116,"M/D")) &amp; " "</f>
        <v xml:space="preserve">   구매품 발주 및 입고 2/18-8/16 </v>
      </c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6"/>
    </row>
    <row r="117" spans="1:138" ht="12" customHeight="1" outlineLevel="2" x14ac:dyDescent="0.4">
      <c r="A117" s="101"/>
      <c r="B117" s="101"/>
      <c r="C117" s="101">
        <v>3</v>
      </c>
      <c r="D117" s="102" t="s">
        <v>476</v>
      </c>
      <c r="E117" s="103"/>
      <c r="F117" s="103"/>
      <c r="G117" s="125" t="s">
        <v>425</v>
      </c>
      <c r="H117" s="120"/>
      <c r="I117" s="103"/>
      <c r="J117" s="103"/>
      <c r="K117" s="103"/>
      <c r="L117" s="103"/>
      <c r="M117" s="103"/>
      <c r="N117" s="103"/>
      <c r="O117" s="104"/>
      <c r="P117" s="108">
        <v>44764</v>
      </c>
      <c r="Q117" s="108">
        <v>44856</v>
      </c>
      <c r="R117" s="106"/>
      <c r="S117" s="107">
        <v>93</v>
      </c>
      <c r="T117" s="107">
        <v>0</v>
      </c>
      <c r="U117" s="107">
        <v>93</v>
      </c>
      <c r="V117" s="107">
        <v>0</v>
      </c>
      <c r="W117" s="108"/>
      <c r="X117" s="108"/>
      <c r="Y117" s="109"/>
      <c r="Z117" s="110">
        <v>0</v>
      </c>
      <c r="AA117" s="107"/>
      <c r="AB117" s="111"/>
      <c r="AC117" s="112"/>
      <c r="AD117" s="113">
        <v>0</v>
      </c>
      <c r="AE117" s="134">
        <v>0</v>
      </c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 t="str">
        <f>"     " &amp; TEXT(AE117,"#0.00%") &amp; " "</f>
        <v xml:space="preserve">     0.00% </v>
      </c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 t="str">
        <f>"" &amp; "가공 및 제작 (국내)" &amp; " " &amp; IF(P117="","",TEXT(P117,"M/D-")) &amp; IF(Q117="","",TEXT(Q117,"M/D")) &amp; " "</f>
        <v xml:space="preserve">가공 및 제작 (국내) 7/22-10/22 </v>
      </c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6"/>
    </row>
    <row r="118" spans="1:138" ht="12" customHeight="1" outlineLevel="2" x14ac:dyDescent="0.4">
      <c r="A118" s="101"/>
      <c r="B118" s="101"/>
      <c r="C118" s="101">
        <v>3</v>
      </c>
      <c r="D118" s="102" t="s">
        <v>477</v>
      </c>
      <c r="E118" s="103"/>
      <c r="F118" s="103"/>
      <c r="G118" s="125" t="s">
        <v>427</v>
      </c>
      <c r="H118" s="133"/>
      <c r="I118" s="125"/>
      <c r="J118" s="125"/>
      <c r="K118" s="125"/>
      <c r="L118" s="125"/>
      <c r="M118" s="125"/>
      <c r="N118" s="125"/>
      <c r="O118" s="126"/>
      <c r="P118" s="108">
        <v>44913</v>
      </c>
      <c r="Q118" s="108">
        <v>44985</v>
      </c>
      <c r="R118" s="127"/>
      <c r="S118" s="128">
        <v>73</v>
      </c>
      <c r="T118" s="128">
        <v>0</v>
      </c>
      <c r="U118" s="128">
        <v>73</v>
      </c>
      <c r="V118" s="128">
        <v>0</v>
      </c>
      <c r="W118" s="105"/>
      <c r="X118" s="105"/>
      <c r="Y118" s="129"/>
      <c r="Z118" s="130">
        <v>0</v>
      </c>
      <c r="AA118" s="128"/>
      <c r="AB118" s="131"/>
      <c r="AC118" s="121"/>
      <c r="AD118" s="132">
        <v>0</v>
      </c>
      <c r="AE118" s="134">
        <v>0</v>
      </c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 t="str">
        <f>"" &amp; TEXT(AE118,"#0.00%") &amp; " "</f>
        <v xml:space="preserve">0.00% </v>
      </c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 t="str">
        <f>"   " &amp; "가공 및 제작 (현지)" &amp; " " &amp; IF(P118="","",TEXT(P118,"M/D-")) &amp; IF(Q118="","",TEXT(Q118,"M/D")) &amp; " "</f>
        <v xml:space="preserve">   가공 및 제작 (현지) 12/18-2/28 </v>
      </c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6"/>
    </row>
    <row r="119" spans="1:138" ht="12" customHeight="1" outlineLevel="2" x14ac:dyDescent="0.4">
      <c r="A119" s="101"/>
      <c r="B119" s="101"/>
      <c r="C119" s="101">
        <v>3</v>
      </c>
      <c r="D119" s="102" t="s">
        <v>478</v>
      </c>
      <c r="E119" s="103"/>
      <c r="F119" s="103"/>
      <c r="G119" s="125" t="s">
        <v>429</v>
      </c>
      <c r="H119" s="103"/>
      <c r="I119" s="103"/>
      <c r="J119" s="103"/>
      <c r="K119" s="103"/>
      <c r="L119" s="103"/>
      <c r="M119" s="103"/>
      <c r="N119" s="103"/>
      <c r="O119" s="104"/>
      <c r="P119" s="108">
        <v>44837</v>
      </c>
      <c r="Q119" s="108">
        <v>44882</v>
      </c>
      <c r="R119" s="106"/>
      <c r="S119" s="107">
        <v>46</v>
      </c>
      <c r="T119" s="107">
        <v>0</v>
      </c>
      <c r="U119" s="107">
        <v>46</v>
      </c>
      <c r="V119" s="107">
        <v>0</v>
      </c>
      <c r="W119" s="108"/>
      <c r="X119" s="108"/>
      <c r="Y119" s="109"/>
      <c r="Z119" s="110">
        <v>0</v>
      </c>
      <c r="AA119" s="107"/>
      <c r="AB119" s="111"/>
      <c r="AC119" s="112"/>
      <c r="AD119" s="113">
        <v>0</v>
      </c>
      <c r="AE119" s="134">
        <v>0</v>
      </c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 t="str">
        <f>" " &amp; TEXT(AE119,"#0.00%") &amp; " "</f>
        <v xml:space="preserve"> 0.00% </v>
      </c>
      <c r="BU119" s="115"/>
      <c r="BV119" s="115"/>
      <c r="BW119" s="115"/>
      <c r="BX119" s="115"/>
      <c r="BY119" s="115"/>
      <c r="BZ119" s="115" t="str">
        <f>"     " &amp; "기구 조립" &amp; " " &amp; IF(P119="","",TEXT(P119,"M/D-")) &amp; IF(Q119="","",TEXT(Q119,"M/D")) &amp; " "</f>
        <v xml:space="preserve">     기구 조립 10/3-11/17 </v>
      </c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116"/>
    </row>
    <row r="120" spans="1:138" ht="12" customHeight="1" outlineLevel="2" x14ac:dyDescent="0.4">
      <c r="A120" s="101"/>
      <c r="B120" s="101"/>
      <c r="C120" s="101">
        <v>3</v>
      </c>
      <c r="D120" s="102" t="s">
        <v>479</v>
      </c>
      <c r="E120" s="103"/>
      <c r="F120" s="103"/>
      <c r="G120" s="125" t="s">
        <v>431</v>
      </c>
      <c r="H120" s="103"/>
      <c r="I120" s="103"/>
      <c r="J120" s="103"/>
      <c r="K120" s="103"/>
      <c r="L120" s="103"/>
      <c r="M120" s="103"/>
      <c r="N120" s="103"/>
      <c r="O120" s="104"/>
      <c r="P120" s="108">
        <v>44852</v>
      </c>
      <c r="Q120" s="108">
        <v>44902</v>
      </c>
      <c r="R120" s="106"/>
      <c r="S120" s="107">
        <v>51</v>
      </c>
      <c r="T120" s="107">
        <v>0</v>
      </c>
      <c r="U120" s="107">
        <v>51</v>
      </c>
      <c r="V120" s="107">
        <v>0</v>
      </c>
      <c r="W120" s="108"/>
      <c r="X120" s="108"/>
      <c r="Y120" s="109"/>
      <c r="Z120" s="110">
        <v>0</v>
      </c>
      <c r="AA120" s="107"/>
      <c r="AB120" s="111"/>
      <c r="AC120" s="112"/>
      <c r="AD120" s="113">
        <v>0</v>
      </c>
      <c r="AE120" s="134">
        <v>0</v>
      </c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 t="str">
        <f>"  " &amp; TEXT(AE120,"#0.00%") &amp; " "</f>
        <v xml:space="preserve">  0.00% </v>
      </c>
      <c r="BW120" s="115"/>
      <c r="BX120" s="115"/>
      <c r="BY120" s="115"/>
      <c r="BZ120" s="115"/>
      <c r="CA120" s="115"/>
      <c r="CB120" s="115"/>
      <c r="CC120" s="115" t="str">
        <f>"    " &amp; "전장 배선" &amp; " " &amp; IF(P120="","",TEXT(P120,"M/D-")) &amp; IF(Q120="","",TEXT(Q120,"M/D")) &amp; " "</f>
        <v xml:space="preserve">    전장 배선 10/18-12/7 </v>
      </c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116"/>
    </row>
    <row r="121" spans="1:138" ht="12" customHeight="1" outlineLevel="2" x14ac:dyDescent="0.4">
      <c r="A121" s="101"/>
      <c r="B121" s="101"/>
      <c r="C121" s="101">
        <v>3</v>
      </c>
      <c r="D121" s="102" t="s">
        <v>480</v>
      </c>
      <c r="E121" s="103"/>
      <c r="F121" s="103"/>
      <c r="G121" s="125" t="s">
        <v>433</v>
      </c>
      <c r="H121" s="103"/>
      <c r="I121" s="103"/>
      <c r="J121" s="103"/>
      <c r="K121" s="103"/>
      <c r="L121" s="103"/>
      <c r="M121" s="103"/>
      <c r="N121" s="103"/>
      <c r="O121" s="104"/>
      <c r="P121" s="105">
        <v>44859</v>
      </c>
      <c r="Q121" s="105">
        <v>44908</v>
      </c>
      <c r="R121" s="106"/>
      <c r="S121" s="107">
        <v>50</v>
      </c>
      <c r="T121" s="107">
        <v>0</v>
      </c>
      <c r="U121" s="107">
        <v>50</v>
      </c>
      <c r="V121" s="107">
        <v>0</v>
      </c>
      <c r="W121" s="108"/>
      <c r="X121" s="108"/>
      <c r="Y121" s="109"/>
      <c r="Z121" s="110">
        <v>0</v>
      </c>
      <c r="AA121" s="107"/>
      <c r="AB121" s="111"/>
      <c r="AC121" s="112"/>
      <c r="AD121" s="113">
        <v>0</v>
      </c>
      <c r="AE121" s="134">
        <v>0</v>
      </c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 t="str">
        <f>"  " &amp; TEXT(AE121,"#0.00%") &amp; " "</f>
        <v xml:space="preserve">  0.00% </v>
      </c>
      <c r="BX121" s="115"/>
      <c r="BY121" s="115"/>
      <c r="BZ121" s="115"/>
      <c r="CA121" s="115"/>
      <c r="CB121" s="115"/>
      <c r="CC121" s="115"/>
      <c r="CD121" s="115" t="str">
        <f>"   " &amp; "단동 TEST" &amp; " " &amp; IF(P121="","",TEXT(P121,"M/D-")) &amp; IF(Q121="","",TEXT(Q121,"M/D")) &amp; " "</f>
        <v xml:space="preserve">   단동 TEST 10/25-12/13 </v>
      </c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  <c r="DW121" s="115"/>
      <c r="DX121" s="115"/>
      <c r="DY121" s="115"/>
      <c r="DZ121" s="115"/>
      <c r="EA121" s="115"/>
      <c r="EB121" s="115"/>
      <c r="EC121" s="115"/>
      <c r="ED121" s="115"/>
      <c r="EE121" s="115"/>
      <c r="EF121" s="115"/>
      <c r="EG121" s="115"/>
      <c r="EH121" s="116"/>
    </row>
    <row r="122" spans="1:138" ht="12" customHeight="1" outlineLevel="2" x14ac:dyDescent="0.4">
      <c r="A122" s="101"/>
      <c r="B122" s="101"/>
      <c r="C122" s="101">
        <v>3</v>
      </c>
      <c r="D122" s="102" t="s">
        <v>481</v>
      </c>
      <c r="E122" s="103"/>
      <c r="F122" s="103"/>
      <c r="G122" s="125" t="s">
        <v>435</v>
      </c>
      <c r="H122" s="125"/>
      <c r="I122" s="125"/>
      <c r="J122" s="125"/>
      <c r="K122" s="125"/>
      <c r="L122" s="125"/>
      <c r="M122" s="125"/>
      <c r="N122" s="125"/>
      <c r="O122" s="126"/>
      <c r="P122" s="105">
        <v>44872</v>
      </c>
      <c r="Q122" s="105">
        <v>44915</v>
      </c>
      <c r="R122" s="127"/>
      <c r="S122" s="128">
        <v>44</v>
      </c>
      <c r="T122" s="128">
        <v>0</v>
      </c>
      <c r="U122" s="128">
        <v>44</v>
      </c>
      <c r="V122" s="128">
        <v>0</v>
      </c>
      <c r="W122" s="105"/>
      <c r="X122" s="105"/>
      <c r="Y122" s="129"/>
      <c r="Z122" s="130">
        <v>0</v>
      </c>
      <c r="AA122" s="128"/>
      <c r="AB122" s="131"/>
      <c r="AC122" s="121"/>
      <c r="AD122" s="132">
        <v>0</v>
      </c>
      <c r="AE122" s="134">
        <v>0</v>
      </c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 t="str">
        <f>" " &amp; TEXT(AE122,"#0.00%") &amp; " "</f>
        <v xml:space="preserve"> 0.00% </v>
      </c>
      <c r="BZ122" s="115"/>
      <c r="CA122" s="115"/>
      <c r="CB122" s="115"/>
      <c r="CC122" s="115"/>
      <c r="CD122" s="115"/>
      <c r="CE122" s="115" t="str">
        <f>"   " &amp; "연동 TEST" &amp; " " &amp; IF(P122="","",TEXT(P122,"M/D-")) &amp; IF(Q122="","",TEXT(Q122,"M/D")) &amp; " "</f>
        <v xml:space="preserve">   연동 TEST 11/7-12/20 </v>
      </c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  <c r="DW122" s="115"/>
      <c r="DX122" s="115"/>
      <c r="DY122" s="115"/>
      <c r="DZ122" s="115"/>
      <c r="EA122" s="115"/>
      <c r="EB122" s="115"/>
      <c r="EC122" s="115"/>
      <c r="ED122" s="115"/>
      <c r="EE122" s="115"/>
      <c r="EF122" s="115"/>
      <c r="EG122" s="115"/>
      <c r="EH122" s="116"/>
    </row>
    <row r="123" spans="1:138" ht="12" customHeight="1" outlineLevel="2" x14ac:dyDescent="0.4">
      <c r="A123" s="101"/>
      <c r="B123" s="101"/>
      <c r="C123" s="101">
        <v>3</v>
      </c>
      <c r="D123" s="102" t="s">
        <v>482</v>
      </c>
      <c r="E123" s="103"/>
      <c r="F123" s="103"/>
      <c r="G123" s="125" t="s">
        <v>437</v>
      </c>
      <c r="H123" s="103"/>
      <c r="I123" s="103"/>
      <c r="J123" s="103"/>
      <c r="K123" s="103"/>
      <c r="L123" s="103"/>
      <c r="M123" s="103"/>
      <c r="N123" s="103"/>
      <c r="O123" s="104"/>
      <c r="P123" s="105">
        <v>44875</v>
      </c>
      <c r="Q123" s="105">
        <v>44875</v>
      </c>
      <c r="R123" s="106"/>
      <c r="S123" s="107">
        <v>1</v>
      </c>
      <c r="T123" s="107">
        <v>0</v>
      </c>
      <c r="U123" s="107">
        <v>1</v>
      </c>
      <c r="V123" s="107">
        <v>0</v>
      </c>
      <c r="W123" s="108"/>
      <c r="X123" s="108"/>
      <c r="Y123" s="109"/>
      <c r="Z123" s="110">
        <v>0</v>
      </c>
      <c r="AA123" s="107"/>
      <c r="AB123" s="111"/>
      <c r="AC123" s="112"/>
      <c r="AD123" s="113">
        <v>0</v>
      </c>
      <c r="AE123" s="134">
        <v>0</v>
      </c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 t="str">
        <f>"    " &amp; TEXT(AE123,"#0.00%") &amp; " " &amp; "고객사 검수" &amp; " " &amp; IF(P123="","",TEXT(P123,"M/D-")) &amp; IF(Q123="","",TEXT(Q123,"M/D")) &amp; " "</f>
        <v xml:space="preserve">    0.00% 고객사 검수 11/10-11/10 </v>
      </c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  <c r="DW123" s="115"/>
      <c r="DX123" s="115"/>
      <c r="DY123" s="115"/>
      <c r="DZ123" s="115"/>
      <c r="EA123" s="115"/>
      <c r="EB123" s="115"/>
      <c r="EC123" s="115"/>
      <c r="ED123" s="115"/>
      <c r="EE123" s="115"/>
      <c r="EF123" s="115"/>
      <c r="EG123" s="115"/>
      <c r="EH123" s="116"/>
    </row>
    <row r="124" spans="1:138" ht="12" customHeight="1" outlineLevel="1" x14ac:dyDescent="0.4">
      <c r="A124" s="101"/>
      <c r="B124" s="101" t="s">
        <v>325</v>
      </c>
      <c r="C124" s="101">
        <v>2</v>
      </c>
      <c r="D124" s="102" t="s">
        <v>483</v>
      </c>
      <c r="E124" s="103"/>
      <c r="F124" s="103" t="s">
        <v>388</v>
      </c>
      <c r="G124" s="103"/>
      <c r="H124" s="103"/>
      <c r="I124" s="103"/>
      <c r="J124" s="103"/>
      <c r="K124" s="103"/>
      <c r="L124" s="103"/>
      <c r="M124" s="103"/>
      <c r="N124" s="103"/>
      <c r="O124" s="104" t="s">
        <v>345</v>
      </c>
      <c r="P124" s="108">
        <v>44635</v>
      </c>
      <c r="Q124" s="108">
        <v>44895</v>
      </c>
      <c r="R124" s="106"/>
      <c r="S124" s="107">
        <v>326</v>
      </c>
      <c r="T124" s="107">
        <v>130</v>
      </c>
      <c r="U124" s="107">
        <v>261</v>
      </c>
      <c r="V124" s="107">
        <v>126</v>
      </c>
      <c r="W124" s="108"/>
      <c r="X124" s="108"/>
      <c r="Y124" s="109">
        <v>0</v>
      </c>
      <c r="Z124" s="110">
        <v>0</v>
      </c>
      <c r="AA124" s="107"/>
      <c r="AB124" s="111"/>
      <c r="AC124" s="112"/>
      <c r="AD124" s="113">
        <v>0.3987730061349693</v>
      </c>
      <c r="AE124" s="114">
        <v>0</v>
      </c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 t="str">
        <f>"  " &amp; TEXT(AE124,"#0.00%") &amp; " "</f>
        <v xml:space="preserve">  0.00% </v>
      </c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 t="str">
        <f>"    " &amp; "OVEN 연결물류 " &amp; " " &amp; IF(P124="","",TEXT(P124,"M/D-")) &amp; IF(Q124="","",TEXT(Q124,"M/D")) &amp; " "</f>
        <v xml:space="preserve">    OVEN 연결물류  3/15-11/30 </v>
      </c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6"/>
    </row>
    <row r="125" spans="1:138" ht="12" customHeight="1" outlineLevel="2" x14ac:dyDescent="0.4">
      <c r="A125" s="101"/>
      <c r="B125" s="101"/>
      <c r="C125" s="101">
        <v>3</v>
      </c>
      <c r="D125" s="102" t="s">
        <v>484</v>
      </c>
      <c r="E125" s="103"/>
      <c r="F125" s="103"/>
      <c r="G125" s="125" t="s">
        <v>423</v>
      </c>
      <c r="H125" s="103"/>
      <c r="I125" s="103"/>
      <c r="J125" s="103"/>
      <c r="K125" s="103"/>
      <c r="L125" s="103"/>
      <c r="M125" s="103"/>
      <c r="N125" s="103"/>
      <c r="O125" s="104"/>
      <c r="P125" s="105">
        <v>44635</v>
      </c>
      <c r="Q125" s="105">
        <v>44819</v>
      </c>
      <c r="R125" s="106"/>
      <c r="S125" s="107">
        <v>185</v>
      </c>
      <c r="T125" s="107">
        <v>126</v>
      </c>
      <c r="U125" s="107">
        <v>185</v>
      </c>
      <c r="V125" s="107">
        <v>126</v>
      </c>
      <c r="W125" s="108"/>
      <c r="X125" s="108"/>
      <c r="Y125" s="109"/>
      <c r="Z125" s="110">
        <v>0</v>
      </c>
      <c r="AA125" s="107"/>
      <c r="AB125" s="111"/>
      <c r="AC125" s="112"/>
      <c r="AD125" s="113">
        <v>0.68108108108108112</v>
      </c>
      <c r="AE125" s="119">
        <v>0</v>
      </c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 t="str">
        <f>"  " &amp; TEXT(AE125,"#0.00%") &amp; " "</f>
        <v xml:space="preserve">  0.00% </v>
      </c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 t="str">
        <f>"     " &amp; "구매품 발주 및 입고" &amp; " " &amp; IF(P125="","",TEXT(P125,"M/D-")) &amp; IF(Q125="","",TEXT(Q125,"M/D")) &amp; " "</f>
        <v xml:space="preserve">     구매품 발주 및 입고 3/15-9/15 </v>
      </c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115"/>
      <c r="EB125" s="115"/>
      <c r="EC125" s="115"/>
      <c r="ED125" s="115"/>
      <c r="EE125" s="115"/>
      <c r="EF125" s="115"/>
      <c r="EG125" s="115"/>
      <c r="EH125" s="116"/>
    </row>
    <row r="126" spans="1:138" ht="12" customHeight="1" outlineLevel="2" x14ac:dyDescent="0.4">
      <c r="A126" s="101"/>
      <c r="B126" s="101"/>
      <c r="C126" s="101">
        <v>3</v>
      </c>
      <c r="D126" s="102" t="s">
        <v>485</v>
      </c>
      <c r="E126" s="103"/>
      <c r="F126" s="103"/>
      <c r="G126" s="125" t="s">
        <v>442</v>
      </c>
      <c r="H126" s="103"/>
      <c r="I126" s="103"/>
      <c r="J126" s="103"/>
      <c r="K126" s="103"/>
      <c r="L126" s="103"/>
      <c r="M126" s="103"/>
      <c r="N126" s="103"/>
      <c r="O126" s="104"/>
      <c r="P126" s="105">
        <v>44757</v>
      </c>
      <c r="Q126" s="105">
        <v>44804</v>
      </c>
      <c r="R126" s="106"/>
      <c r="S126" s="107">
        <v>48</v>
      </c>
      <c r="T126" s="107">
        <v>4</v>
      </c>
      <c r="U126" s="107">
        <v>48</v>
      </c>
      <c r="V126" s="107">
        <v>4</v>
      </c>
      <c r="W126" s="108"/>
      <c r="X126" s="108"/>
      <c r="Y126" s="109"/>
      <c r="Z126" s="110">
        <v>0</v>
      </c>
      <c r="AA126" s="107"/>
      <c r="AB126" s="111"/>
      <c r="AC126" s="112"/>
      <c r="AD126" s="113">
        <v>8.3333333333333329E-2</v>
      </c>
      <c r="AE126" s="119">
        <v>0</v>
      </c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 t="str">
        <f>"     " &amp; TEXT(AE126,"#0.00%") &amp; " "</f>
        <v xml:space="preserve">     0.00% </v>
      </c>
      <c r="BI126" s="115"/>
      <c r="BJ126" s="115"/>
      <c r="BK126" s="115"/>
      <c r="BL126" s="115"/>
      <c r="BM126" s="115"/>
      <c r="BN126" s="115"/>
      <c r="BO126" s="115" t="str">
        <f>"    " &amp; "가공 및 제작" &amp; " " &amp; IF(P126="","",TEXT(P126,"M/D-")) &amp; IF(Q126="","",TEXT(Q126,"M/D")) &amp; " "</f>
        <v xml:space="preserve">    가공 및 제작 7/15-8/31 </v>
      </c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6"/>
    </row>
    <row r="127" spans="1:138" ht="12" customHeight="1" outlineLevel="2" x14ac:dyDescent="0.4">
      <c r="A127" s="101"/>
      <c r="B127" s="101"/>
      <c r="C127" s="101">
        <v>3</v>
      </c>
      <c r="D127" s="102" t="s">
        <v>486</v>
      </c>
      <c r="E127" s="103"/>
      <c r="F127" s="103"/>
      <c r="G127" s="125" t="s">
        <v>429</v>
      </c>
      <c r="H127" s="103"/>
      <c r="I127" s="103"/>
      <c r="J127" s="103"/>
      <c r="K127" s="103"/>
      <c r="L127" s="103"/>
      <c r="M127" s="103"/>
      <c r="N127" s="103"/>
      <c r="O127" s="104"/>
      <c r="P127" s="105">
        <v>44814</v>
      </c>
      <c r="Q127" s="105">
        <v>44844</v>
      </c>
      <c r="R127" s="106"/>
      <c r="S127" s="107">
        <v>31</v>
      </c>
      <c r="T127" s="107">
        <v>0</v>
      </c>
      <c r="U127" s="107">
        <v>31</v>
      </c>
      <c r="V127" s="107">
        <v>0</v>
      </c>
      <c r="W127" s="108"/>
      <c r="X127" s="108"/>
      <c r="Y127" s="109"/>
      <c r="Z127" s="110">
        <v>0</v>
      </c>
      <c r="AA127" s="107"/>
      <c r="AB127" s="111"/>
      <c r="AC127" s="112"/>
      <c r="AD127" s="113">
        <v>0</v>
      </c>
      <c r="AE127" s="134">
        <v>0</v>
      </c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 t="str">
        <f>"      " &amp; TEXT(AE127,"#0.00%") &amp; " "</f>
        <v xml:space="preserve">      0.00% </v>
      </c>
      <c r="BQ127" s="115"/>
      <c r="BR127" s="115"/>
      <c r="BS127" s="115"/>
      <c r="BT127" s="115"/>
      <c r="BU127" s="115" t="str">
        <f>"  " &amp; "기구 조립" &amp; " " &amp; IF(P127="","",TEXT(P127,"M/D-")) &amp; IF(Q127="","",TEXT(Q127,"M/D")) &amp; " "</f>
        <v xml:space="preserve">  기구 조립 9/10-10/10 </v>
      </c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6"/>
    </row>
    <row r="128" spans="1:138" ht="12" customHeight="1" outlineLevel="2" x14ac:dyDescent="0.4">
      <c r="A128" s="101"/>
      <c r="B128" s="101"/>
      <c r="C128" s="101">
        <v>3</v>
      </c>
      <c r="D128" s="102" t="s">
        <v>487</v>
      </c>
      <c r="E128" s="103"/>
      <c r="F128" s="103"/>
      <c r="G128" s="125" t="s">
        <v>431</v>
      </c>
      <c r="H128" s="103"/>
      <c r="I128" s="103"/>
      <c r="J128" s="103"/>
      <c r="K128" s="103"/>
      <c r="L128" s="103"/>
      <c r="M128" s="103"/>
      <c r="N128" s="103"/>
      <c r="O128" s="104"/>
      <c r="P128" s="105">
        <v>44835</v>
      </c>
      <c r="Q128" s="105">
        <v>44854</v>
      </c>
      <c r="R128" s="106"/>
      <c r="S128" s="107">
        <v>20</v>
      </c>
      <c r="T128" s="107">
        <v>0</v>
      </c>
      <c r="U128" s="107">
        <v>20</v>
      </c>
      <c r="V128" s="107">
        <v>0</v>
      </c>
      <c r="W128" s="108"/>
      <c r="X128" s="108"/>
      <c r="Y128" s="109"/>
      <c r="Z128" s="110">
        <v>0</v>
      </c>
      <c r="AA128" s="107"/>
      <c r="AB128" s="111"/>
      <c r="AC128" s="112"/>
      <c r="AD128" s="113">
        <v>0</v>
      </c>
      <c r="AE128" s="134">
        <v>0</v>
      </c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 t="str">
        <f>"      " &amp; TEXT(AE128,"#0.00%") &amp; " " &amp; "전장 배선" &amp; " " &amp; IF(P128="","",TEXT(P128,"M/D-")) &amp; IF(Q128="","",TEXT(Q128,"M/D")) &amp; " "</f>
        <v xml:space="preserve">      0.00% 전장 배선 10/1-10/20 </v>
      </c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6"/>
    </row>
    <row r="129" spans="1:138" ht="12" customHeight="1" outlineLevel="2" x14ac:dyDescent="0.4">
      <c r="A129" s="101"/>
      <c r="B129" s="101"/>
      <c r="C129" s="101">
        <v>3</v>
      </c>
      <c r="D129" s="102" t="s">
        <v>488</v>
      </c>
      <c r="E129" s="103"/>
      <c r="F129" s="103"/>
      <c r="G129" s="125" t="s">
        <v>433</v>
      </c>
      <c r="H129" s="103"/>
      <c r="I129" s="103"/>
      <c r="J129" s="103"/>
      <c r="K129" s="103"/>
      <c r="L129" s="103"/>
      <c r="M129" s="103"/>
      <c r="N129" s="103"/>
      <c r="O129" s="104"/>
      <c r="P129" s="105">
        <v>44855</v>
      </c>
      <c r="Q129" s="105">
        <v>44885</v>
      </c>
      <c r="R129" s="106"/>
      <c r="S129" s="107">
        <v>31</v>
      </c>
      <c r="T129" s="107">
        <v>0</v>
      </c>
      <c r="U129" s="107">
        <v>31</v>
      </c>
      <c r="V129" s="107">
        <v>0</v>
      </c>
      <c r="W129" s="108"/>
      <c r="X129" s="108"/>
      <c r="Y129" s="109"/>
      <c r="Z129" s="110">
        <v>0</v>
      </c>
      <c r="AA129" s="107"/>
      <c r="AB129" s="111"/>
      <c r="AC129" s="112"/>
      <c r="AD129" s="113">
        <v>0</v>
      </c>
      <c r="AE129" s="134">
        <v>0</v>
      </c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 t="str">
        <f>"     " &amp; TEXT(AE129,"#0.00%") &amp; " "</f>
        <v xml:space="preserve">     0.00% </v>
      </c>
      <c r="BW129" s="115"/>
      <c r="BX129" s="115"/>
      <c r="BY129" s="115"/>
      <c r="BZ129" s="115"/>
      <c r="CA129" s="115" t="str">
        <f>" " &amp; "단동 TEST" &amp; " " &amp; IF(P129="","",TEXT(P129,"M/D-")) &amp; IF(Q129="","",TEXT(Q129,"M/D")) &amp; " "</f>
        <v xml:space="preserve"> 단동 TEST 10/21-11/20 </v>
      </c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6"/>
    </row>
    <row r="130" spans="1:138" ht="12" customHeight="1" outlineLevel="2" x14ac:dyDescent="0.4">
      <c r="A130" s="101"/>
      <c r="B130" s="101"/>
      <c r="C130" s="101">
        <v>3</v>
      </c>
      <c r="D130" s="102" t="s">
        <v>489</v>
      </c>
      <c r="E130" s="103"/>
      <c r="F130" s="103"/>
      <c r="G130" s="125" t="s">
        <v>437</v>
      </c>
      <c r="H130" s="103"/>
      <c r="I130" s="103"/>
      <c r="J130" s="103"/>
      <c r="K130" s="103"/>
      <c r="L130" s="103"/>
      <c r="M130" s="103"/>
      <c r="N130" s="103"/>
      <c r="O130" s="104"/>
      <c r="P130" s="105">
        <v>44885</v>
      </c>
      <c r="Q130" s="105">
        <v>44895</v>
      </c>
      <c r="R130" s="106"/>
      <c r="S130" s="107">
        <v>11</v>
      </c>
      <c r="T130" s="107">
        <v>0</v>
      </c>
      <c r="U130" s="107">
        <v>11</v>
      </c>
      <c r="V130" s="107">
        <v>0</v>
      </c>
      <c r="W130" s="108"/>
      <c r="X130" s="108"/>
      <c r="Y130" s="109"/>
      <c r="Z130" s="110">
        <v>0</v>
      </c>
      <c r="AA130" s="107"/>
      <c r="AB130" s="111"/>
      <c r="AC130" s="112"/>
      <c r="AD130" s="113">
        <v>0</v>
      </c>
      <c r="AE130" s="134">
        <v>0</v>
      </c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 t="str">
        <f>"" &amp; TEXT(AE130,"#0.00%") &amp; " " &amp; "고객사 검수" &amp; " " &amp; IF(P130="","",TEXT(P130,"M/D-")) &amp; IF(Q130="","",TEXT(Q130,"M/D")) &amp; " "</f>
        <v xml:space="preserve">0.00% 고객사 검수 11/20-11/30 </v>
      </c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115"/>
      <c r="DY130" s="115"/>
      <c r="DZ130" s="115"/>
      <c r="EA130" s="115"/>
      <c r="EB130" s="115"/>
      <c r="EC130" s="115"/>
      <c r="ED130" s="115"/>
      <c r="EE130" s="115"/>
      <c r="EF130" s="115"/>
      <c r="EG130" s="115"/>
      <c r="EH130" s="116"/>
    </row>
    <row r="131" spans="1:138" ht="12" customHeight="1" outlineLevel="1" x14ac:dyDescent="0.4">
      <c r="A131" s="101"/>
      <c r="B131" s="101" t="s">
        <v>325</v>
      </c>
      <c r="C131" s="101">
        <v>2</v>
      </c>
      <c r="D131" s="102" t="s">
        <v>490</v>
      </c>
      <c r="E131" s="103"/>
      <c r="F131" s="103" t="s">
        <v>396</v>
      </c>
      <c r="G131" s="103"/>
      <c r="H131" s="103"/>
      <c r="I131" s="103"/>
      <c r="J131" s="103"/>
      <c r="K131" s="103"/>
      <c r="L131" s="103"/>
      <c r="M131" s="103"/>
      <c r="N131" s="103"/>
      <c r="O131" s="104" t="s">
        <v>345</v>
      </c>
      <c r="P131" s="105">
        <v>44635</v>
      </c>
      <c r="Q131" s="105">
        <v>44957</v>
      </c>
      <c r="R131" s="106"/>
      <c r="S131" s="107">
        <v>545</v>
      </c>
      <c r="T131" s="107">
        <v>126</v>
      </c>
      <c r="U131" s="107">
        <v>323</v>
      </c>
      <c r="V131" s="107">
        <v>126</v>
      </c>
      <c r="W131" s="108"/>
      <c r="X131" s="108"/>
      <c r="Y131" s="109">
        <v>0</v>
      </c>
      <c r="Z131" s="110">
        <v>0</v>
      </c>
      <c r="AA131" s="107"/>
      <c r="AB131" s="111"/>
      <c r="AC131" s="112"/>
      <c r="AD131" s="113">
        <v>0.23119266055045873</v>
      </c>
      <c r="AE131" s="114">
        <v>0</v>
      </c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 t="str">
        <f>"  " &amp; TEXT(AE131,"#0.00%") &amp; " "</f>
        <v xml:space="preserve">  0.00% </v>
      </c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 t="str">
        <f>"   " &amp; "CCS 포장물류" &amp; " " &amp; IF(P131="","",TEXT(P131,"M/D-")) &amp; IF(Q131="","",TEXT(Q131,"M/D")) &amp; " "</f>
        <v xml:space="preserve">   CCS 포장물류 3/15-1/31 </v>
      </c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115"/>
      <c r="DJ131" s="115"/>
      <c r="DK131" s="115"/>
      <c r="DL131" s="115"/>
      <c r="DM131" s="115"/>
      <c r="DN131" s="115"/>
      <c r="DO131" s="115"/>
      <c r="DP131" s="115"/>
      <c r="DQ131" s="115"/>
      <c r="DR131" s="115"/>
      <c r="DS131" s="115"/>
      <c r="DT131" s="115"/>
      <c r="DU131" s="115"/>
      <c r="DV131" s="115"/>
      <c r="DW131" s="115"/>
      <c r="DX131" s="115"/>
      <c r="DY131" s="115"/>
      <c r="DZ131" s="115"/>
      <c r="EA131" s="115"/>
      <c r="EB131" s="115"/>
      <c r="EC131" s="115"/>
      <c r="ED131" s="115"/>
      <c r="EE131" s="115"/>
      <c r="EF131" s="115"/>
      <c r="EG131" s="115"/>
      <c r="EH131" s="116"/>
    </row>
    <row r="132" spans="1:138" ht="12" customHeight="1" outlineLevel="2" x14ac:dyDescent="0.4">
      <c r="A132" s="101"/>
      <c r="B132" s="101"/>
      <c r="C132" s="101">
        <v>3</v>
      </c>
      <c r="D132" s="102" t="s">
        <v>491</v>
      </c>
      <c r="E132" s="103"/>
      <c r="F132" s="103"/>
      <c r="G132" s="125" t="s">
        <v>423</v>
      </c>
      <c r="H132" s="103"/>
      <c r="I132" s="103"/>
      <c r="J132" s="103"/>
      <c r="K132" s="103"/>
      <c r="L132" s="103"/>
      <c r="M132" s="103"/>
      <c r="N132" s="103"/>
      <c r="O132" s="104"/>
      <c r="P132" s="135">
        <v>44635</v>
      </c>
      <c r="Q132" s="135">
        <v>44896</v>
      </c>
      <c r="R132" s="106"/>
      <c r="S132" s="107">
        <v>262</v>
      </c>
      <c r="T132" s="107">
        <v>126</v>
      </c>
      <c r="U132" s="107">
        <v>262</v>
      </c>
      <c r="V132" s="107">
        <v>126</v>
      </c>
      <c r="W132" s="108"/>
      <c r="X132" s="108"/>
      <c r="Y132" s="109"/>
      <c r="Z132" s="110">
        <v>0</v>
      </c>
      <c r="AA132" s="107"/>
      <c r="AB132" s="111"/>
      <c r="AC132" s="112"/>
      <c r="AD132" s="113">
        <v>0.48091603053435117</v>
      </c>
      <c r="AE132" s="119">
        <v>0</v>
      </c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 t="str">
        <f>"  " &amp; TEXT(AE132,"#0.00%") &amp; " "</f>
        <v xml:space="preserve">  0.00% </v>
      </c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 t="str">
        <f>"     " &amp; "구매품 발주 및 입고" &amp; " " &amp; IF(P132="","",TEXT(P132,"M/D-")) &amp; IF(Q132="","",TEXT(Q132,"M/D")) &amp; " "</f>
        <v xml:space="preserve">     구매품 발주 및 입고 3/15-12/1 </v>
      </c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115"/>
      <c r="DY132" s="115"/>
      <c r="DZ132" s="115"/>
      <c r="EA132" s="115"/>
      <c r="EB132" s="115"/>
      <c r="EC132" s="115"/>
      <c r="ED132" s="115"/>
      <c r="EE132" s="115"/>
      <c r="EF132" s="115"/>
      <c r="EG132" s="115"/>
      <c r="EH132" s="116"/>
    </row>
    <row r="133" spans="1:138" ht="12" customHeight="1" outlineLevel="2" x14ac:dyDescent="0.4">
      <c r="A133" s="101"/>
      <c r="B133" s="101"/>
      <c r="C133" s="101">
        <v>3</v>
      </c>
      <c r="D133" s="102" t="s">
        <v>492</v>
      </c>
      <c r="E133" s="103"/>
      <c r="F133" s="103"/>
      <c r="G133" s="125" t="s">
        <v>442</v>
      </c>
      <c r="H133" s="136"/>
      <c r="I133" s="103"/>
      <c r="J133" s="103"/>
      <c r="K133" s="103"/>
      <c r="L133" s="103"/>
      <c r="M133" s="103"/>
      <c r="N133" s="103"/>
      <c r="O133" s="104"/>
      <c r="P133" s="135">
        <v>44774</v>
      </c>
      <c r="Q133" s="135">
        <v>44824</v>
      </c>
      <c r="R133" s="106"/>
      <c r="S133" s="107">
        <v>51</v>
      </c>
      <c r="T133" s="107">
        <v>0</v>
      </c>
      <c r="U133" s="107">
        <v>51</v>
      </c>
      <c r="V133" s="107">
        <v>0</v>
      </c>
      <c r="W133" s="108"/>
      <c r="X133" s="108"/>
      <c r="Y133" s="109"/>
      <c r="Z133" s="110">
        <v>0</v>
      </c>
      <c r="AA133" s="107"/>
      <c r="AB133" s="111"/>
      <c r="AC133" s="112"/>
      <c r="AD133" s="113">
        <v>0</v>
      </c>
      <c r="AE133" s="134">
        <v>0</v>
      </c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 t="str">
        <f>" " &amp; TEXT(AE133,"#0.00%") &amp; " "</f>
        <v xml:space="preserve"> 0.00% </v>
      </c>
      <c r="BL133" s="115"/>
      <c r="BM133" s="115"/>
      <c r="BN133" s="115"/>
      <c r="BO133" s="115"/>
      <c r="BP133" s="115"/>
      <c r="BQ133" s="115"/>
      <c r="BR133" s="115" t="str">
        <f>"   " &amp; "가공 및 제작" &amp; " " &amp; IF(P133="","",TEXT(P133,"M/D-")) &amp; IF(Q133="","",TEXT(Q133,"M/D")) &amp; " "</f>
        <v xml:space="preserve">   가공 및 제작 8/1-9/20 </v>
      </c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115"/>
      <c r="ED133" s="115"/>
      <c r="EE133" s="115"/>
      <c r="EF133" s="115"/>
      <c r="EG133" s="115"/>
      <c r="EH133" s="116"/>
    </row>
    <row r="134" spans="1:138" ht="12" customHeight="1" outlineLevel="2" x14ac:dyDescent="0.4">
      <c r="A134" s="101"/>
      <c r="B134" s="101"/>
      <c r="C134" s="101">
        <v>3</v>
      </c>
      <c r="D134" s="102" t="s">
        <v>493</v>
      </c>
      <c r="E134" s="103"/>
      <c r="F134" s="103"/>
      <c r="G134" s="125" t="s">
        <v>429</v>
      </c>
      <c r="H134" s="103"/>
      <c r="I134" s="103"/>
      <c r="J134" s="103"/>
      <c r="K134" s="103"/>
      <c r="L134" s="103"/>
      <c r="M134" s="103"/>
      <c r="N134" s="103"/>
      <c r="O134" s="104"/>
      <c r="P134" s="135">
        <v>44788</v>
      </c>
      <c r="Q134" s="135">
        <v>44895</v>
      </c>
      <c r="R134" s="106"/>
      <c r="S134" s="107">
        <v>108</v>
      </c>
      <c r="T134" s="107">
        <v>0</v>
      </c>
      <c r="U134" s="107">
        <v>108</v>
      </c>
      <c r="V134" s="107">
        <v>0</v>
      </c>
      <c r="W134" s="108"/>
      <c r="X134" s="108"/>
      <c r="Y134" s="109"/>
      <c r="Z134" s="110">
        <v>0</v>
      </c>
      <c r="AA134" s="107"/>
      <c r="AB134" s="111"/>
      <c r="AC134" s="112"/>
      <c r="AD134" s="113">
        <v>0</v>
      </c>
      <c r="AE134" s="134">
        <v>0</v>
      </c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 t="str">
        <f>" " &amp; TEXT(AE134,"#0.00%") &amp; " "</f>
        <v xml:space="preserve"> 0.00% </v>
      </c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 t="str">
        <f>"    " &amp; "기구 조립" &amp; " " &amp; IF(P134="","",TEXT(P134,"M/D-")) &amp; IF(Q134="","",TEXT(Q134,"M/D")) &amp; " "</f>
        <v xml:space="preserve">    기구 조립 8/15-11/30 </v>
      </c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  <c r="DK134" s="115"/>
      <c r="DL134" s="115"/>
      <c r="DM134" s="115"/>
      <c r="DN134" s="115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115"/>
      <c r="DY134" s="115"/>
      <c r="DZ134" s="115"/>
      <c r="EA134" s="115"/>
      <c r="EB134" s="115"/>
      <c r="EC134" s="115"/>
      <c r="ED134" s="115"/>
      <c r="EE134" s="115"/>
      <c r="EF134" s="115"/>
      <c r="EG134" s="115"/>
      <c r="EH134" s="116"/>
    </row>
    <row r="135" spans="1:138" ht="12" customHeight="1" outlineLevel="2" x14ac:dyDescent="0.4">
      <c r="A135" s="101"/>
      <c r="B135" s="101"/>
      <c r="C135" s="101">
        <v>3</v>
      </c>
      <c r="D135" s="102" t="s">
        <v>494</v>
      </c>
      <c r="E135" s="103"/>
      <c r="F135" s="103"/>
      <c r="G135" s="125" t="s">
        <v>431</v>
      </c>
      <c r="H135" s="103"/>
      <c r="I135" s="103"/>
      <c r="J135" s="103"/>
      <c r="K135" s="103"/>
      <c r="L135" s="103"/>
      <c r="M135" s="103"/>
      <c r="N135" s="103"/>
      <c r="O135" s="104"/>
      <c r="P135" s="135">
        <v>44835</v>
      </c>
      <c r="Q135" s="135">
        <v>44880</v>
      </c>
      <c r="R135" s="106"/>
      <c r="S135" s="107">
        <v>46</v>
      </c>
      <c r="T135" s="107">
        <v>0</v>
      </c>
      <c r="U135" s="107">
        <v>46</v>
      </c>
      <c r="V135" s="107">
        <v>0</v>
      </c>
      <c r="W135" s="108"/>
      <c r="X135" s="108"/>
      <c r="Y135" s="109"/>
      <c r="Z135" s="110">
        <v>0</v>
      </c>
      <c r="AA135" s="107"/>
      <c r="AB135" s="111"/>
      <c r="AC135" s="112"/>
      <c r="AD135" s="113">
        <v>0</v>
      </c>
      <c r="AE135" s="134">
        <v>0</v>
      </c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 t="str">
        <f>"      " &amp; TEXT(AE135,"#0.00%") &amp; " "</f>
        <v xml:space="preserve">      0.00% </v>
      </c>
      <c r="BT135" s="115"/>
      <c r="BU135" s="115"/>
      <c r="BV135" s="115"/>
      <c r="BW135" s="115"/>
      <c r="BX135" s="115"/>
      <c r="BY135" s="115"/>
      <c r="BZ135" s="115" t="str">
        <f>"   " &amp; "전장 배선" &amp; " " &amp; IF(P135="","",TEXT(P135,"M/D-")) &amp; IF(Q135="","",TEXT(Q135,"M/D")) &amp; " "</f>
        <v xml:space="preserve">   전장 배선 10/1-11/15 </v>
      </c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6"/>
    </row>
    <row r="136" spans="1:138" ht="12" customHeight="1" outlineLevel="2" x14ac:dyDescent="0.4">
      <c r="A136" s="101"/>
      <c r="B136" s="101"/>
      <c r="C136" s="101">
        <v>3</v>
      </c>
      <c r="D136" s="102" t="s">
        <v>495</v>
      </c>
      <c r="E136" s="103"/>
      <c r="F136" s="103"/>
      <c r="G136" s="125" t="s">
        <v>433</v>
      </c>
      <c r="H136" s="103"/>
      <c r="I136" s="103"/>
      <c r="J136" s="103"/>
      <c r="K136" s="103"/>
      <c r="L136" s="103"/>
      <c r="M136" s="103"/>
      <c r="N136" s="103"/>
      <c r="O136" s="104"/>
      <c r="P136" s="135">
        <v>44880</v>
      </c>
      <c r="Q136" s="135">
        <v>44915</v>
      </c>
      <c r="R136" s="106"/>
      <c r="S136" s="107">
        <v>36</v>
      </c>
      <c r="T136" s="107">
        <v>0</v>
      </c>
      <c r="U136" s="107">
        <v>36</v>
      </c>
      <c r="V136" s="107">
        <v>0</v>
      </c>
      <c r="W136" s="108"/>
      <c r="X136" s="108"/>
      <c r="Y136" s="109"/>
      <c r="Z136" s="110">
        <v>0</v>
      </c>
      <c r="AA136" s="107"/>
      <c r="AB136" s="111"/>
      <c r="AC136" s="112"/>
      <c r="AD136" s="113">
        <v>0</v>
      </c>
      <c r="AE136" s="134">
        <v>0</v>
      </c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 t="str">
        <f>"  " &amp; TEXT(AE136,"#0.00%") &amp; " "</f>
        <v xml:space="preserve">  0.00% </v>
      </c>
      <c r="CA136" s="115"/>
      <c r="CB136" s="115"/>
      <c r="CC136" s="115"/>
      <c r="CD136" s="115"/>
      <c r="CE136" s="115" t="str">
        <f>"   " &amp; "단동 TEST" &amp; " " &amp; IF(P136="","",TEXT(P136,"M/D-")) &amp; IF(Q136="","",TEXT(Q136,"M/D")) &amp; " "</f>
        <v xml:space="preserve">   단동 TEST 11/15-12/20 </v>
      </c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15"/>
      <c r="DG136" s="115"/>
      <c r="DH136" s="115"/>
      <c r="DI136" s="115"/>
      <c r="DJ136" s="115"/>
      <c r="DK136" s="115"/>
      <c r="DL136" s="115"/>
      <c r="DM136" s="115"/>
      <c r="DN136" s="115"/>
      <c r="DO136" s="115"/>
      <c r="DP136" s="115"/>
      <c r="DQ136" s="115"/>
      <c r="DR136" s="115"/>
      <c r="DS136" s="115"/>
      <c r="DT136" s="115"/>
      <c r="DU136" s="115"/>
      <c r="DV136" s="115"/>
      <c r="DW136" s="115"/>
      <c r="DX136" s="115"/>
      <c r="DY136" s="115"/>
      <c r="DZ136" s="115"/>
      <c r="EA136" s="115"/>
      <c r="EB136" s="115"/>
      <c r="EC136" s="115"/>
      <c r="ED136" s="115"/>
      <c r="EE136" s="115"/>
      <c r="EF136" s="115"/>
      <c r="EG136" s="115"/>
      <c r="EH136" s="116"/>
    </row>
    <row r="137" spans="1:138" ht="12" customHeight="1" outlineLevel="2" x14ac:dyDescent="0.4">
      <c r="A137" s="101"/>
      <c r="B137" s="101"/>
      <c r="C137" s="101">
        <v>3</v>
      </c>
      <c r="D137" s="102" t="s">
        <v>496</v>
      </c>
      <c r="E137" s="103"/>
      <c r="F137" s="103"/>
      <c r="G137" s="125" t="s">
        <v>435</v>
      </c>
      <c r="H137" s="103"/>
      <c r="I137" s="103"/>
      <c r="J137" s="103"/>
      <c r="K137" s="103"/>
      <c r="L137" s="103"/>
      <c r="M137" s="103"/>
      <c r="N137" s="103"/>
      <c r="O137" s="104"/>
      <c r="P137" s="135">
        <v>44916</v>
      </c>
      <c r="Q137" s="135">
        <v>44946</v>
      </c>
      <c r="R137" s="106"/>
      <c r="S137" s="107">
        <v>31</v>
      </c>
      <c r="T137" s="107">
        <v>0</v>
      </c>
      <c r="U137" s="107">
        <v>31</v>
      </c>
      <c r="V137" s="107">
        <v>0</v>
      </c>
      <c r="W137" s="108"/>
      <c r="X137" s="108"/>
      <c r="Y137" s="109"/>
      <c r="Z137" s="110">
        <v>0</v>
      </c>
      <c r="AA137" s="107"/>
      <c r="AB137" s="111"/>
      <c r="AC137" s="112"/>
      <c r="AD137" s="113">
        <v>0</v>
      </c>
      <c r="AE137" s="134">
        <v>0</v>
      </c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 t="str">
        <f>"   " &amp; TEXT(AE137,"#0.00%") &amp; " "</f>
        <v xml:space="preserve">   0.00% </v>
      </c>
      <c r="CF137" s="115"/>
      <c r="CG137" s="115"/>
      <c r="CH137" s="115"/>
      <c r="CI137" s="115" t="str">
        <f>"      " &amp; "연동 TEST" &amp; " " &amp; IF(P137="","",TEXT(P137,"M/D-")) &amp; IF(Q137="","",TEXT(Q137,"M/D")) &amp; " "</f>
        <v xml:space="preserve">      연동 TEST 12/21-1/20 </v>
      </c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115"/>
      <c r="DF137" s="115"/>
      <c r="DG137" s="115"/>
      <c r="DH137" s="115"/>
      <c r="DI137" s="115"/>
      <c r="DJ137" s="115"/>
      <c r="DK137" s="115"/>
      <c r="DL137" s="115"/>
      <c r="DM137" s="115"/>
      <c r="DN137" s="115"/>
      <c r="DO137" s="115"/>
      <c r="DP137" s="115"/>
      <c r="DQ137" s="115"/>
      <c r="DR137" s="115"/>
      <c r="DS137" s="115"/>
      <c r="DT137" s="115"/>
      <c r="DU137" s="115"/>
      <c r="DV137" s="115"/>
      <c r="DW137" s="115"/>
      <c r="DX137" s="115"/>
      <c r="DY137" s="115"/>
      <c r="DZ137" s="115"/>
      <c r="EA137" s="115"/>
      <c r="EB137" s="115"/>
      <c r="EC137" s="115"/>
      <c r="ED137" s="115"/>
      <c r="EE137" s="115"/>
      <c r="EF137" s="115"/>
      <c r="EG137" s="115"/>
      <c r="EH137" s="116"/>
    </row>
    <row r="138" spans="1:138" ht="12" customHeight="1" outlineLevel="2" x14ac:dyDescent="0.4">
      <c r="A138" s="101"/>
      <c r="B138" s="101"/>
      <c r="C138" s="101">
        <v>3</v>
      </c>
      <c r="D138" s="102" t="s">
        <v>497</v>
      </c>
      <c r="E138" s="103"/>
      <c r="F138" s="103"/>
      <c r="G138" s="125" t="s">
        <v>437</v>
      </c>
      <c r="H138" s="103"/>
      <c r="I138" s="103"/>
      <c r="J138" s="103"/>
      <c r="K138" s="103"/>
      <c r="L138" s="103"/>
      <c r="M138" s="103"/>
      <c r="N138" s="103"/>
      <c r="O138" s="104"/>
      <c r="P138" s="135">
        <v>44947</v>
      </c>
      <c r="Q138" s="135">
        <v>44957</v>
      </c>
      <c r="R138" s="106"/>
      <c r="S138" s="107">
        <v>11</v>
      </c>
      <c r="T138" s="107">
        <v>0</v>
      </c>
      <c r="U138" s="107">
        <v>11</v>
      </c>
      <c r="V138" s="107">
        <v>0</v>
      </c>
      <c r="W138" s="108"/>
      <c r="X138" s="108"/>
      <c r="Y138" s="109"/>
      <c r="Z138" s="110">
        <v>0</v>
      </c>
      <c r="AA138" s="107"/>
      <c r="AB138" s="111"/>
      <c r="AC138" s="112"/>
      <c r="AD138" s="113">
        <v>0</v>
      </c>
      <c r="AE138" s="134">
        <v>0</v>
      </c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 t="str">
        <f>"      " &amp; TEXT(AE138,"#0.00%") &amp; " " &amp; "고객사 검수" &amp; " " &amp; IF(P138="","",TEXT(P138,"M/D-")) &amp; IF(Q138="","",TEXT(Q138,"M/D")) &amp; " "</f>
        <v xml:space="preserve">      0.00% 고객사 검수 1/21-1/31 </v>
      </c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115"/>
      <c r="DF138" s="115"/>
      <c r="DG138" s="115"/>
      <c r="DH138" s="115"/>
      <c r="DI138" s="115"/>
      <c r="DJ138" s="115"/>
      <c r="DK138" s="115"/>
      <c r="DL138" s="115"/>
      <c r="DM138" s="115"/>
      <c r="DN138" s="115"/>
      <c r="DO138" s="115"/>
      <c r="DP138" s="115"/>
      <c r="DQ138" s="115"/>
      <c r="DR138" s="115"/>
      <c r="DS138" s="115"/>
      <c r="DT138" s="115"/>
      <c r="DU138" s="115"/>
      <c r="DV138" s="115"/>
      <c r="DW138" s="115"/>
      <c r="DX138" s="115"/>
      <c r="DY138" s="115"/>
      <c r="DZ138" s="115"/>
      <c r="EA138" s="115"/>
      <c r="EB138" s="115"/>
      <c r="EC138" s="115"/>
      <c r="ED138" s="115"/>
      <c r="EE138" s="115"/>
      <c r="EF138" s="115"/>
      <c r="EG138" s="115"/>
      <c r="EH138" s="116"/>
    </row>
    <row r="139" spans="1:138" ht="12" customHeight="1" outlineLevel="1" x14ac:dyDescent="0.4">
      <c r="A139" s="101"/>
      <c r="B139" s="101" t="s">
        <v>325</v>
      </c>
      <c r="C139" s="101">
        <v>2</v>
      </c>
      <c r="D139" s="102" t="s">
        <v>498</v>
      </c>
      <c r="E139" s="103"/>
      <c r="F139" s="103" t="s">
        <v>404</v>
      </c>
      <c r="G139" s="103"/>
      <c r="H139" s="103"/>
      <c r="I139" s="103"/>
      <c r="J139" s="103"/>
      <c r="K139" s="103"/>
      <c r="L139" s="103"/>
      <c r="M139" s="103"/>
      <c r="N139" s="103"/>
      <c r="O139" s="104" t="s">
        <v>330</v>
      </c>
      <c r="P139" s="108">
        <v>44610</v>
      </c>
      <c r="Q139" s="108">
        <v>44988</v>
      </c>
      <c r="R139" s="106"/>
      <c r="S139" s="107">
        <v>428</v>
      </c>
      <c r="T139" s="107">
        <v>151</v>
      </c>
      <c r="U139" s="107">
        <v>379</v>
      </c>
      <c r="V139" s="107">
        <v>151</v>
      </c>
      <c r="W139" s="108"/>
      <c r="X139" s="108"/>
      <c r="Y139" s="109">
        <v>0</v>
      </c>
      <c r="Z139" s="110">
        <v>0</v>
      </c>
      <c r="AA139" s="107"/>
      <c r="AB139" s="111"/>
      <c r="AC139" s="112"/>
      <c r="AD139" s="113">
        <v>0.35280373831775702</v>
      </c>
      <c r="AE139" s="114">
        <v>0</v>
      </c>
      <c r="AF139" s="115"/>
      <c r="AG139" s="115"/>
      <c r="AH139" s="115"/>
      <c r="AI139" s="115"/>
      <c r="AJ139" s="115"/>
      <c r="AK139" s="115"/>
      <c r="AL139" s="115"/>
      <c r="AM139" s="115" t="str">
        <f>"     " &amp; TEXT(AE139,"#0.00%") &amp; " "</f>
        <v xml:space="preserve">     0.00% </v>
      </c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 t="str">
        <f>"      " &amp; "완제품 창고" &amp; " " &amp; IF(P139="","",TEXT(P139,"M/D-")) &amp; IF(Q139="","",TEXT(Q139,"M/D")) &amp; " "</f>
        <v xml:space="preserve">      완제품 창고 2/18-3/3 </v>
      </c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5"/>
      <c r="DR139" s="115"/>
      <c r="DS139" s="115"/>
      <c r="DT139" s="115"/>
      <c r="DU139" s="115"/>
      <c r="DV139" s="115"/>
      <c r="DW139" s="115"/>
      <c r="DX139" s="115"/>
      <c r="DY139" s="115"/>
      <c r="DZ139" s="115"/>
      <c r="EA139" s="115"/>
      <c r="EB139" s="115"/>
      <c r="EC139" s="115"/>
      <c r="ED139" s="115"/>
      <c r="EE139" s="115"/>
      <c r="EF139" s="115"/>
      <c r="EG139" s="115"/>
      <c r="EH139" s="116"/>
    </row>
    <row r="140" spans="1:138" ht="12" customHeight="1" outlineLevel="2" x14ac:dyDescent="0.4">
      <c r="A140" s="101"/>
      <c r="B140" s="101"/>
      <c r="C140" s="101">
        <v>3</v>
      </c>
      <c r="D140" s="102" t="s">
        <v>499</v>
      </c>
      <c r="E140" s="103"/>
      <c r="F140" s="103"/>
      <c r="G140" s="125" t="s">
        <v>423</v>
      </c>
      <c r="H140" s="103"/>
      <c r="I140" s="103"/>
      <c r="J140" s="124"/>
      <c r="K140" s="124"/>
      <c r="L140" s="124"/>
      <c r="M140" s="124"/>
      <c r="N140" s="124"/>
      <c r="O140" s="104"/>
      <c r="P140" s="108">
        <v>44610</v>
      </c>
      <c r="Q140" s="108">
        <v>44789</v>
      </c>
      <c r="R140" s="106"/>
      <c r="S140" s="107">
        <v>180</v>
      </c>
      <c r="T140" s="107">
        <v>151</v>
      </c>
      <c r="U140" s="107">
        <v>180</v>
      </c>
      <c r="V140" s="107">
        <v>151</v>
      </c>
      <c r="W140" s="108"/>
      <c r="X140" s="108"/>
      <c r="Y140" s="109"/>
      <c r="Z140" s="110">
        <v>0</v>
      </c>
      <c r="AA140" s="107"/>
      <c r="AB140" s="111"/>
      <c r="AC140" s="112"/>
      <c r="AD140" s="113">
        <v>0.83888888888888891</v>
      </c>
      <c r="AE140" s="119">
        <v>0</v>
      </c>
      <c r="AF140" s="115"/>
      <c r="AG140" s="115"/>
      <c r="AH140" s="115"/>
      <c r="AI140" s="115"/>
      <c r="AJ140" s="115"/>
      <c r="AK140" s="115"/>
      <c r="AL140" s="115"/>
      <c r="AM140" s="115" t="str">
        <f>"     " &amp; TEXT(AE140,"#0.00%") &amp; " "</f>
        <v xml:space="preserve">     0.00% </v>
      </c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 t="str">
        <f>"   " &amp; "구매품 발주 및 입고" &amp; " " &amp; IF(P140="","",TEXT(P140,"M/D-")) &amp; IF(Q140="","",TEXT(Q140,"M/D")) &amp; " "</f>
        <v xml:space="preserve">   구매품 발주 및 입고 2/18-8/16 </v>
      </c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  <c r="DR140" s="115"/>
      <c r="DS140" s="115"/>
      <c r="DT140" s="115"/>
      <c r="DU140" s="115"/>
      <c r="DV140" s="115"/>
      <c r="DW140" s="115"/>
      <c r="DX140" s="115"/>
      <c r="DY140" s="115"/>
      <c r="DZ140" s="115"/>
      <c r="EA140" s="115"/>
      <c r="EB140" s="115"/>
      <c r="EC140" s="115"/>
      <c r="ED140" s="115"/>
      <c r="EE140" s="115"/>
      <c r="EF140" s="115"/>
      <c r="EG140" s="115"/>
      <c r="EH140" s="116"/>
    </row>
    <row r="141" spans="1:138" ht="12" customHeight="1" outlineLevel="2" x14ac:dyDescent="0.4">
      <c r="A141" s="101"/>
      <c r="B141" s="101"/>
      <c r="C141" s="101">
        <v>3</v>
      </c>
      <c r="D141" s="102" t="s">
        <v>500</v>
      </c>
      <c r="E141" s="103"/>
      <c r="F141" s="123"/>
      <c r="G141" s="125" t="s">
        <v>425</v>
      </c>
      <c r="H141" s="103"/>
      <c r="I141" s="103"/>
      <c r="J141" s="103"/>
      <c r="K141" s="103"/>
      <c r="L141" s="103"/>
      <c r="M141" s="103"/>
      <c r="N141" s="103"/>
      <c r="O141" s="104"/>
      <c r="P141" s="108">
        <v>44839</v>
      </c>
      <c r="Q141" s="108">
        <v>44895</v>
      </c>
      <c r="R141" s="106"/>
      <c r="S141" s="107">
        <v>57</v>
      </c>
      <c r="T141" s="107">
        <v>0</v>
      </c>
      <c r="U141" s="107">
        <v>57</v>
      </c>
      <c r="V141" s="107">
        <v>0</v>
      </c>
      <c r="W141" s="108"/>
      <c r="X141" s="108"/>
      <c r="Y141" s="109"/>
      <c r="Z141" s="110">
        <v>0</v>
      </c>
      <c r="AA141" s="107"/>
      <c r="AB141" s="111"/>
      <c r="AC141" s="112"/>
      <c r="AD141" s="113">
        <v>0</v>
      </c>
      <c r="AE141" s="134">
        <v>0</v>
      </c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 t="str">
        <f>"   " &amp; TEXT(AE141,"#0.00%") &amp; " "</f>
        <v xml:space="preserve">   0.00% </v>
      </c>
      <c r="BU141" s="115"/>
      <c r="BV141" s="115"/>
      <c r="BW141" s="115"/>
      <c r="BX141" s="115"/>
      <c r="BY141" s="115"/>
      <c r="BZ141" s="115"/>
      <c r="CA141" s="115"/>
      <c r="CB141" s="115" t="str">
        <f>"    " &amp; "가공 및 제작 (국내)" &amp; " " &amp; IF(P141="","",TEXT(P141,"M/D-")) &amp; IF(Q141="","",TEXT(Q141,"M/D")) &amp; " "</f>
        <v xml:space="preserve">    가공 및 제작 (국내) 10/5-11/30 </v>
      </c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F141" s="115"/>
      <c r="DG141" s="115"/>
      <c r="DH141" s="115"/>
      <c r="DI141" s="115"/>
      <c r="DJ141" s="115"/>
      <c r="DK141" s="115"/>
      <c r="DL141" s="115"/>
      <c r="DM141" s="115"/>
      <c r="DN141" s="115"/>
      <c r="DO141" s="115"/>
      <c r="DP141" s="115"/>
      <c r="DQ141" s="115"/>
      <c r="DR141" s="115"/>
      <c r="DS141" s="115"/>
      <c r="DT141" s="115"/>
      <c r="DU141" s="115"/>
      <c r="DV141" s="115"/>
      <c r="DW141" s="115"/>
      <c r="DX141" s="115"/>
      <c r="DY141" s="115"/>
      <c r="DZ141" s="115"/>
      <c r="EA141" s="115"/>
      <c r="EB141" s="115"/>
      <c r="EC141" s="115"/>
      <c r="ED141" s="115"/>
      <c r="EE141" s="115"/>
      <c r="EF141" s="115"/>
      <c r="EG141" s="115"/>
      <c r="EH141" s="116"/>
    </row>
    <row r="142" spans="1:138" ht="12" customHeight="1" outlineLevel="2" x14ac:dyDescent="0.4">
      <c r="A142" s="101"/>
      <c r="B142" s="101"/>
      <c r="C142" s="101">
        <v>3</v>
      </c>
      <c r="D142" s="102" t="s">
        <v>501</v>
      </c>
      <c r="E142" s="103"/>
      <c r="F142" s="103"/>
      <c r="G142" s="125" t="s">
        <v>427</v>
      </c>
      <c r="H142" s="133"/>
      <c r="I142" s="125"/>
      <c r="J142" s="125"/>
      <c r="K142" s="125"/>
      <c r="L142" s="125"/>
      <c r="M142" s="125"/>
      <c r="N142" s="125"/>
      <c r="O142" s="126"/>
      <c r="P142" s="108">
        <v>44926</v>
      </c>
      <c r="Q142" s="108">
        <v>44988</v>
      </c>
      <c r="R142" s="127"/>
      <c r="S142" s="128">
        <v>63</v>
      </c>
      <c r="T142" s="128">
        <v>0</v>
      </c>
      <c r="U142" s="128">
        <v>63</v>
      </c>
      <c r="V142" s="128">
        <v>0</v>
      </c>
      <c r="W142" s="105"/>
      <c r="X142" s="105"/>
      <c r="Y142" s="129"/>
      <c r="Z142" s="130">
        <v>0</v>
      </c>
      <c r="AA142" s="128"/>
      <c r="AB142" s="131"/>
      <c r="AC142" s="121"/>
      <c r="AD142" s="132">
        <v>0</v>
      </c>
      <c r="AE142" s="134">
        <v>0</v>
      </c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 t="str">
        <f>"      " &amp; TEXT(AE142,"#0.00%") &amp; " "</f>
        <v xml:space="preserve">      0.00% </v>
      </c>
      <c r="CG142" s="115"/>
      <c r="CH142" s="115"/>
      <c r="CI142" s="115"/>
      <c r="CJ142" s="115"/>
      <c r="CK142" s="115"/>
      <c r="CL142" s="115"/>
      <c r="CM142" s="115"/>
      <c r="CN142" s="115"/>
      <c r="CO142" s="115" t="str">
        <f>"      " &amp; "가공 및 제작 (현지)" &amp; " " &amp; IF(P142="","",TEXT(P142,"M/D-")) &amp; IF(Q142="","",TEXT(Q142,"M/D")) &amp; " "</f>
        <v xml:space="preserve">      가공 및 제작 (현지) 12/31-3/3 </v>
      </c>
      <c r="CP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5"/>
      <c r="DR142" s="115"/>
      <c r="DS142" s="115"/>
      <c r="DT142" s="115"/>
      <c r="DU142" s="115"/>
      <c r="DV142" s="115"/>
      <c r="DW142" s="115"/>
      <c r="DX142" s="115"/>
      <c r="DY142" s="115"/>
      <c r="DZ142" s="115"/>
      <c r="EA142" s="115"/>
      <c r="EB142" s="115"/>
      <c r="EC142" s="115"/>
      <c r="ED142" s="115"/>
      <c r="EE142" s="115"/>
      <c r="EF142" s="115"/>
      <c r="EG142" s="115"/>
      <c r="EH142" s="116"/>
    </row>
    <row r="143" spans="1:138" ht="12" customHeight="1" outlineLevel="2" x14ac:dyDescent="0.4">
      <c r="A143" s="101"/>
      <c r="B143" s="101"/>
      <c r="C143" s="101">
        <v>3</v>
      </c>
      <c r="D143" s="102" t="s">
        <v>502</v>
      </c>
      <c r="E143" s="103"/>
      <c r="F143" s="123"/>
      <c r="G143" s="125" t="s">
        <v>429</v>
      </c>
      <c r="H143" s="103"/>
      <c r="I143" s="103"/>
      <c r="J143" s="103"/>
      <c r="K143" s="103"/>
      <c r="L143" s="103"/>
      <c r="M143" s="103"/>
      <c r="N143" s="103"/>
      <c r="O143" s="104"/>
      <c r="P143" s="108">
        <v>44841</v>
      </c>
      <c r="Q143" s="108">
        <v>44877</v>
      </c>
      <c r="R143" s="106"/>
      <c r="S143" s="107">
        <v>37</v>
      </c>
      <c r="T143" s="107">
        <v>0</v>
      </c>
      <c r="U143" s="107">
        <v>37</v>
      </c>
      <c r="V143" s="107">
        <v>0</v>
      </c>
      <c r="W143" s="108"/>
      <c r="X143" s="108"/>
      <c r="Y143" s="109"/>
      <c r="Z143" s="110">
        <v>0</v>
      </c>
      <c r="AA143" s="107"/>
      <c r="AB143" s="111"/>
      <c r="AC143" s="112"/>
      <c r="AD143" s="113">
        <v>0</v>
      </c>
      <c r="AE143" s="134">
        <v>0</v>
      </c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 t="str">
        <f>"     " &amp; TEXT(AE143,"#0.00%") &amp; " "</f>
        <v xml:space="preserve">     0.00% </v>
      </c>
      <c r="BU143" s="115"/>
      <c r="BV143" s="115"/>
      <c r="BW143" s="115"/>
      <c r="BX143" s="115"/>
      <c r="BY143" s="115"/>
      <c r="BZ143" s="115" t="str">
        <f>"" &amp; "기구 조립" &amp; " " &amp; IF(P143="","",TEXT(P143,"M/D-")) &amp; IF(Q143="","",TEXT(Q143,"M/D")) &amp; " "</f>
        <v xml:space="preserve">기구 조립 10/7-11/12 </v>
      </c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  <c r="DR143" s="115"/>
      <c r="DS143" s="115"/>
      <c r="DT143" s="115"/>
      <c r="DU143" s="115"/>
      <c r="DV143" s="115"/>
      <c r="DW143" s="115"/>
      <c r="DX143" s="115"/>
      <c r="DY143" s="115"/>
      <c r="DZ143" s="115"/>
      <c r="EA143" s="115"/>
      <c r="EB143" s="115"/>
      <c r="EC143" s="115"/>
      <c r="ED143" s="115"/>
      <c r="EE143" s="115"/>
      <c r="EF143" s="115"/>
      <c r="EG143" s="115"/>
      <c r="EH143" s="116"/>
    </row>
    <row r="144" spans="1:138" ht="12" customHeight="1" outlineLevel="2" x14ac:dyDescent="0.4">
      <c r="A144" s="101"/>
      <c r="B144" s="101"/>
      <c r="C144" s="101">
        <v>3</v>
      </c>
      <c r="D144" s="102" t="s">
        <v>503</v>
      </c>
      <c r="E144" s="103"/>
      <c r="F144" s="123"/>
      <c r="G144" s="125" t="s">
        <v>431</v>
      </c>
      <c r="H144" s="103"/>
      <c r="I144" s="103"/>
      <c r="J144" s="103"/>
      <c r="K144" s="103"/>
      <c r="L144" s="103"/>
      <c r="M144" s="103"/>
      <c r="N144" s="103"/>
      <c r="O144" s="104"/>
      <c r="P144" s="108">
        <v>44855</v>
      </c>
      <c r="Q144" s="108">
        <v>44884</v>
      </c>
      <c r="R144" s="106"/>
      <c r="S144" s="107">
        <v>30</v>
      </c>
      <c r="T144" s="107">
        <v>0</v>
      </c>
      <c r="U144" s="107">
        <v>30</v>
      </c>
      <c r="V144" s="107">
        <v>0</v>
      </c>
      <c r="W144" s="108"/>
      <c r="X144" s="108"/>
      <c r="Y144" s="109"/>
      <c r="Z144" s="110">
        <v>0</v>
      </c>
      <c r="AA144" s="107"/>
      <c r="AB144" s="111"/>
      <c r="AC144" s="112"/>
      <c r="AD144" s="113">
        <v>0</v>
      </c>
      <c r="AE144" s="134">
        <v>0</v>
      </c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 t="str">
        <f>"     " &amp; TEXT(AE144,"#0.00%") &amp; " "</f>
        <v xml:space="preserve">     0.00% </v>
      </c>
      <c r="BW144" s="115"/>
      <c r="BX144" s="115"/>
      <c r="BY144" s="115"/>
      <c r="BZ144" s="115"/>
      <c r="CA144" s="115" t="str">
        <f>"" &amp; "전장 배선" &amp; " " &amp; IF(P144="","",TEXT(P144,"M/D-")) &amp; IF(Q144="","",TEXT(Q144,"M/D")) &amp; " "</f>
        <v xml:space="preserve">전장 배선 10/21-11/19 </v>
      </c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  <c r="DT144" s="115"/>
      <c r="DU144" s="115"/>
      <c r="DV144" s="115"/>
      <c r="DW144" s="115"/>
      <c r="DX144" s="115"/>
      <c r="DY144" s="115"/>
      <c r="DZ144" s="115"/>
      <c r="EA144" s="115"/>
      <c r="EB144" s="115"/>
      <c r="EC144" s="115"/>
      <c r="ED144" s="115"/>
      <c r="EE144" s="115"/>
      <c r="EF144" s="115"/>
      <c r="EG144" s="115"/>
      <c r="EH144" s="116"/>
    </row>
    <row r="145" spans="1:138" ht="12" customHeight="1" outlineLevel="2" x14ac:dyDescent="0.4">
      <c r="A145" s="101"/>
      <c r="B145" s="101"/>
      <c r="C145" s="101">
        <v>3</v>
      </c>
      <c r="D145" s="102" t="s">
        <v>504</v>
      </c>
      <c r="E145" s="103"/>
      <c r="F145" s="123"/>
      <c r="G145" s="125" t="s">
        <v>433</v>
      </c>
      <c r="H145" s="103"/>
      <c r="I145" s="103"/>
      <c r="J145" s="103"/>
      <c r="K145" s="103"/>
      <c r="L145" s="103"/>
      <c r="M145" s="103"/>
      <c r="N145" s="103"/>
      <c r="O145" s="104"/>
      <c r="P145" s="108">
        <v>44862</v>
      </c>
      <c r="Q145" s="108">
        <v>44891</v>
      </c>
      <c r="R145" s="106"/>
      <c r="S145" s="107">
        <v>30</v>
      </c>
      <c r="T145" s="107">
        <v>0</v>
      </c>
      <c r="U145" s="107">
        <v>30</v>
      </c>
      <c r="V145" s="107">
        <v>0</v>
      </c>
      <c r="W145" s="108"/>
      <c r="X145" s="108"/>
      <c r="Y145" s="109"/>
      <c r="Z145" s="110">
        <v>0</v>
      </c>
      <c r="AA145" s="107"/>
      <c r="AB145" s="111"/>
      <c r="AC145" s="112"/>
      <c r="AD145" s="113">
        <v>0</v>
      </c>
      <c r="AE145" s="134">
        <v>0</v>
      </c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 t="str">
        <f>"     " &amp; TEXT(AE145,"#0.00%") &amp; " "</f>
        <v xml:space="preserve">     0.00% </v>
      </c>
      <c r="BX145" s="115"/>
      <c r="BY145" s="115"/>
      <c r="BZ145" s="115"/>
      <c r="CA145" s="115"/>
      <c r="CB145" s="115" t="str">
        <f>"" &amp; "단동 TEST" &amp; " " &amp; IF(P145="","",TEXT(P145,"M/D-")) &amp; IF(Q145="","",TEXT(Q145,"M/D")) &amp; " "</f>
        <v xml:space="preserve">단동 TEST 10/28-11/26 </v>
      </c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  <c r="DT145" s="115"/>
      <c r="DU145" s="115"/>
      <c r="DV145" s="115"/>
      <c r="DW145" s="115"/>
      <c r="DX145" s="115"/>
      <c r="DY145" s="115"/>
      <c r="DZ145" s="115"/>
      <c r="EA145" s="115"/>
      <c r="EB145" s="115"/>
      <c r="EC145" s="115"/>
      <c r="ED145" s="115"/>
      <c r="EE145" s="115"/>
      <c r="EF145" s="115"/>
      <c r="EG145" s="115"/>
      <c r="EH145" s="116"/>
    </row>
    <row r="146" spans="1:138" ht="12" customHeight="1" outlineLevel="2" x14ac:dyDescent="0.4">
      <c r="A146" s="101"/>
      <c r="B146" s="101"/>
      <c r="C146" s="101">
        <v>3</v>
      </c>
      <c r="D146" s="102" t="s">
        <v>505</v>
      </c>
      <c r="E146" s="103"/>
      <c r="F146" s="123"/>
      <c r="G146" s="125" t="s">
        <v>435</v>
      </c>
      <c r="H146" s="125"/>
      <c r="I146" s="125"/>
      <c r="J146" s="125"/>
      <c r="K146" s="125"/>
      <c r="L146" s="125"/>
      <c r="M146" s="125"/>
      <c r="N146" s="125"/>
      <c r="O146" s="126"/>
      <c r="P146" s="105">
        <v>44872</v>
      </c>
      <c r="Q146" s="105">
        <v>44901</v>
      </c>
      <c r="R146" s="106"/>
      <c r="S146" s="107">
        <v>30</v>
      </c>
      <c r="T146" s="107">
        <v>0</v>
      </c>
      <c r="U146" s="107">
        <v>30</v>
      </c>
      <c r="V146" s="107">
        <v>0</v>
      </c>
      <c r="W146" s="108"/>
      <c r="X146" s="108"/>
      <c r="Y146" s="109"/>
      <c r="Z146" s="110">
        <v>0</v>
      </c>
      <c r="AA146" s="107"/>
      <c r="AB146" s="111"/>
      <c r="AC146" s="112"/>
      <c r="AD146" s="113">
        <v>0</v>
      </c>
      <c r="AE146" s="134">
        <v>0</v>
      </c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 t="str">
        <f>" " &amp; TEXT(AE146,"#0.00%") &amp; " "</f>
        <v xml:space="preserve"> 0.00% </v>
      </c>
      <c r="BZ146" s="115"/>
      <c r="CA146" s="115"/>
      <c r="CB146" s="115"/>
      <c r="CC146" s="115" t="str">
        <f>"   " &amp; "연동 TEST" &amp; " " &amp; IF(P146="","",TEXT(P146,"M/D-")) &amp; IF(Q146="","",TEXT(Q146,"M/D")) &amp; " "</f>
        <v xml:space="preserve">   연동 TEST 11/7-12/6 </v>
      </c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  <c r="DT146" s="115"/>
      <c r="DU146" s="115"/>
      <c r="DV146" s="115"/>
      <c r="DW146" s="115"/>
      <c r="DX146" s="115"/>
      <c r="DY146" s="115"/>
      <c r="DZ146" s="115"/>
      <c r="EA146" s="115"/>
      <c r="EB146" s="115"/>
      <c r="EC146" s="115"/>
      <c r="ED146" s="115"/>
      <c r="EE146" s="115"/>
      <c r="EF146" s="115"/>
      <c r="EG146" s="115"/>
      <c r="EH146" s="116"/>
    </row>
    <row r="147" spans="1:138" ht="12" customHeight="1" outlineLevel="2" x14ac:dyDescent="0.4">
      <c r="A147" s="101"/>
      <c r="B147" s="101"/>
      <c r="C147" s="101">
        <v>3</v>
      </c>
      <c r="D147" s="102" t="s">
        <v>506</v>
      </c>
      <c r="E147" s="103"/>
      <c r="F147" s="123"/>
      <c r="G147" s="125" t="s">
        <v>437</v>
      </c>
      <c r="H147" s="103"/>
      <c r="I147" s="103"/>
      <c r="J147" s="103"/>
      <c r="K147" s="103"/>
      <c r="L147" s="103"/>
      <c r="M147" s="103"/>
      <c r="N147" s="103"/>
      <c r="O147" s="104"/>
      <c r="P147" s="108">
        <v>44891</v>
      </c>
      <c r="Q147" s="108">
        <v>44891</v>
      </c>
      <c r="R147" s="106"/>
      <c r="S147" s="107">
        <v>1</v>
      </c>
      <c r="T147" s="107">
        <v>0</v>
      </c>
      <c r="U147" s="107">
        <v>1</v>
      </c>
      <c r="V147" s="107">
        <v>0</v>
      </c>
      <c r="W147" s="108"/>
      <c r="X147" s="108"/>
      <c r="Y147" s="109"/>
      <c r="Z147" s="110">
        <v>0</v>
      </c>
      <c r="AA147" s="107"/>
      <c r="AB147" s="111"/>
      <c r="AC147" s="112"/>
      <c r="AD147" s="113">
        <v>0</v>
      </c>
      <c r="AE147" s="134">
        <v>0</v>
      </c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 t="str">
        <f>"      " &amp; TEXT(AE147,"#0.00%") &amp; " " &amp; "고객사 검수" &amp; " " &amp; IF(P147="","",TEXT(P147,"M/D-")) &amp; IF(Q147="","",TEXT(Q147,"M/D")) &amp; " "</f>
        <v xml:space="preserve">      0.00% 고객사 검수 11/26-11/26 </v>
      </c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15"/>
      <c r="CU147" s="115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115"/>
      <c r="DJ147" s="115"/>
      <c r="DK147" s="115"/>
      <c r="DL147" s="115"/>
      <c r="DM147" s="115"/>
      <c r="DN147" s="115"/>
      <c r="DO147" s="115"/>
      <c r="DP147" s="115"/>
      <c r="DQ147" s="115"/>
      <c r="DR147" s="115"/>
      <c r="DS147" s="115"/>
      <c r="DT147" s="115"/>
      <c r="DU147" s="115"/>
      <c r="DV147" s="115"/>
      <c r="DW147" s="115"/>
      <c r="DX147" s="115"/>
      <c r="DY147" s="115"/>
      <c r="DZ147" s="115"/>
      <c r="EA147" s="115"/>
      <c r="EB147" s="115"/>
      <c r="EC147" s="115"/>
      <c r="ED147" s="115"/>
      <c r="EE147" s="115"/>
      <c r="EF147" s="115"/>
      <c r="EG147" s="115"/>
      <c r="EH147" s="116"/>
    </row>
    <row r="148" spans="1:138" ht="12" customHeight="1" outlineLevel="1" x14ac:dyDescent="0.4">
      <c r="A148" s="101"/>
      <c r="B148" s="101" t="s">
        <v>325</v>
      </c>
      <c r="C148" s="101">
        <v>2</v>
      </c>
      <c r="D148" s="102" t="s">
        <v>507</v>
      </c>
      <c r="E148" s="103"/>
      <c r="F148" s="123" t="s">
        <v>412</v>
      </c>
      <c r="G148" s="103"/>
      <c r="H148" s="103"/>
      <c r="I148" s="103"/>
      <c r="J148" s="103"/>
      <c r="K148" s="103"/>
      <c r="L148" s="103"/>
      <c r="M148" s="103"/>
      <c r="N148" s="103"/>
      <c r="O148" s="104" t="s">
        <v>345</v>
      </c>
      <c r="P148" s="108">
        <v>44635</v>
      </c>
      <c r="Q148" s="108">
        <v>44880</v>
      </c>
      <c r="R148" s="106"/>
      <c r="S148" s="107">
        <v>455</v>
      </c>
      <c r="T148" s="107">
        <v>178</v>
      </c>
      <c r="U148" s="107">
        <v>246</v>
      </c>
      <c r="V148" s="107">
        <v>126</v>
      </c>
      <c r="W148" s="108"/>
      <c r="X148" s="108"/>
      <c r="Y148" s="109">
        <v>0</v>
      </c>
      <c r="Z148" s="110">
        <v>0</v>
      </c>
      <c r="AA148" s="107"/>
      <c r="AB148" s="111"/>
      <c r="AC148" s="112"/>
      <c r="AD148" s="113">
        <v>0.39120879120879121</v>
      </c>
      <c r="AE148" s="114">
        <v>0</v>
      </c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 t="str">
        <f>"  " &amp; TEXT(AE148,"#0.00%") &amp; " "</f>
        <v xml:space="preserve">  0.00% </v>
      </c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 t="str">
        <f>"   " &amp; "완제품 창고 연결물류" &amp; " " &amp; IF(P148="","",TEXT(P148,"M/D-")) &amp; IF(Q148="","",TEXT(Q148,"M/D")) &amp; " "</f>
        <v xml:space="preserve">   완제품 창고 연결물류 3/15-11/15 </v>
      </c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15"/>
      <c r="CU148" s="115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F148" s="115"/>
      <c r="DG148" s="115"/>
      <c r="DH148" s="115"/>
      <c r="DI148" s="115"/>
      <c r="DJ148" s="115"/>
      <c r="DK148" s="115"/>
      <c r="DL148" s="115"/>
      <c r="DM148" s="115"/>
      <c r="DN148" s="115"/>
      <c r="DO148" s="115"/>
      <c r="DP148" s="115"/>
      <c r="DQ148" s="115"/>
      <c r="DR148" s="115"/>
      <c r="DS148" s="115"/>
      <c r="DT148" s="115"/>
      <c r="DU148" s="115"/>
      <c r="DV148" s="115"/>
      <c r="DW148" s="115"/>
      <c r="DX148" s="115"/>
      <c r="DY148" s="115"/>
      <c r="DZ148" s="115"/>
      <c r="EA148" s="115"/>
      <c r="EB148" s="115"/>
      <c r="EC148" s="115"/>
      <c r="ED148" s="115"/>
      <c r="EE148" s="115"/>
      <c r="EF148" s="115"/>
      <c r="EG148" s="115"/>
      <c r="EH148" s="116"/>
    </row>
    <row r="149" spans="1:138" ht="12" customHeight="1" outlineLevel="2" x14ac:dyDescent="0.4">
      <c r="A149" s="101"/>
      <c r="B149" s="101"/>
      <c r="C149" s="101">
        <v>3</v>
      </c>
      <c r="D149" s="102" t="s">
        <v>508</v>
      </c>
      <c r="E149" s="103"/>
      <c r="F149" s="103"/>
      <c r="G149" s="125" t="s">
        <v>423</v>
      </c>
      <c r="H149" s="103"/>
      <c r="I149" s="103"/>
      <c r="J149" s="103"/>
      <c r="K149" s="103"/>
      <c r="L149" s="103"/>
      <c r="M149" s="103"/>
      <c r="N149" s="103"/>
      <c r="O149" s="104"/>
      <c r="P149" s="105">
        <v>44635</v>
      </c>
      <c r="Q149" s="105">
        <v>44819</v>
      </c>
      <c r="R149" s="106"/>
      <c r="S149" s="107">
        <v>185</v>
      </c>
      <c r="T149" s="107">
        <v>126</v>
      </c>
      <c r="U149" s="107">
        <v>185</v>
      </c>
      <c r="V149" s="107">
        <v>126</v>
      </c>
      <c r="W149" s="108"/>
      <c r="X149" s="108"/>
      <c r="Y149" s="109"/>
      <c r="Z149" s="110">
        <v>0</v>
      </c>
      <c r="AA149" s="107"/>
      <c r="AB149" s="111"/>
      <c r="AC149" s="112"/>
      <c r="AD149" s="113">
        <v>0.68108108108108112</v>
      </c>
      <c r="AE149" s="119">
        <v>0</v>
      </c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 t="str">
        <f>"  " &amp; TEXT(AE149,"#0.00%") &amp; " "</f>
        <v xml:space="preserve">  0.00% </v>
      </c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 t="str">
        <f>"     " &amp; "구매품 발주 및 입고" &amp; " " &amp; IF(P149="","",TEXT(P149,"M/D-")) &amp; IF(Q149="","",TEXT(Q149,"M/D")) &amp; " "</f>
        <v xml:space="preserve">     구매품 발주 및 입고 3/15-9/15 </v>
      </c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5"/>
      <c r="CZ149" s="115"/>
      <c r="DA149" s="115"/>
      <c r="DB149" s="115"/>
      <c r="DC149" s="115"/>
      <c r="DD149" s="115"/>
      <c r="DE149" s="115"/>
      <c r="DF149" s="115"/>
      <c r="DG149" s="115"/>
      <c r="DH149" s="115"/>
      <c r="DI149" s="115"/>
      <c r="DJ149" s="115"/>
      <c r="DK149" s="115"/>
      <c r="DL149" s="115"/>
      <c r="DM149" s="115"/>
      <c r="DN149" s="115"/>
      <c r="DO149" s="115"/>
      <c r="DP149" s="115"/>
      <c r="DQ149" s="115"/>
      <c r="DR149" s="115"/>
      <c r="DS149" s="115"/>
      <c r="DT149" s="115"/>
      <c r="DU149" s="115"/>
      <c r="DV149" s="115"/>
      <c r="DW149" s="115"/>
      <c r="DX149" s="115"/>
      <c r="DY149" s="115"/>
      <c r="DZ149" s="115"/>
      <c r="EA149" s="115"/>
      <c r="EB149" s="115"/>
      <c r="EC149" s="115"/>
      <c r="ED149" s="115"/>
      <c r="EE149" s="115"/>
      <c r="EF149" s="115"/>
      <c r="EG149" s="115"/>
      <c r="EH149" s="116"/>
    </row>
    <row r="150" spans="1:138" ht="12" customHeight="1" outlineLevel="2" x14ac:dyDescent="0.4">
      <c r="A150" s="101"/>
      <c r="B150" s="101"/>
      <c r="C150" s="101">
        <v>3</v>
      </c>
      <c r="D150" s="102" t="s">
        <v>509</v>
      </c>
      <c r="E150" s="103"/>
      <c r="F150" s="103"/>
      <c r="G150" s="125" t="s">
        <v>442</v>
      </c>
      <c r="H150" s="103"/>
      <c r="I150" s="103"/>
      <c r="J150" s="103"/>
      <c r="K150" s="103"/>
      <c r="L150" s="103"/>
      <c r="M150" s="103"/>
      <c r="N150" s="103"/>
      <c r="O150" s="104"/>
      <c r="P150" s="135">
        <v>44713</v>
      </c>
      <c r="Q150" s="135">
        <v>44804</v>
      </c>
      <c r="R150" s="106"/>
      <c r="S150" s="107">
        <v>92</v>
      </c>
      <c r="T150" s="107">
        <v>48</v>
      </c>
      <c r="U150" s="107">
        <v>92</v>
      </c>
      <c r="V150" s="107">
        <v>48</v>
      </c>
      <c r="W150" s="108"/>
      <c r="X150" s="108"/>
      <c r="Y150" s="109"/>
      <c r="Z150" s="110">
        <v>0</v>
      </c>
      <c r="AA150" s="107"/>
      <c r="AB150" s="111"/>
      <c r="AC150" s="112"/>
      <c r="AD150" s="113">
        <v>0.52173913043478259</v>
      </c>
      <c r="AE150" s="119">
        <v>0</v>
      </c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 t="str">
        <f>"   " &amp; TEXT(AE150,"#0.00%") &amp; " "</f>
        <v xml:space="preserve">   0.00% </v>
      </c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 t="str">
        <f>"    " &amp; "가공 및 제작" &amp; " " &amp; IF(P150="","",TEXT(P150,"M/D-")) &amp; IF(Q150="","",TEXT(Q150,"M/D")) &amp; " "</f>
        <v xml:space="preserve">    가공 및 제작 6/1-8/31 </v>
      </c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115"/>
      <c r="DJ150" s="115"/>
      <c r="DK150" s="115"/>
      <c r="DL150" s="115"/>
      <c r="DM150" s="115"/>
      <c r="DN150" s="115"/>
      <c r="DO150" s="115"/>
      <c r="DP150" s="115"/>
      <c r="DQ150" s="115"/>
      <c r="DR150" s="115"/>
      <c r="DS150" s="115"/>
      <c r="DT150" s="115"/>
      <c r="DU150" s="115"/>
      <c r="DV150" s="115"/>
      <c r="DW150" s="115"/>
      <c r="DX150" s="115"/>
      <c r="DY150" s="115"/>
      <c r="DZ150" s="115"/>
      <c r="EA150" s="115"/>
      <c r="EB150" s="115"/>
      <c r="EC150" s="115"/>
      <c r="ED150" s="115"/>
      <c r="EE150" s="115"/>
      <c r="EF150" s="115"/>
      <c r="EG150" s="115"/>
      <c r="EH150" s="116"/>
    </row>
    <row r="151" spans="1:138" ht="12" customHeight="1" outlineLevel="2" x14ac:dyDescent="0.4">
      <c r="A151" s="101"/>
      <c r="B151" s="101"/>
      <c r="C151" s="101">
        <v>3</v>
      </c>
      <c r="D151" s="102" t="s">
        <v>510</v>
      </c>
      <c r="E151" s="103"/>
      <c r="F151" s="103"/>
      <c r="G151" s="125" t="s">
        <v>429</v>
      </c>
      <c r="H151" s="103"/>
      <c r="I151" s="103"/>
      <c r="J151" s="103"/>
      <c r="K151" s="103"/>
      <c r="L151" s="103"/>
      <c r="M151" s="103"/>
      <c r="N151" s="103"/>
      <c r="O151" s="104"/>
      <c r="P151" s="135">
        <v>44757</v>
      </c>
      <c r="Q151" s="135">
        <v>44834</v>
      </c>
      <c r="R151" s="106"/>
      <c r="S151" s="107">
        <v>78</v>
      </c>
      <c r="T151" s="107">
        <v>4</v>
      </c>
      <c r="U151" s="107">
        <v>78</v>
      </c>
      <c r="V151" s="107">
        <v>4</v>
      </c>
      <c r="W151" s="108"/>
      <c r="X151" s="108"/>
      <c r="Y151" s="109"/>
      <c r="Z151" s="110">
        <v>0</v>
      </c>
      <c r="AA151" s="107"/>
      <c r="AB151" s="111"/>
      <c r="AC151" s="112"/>
      <c r="AD151" s="113">
        <v>5.128205128205128E-2</v>
      </c>
      <c r="AE151" s="119">
        <v>0</v>
      </c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 t="str">
        <f>"     " &amp; TEXT(AE151,"#0.00%") &amp; " "</f>
        <v xml:space="preserve">     0.00% </v>
      </c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 t="str">
        <f>"      " &amp; "기구 조립" &amp; " " &amp; IF(P151="","",TEXT(P151,"M/D-")) &amp; IF(Q151="","",TEXT(Q151,"M/D")) &amp; " "</f>
        <v xml:space="preserve">      기구 조립 7/15-9/30 </v>
      </c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6"/>
    </row>
    <row r="152" spans="1:138" ht="12" customHeight="1" outlineLevel="2" x14ac:dyDescent="0.4">
      <c r="A152" s="101"/>
      <c r="B152" s="101"/>
      <c r="C152" s="101">
        <v>3</v>
      </c>
      <c r="D152" s="102" t="s">
        <v>511</v>
      </c>
      <c r="E152" s="103"/>
      <c r="F152" s="103"/>
      <c r="G152" s="125" t="s">
        <v>431</v>
      </c>
      <c r="H152" s="103"/>
      <c r="I152" s="103"/>
      <c r="J152" s="103"/>
      <c r="K152" s="103"/>
      <c r="L152" s="103"/>
      <c r="M152" s="103"/>
      <c r="N152" s="103"/>
      <c r="O152" s="104"/>
      <c r="P152" s="135">
        <v>44788</v>
      </c>
      <c r="Q152" s="135">
        <v>44834</v>
      </c>
      <c r="R152" s="106"/>
      <c r="S152" s="107">
        <v>47</v>
      </c>
      <c r="T152" s="107">
        <v>0</v>
      </c>
      <c r="U152" s="107">
        <v>47</v>
      </c>
      <c r="V152" s="107">
        <v>0</v>
      </c>
      <c r="W152" s="108"/>
      <c r="X152" s="108"/>
      <c r="Y152" s="109"/>
      <c r="Z152" s="110">
        <v>0</v>
      </c>
      <c r="AA152" s="107"/>
      <c r="AB152" s="111"/>
      <c r="AC152" s="112"/>
      <c r="AD152" s="113">
        <v>0</v>
      </c>
      <c r="AE152" s="134">
        <v>0</v>
      </c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 t="str">
        <f>" " &amp; TEXT(AE152,"#0.00%") &amp; " "</f>
        <v xml:space="preserve"> 0.00% </v>
      </c>
      <c r="BN152" s="115"/>
      <c r="BO152" s="115"/>
      <c r="BP152" s="115"/>
      <c r="BQ152" s="115"/>
      <c r="BR152" s="115"/>
      <c r="BS152" s="115" t="str">
        <f>"      " &amp; "전장 배선" &amp; " " &amp; IF(P152="","",TEXT(P152,"M/D-")) &amp; IF(Q152="","",TEXT(Q152,"M/D")) &amp; " "</f>
        <v xml:space="preserve">      전장 배선 8/15-9/30 </v>
      </c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115"/>
      <c r="DJ152" s="115"/>
      <c r="DK152" s="115"/>
      <c r="DL152" s="115"/>
      <c r="DM152" s="115"/>
      <c r="DN152" s="115"/>
      <c r="DO152" s="115"/>
      <c r="DP152" s="115"/>
      <c r="DQ152" s="115"/>
      <c r="DR152" s="115"/>
      <c r="DS152" s="115"/>
      <c r="DT152" s="115"/>
      <c r="DU152" s="115"/>
      <c r="DV152" s="115"/>
      <c r="DW152" s="115"/>
      <c r="DX152" s="115"/>
      <c r="DY152" s="115"/>
      <c r="DZ152" s="115"/>
      <c r="EA152" s="115"/>
      <c r="EB152" s="115"/>
      <c r="EC152" s="115"/>
      <c r="ED152" s="115"/>
      <c r="EE152" s="115"/>
      <c r="EF152" s="115"/>
      <c r="EG152" s="115"/>
      <c r="EH152" s="116"/>
    </row>
    <row r="153" spans="1:138" ht="12" customHeight="1" outlineLevel="2" x14ac:dyDescent="0.4">
      <c r="A153" s="101"/>
      <c r="B153" s="101"/>
      <c r="C153" s="101">
        <v>3</v>
      </c>
      <c r="D153" s="102" t="s">
        <v>512</v>
      </c>
      <c r="E153" s="103"/>
      <c r="F153" s="103"/>
      <c r="G153" s="125" t="s">
        <v>433</v>
      </c>
      <c r="H153" s="103"/>
      <c r="I153" s="103"/>
      <c r="J153" s="103"/>
      <c r="K153" s="103"/>
      <c r="L153" s="103"/>
      <c r="M153" s="103"/>
      <c r="N153" s="103"/>
      <c r="O153" s="104"/>
      <c r="P153" s="135">
        <v>44835</v>
      </c>
      <c r="Q153" s="135">
        <v>44880</v>
      </c>
      <c r="R153" s="106"/>
      <c r="S153" s="107">
        <v>46</v>
      </c>
      <c r="T153" s="107">
        <v>0</v>
      </c>
      <c r="U153" s="107">
        <v>46</v>
      </c>
      <c r="V153" s="107">
        <v>0</v>
      </c>
      <c r="W153" s="108"/>
      <c r="X153" s="108"/>
      <c r="Y153" s="109"/>
      <c r="Z153" s="110">
        <v>0</v>
      </c>
      <c r="AA153" s="107"/>
      <c r="AB153" s="111"/>
      <c r="AC153" s="112"/>
      <c r="AD153" s="113">
        <v>0</v>
      </c>
      <c r="AE153" s="134">
        <v>0</v>
      </c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 t="str">
        <f>"      " &amp; TEXT(AE153,"#0.00%") &amp; " "</f>
        <v xml:space="preserve">      0.00% </v>
      </c>
      <c r="BT153" s="115"/>
      <c r="BU153" s="115"/>
      <c r="BV153" s="115"/>
      <c r="BW153" s="115"/>
      <c r="BX153" s="115"/>
      <c r="BY153" s="115"/>
      <c r="BZ153" s="115" t="str">
        <f>"   " &amp; "단동 TEST" &amp; " " &amp; IF(P153="","",TEXT(P153,"M/D-")) &amp; IF(Q153="","",TEXT(Q153,"M/D")) &amp; " "</f>
        <v xml:space="preserve">   단동 TEST 10/1-11/15 </v>
      </c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6"/>
    </row>
    <row r="154" spans="1:138" ht="12" customHeight="1" outlineLevel="2" x14ac:dyDescent="0.4">
      <c r="A154" s="101"/>
      <c r="B154" s="101"/>
      <c r="C154" s="101">
        <v>3</v>
      </c>
      <c r="D154" s="102" t="s">
        <v>513</v>
      </c>
      <c r="E154" s="103"/>
      <c r="F154" s="103"/>
      <c r="G154" s="125" t="s">
        <v>437</v>
      </c>
      <c r="H154" s="103"/>
      <c r="I154" s="103"/>
      <c r="J154" s="103"/>
      <c r="K154" s="103"/>
      <c r="L154" s="103"/>
      <c r="M154" s="103"/>
      <c r="N154" s="103"/>
      <c r="O154" s="104"/>
      <c r="P154" s="135">
        <v>44866</v>
      </c>
      <c r="Q154" s="135">
        <v>44872</v>
      </c>
      <c r="R154" s="106"/>
      <c r="S154" s="107">
        <v>7</v>
      </c>
      <c r="T154" s="107">
        <v>0</v>
      </c>
      <c r="U154" s="107">
        <v>7</v>
      </c>
      <c r="V154" s="107">
        <v>0</v>
      </c>
      <c r="W154" s="108"/>
      <c r="X154" s="108"/>
      <c r="Y154" s="109"/>
      <c r="Z154" s="110">
        <v>0</v>
      </c>
      <c r="AA154" s="107"/>
      <c r="AB154" s="111"/>
      <c r="AC154" s="112"/>
      <c r="AD154" s="113">
        <v>0</v>
      </c>
      <c r="AE154" s="134">
        <v>0</v>
      </c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 t="str">
        <f>"  " &amp; TEXT(AE154,"#0.00%") &amp; " " &amp; "고객사 검수" &amp; " " &amp; IF(P154="","",TEXT(P154,"M/D-")) &amp; IF(Q154="","",TEXT(Q154,"M/D")) &amp; " "</f>
        <v xml:space="preserve">  0.00% 고객사 검수 11/1-11/7 </v>
      </c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115"/>
      <c r="DY154" s="115"/>
      <c r="DZ154" s="115"/>
      <c r="EA154" s="115"/>
      <c r="EB154" s="115"/>
      <c r="EC154" s="115"/>
      <c r="ED154" s="115"/>
      <c r="EE154" s="115"/>
      <c r="EF154" s="115"/>
      <c r="EG154" s="115"/>
      <c r="EH154" s="116"/>
    </row>
    <row r="155" spans="1:138" ht="12" customHeight="1" x14ac:dyDescent="0.4">
      <c r="A155" s="101"/>
      <c r="B155" s="101" t="s">
        <v>325</v>
      </c>
      <c r="C155" s="101">
        <v>1</v>
      </c>
      <c r="D155" s="102" t="s">
        <v>514</v>
      </c>
      <c r="E155" s="103" t="s">
        <v>515</v>
      </c>
      <c r="F155" s="103"/>
      <c r="G155" s="103"/>
      <c r="H155" s="103"/>
      <c r="I155" s="103"/>
      <c r="J155" s="103"/>
      <c r="K155" s="103"/>
      <c r="L155" s="103"/>
      <c r="M155" s="103"/>
      <c r="N155" s="103"/>
      <c r="O155" s="104"/>
      <c r="P155" s="108">
        <v>44864</v>
      </c>
      <c r="Q155" s="108">
        <v>44956</v>
      </c>
      <c r="R155" s="106"/>
      <c r="S155" s="107">
        <v>232</v>
      </c>
      <c r="T155" s="107">
        <v>0</v>
      </c>
      <c r="U155" s="107">
        <v>93</v>
      </c>
      <c r="V155" s="107">
        <v>0</v>
      </c>
      <c r="W155" s="108"/>
      <c r="X155" s="108"/>
      <c r="Y155" s="109">
        <v>0</v>
      </c>
      <c r="Z155" s="110">
        <v>0</v>
      </c>
      <c r="AA155" s="107"/>
      <c r="AB155" s="111"/>
      <c r="AC155" s="112"/>
      <c r="AD155" s="113">
        <v>0</v>
      </c>
      <c r="AE155" s="137">
        <v>0</v>
      </c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 t="str">
        <f>"" &amp; TEXT(AE155,"#0.00%") &amp; " "</f>
        <v xml:space="preserve">0.00% </v>
      </c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 t="str">
        <f>"  " &amp; "출하" &amp; " " &amp; IF(P155="","",TEXT(P155,"M/D-")) &amp; IF(Q155="","",TEXT(Q155,"M/D")) &amp; " "</f>
        <v xml:space="preserve">  출하 10/30-1/30 </v>
      </c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115"/>
      <c r="DY155" s="115"/>
      <c r="DZ155" s="115"/>
      <c r="EA155" s="115"/>
      <c r="EB155" s="115"/>
      <c r="EC155" s="115"/>
      <c r="ED155" s="115"/>
      <c r="EE155" s="115"/>
      <c r="EF155" s="115"/>
      <c r="EG155" s="115"/>
      <c r="EH155" s="116"/>
    </row>
    <row r="156" spans="1:138" ht="12" customHeight="1" outlineLevel="1" x14ac:dyDescent="0.4">
      <c r="A156" s="101"/>
      <c r="B156" s="101" t="s">
        <v>325</v>
      </c>
      <c r="C156" s="101">
        <v>2</v>
      </c>
      <c r="D156" s="102" t="s">
        <v>516</v>
      </c>
      <c r="E156" s="103"/>
      <c r="F156" s="103" t="s">
        <v>329</v>
      </c>
      <c r="G156" s="103"/>
      <c r="H156" s="103"/>
      <c r="I156" s="103"/>
      <c r="J156" s="103"/>
      <c r="K156" s="103"/>
      <c r="L156" s="103"/>
      <c r="M156" s="103"/>
      <c r="N156" s="103"/>
      <c r="O156" s="104" t="s">
        <v>330</v>
      </c>
      <c r="P156" s="108">
        <v>44864</v>
      </c>
      <c r="Q156" s="108">
        <v>44937</v>
      </c>
      <c r="R156" s="106"/>
      <c r="S156" s="107">
        <v>74</v>
      </c>
      <c r="T156" s="107">
        <v>0</v>
      </c>
      <c r="U156" s="107">
        <v>74</v>
      </c>
      <c r="V156" s="107">
        <v>0</v>
      </c>
      <c r="W156" s="108"/>
      <c r="X156" s="108"/>
      <c r="Y156" s="109">
        <v>0</v>
      </c>
      <c r="Z156" s="110">
        <v>0</v>
      </c>
      <c r="AA156" s="107"/>
      <c r="AB156" s="111"/>
      <c r="AC156" s="112"/>
      <c r="AD156" s="113">
        <v>0</v>
      </c>
      <c r="AE156" s="137">
        <v>0</v>
      </c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 t="str">
        <f>"" &amp; TEXT(AE156,"#0.00%") &amp; " "</f>
        <v xml:space="preserve">0.00% </v>
      </c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 t="str">
        <f>"    " &amp; "BUFFER STK" &amp; " " &amp; IF(P156="","",TEXT(P156,"M/D-")) &amp; IF(Q156="","",TEXT(Q156,"M/D")) &amp; " "</f>
        <v xml:space="preserve">    BUFFER STK 10/30-1/11 </v>
      </c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E156" s="115"/>
      <c r="DF156" s="115"/>
      <c r="DG156" s="115"/>
      <c r="DH156" s="115"/>
      <c r="DI156" s="115"/>
      <c r="DJ156" s="115"/>
      <c r="DK156" s="115"/>
      <c r="DL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  <c r="DV156" s="115"/>
      <c r="DW156" s="115"/>
      <c r="DX156" s="115"/>
      <c r="DY156" s="115"/>
      <c r="DZ156" s="115"/>
      <c r="EA156" s="115"/>
      <c r="EB156" s="115"/>
      <c r="EC156" s="115"/>
      <c r="ED156" s="115"/>
      <c r="EE156" s="115"/>
      <c r="EF156" s="115"/>
      <c r="EG156" s="115"/>
      <c r="EH156" s="116"/>
    </row>
    <row r="157" spans="1:138" ht="12" customHeight="1" outlineLevel="2" x14ac:dyDescent="0.4">
      <c r="A157" s="101"/>
      <c r="B157" s="101"/>
      <c r="C157" s="101">
        <v>3</v>
      </c>
      <c r="D157" s="102" t="s">
        <v>517</v>
      </c>
      <c r="E157" s="103"/>
      <c r="F157" s="103"/>
      <c r="G157" s="103" t="s">
        <v>518</v>
      </c>
      <c r="H157" s="103"/>
      <c r="I157" s="103"/>
      <c r="J157" s="103"/>
      <c r="K157" s="103"/>
      <c r="L157" s="103"/>
      <c r="M157" s="103"/>
      <c r="N157" s="103"/>
      <c r="O157" s="104"/>
      <c r="P157" s="108">
        <v>44864</v>
      </c>
      <c r="Q157" s="108">
        <v>44937</v>
      </c>
      <c r="R157" s="106"/>
      <c r="S157" s="107">
        <v>74</v>
      </c>
      <c r="T157" s="107">
        <v>0</v>
      </c>
      <c r="U157" s="107">
        <v>74</v>
      </c>
      <c r="V157" s="107">
        <v>0</v>
      </c>
      <c r="W157" s="108"/>
      <c r="X157" s="108"/>
      <c r="Y157" s="109"/>
      <c r="Z157" s="110">
        <v>0</v>
      </c>
      <c r="AA157" s="107"/>
      <c r="AB157" s="111"/>
      <c r="AC157" s="112"/>
      <c r="AD157" s="113">
        <v>0</v>
      </c>
      <c r="AE157" s="134">
        <v>0</v>
      </c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 t="str">
        <f>"" &amp; TEXT(AE157,"#0.00%") &amp; " "</f>
        <v xml:space="preserve">0.00% </v>
      </c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 t="str">
        <f>"    " &amp; "해체/포장" &amp; " " &amp; IF(P157="","",TEXT(P157,"M/D-")) &amp; IF(Q157="","",TEXT(Q157,"M/D")) &amp; " "</f>
        <v xml:space="preserve">    해체/포장 10/30-1/11 </v>
      </c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15"/>
      <c r="DC157" s="115"/>
      <c r="DD157" s="115"/>
      <c r="DE157" s="115"/>
      <c r="DF157" s="115"/>
      <c r="DG157" s="115"/>
      <c r="DH157" s="115"/>
      <c r="DI157" s="115"/>
      <c r="DJ157" s="115"/>
      <c r="DK157" s="115"/>
      <c r="DL157" s="115"/>
      <c r="DM157" s="115"/>
      <c r="DN157" s="115"/>
      <c r="DO157" s="115"/>
      <c r="DP157" s="115"/>
      <c r="DQ157" s="115"/>
      <c r="DR157" s="115"/>
      <c r="DS157" s="115"/>
      <c r="DT157" s="115"/>
      <c r="DU157" s="115"/>
      <c r="DV157" s="115"/>
      <c r="DW157" s="115"/>
      <c r="DX157" s="115"/>
      <c r="DY157" s="115"/>
      <c r="DZ157" s="115"/>
      <c r="EA157" s="115"/>
      <c r="EB157" s="115"/>
      <c r="EC157" s="115"/>
      <c r="ED157" s="115"/>
      <c r="EE157" s="115"/>
      <c r="EF157" s="115"/>
      <c r="EG157" s="115"/>
      <c r="EH157" s="116"/>
    </row>
    <row r="158" spans="1:138" ht="12" customHeight="1" outlineLevel="1" x14ac:dyDescent="0.4">
      <c r="A158" s="101"/>
      <c r="B158" s="101" t="s">
        <v>325</v>
      </c>
      <c r="C158" s="101">
        <v>2</v>
      </c>
      <c r="D158" s="102" t="s">
        <v>519</v>
      </c>
      <c r="E158" s="103"/>
      <c r="F158" s="103" t="s">
        <v>344</v>
      </c>
      <c r="G158" s="103"/>
      <c r="H158" s="103"/>
      <c r="I158" s="103"/>
      <c r="J158" s="103"/>
      <c r="K158" s="103"/>
      <c r="L158" s="103"/>
      <c r="M158" s="103"/>
      <c r="N158" s="103"/>
      <c r="O158" s="104" t="s">
        <v>345</v>
      </c>
      <c r="P158" s="108">
        <v>44906</v>
      </c>
      <c r="Q158" s="108">
        <v>44916</v>
      </c>
      <c r="R158" s="106"/>
      <c r="S158" s="107">
        <v>11</v>
      </c>
      <c r="T158" s="107">
        <v>0</v>
      </c>
      <c r="U158" s="107">
        <v>11</v>
      </c>
      <c r="V158" s="107">
        <v>0</v>
      </c>
      <c r="W158" s="108"/>
      <c r="X158" s="108"/>
      <c r="Y158" s="109">
        <v>0</v>
      </c>
      <c r="Z158" s="110">
        <v>0</v>
      </c>
      <c r="AA158" s="107"/>
      <c r="AB158" s="111"/>
      <c r="AC158" s="112"/>
      <c r="AD158" s="113">
        <v>0</v>
      </c>
      <c r="AE158" s="137">
        <v>0</v>
      </c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 t="str">
        <f>"" &amp; TEXT(AE158,"#0.00%") &amp; " " &amp; "BUFFER 입출고 물류" &amp; " " &amp; IF(P158="","",TEXT(P158,"M/D-")) &amp; IF(Q158="","",TEXT(Q158,"M/D")) &amp; " "</f>
        <v xml:space="preserve">0.00% BUFFER 입출고 물류 12/11-12/21 </v>
      </c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15"/>
      <c r="DC158" s="115"/>
      <c r="DD158" s="115"/>
      <c r="DE158" s="115"/>
      <c r="DF158" s="115"/>
      <c r="DG158" s="115"/>
      <c r="DH158" s="115"/>
      <c r="DI158" s="115"/>
      <c r="DJ158" s="115"/>
      <c r="DK158" s="115"/>
      <c r="DL158" s="115"/>
      <c r="DM158" s="115"/>
      <c r="DN158" s="115"/>
      <c r="DO158" s="115"/>
      <c r="DP158" s="115"/>
      <c r="DQ158" s="115"/>
      <c r="DR158" s="115"/>
      <c r="DS158" s="115"/>
      <c r="DT158" s="115"/>
      <c r="DU158" s="115"/>
      <c r="DV158" s="115"/>
      <c r="DW158" s="115"/>
      <c r="DX158" s="115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6"/>
    </row>
    <row r="159" spans="1:138" ht="12" customHeight="1" outlineLevel="2" x14ac:dyDescent="0.4">
      <c r="A159" s="101"/>
      <c r="B159" s="101"/>
      <c r="C159" s="101">
        <v>3</v>
      </c>
      <c r="D159" s="102" t="s">
        <v>520</v>
      </c>
      <c r="E159" s="103"/>
      <c r="F159" s="103"/>
      <c r="G159" s="103" t="s">
        <v>518</v>
      </c>
      <c r="H159" s="103"/>
      <c r="I159" s="103"/>
      <c r="J159" s="103"/>
      <c r="K159" s="103"/>
      <c r="L159" s="103"/>
      <c r="M159" s="103"/>
      <c r="N159" s="103"/>
      <c r="O159" s="104"/>
      <c r="P159" s="108">
        <v>44906</v>
      </c>
      <c r="Q159" s="108">
        <v>44916</v>
      </c>
      <c r="R159" s="106"/>
      <c r="S159" s="107">
        <v>11</v>
      </c>
      <c r="T159" s="107">
        <v>0</v>
      </c>
      <c r="U159" s="107">
        <v>11</v>
      </c>
      <c r="V159" s="107">
        <v>0</v>
      </c>
      <c r="W159" s="108"/>
      <c r="X159" s="108"/>
      <c r="Y159" s="109"/>
      <c r="Z159" s="110">
        <v>0</v>
      </c>
      <c r="AA159" s="107"/>
      <c r="AB159" s="111"/>
      <c r="AC159" s="112"/>
      <c r="AD159" s="113">
        <v>0</v>
      </c>
      <c r="AE159" s="134">
        <v>0</v>
      </c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 t="str">
        <f>"" &amp; TEXT(AE159,"#0.00%") &amp; " " &amp; "해체/포장" &amp; " " &amp; IF(P159="","",TEXT(P159,"M/D-")) &amp; IF(Q159="","",TEXT(Q159,"M/D")) &amp; " "</f>
        <v xml:space="preserve">0.00% 해체/포장 12/11-12/21 </v>
      </c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15"/>
      <c r="DC159" s="115"/>
      <c r="DD159" s="115"/>
      <c r="DE159" s="115"/>
      <c r="DF159" s="115"/>
      <c r="DG159" s="115"/>
      <c r="DH159" s="115"/>
      <c r="DI159" s="115"/>
      <c r="DJ159" s="115"/>
      <c r="DK159" s="115"/>
      <c r="DL159" s="115"/>
      <c r="DM159" s="115"/>
      <c r="DN159" s="115"/>
      <c r="DO159" s="115"/>
      <c r="DP159" s="115"/>
      <c r="DQ159" s="115"/>
      <c r="DR159" s="115"/>
      <c r="DS159" s="115"/>
      <c r="DT159" s="115"/>
      <c r="DU159" s="115"/>
      <c r="DV159" s="115"/>
      <c r="DW159" s="115"/>
      <c r="DX159" s="115"/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6"/>
    </row>
    <row r="160" spans="1:138" ht="12" customHeight="1" outlineLevel="1" x14ac:dyDescent="0.4">
      <c r="A160" s="101"/>
      <c r="B160" s="101" t="s">
        <v>325</v>
      </c>
      <c r="C160" s="101">
        <v>2</v>
      </c>
      <c r="D160" s="102" t="s">
        <v>521</v>
      </c>
      <c r="E160" s="103"/>
      <c r="F160" s="103" t="s">
        <v>353</v>
      </c>
      <c r="G160" s="103"/>
      <c r="H160" s="103"/>
      <c r="I160" s="124"/>
      <c r="J160" s="124"/>
      <c r="K160" s="124"/>
      <c r="L160" s="124"/>
      <c r="M160" s="124"/>
      <c r="N160" s="124"/>
      <c r="O160" s="104" t="s">
        <v>345</v>
      </c>
      <c r="P160" s="138">
        <v>44880</v>
      </c>
      <c r="Q160" s="138">
        <v>44895</v>
      </c>
      <c r="R160" s="139"/>
      <c r="S160" s="140">
        <v>16</v>
      </c>
      <c r="T160" s="140">
        <v>0</v>
      </c>
      <c r="U160" s="140">
        <v>16</v>
      </c>
      <c r="V160" s="140">
        <v>0</v>
      </c>
      <c r="W160" s="138"/>
      <c r="X160" s="138"/>
      <c r="Y160" s="141">
        <v>0</v>
      </c>
      <c r="Z160" s="142">
        <v>0</v>
      </c>
      <c r="AA160" s="140"/>
      <c r="AB160" s="143"/>
      <c r="AC160" s="144"/>
      <c r="AD160" s="145">
        <v>0</v>
      </c>
      <c r="AE160" s="137">
        <v>0</v>
      </c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 t="str">
        <f>"  " &amp; TEXT(AE160,"#0.00%") &amp; " " &amp; "외관검사기 물류" &amp; " " &amp; IF(P160="","",TEXT(P160,"M/D-")) &amp; IF(Q160="","",TEXT(Q160,"M/D")) &amp; " "</f>
        <v xml:space="preserve">  0.00% 외관검사기 물류 11/15-11/30 </v>
      </c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115"/>
      <c r="DJ160" s="115"/>
      <c r="DK160" s="115"/>
      <c r="DL160" s="115"/>
      <c r="DM160" s="115"/>
      <c r="DN160" s="115"/>
      <c r="DO160" s="115"/>
      <c r="DP160" s="115"/>
      <c r="DQ160" s="115"/>
      <c r="DR160" s="115"/>
      <c r="DS160" s="115"/>
      <c r="DT160" s="115"/>
      <c r="DU160" s="115"/>
      <c r="DV160" s="115"/>
      <c r="DW160" s="115"/>
      <c r="DX160" s="115"/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6"/>
    </row>
    <row r="161" spans="1:138" ht="12" customHeight="1" outlineLevel="2" x14ac:dyDescent="0.4">
      <c r="A161" s="101"/>
      <c r="B161" s="101"/>
      <c r="C161" s="101">
        <v>3</v>
      </c>
      <c r="D161" s="102" t="s">
        <v>522</v>
      </c>
      <c r="E161" s="103"/>
      <c r="F161" s="103"/>
      <c r="G161" s="103" t="s">
        <v>518</v>
      </c>
      <c r="H161" s="103"/>
      <c r="I161" s="103"/>
      <c r="J161" s="103"/>
      <c r="K161" s="103"/>
      <c r="L161" s="103"/>
      <c r="M161" s="103"/>
      <c r="N161" s="103"/>
      <c r="O161" s="104"/>
      <c r="P161" s="108">
        <v>44880</v>
      </c>
      <c r="Q161" s="108">
        <v>44895</v>
      </c>
      <c r="R161" s="106"/>
      <c r="S161" s="107">
        <v>16</v>
      </c>
      <c r="T161" s="107">
        <v>0</v>
      </c>
      <c r="U161" s="107">
        <v>16</v>
      </c>
      <c r="V161" s="107">
        <v>0</v>
      </c>
      <c r="W161" s="108"/>
      <c r="X161" s="108"/>
      <c r="Y161" s="109"/>
      <c r="Z161" s="110">
        <v>0</v>
      </c>
      <c r="AA161" s="107"/>
      <c r="AB161" s="111"/>
      <c r="AC161" s="112"/>
      <c r="AD161" s="113">
        <v>0</v>
      </c>
      <c r="AE161" s="134">
        <v>0</v>
      </c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 t="str">
        <f>"  " &amp; TEXT(AE161,"#0.00%") &amp; " " &amp; "해체/포장" &amp; " " &amp; IF(P161="","",TEXT(P161,"M/D-")) &amp; IF(Q161="","",TEXT(Q161,"M/D")) &amp; " "</f>
        <v xml:space="preserve">  0.00% 해체/포장 11/15-11/30 </v>
      </c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F161" s="115"/>
      <c r="DG161" s="115"/>
      <c r="DH161" s="115"/>
      <c r="DI161" s="115"/>
      <c r="DJ161" s="115"/>
      <c r="DK161" s="115"/>
      <c r="DL161" s="115"/>
      <c r="DM161" s="115"/>
      <c r="DN161" s="115"/>
      <c r="DO161" s="115"/>
      <c r="DP161" s="115"/>
      <c r="DQ161" s="115"/>
      <c r="DR161" s="115"/>
      <c r="DS161" s="115"/>
      <c r="DT161" s="115"/>
      <c r="DU161" s="115"/>
      <c r="DV161" s="115"/>
      <c r="DW161" s="115"/>
      <c r="DX161" s="115"/>
      <c r="DY161" s="115"/>
      <c r="DZ161" s="115"/>
      <c r="EA161" s="115"/>
      <c r="EB161" s="115"/>
      <c r="EC161" s="115"/>
      <c r="ED161" s="115"/>
      <c r="EE161" s="115"/>
      <c r="EF161" s="115"/>
      <c r="EG161" s="115"/>
      <c r="EH161" s="116"/>
    </row>
    <row r="162" spans="1:138" ht="12" customHeight="1" outlineLevel="1" x14ac:dyDescent="0.4">
      <c r="A162" s="101"/>
      <c r="B162" s="101" t="s">
        <v>325</v>
      </c>
      <c r="C162" s="101">
        <v>2</v>
      </c>
      <c r="D162" s="102" t="s">
        <v>523</v>
      </c>
      <c r="E162" s="103"/>
      <c r="F162" s="103" t="s">
        <v>361</v>
      </c>
      <c r="G162" s="103"/>
      <c r="H162" s="146"/>
      <c r="I162" s="103"/>
      <c r="J162" s="103"/>
      <c r="K162" s="103"/>
      <c r="L162" s="103"/>
      <c r="M162" s="103"/>
      <c r="N162" s="103"/>
      <c r="O162" s="104" t="s">
        <v>345</v>
      </c>
      <c r="P162" s="108">
        <v>44875</v>
      </c>
      <c r="Q162" s="108">
        <v>44885</v>
      </c>
      <c r="R162" s="106"/>
      <c r="S162" s="107">
        <v>11</v>
      </c>
      <c r="T162" s="107">
        <v>0</v>
      </c>
      <c r="U162" s="107">
        <v>11</v>
      </c>
      <c r="V162" s="107">
        <v>0</v>
      </c>
      <c r="W162" s="108"/>
      <c r="X162" s="108"/>
      <c r="Y162" s="109">
        <v>0</v>
      </c>
      <c r="Z162" s="110">
        <v>0</v>
      </c>
      <c r="AA162" s="107"/>
      <c r="AB162" s="111"/>
      <c r="AC162" s="112"/>
      <c r="AD162" s="113">
        <v>0</v>
      </c>
      <c r="AE162" s="137">
        <v>0</v>
      </c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  <c r="BX162" s="115"/>
      <c r="BY162" s="115" t="str">
        <f>"    " &amp; TEXT(AE162,"#0.00%") &amp; " " &amp; "OHT" &amp; " " &amp; IF(P162="","",TEXT(P162,"M/D-")) &amp; IF(Q162="","",TEXT(Q162,"M/D")) &amp; " "</f>
        <v xml:space="preserve">    0.00% OHT 11/10-11/20 </v>
      </c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115"/>
      <c r="CU162" s="115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F162" s="115"/>
      <c r="DG162" s="115"/>
      <c r="DH162" s="115"/>
      <c r="DI162" s="115"/>
      <c r="DJ162" s="115"/>
      <c r="DK162" s="115"/>
      <c r="DL162" s="115"/>
      <c r="DM162" s="115"/>
      <c r="DN162" s="115"/>
      <c r="DO162" s="115"/>
      <c r="DP162" s="115"/>
      <c r="DQ162" s="115"/>
      <c r="DR162" s="115"/>
      <c r="DS162" s="115"/>
      <c r="DT162" s="115"/>
      <c r="DU162" s="115"/>
      <c r="DV162" s="115"/>
      <c r="DW162" s="115"/>
      <c r="DX162" s="115"/>
      <c r="DY162" s="115"/>
      <c r="DZ162" s="115"/>
      <c r="EA162" s="115"/>
      <c r="EB162" s="115"/>
      <c r="EC162" s="115"/>
      <c r="ED162" s="115"/>
      <c r="EE162" s="115"/>
      <c r="EF162" s="115"/>
      <c r="EG162" s="115"/>
      <c r="EH162" s="116"/>
    </row>
    <row r="163" spans="1:138" ht="12" customHeight="1" outlineLevel="2" x14ac:dyDescent="0.4">
      <c r="A163" s="101"/>
      <c r="B163" s="101"/>
      <c r="C163" s="101">
        <v>3</v>
      </c>
      <c r="D163" s="102" t="s">
        <v>524</v>
      </c>
      <c r="E163" s="103"/>
      <c r="F163" s="103"/>
      <c r="G163" s="103" t="s">
        <v>525</v>
      </c>
      <c r="H163" s="146"/>
      <c r="I163" s="103"/>
      <c r="J163" s="103"/>
      <c r="K163" s="103"/>
      <c r="L163" s="103"/>
      <c r="M163" s="103"/>
      <c r="N163" s="103"/>
      <c r="O163" s="104"/>
      <c r="P163" s="108"/>
      <c r="Q163" s="108"/>
      <c r="R163" s="106"/>
      <c r="S163" s="107">
        <v>0</v>
      </c>
      <c r="T163" s="107">
        <v>0</v>
      </c>
      <c r="U163" s="107">
        <v>0</v>
      </c>
      <c r="V163" s="107">
        <v>0</v>
      </c>
      <c r="W163" s="108"/>
      <c r="X163" s="108"/>
      <c r="Y163" s="109">
        <v>0</v>
      </c>
      <c r="Z163" s="110">
        <v>0</v>
      </c>
      <c r="AA163" s="107"/>
      <c r="AB163" s="111"/>
      <c r="AC163" s="112"/>
      <c r="AD163" s="113">
        <v>0</v>
      </c>
      <c r="AE163" s="147">
        <v>0</v>
      </c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5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F163" s="115"/>
      <c r="DG163" s="115"/>
      <c r="DH163" s="115"/>
      <c r="DI163" s="115"/>
      <c r="DJ163" s="115"/>
      <c r="DK163" s="115"/>
      <c r="DL163" s="115"/>
      <c r="DM163" s="115"/>
      <c r="DN163" s="115"/>
      <c r="DO163" s="115"/>
      <c r="DP163" s="115"/>
      <c r="DQ163" s="115"/>
      <c r="DR163" s="115"/>
      <c r="DS163" s="115"/>
      <c r="DT163" s="115"/>
      <c r="DU163" s="115"/>
      <c r="DV163" s="115"/>
      <c r="DW163" s="115"/>
      <c r="DX163" s="115"/>
      <c r="DY163" s="115"/>
      <c r="DZ163" s="115"/>
      <c r="EA163" s="115"/>
      <c r="EB163" s="115"/>
      <c r="EC163" s="115"/>
      <c r="ED163" s="115"/>
      <c r="EE163" s="115"/>
      <c r="EF163" s="115"/>
      <c r="EG163" s="115"/>
      <c r="EH163" s="116"/>
    </row>
    <row r="164" spans="1:138" ht="12" customHeight="1" outlineLevel="2" x14ac:dyDescent="0.4">
      <c r="A164" s="101"/>
      <c r="B164" s="101"/>
      <c r="C164" s="101">
        <v>3</v>
      </c>
      <c r="D164" s="102" t="s">
        <v>526</v>
      </c>
      <c r="E164" s="103"/>
      <c r="F164" s="103"/>
      <c r="G164" s="103" t="s">
        <v>527</v>
      </c>
      <c r="H164" s="103"/>
      <c r="I164" s="103"/>
      <c r="J164" s="103"/>
      <c r="K164" s="103"/>
      <c r="L164" s="103"/>
      <c r="M164" s="103"/>
      <c r="N164" s="103"/>
      <c r="O164" s="104"/>
      <c r="P164" s="108">
        <v>44875</v>
      </c>
      <c r="Q164" s="108">
        <v>44885</v>
      </c>
      <c r="R164" s="106"/>
      <c r="S164" s="107">
        <v>11</v>
      </c>
      <c r="T164" s="107">
        <v>0</v>
      </c>
      <c r="U164" s="107">
        <v>11</v>
      </c>
      <c r="V164" s="107">
        <v>0</v>
      </c>
      <c r="W164" s="108"/>
      <c r="X164" s="108"/>
      <c r="Y164" s="109"/>
      <c r="Z164" s="110">
        <v>0</v>
      </c>
      <c r="AA164" s="107"/>
      <c r="AB164" s="111"/>
      <c r="AC164" s="112"/>
      <c r="AD164" s="113">
        <v>0</v>
      </c>
      <c r="AE164" s="134">
        <v>0</v>
      </c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 t="str">
        <f>"    " &amp; TEXT(AE164,"#0.00%") &amp; " " &amp; "해체/포장 (VEHICLE, MTL)" &amp; " " &amp; IF(P164="","",TEXT(P164,"M/D-")) &amp; IF(Q164="","",TEXT(Q164,"M/D")) &amp; " "</f>
        <v xml:space="preserve">    0.00% 해체/포장 (VEHICLE, MTL) 11/10-11/20 </v>
      </c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115"/>
      <c r="DJ164" s="115"/>
      <c r="DK164" s="115"/>
      <c r="DL164" s="115"/>
      <c r="DM164" s="115"/>
      <c r="DN164" s="115"/>
      <c r="DO164" s="115"/>
      <c r="DP164" s="115"/>
      <c r="DQ164" s="115"/>
      <c r="DR164" s="115"/>
      <c r="DS164" s="115"/>
      <c r="DT164" s="115"/>
      <c r="DU164" s="115"/>
      <c r="DV164" s="115"/>
      <c r="DW164" s="115"/>
      <c r="DX164" s="115"/>
      <c r="DY164" s="115"/>
      <c r="DZ164" s="115"/>
      <c r="EA164" s="115"/>
      <c r="EB164" s="115"/>
      <c r="EC164" s="115"/>
      <c r="ED164" s="115"/>
      <c r="EE164" s="115"/>
      <c r="EF164" s="115"/>
      <c r="EG164" s="115"/>
      <c r="EH164" s="116"/>
    </row>
    <row r="165" spans="1:138" ht="12" customHeight="1" outlineLevel="1" x14ac:dyDescent="0.4">
      <c r="A165" s="101"/>
      <c r="B165" s="101" t="s">
        <v>325</v>
      </c>
      <c r="C165" s="101">
        <v>2</v>
      </c>
      <c r="D165" s="102" t="s">
        <v>528</v>
      </c>
      <c r="E165" s="103"/>
      <c r="F165" s="103" t="s">
        <v>372</v>
      </c>
      <c r="G165" s="103"/>
      <c r="H165" s="103"/>
      <c r="I165" s="103"/>
      <c r="J165" s="103"/>
      <c r="K165" s="103"/>
      <c r="L165" s="103"/>
      <c r="M165" s="103"/>
      <c r="N165" s="103"/>
      <c r="O165" s="104" t="s">
        <v>345</v>
      </c>
      <c r="P165" s="108">
        <v>44876</v>
      </c>
      <c r="Q165" s="108">
        <v>44885</v>
      </c>
      <c r="R165" s="106"/>
      <c r="S165" s="107">
        <v>10</v>
      </c>
      <c r="T165" s="107">
        <v>0</v>
      </c>
      <c r="U165" s="107">
        <v>10</v>
      </c>
      <c r="V165" s="107">
        <v>0</v>
      </c>
      <c r="W165" s="108"/>
      <c r="X165" s="108"/>
      <c r="Y165" s="109">
        <v>0</v>
      </c>
      <c r="Z165" s="110">
        <v>0</v>
      </c>
      <c r="AA165" s="107"/>
      <c r="AB165" s="111"/>
      <c r="AC165" s="112"/>
      <c r="AD165" s="113">
        <v>0</v>
      </c>
      <c r="AE165" s="137">
        <v>0</v>
      </c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  <c r="BX165" s="115"/>
      <c r="BY165" s="115" t="str">
        <f>"     " &amp; TEXT(AE165,"#0.00%") &amp; " " &amp; "CCS 물류" &amp; " " &amp; IF(P165="","",TEXT(P165,"M/D-")) &amp; IF(Q165="","",TEXT(Q165,"M/D")) &amp; " "</f>
        <v xml:space="preserve">     0.00% CCS 물류 11/11-11/20 </v>
      </c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15"/>
      <c r="CU165" s="115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115"/>
      <c r="DJ165" s="115"/>
      <c r="DK165" s="115"/>
      <c r="DL165" s="115"/>
      <c r="DM165" s="115"/>
      <c r="DN165" s="115"/>
      <c r="DO165" s="115"/>
      <c r="DP165" s="115"/>
      <c r="DQ165" s="115"/>
      <c r="DR165" s="115"/>
      <c r="DS165" s="115"/>
      <c r="DT165" s="115"/>
      <c r="DU165" s="115"/>
      <c r="DV165" s="115"/>
      <c r="DW165" s="115"/>
      <c r="DX165" s="115"/>
      <c r="DY165" s="115"/>
      <c r="DZ165" s="115"/>
      <c r="EA165" s="115"/>
      <c r="EB165" s="115"/>
      <c r="EC165" s="115"/>
      <c r="ED165" s="115"/>
      <c r="EE165" s="115"/>
      <c r="EF165" s="115"/>
      <c r="EG165" s="115"/>
      <c r="EH165" s="116"/>
    </row>
    <row r="166" spans="1:138" ht="12" customHeight="1" outlineLevel="2" x14ac:dyDescent="0.4">
      <c r="A166" s="101"/>
      <c r="B166" s="101"/>
      <c r="C166" s="101">
        <v>3</v>
      </c>
      <c r="D166" s="102" t="s">
        <v>529</v>
      </c>
      <c r="E166" s="103"/>
      <c r="F166" s="103"/>
      <c r="G166" s="103" t="s">
        <v>518</v>
      </c>
      <c r="H166" s="103"/>
      <c r="I166" s="103"/>
      <c r="J166" s="103"/>
      <c r="K166" s="103"/>
      <c r="L166" s="103"/>
      <c r="M166" s="103"/>
      <c r="N166" s="103"/>
      <c r="O166" s="104"/>
      <c r="P166" s="108">
        <v>44876</v>
      </c>
      <c r="Q166" s="108">
        <v>44885</v>
      </c>
      <c r="R166" s="106"/>
      <c r="S166" s="107">
        <v>10</v>
      </c>
      <c r="T166" s="107">
        <v>0</v>
      </c>
      <c r="U166" s="107">
        <v>10</v>
      </c>
      <c r="V166" s="107">
        <v>0</v>
      </c>
      <c r="W166" s="108"/>
      <c r="X166" s="108"/>
      <c r="Y166" s="109"/>
      <c r="Z166" s="110">
        <v>0</v>
      </c>
      <c r="AA166" s="107"/>
      <c r="AB166" s="111"/>
      <c r="AC166" s="112"/>
      <c r="AD166" s="113">
        <v>0</v>
      </c>
      <c r="AE166" s="134">
        <v>0</v>
      </c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 t="str">
        <f>"     " &amp; TEXT(AE166,"#0.00%") &amp; " " &amp; "해체/포장" &amp; " " &amp; IF(P166="","",TEXT(P166,"M/D-")) &amp; IF(Q166="","",TEXT(Q166,"M/D")) &amp; " "</f>
        <v xml:space="preserve">     0.00% 해체/포장 11/11-11/20 </v>
      </c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5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6"/>
    </row>
    <row r="167" spans="1:138" ht="12" customHeight="1" outlineLevel="1" x14ac:dyDescent="0.4">
      <c r="A167" s="101"/>
      <c r="B167" s="101" t="s">
        <v>325</v>
      </c>
      <c r="C167" s="101">
        <v>2</v>
      </c>
      <c r="D167" s="102" t="s">
        <v>530</v>
      </c>
      <c r="E167" s="103"/>
      <c r="F167" s="103" t="s">
        <v>380</v>
      </c>
      <c r="G167" s="103"/>
      <c r="H167" s="103"/>
      <c r="I167" s="103"/>
      <c r="J167" s="103"/>
      <c r="K167" s="103"/>
      <c r="L167" s="103"/>
      <c r="M167" s="103"/>
      <c r="N167" s="103"/>
      <c r="O167" s="104" t="s">
        <v>330</v>
      </c>
      <c r="P167" s="108">
        <v>44864</v>
      </c>
      <c r="Q167" s="108">
        <v>44914</v>
      </c>
      <c r="R167" s="106"/>
      <c r="S167" s="107">
        <v>51</v>
      </c>
      <c r="T167" s="107">
        <v>0</v>
      </c>
      <c r="U167" s="107">
        <v>51</v>
      </c>
      <c r="V167" s="107">
        <v>0</v>
      </c>
      <c r="W167" s="108"/>
      <c r="X167" s="108"/>
      <c r="Y167" s="109">
        <v>0</v>
      </c>
      <c r="Z167" s="110">
        <v>0</v>
      </c>
      <c r="AA167" s="107"/>
      <c r="AB167" s="111"/>
      <c r="AC167" s="112"/>
      <c r="AD167" s="113">
        <v>0</v>
      </c>
      <c r="AE167" s="137">
        <v>0</v>
      </c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 t="str">
        <f>"" &amp; TEXT(AE167,"#0.00%") &amp; " "</f>
        <v xml:space="preserve">0.00% </v>
      </c>
      <c r="BY167" s="115"/>
      <c r="BZ167" s="115"/>
      <c r="CA167" s="115"/>
      <c r="CB167" s="115"/>
      <c r="CC167" s="115"/>
      <c r="CD167" s="115"/>
      <c r="CE167" s="115" t="str">
        <f>"  " &amp; "OVEN &amp; OVEN STK" &amp; " " &amp; IF(P167="","",TEXT(P167,"M/D-")) &amp; IF(Q167="","",TEXT(Q167,"M/D")) &amp; " "</f>
        <v xml:space="preserve">  OVEN &amp; OVEN STK 10/30-12/19 </v>
      </c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15"/>
      <c r="DY167" s="115"/>
      <c r="DZ167" s="115"/>
      <c r="EA167" s="115"/>
      <c r="EB167" s="115"/>
      <c r="EC167" s="115"/>
      <c r="ED167" s="115"/>
      <c r="EE167" s="115"/>
      <c r="EF167" s="115"/>
      <c r="EG167" s="115"/>
      <c r="EH167" s="116"/>
    </row>
    <row r="168" spans="1:138" ht="12" customHeight="1" outlineLevel="2" x14ac:dyDescent="0.4">
      <c r="A168" s="101"/>
      <c r="B168" s="101"/>
      <c r="C168" s="101">
        <v>3</v>
      </c>
      <c r="D168" s="102" t="s">
        <v>531</v>
      </c>
      <c r="E168" s="103"/>
      <c r="F168" s="103"/>
      <c r="G168" s="103" t="s">
        <v>518</v>
      </c>
      <c r="H168" s="103"/>
      <c r="I168" s="103"/>
      <c r="J168" s="103"/>
      <c r="K168" s="103"/>
      <c r="L168" s="103"/>
      <c r="M168" s="103"/>
      <c r="N168" s="103"/>
      <c r="O168" s="104"/>
      <c r="P168" s="108">
        <v>44864</v>
      </c>
      <c r="Q168" s="108">
        <v>44914</v>
      </c>
      <c r="R168" s="106"/>
      <c r="S168" s="107">
        <v>51</v>
      </c>
      <c r="T168" s="107">
        <v>0</v>
      </c>
      <c r="U168" s="107">
        <v>51</v>
      </c>
      <c r="V168" s="107">
        <v>0</v>
      </c>
      <c r="W168" s="108"/>
      <c r="X168" s="108"/>
      <c r="Y168" s="109"/>
      <c r="Z168" s="110">
        <v>0</v>
      </c>
      <c r="AA168" s="107"/>
      <c r="AB168" s="111"/>
      <c r="AC168" s="112"/>
      <c r="AD168" s="113">
        <v>0</v>
      </c>
      <c r="AE168" s="134">
        <v>0</v>
      </c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 t="str">
        <f>"" &amp; TEXT(AE168,"#0.00%") &amp; " "</f>
        <v xml:space="preserve">0.00% </v>
      </c>
      <c r="BY168" s="115"/>
      <c r="BZ168" s="115"/>
      <c r="CA168" s="115"/>
      <c r="CB168" s="115"/>
      <c r="CC168" s="115"/>
      <c r="CD168" s="115"/>
      <c r="CE168" s="115" t="str">
        <f>"  " &amp; "해체/포장" &amp; " " &amp; IF(P168="","",TEXT(P168,"M/D-")) &amp; IF(Q168="","",TEXT(Q168,"M/D")) &amp; " "</f>
        <v xml:space="preserve">  해체/포장 10/30-12/19 </v>
      </c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6"/>
    </row>
    <row r="169" spans="1:138" ht="12" customHeight="1" outlineLevel="1" x14ac:dyDescent="0.4">
      <c r="A169" s="101"/>
      <c r="B169" s="101" t="s">
        <v>325</v>
      </c>
      <c r="C169" s="101">
        <v>2</v>
      </c>
      <c r="D169" s="102" t="s">
        <v>532</v>
      </c>
      <c r="E169" s="103"/>
      <c r="F169" s="103" t="s">
        <v>388</v>
      </c>
      <c r="G169" s="103"/>
      <c r="H169" s="103"/>
      <c r="I169" s="103"/>
      <c r="J169" s="103"/>
      <c r="K169" s="103"/>
      <c r="L169" s="103"/>
      <c r="M169" s="103"/>
      <c r="N169" s="103"/>
      <c r="O169" s="104" t="s">
        <v>345</v>
      </c>
      <c r="P169" s="108">
        <v>44896</v>
      </c>
      <c r="Q169" s="108">
        <v>44905</v>
      </c>
      <c r="R169" s="106"/>
      <c r="S169" s="107">
        <v>10</v>
      </c>
      <c r="T169" s="107">
        <v>0</v>
      </c>
      <c r="U169" s="107">
        <v>10</v>
      </c>
      <c r="V169" s="107">
        <v>0</v>
      </c>
      <c r="W169" s="108"/>
      <c r="X169" s="108"/>
      <c r="Y169" s="109">
        <v>0</v>
      </c>
      <c r="Z169" s="110">
        <v>0</v>
      </c>
      <c r="AA169" s="107"/>
      <c r="AB169" s="111"/>
      <c r="AC169" s="112"/>
      <c r="AD169" s="113">
        <v>0</v>
      </c>
      <c r="AE169" s="137">
        <v>0</v>
      </c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 t="str">
        <f>"    " &amp; TEXT(AE169,"#0.00%") &amp; " " &amp; "OVEN 연결물류 " &amp; " " &amp; IF(P169="","",TEXT(P169,"M/D-")) &amp; IF(Q169="","",TEXT(Q169,"M/D")) &amp; " "</f>
        <v xml:space="preserve">    0.00% OVEN 연결물류  12/1-12/10 </v>
      </c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115"/>
      <c r="DJ169" s="115"/>
      <c r="DK169" s="115"/>
      <c r="DL169" s="115"/>
      <c r="DM169" s="115"/>
      <c r="DN169" s="115"/>
      <c r="DO169" s="115"/>
      <c r="DP169" s="115"/>
      <c r="DQ169" s="115"/>
      <c r="DR169" s="115"/>
      <c r="DS169" s="115"/>
      <c r="DT169" s="115"/>
      <c r="DU169" s="115"/>
      <c r="DV169" s="115"/>
      <c r="DW169" s="115"/>
      <c r="DX169" s="115"/>
      <c r="DY169" s="115"/>
      <c r="DZ169" s="115"/>
      <c r="EA169" s="115"/>
      <c r="EB169" s="115"/>
      <c r="EC169" s="115"/>
      <c r="ED169" s="115"/>
      <c r="EE169" s="115"/>
      <c r="EF169" s="115"/>
      <c r="EG169" s="115"/>
      <c r="EH169" s="116"/>
    </row>
    <row r="170" spans="1:138" ht="12" customHeight="1" outlineLevel="2" x14ac:dyDescent="0.4">
      <c r="A170" s="101"/>
      <c r="B170" s="101"/>
      <c r="C170" s="101">
        <v>3</v>
      </c>
      <c r="D170" s="102" t="s">
        <v>533</v>
      </c>
      <c r="E170" s="103"/>
      <c r="F170" s="103"/>
      <c r="G170" s="103" t="s">
        <v>518</v>
      </c>
      <c r="H170" s="103"/>
      <c r="I170" s="103"/>
      <c r="J170" s="103"/>
      <c r="K170" s="103"/>
      <c r="L170" s="103"/>
      <c r="M170" s="103"/>
      <c r="N170" s="103"/>
      <c r="O170" s="104"/>
      <c r="P170" s="108">
        <v>44896</v>
      </c>
      <c r="Q170" s="108">
        <v>44905</v>
      </c>
      <c r="R170" s="106"/>
      <c r="S170" s="107">
        <v>10</v>
      </c>
      <c r="T170" s="107">
        <v>0</v>
      </c>
      <c r="U170" s="107">
        <v>10</v>
      </c>
      <c r="V170" s="107">
        <v>0</v>
      </c>
      <c r="W170" s="108"/>
      <c r="X170" s="108"/>
      <c r="Y170" s="109"/>
      <c r="Z170" s="110">
        <v>0</v>
      </c>
      <c r="AA170" s="107"/>
      <c r="AB170" s="111"/>
      <c r="AC170" s="112"/>
      <c r="AD170" s="113">
        <v>0</v>
      </c>
      <c r="AE170" s="134">
        <v>0</v>
      </c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 t="str">
        <f>"    " &amp; TEXT(AE170,"#0.00%") &amp; " " &amp; "해체/포장" &amp; " " &amp; IF(P170="","",TEXT(P170,"M/D-")) &amp; IF(Q170="","",TEXT(Q170,"M/D")) &amp; " "</f>
        <v xml:space="preserve">    0.00% 해체/포장 12/1-12/10 </v>
      </c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115"/>
      <c r="DJ170" s="115"/>
      <c r="DK170" s="115"/>
      <c r="DL170" s="115"/>
      <c r="DM170" s="115"/>
      <c r="DN170" s="115"/>
      <c r="DO170" s="115"/>
      <c r="DP170" s="115"/>
      <c r="DQ170" s="115"/>
      <c r="DR170" s="115"/>
      <c r="DS170" s="115"/>
      <c r="DT170" s="115"/>
      <c r="DU170" s="115"/>
      <c r="DV170" s="115"/>
      <c r="DW170" s="115"/>
      <c r="DX170" s="115"/>
      <c r="DY170" s="115"/>
      <c r="DZ170" s="115"/>
      <c r="EA170" s="115"/>
      <c r="EB170" s="115"/>
      <c r="EC170" s="115"/>
      <c r="ED170" s="115"/>
      <c r="EE170" s="115"/>
      <c r="EF170" s="115"/>
      <c r="EG170" s="115"/>
      <c r="EH170" s="116"/>
    </row>
    <row r="171" spans="1:138" ht="12" customHeight="1" outlineLevel="1" x14ac:dyDescent="0.4">
      <c r="A171" s="101"/>
      <c r="B171" s="101" t="s">
        <v>325</v>
      </c>
      <c r="C171" s="101">
        <v>2</v>
      </c>
      <c r="D171" s="102" t="s">
        <v>534</v>
      </c>
      <c r="E171" s="103"/>
      <c r="F171" s="103" t="s">
        <v>396</v>
      </c>
      <c r="G171" s="103"/>
      <c r="H171" s="103"/>
      <c r="I171" s="103"/>
      <c r="J171" s="103"/>
      <c r="K171" s="103"/>
      <c r="L171" s="103"/>
      <c r="M171" s="103"/>
      <c r="N171" s="103"/>
      <c r="O171" s="104" t="s">
        <v>345</v>
      </c>
      <c r="P171" s="108">
        <v>44947</v>
      </c>
      <c r="Q171" s="108">
        <v>44956</v>
      </c>
      <c r="R171" s="106"/>
      <c r="S171" s="107">
        <v>10</v>
      </c>
      <c r="T171" s="107">
        <v>0</v>
      </c>
      <c r="U171" s="107">
        <v>10</v>
      </c>
      <c r="V171" s="107">
        <v>0</v>
      </c>
      <c r="W171" s="108"/>
      <c r="X171" s="108"/>
      <c r="Y171" s="109">
        <v>0</v>
      </c>
      <c r="Z171" s="110">
        <v>0</v>
      </c>
      <c r="AA171" s="107"/>
      <c r="AB171" s="111"/>
      <c r="AC171" s="112"/>
      <c r="AD171" s="113">
        <v>0</v>
      </c>
      <c r="AE171" s="137">
        <v>0</v>
      </c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  <c r="BX171" s="115"/>
      <c r="BY171" s="115"/>
      <c r="BZ171" s="115"/>
      <c r="CA171" s="115"/>
      <c r="CB171" s="115"/>
      <c r="CC171" s="115"/>
      <c r="CD171" s="115"/>
      <c r="CE171" s="115"/>
      <c r="CF171" s="115"/>
      <c r="CG171" s="115"/>
      <c r="CH171" s="115"/>
      <c r="CI171" s="115" t="str">
        <f>"      " &amp; TEXT(AE171,"#0.00%") &amp; " " &amp; "CCS 포장물류" &amp; " " &amp; IF(P171="","",TEXT(P171,"M/D-")) &amp; IF(Q171="","",TEXT(Q171,"M/D")) &amp; " "</f>
        <v xml:space="preserve">      0.00% CCS 포장물류 1/21-1/30 </v>
      </c>
      <c r="CJ171" s="115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115"/>
      <c r="CU171" s="115"/>
      <c r="CV171" s="115"/>
      <c r="CW171" s="115"/>
      <c r="CX171" s="115"/>
      <c r="CY171" s="115"/>
      <c r="CZ171" s="115"/>
      <c r="DA171" s="115"/>
      <c r="DB171" s="115"/>
      <c r="DC171" s="115"/>
      <c r="DD171" s="115"/>
      <c r="DE171" s="115"/>
      <c r="DF171" s="115"/>
      <c r="DG171" s="115"/>
      <c r="DH171" s="115"/>
      <c r="DI171" s="115"/>
      <c r="DJ171" s="115"/>
      <c r="DK171" s="115"/>
      <c r="DL171" s="115"/>
      <c r="DM171" s="115"/>
      <c r="DN171" s="115"/>
      <c r="DO171" s="115"/>
      <c r="DP171" s="115"/>
      <c r="DQ171" s="115"/>
      <c r="DR171" s="115"/>
      <c r="DS171" s="115"/>
      <c r="DT171" s="115"/>
      <c r="DU171" s="115"/>
      <c r="DV171" s="115"/>
      <c r="DW171" s="115"/>
      <c r="DX171" s="115"/>
      <c r="DY171" s="115"/>
      <c r="DZ171" s="115"/>
      <c r="EA171" s="115"/>
      <c r="EB171" s="115"/>
      <c r="EC171" s="115"/>
      <c r="ED171" s="115"/>
      <c r="EE171" s="115"/>
      <c r="EF171" s="115"/>
      <c r="EG171" s="115"/>
      <c r="EH171" s="116"/>
    </row>
    <row r="172" spans="1:138" ht="12" customHeight="1" outlineLevel="2" x14ac:dyDescent="0.4">
      <c r="A172" s="101"/>
      <c r="B172" s="101"/>
      <c r="C172" s="101">
        <v>3</v>
      </c>
      <c r="D172" s="102" t="s">
        <v>535</v>
      </c>
      <c r="E172" s="103"/>
      <c r="F172" s="103"/>
      <c r="G172" s="103" t="s">
        <v>518</v>
      </c>
      <c r="H172" s="103"/>
      <c r="I172" s="103"/>
      <c r="J172" s="103"/>
      <c r="K172" s="103"/>
      <c r="L172" s="103"/>
      <c r="M172" s="103"/>
      <c r="N172" s="103"/>
      <c r="O172" s="104"/>
      <c r="P172" s="108">
        <v>44947</v>
      </c>
      <c r="Q172" s="108">
        <v>44956</v>
      </c>
      <c r="R172" s="106"/>
      <c r="S172" s="107">
        <v>10</v>
      </c>
      <c r="T172" s="107">
        <v>0</v>
      </c>
      <c r="U172" s="107">
        <v>10</v>
      </c>
      <c r="V172" s="107">
        <v>0</v>
      </c>
      <c r="W172" s="108"/>
      <c r="X172" s="108"/>
      <c r="Y172" s="109"/>
      <c r="Z172" s="110">
        <v>0</v>
      </c>
      <c r="AA172" s="107"/>
      <c r="AB172" s="111"/>
      <c r="AC172" s="112"/>
      <c r="AD172" s="113">
        <v>0</v>
      </c>
      <c r="AE172" s="134">
        <v>0</v>
      </c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 t="str">
        <f>"      " &amp; TEXT(AE172,"#0.00%") &amp; " " &amp; "해체/포장" &amp; " " &amp; IF(P172="","",TEXT(P172,"M/D-")) &amp; IF(Q172="","",TEXT(Q172,"M/D")) &amp; " "</f>
        <v xml:space="preserve">      0.00% 해체/포장 1/21-1/30 </v>
      </c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15"/>
      <c r="CU172" s="115"/>
      <c r="CV172" s="115"/>
      <c r="CW172" s="115"/>
      <c r="CX172" s="115"/>
      <c r="CY172" s="115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115"/>
      <c r="DJ172" s="115"/>
      <c r="DK172" s="115"/>
      <c r="DL172" s="115"/>
      <c r="DM172" s="115"/>
      <c r="DN172" s="115"/>
      <c r="DO172" s="115"/>
      <c r="DP172" s="115"/>
      <c r="DQ172" s="115"/>
      <c r="DR172" s="115"/>
      <c r="DS172" s="115"/>
      <c r="DT172" s="115"/>
      <c r="DU172" s="115"/>
      <c r="DV172" s="115"/>
      <c r="DW172" s="115"/>
      <c r="DX172" s="115"/>
      <c r="DY172" s="115"/>
      <c r="DZ172" s="115"/>
      <c r="EA172" s="115"/>
      <c r="EB172" s="115"/>
      <c r="EC172" s="115"/>
      <c r="ED172" s="115"/>
      <c r="EE172" s="115"/>
      <c r="EF172" s="115"/>
      <c r="EG172" s="115"/>
      <c r="EH172" s="116"/>
    </row>
    <row r="173" spans="1:138" ht="12" customHeight="1" outlineLevel="1" x14ac:dyDescent="0.4">
      <c r="A173" s="101"/>
      <c r="B173" s="101" t="s">
        <v>325</v>
      </c>
      <c r="C173" s="101">
        <v>2</v>
      </c>
      <c r="D173" s="102" t="s">
        <v>536</v>
      </c>
      <c r="E173" s="103"/>
      <c r="F173" s="103" t="s">
        <v>404</v>
      </c>
      <c r="G173" s="103"/>
      <c r="H173" s="103"/>
      <c r="I173" s="103"/>
      <c r="J173" s="124"/>
      <c r="K173" s="124"/>
      <c r="L173" s="124"/>
      <c r="M173" s="124"/>
      <c r="N173" s="124"/>
      <c r="O173" s="104" t="s">
        <v>330</v>
      </c>
      <c r="P173" s="108">
        <v>44893</v>
      </c>
      <c r="Q173" s="108">
        <v>44921</v>
      </c>
      <c r="R173" s="106"/>
      <c r="S173" s="107">
        <v>29</v>
      </c>
      <c r="T173" s="107">
        <v>0</v>
      </c>
      <c r="U173" s="107">
        <v>29</v>
      </c>
      <c r="V173" s="107">
        <v>0</v>
      </c>
      <c r="W173" s="108"/>
      <c r="X173" s="108"/>
      <c r="Y173" s="109">
        <v>0</v>
      </c>
      <c r="Z173" s="110">
        <v>0</v>
      </c>
      <c r="AA173" s="107"/>
      <c r="AB173" s="111"/>
      <c r="AC173" s="112"/>
      <c r="AD173" s="113">
        <v>0</v>
      </c>
      <c r="AE173" s="137">
        <v>0</v>
      </c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 t="str">
        <f>" " &amp; TEXT(AE173,"#0.00%") &amp; " "</f>
        <v xml:space="preserve"> 0.00% </v>
      </c>
      <c r="CC173" s="115"/>
      <c r="CD173" s="115"/>
      <c r="CE173" s="115"/>
      <c r="CF173" s="115" t="str">
        <f>"  " &amp; "완제품 창고" &amp; " " &amp; IF(P173="","",TEXT(P173,"M/D-")) &amp; IF(Q173="","",TEXT(Q173,"M/D")) &amp; " "</f>
        <v xml:space="preserve">  완제품 창고 11/28-12/26 </v>
      </c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15"/>
      <c r="CU173" s="115"/>
      <c r="CV173" s="115"/>
      <c r="CW173" s="115"/>
      <c r="CX173" s="115"/>
      <c r="CY173" s="115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115"/>
      <c r="DJ173" s="115"/>
      <c r="DK173" s="115"/>
      <c r="DL173" s="115"/>
      <c r="DM173" s="115"/>
      <c r="DN173" s="115"/>
      <c r="DO173" s="115"/>
      <c r="DP173" s="115"/>
      <c r="DQ173" s="115"/>
      <c r="DR173" s="115"/>
      <c r="DS173" s="115"/>
      <c r="DT173" s="115"/>
      <c r="DU173" s="115"/>
      <c r="DV173" s="115"/>
      <c r="DW173" s="115"/>
      <c r="DX173" s="115"/>
      <c r="DY173" s="115"/>
      <c r="DZ173" s="115"/>
      <c r="EA173" s="115"/>
      <c r="EB173" s="115"/>
      <c r="EC173" s="115"/>
      <c r="ED173" s="115"/>
      <c r="EE173" s="115"/>
      <c r="EF173" s="115"/>
      <c r="EG173" s="115"/>
      <c r="EH173" s="116"/>
    </row>
    <row r="174" spans="1:138" ht="12" customHeight="1" outlineLevel="2" x14ac:dyDescent="0.4">
      <c r="A174" s="101"/>
      <c r="B174" s="101"/>
      <c r="C174" s="101">
        <v>3</v>
      </c>
      <c r="D174" s="102" t="s">
        <v>537</v>
      </c>
      <c r="E174" s="103"/>
      <c r="F174" s="103"/>
      <c r="G174" s="103" t="s">
        <v>518</v>
      </c>
      <c r="H174" s="103"/>
      <c r="I174" s="103"/>
      <c r="J174" s="103"/>
      <c r="K174" s="103"/>
      <c r="L174" s="103"/>
      <c r="M174" s="103"/>
      <c r="N174" s="103"/>
      <c r="O174" s="104"/>
      <c r="P174" s="108">
        <v>44893</v>
      </c>
      <c r="Q174" s="108">
        <v>44921</v>
      </c>
      <c r="R174" s="106"/>
      <c r="S174" s="107">
        <v>29</v>
      </c>
      <c r="T174" s="107">
        <v>0</v>
      </c>
      <c r="U174" s="107">
        <v>29</v>
      </c>
      <c r="V174" s="107">
        <v>0</v>
      </c>
      <c r="W174" s="108"/>
      <c r="X174" s="108"/>
      <c r="Y174" s="109"/>
      <c r="Z174" s="110">
        <v>0</v>
      </c>
      <c r="AA174" s="107"/>
      <c r="AB174" s="111"/>
      <c r="AC174" s="112"/>
      <c r="AD174" s="113">
        <v>0</v>
      </c>
      <c r="AE174" s="134">
        <v>0</v>
      </c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 t="str">
        <f>" " &amp; TEXT(AE174,"#0.00%") &amp; " "</f>
        <v xml:space="preserve"> 0.00% </v>
      </c>
      <c r="CC174" s="115"/>
      <c r="CD174" s="115"/>
      <c r="CE174" s="115"/>
      <c r="CF174" s="115" t="str">
        <f>"  " &amp; "해체/포장" &amp; " " &amp; IF(P174="","",TEXT(P174,"M/D-")) &amp; IF(Q174="","",TEXT(Q174,"M/D")) &amp; " "</f>
        <v xml:space="preserve">  해체/포장 11/28-12/26 </v>
      </c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115"/>
      <c r="DY174" s="115"/>
      <c r="DZ174" s="115"/>
      <c r="EA174" s="115"/>
      <c r="EB174" s="115"/>
      <c r="EC174" s="115"/>
      <c r="ED174" s="115"/>
      <c r="EE174" s="115"/>
      <c r="EF174" s="115"/>
      <c r="EG174" s="115"/>
      <c r="EH174" s="116"/>
    </row>
    <row r="175" spans="1:138" ht="12" customHeight="1" outlineLevel="1" x14ac:dyDescent="0.4">
      <c r="A175" s="101"/>
      <c r="B175" s="101" t="s">
        <v>325</v>
      </c>
      <c r="C175" s="101">
        <v>2</v>
      </c>
      <c r="D175" s="102" t="s">
        <v>538</v>
      </c>
      <c r="E175" s="103"/>
      <c r="F175" s="123" t="s">
        <v>412</v>
      </c>
      <c r="G175" s="103"/>
      <c r="H175" s="103"/>
      <c r="I175" s="103"/>
      <c r="J175" s="103"/>
      <c r="K175" s="103"/>
      <c r="L175" s="103"/>
      <c r="M175" s="103"/>
      <c r="N175" s="103"/>
      <c r="O175" s="104" t="s">
        <v>345</v>
      </c>
      <c r="P175" s="108">
        <v>44896</v>
      </c>
      <c r="Q175" s="108">
        <v>44905</v>
      </c>
      <c r="R175" s="106"/>
      <c r="S175" s="107">
        <v>10</v>
      </c>
      <c r="T175" s="107">
        <v>0</v>
      </c>
      <c r="U175" s="107">
        <v>10</v>
      </c>
      <c r="V175" s="107">
        <v>0</v>
      </c>
      <c r="W175" s="108"/>
      <c r="X175" s="108"/>
      <c r="Y175" s="109">
        <v>0</v>
      </c>
      <c r="Z175" s="110">
        <v>0</v>
      </c>
      <c r="AA175" s="107"/>
      <c r="AB175" s="111"/>
      <c r="AC175" s="112"/>
      <c r="AD175" s="113">
        <v>0</v>
      </c>
      <c r="AE175" s="137">
        <v>0</v>
      </c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 t="str">
        <f>"    " &amp; TEXT(AE175,"#0.00%") &amp; " " &amp; "완제품 창고 연결물류" &amp; " " &amp; IF(P175="","",TEXT(P175,"M/D-")) &amp; IF(Q175="","",TEXT(Q175,"M/D")) &amp; " "</f>
        <v xml:space="preserve">    0.00% 완제품 창고 연결물류 12/1-12/10 </v>
      </c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115"/>
      <c r="CU175" s="115"/>
      <c r="CV175" s="115"/>
      <c r="CW175" s="115"/>
      <c r="CX175" s="115"/>
      <c r="CY175" s="115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115"/>
      <c r="DJ175" s="115"/>
      <c r="DK175" s="115"/>
      <c r="DL175" s="115"/>
      <c r="DM175" s="115"/>
      <c r="DN175" s="115"/>
      <c r="DO175" s="115"/>
      <c r="DP175" s="115"/>
      <c r="DQ175" s="115"/>
      <c r="DR175" s="115"/>
      <c r="DS175" s="115"/>
      <c r="DT175" s="115"/>
      <c r="DU175" s="115"/>
      <c r="DV175" s="115"/>
      <c r="DW175" s="115"/>
      <c r="DX175" s="115"/>
      <c r="DY175" s="115"/>
      <c r="DZ175" s="115"/>
      <c r="EA175" s="115"/>
      <c r="EB175" s="115"/>
      <c r="EC175" s="115"/>
      <c r="ED175" s="115"/>
      <c r="EE175" s="115"/>
      <c r="EF175" s="115"/>
      <c r="EG175" s="115"/>
      <c r="EH175" s="116"/>
    </row>
    <row r="176" spans="1:138" ht="12" customHeight="1" outlineLevel="2" x14ac:dyDescent="0.4">
      <c r="A176" s="101"/>
      <c r="B176" s="101"/>
      <c r="C176" s="101">
        <v>3</v>
      </c>
      <c r="D176" s="102" t="s">
        <v>539</v>
      </c>
      <c r="E176" s="103"/>
      <c r="F176" s="103"/>
      <c r="G176" s="103" t="s">
        <v>518</v>
      </c>
      <c r="H176" s="103"/>
      <c r="I176" s="103"/>
      <c r="J176" s="103"/>
      <c r="K176" s="103"/>
      <c r="L176" s="103"/>
      <c r="M176" s="103"/>
      <c r="N176" s="103"/>
      <c r="O176" s="104"/>
      <c r="P176" s="108">
        <v>44896</v>
      </c>
      <c r="Q176" s="108">
        <v>44905</v>
      </c>
      <c r="R176" s="106"/>
      <c r="S176" s="107">
        <v>10</v>
      </c>
      <c r="T176" s="107">
        <v>0</v>
      </c>
      <c r="U176" s="107">
        <v>10</v>
      </c>
      <c r="V176" s="107">
        <v>0</v>
      </c>
      <c r="W176" s="108"/>
      <c r="X176" s="108"/>
      <c r="Y176" s="109"/>
      <c r="Z176" s="110">
        <v>0</v>
      </c>
      <c r="AA176" s="107"/>
      <c r="AB176" s="111"/>
      <c r="AC176" s="112"/>
      <c r="AD176" s="113">
        <v>0</v>
      </c>
      <c r="AE176" s="134">
        <v>0</v>
      </c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 t="str">
        <f>"    " &amp; TEXT(AE176,"#0.00%") &amp; " " &amp; "해체/포장" &amp; " " &amp; IF(P176="","",TEXT(P176,"M/D-")) &amp; IF(Q176="","",TEXT(Q176,"M/D")) &amp; " "</f>
        <v xml:space="preserve">    0.00% 해체/포장 12/1-12/10 </v>
      </c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15"/>
      <c r="CU176" s="115"/>
      <c r="CV176" s="115"/>
      <c r="CW176" s="115"/>
      <c r="CX176" s="115"/>
      <c r="CY176" s="115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115"/>
      <c r="DJ176" s="115"/>
      <c r="DK176" s="115"/>
      <c r="DL176" s="115"/>
      <c r="DM176" s="115"/>
      <c r="DN176" s="115"/>
      <c r="DO176" s="115"/>
      <c r="DP176" s="115"/>
      <c r="DQ176" s="115"/>
      <c r="DR176" s="115"/>
      <c r="DS176" s="115"/>
      <c r="DT176" s="115"/>
      <c r="DU176" s="115"/>
      <c r="DV176" s="115"/>
      <c r="DW176" s="115"/>
      <c r="DX176" s="115"/>
      <c r="DY176" s="115"/>
      <c r="DZ176" s="115"/>
      <c r="EA176" s="115"/>
      <c r="EB176" s="115"/>
      <c r="EC176" s="115"/>
      <c r="ED176" s="115"/>
      <c r="EE176" s="115"/>
      <c r="EF176" s="115"/>
      <c r="EG176" s="115"/>
      <c r="EH176" s="116"/>
    </row>
    <row r="177" spans="1:138" ht="12" customHeight="1" x14ac:dyDescent="0.4">
      <c r="A177" s="101"/>
      <c r="B177" s="101" t="s">
        <v>325</v>
      </c>
      <c r="C177" s="101">
        <v>1</v>
      </c>
      <c r="D177" s="102" t="s">
        <v>540</v>
      </c>
      <c r="E177" s="103" t="s">
        <v>541</v>
      </c>
      <c r="F177" s="103"/>
      <c r="G177" s="103"/>
      <c r="H177" s="103"/>
      <c r="I177" s="103"/>
      <c r="J177" s="103"/>
      <c r="K177" s="103"/>
      <c r="L177" s="103"/>
      <c r="M177" s="103"/>
      <c r="N177" s="103"/>
      <c r="O177" s="104"/>
      <c r="P177" s="108">
        <v>44866</v>
      </c>
      <c r="Q177" s="108">
        <v>45046</v>
      </c>
      <c r="R177" s="106"/>
      <c r="S177" s="107">
        <v>1225</v>
      </c>
      <c r="T177" s="107">
        <v>0</v>
      </c>
      <c r="U177" s="107">
        <v>181</v>
      </c>
      <c r="V177" s="107">
        <v>0</v>
      </c>
      <c r="W177" s="108"/>
      <c r="X177" s="108"/>
      <c r="Y177" s="109">
        <v>0</v>
      </c>
      <c r="Z177" s="110">
        <v>0</v>
      </c>
      <c r="AA177" s="107"/>
      <c r="AB177" s="111"/>
      <c r="AC177" s="112"/>
      <c r="AD177" s="113">
        <v>0</v>
      </c>
      <c r="AE177" s="137">
        <v>0</v>
      </c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 t="str">
        <f>"  " &amp; TEXT(AE177,"#0.00%") &amp; " "</f>
        <v xml:space="preserve">  0.00% </v>
      </c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15"/>
      <c r="CU177" s="115"/>
      <c r="CV177" s="115"/>
      <c r="CW177" s="115"/>
      <c r="CX177" s="115" t="str">
        <f>" " &amp; "FOB" &amp; " " &amp; IF(P177="","",TEXT(P177,"M/D-")) &amp; IF(Q177="","",TEXT(Q177,"M/D")) &amp; " "</f>
        <v xml:space="preserve"> FOB 11/1-4/30 </v>
      </c>
      <c r="CY177" s="115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115"/>
      <c r="DJ177" s="115"/>
      <c r="DK177" s="115"/>
      <c r="DL177" s="115"/>
      <c r="DM177" s="115"/>
      <c r="DN177" s="115"/>
      <c r="DO177" s="115"/>
      <c r="DP177" s="115"/>
      <c r="DQ177" s="115"/>
      <c r="DR177" s="115"/>
      <c r="DS177" s="115"/>
      <c r="DT177" s="115"/>
      <c r="DU177" s="115"/>
      <c r="DV177" s="115"/>
      <c r="DW177" s="115"/>
      <c r="DX177" s="115"/>
      <c r="DY177" s="115"/>
      <c r="DZ177" s="115"/>
      <c r="EA177" s="115"/>
      <c r="EB177" s="115"/>
      <c r="EC177" s="115"/>
      <c r="ED177" s="115"/>
      <c r="EE177" s="115"/>
      <c r="EF177" s="115"/>
      <c r="EG177" s="115"/>
      <c r="EH177" s="116"/>
    </row>
    <row r="178" spans="1:138" ht="12" customHeight="1" outlineLevel="1" x14ac:dyDescent="0.4">
      <c r="A178" s="101"/>
      <c r="B178" s="101" t="s">
        <v>325</v>
      </c>
      <c r="C178" s="101">
        <v>2</v>
      </c>
      <c r="D178" s="102" t="s">
        <v>542</v>
      </c>
      <c r="E178" s="103"/>
      <c r="F178" s="103" t="s">
        <v>329</v>
      </c>
      <c r="G178" s="103"/>
      <c r="H178" s="103"/>
      <c r="I178" s="103"/>
      <c r="J178" s="103"/>
      <c r="K178" s="103"/>
      <c r="L178" s="103"/>
      <c r="M178" s="103"/>
      <c r="N178" s="103"/>
      <c r="O178" s="104" t="s">
        <v>330</v>
      </c>
      <c r="P178" s="108">
        <v>44881</v>
      </c>
      <c r="Q178" s="108">
        <v>45028</v>
      </c>
      <c r="R178" s="106"/>
      <c r="S178" s="107">
        <v>204</v>
      </c>
      <c r="T178" s="107">
        <v>0</v>
      </c>
      <c r="U178" s="107">
        <v>148</v>
      </c>
      <c r="V178" s="107">
        <v>0</v>
      </c>
      <c r="W178" s="108"/>
      <c r="X178" s="108"/>
      <c r="Y178" s="109">
        <v>0</v>
      </c>
      <c r="Z178" s="110">
        <v>0</v>
      </c>
      <c r="AA178" s="107"/>
      <c r="AB178" s="111"/>
      <c r="AC178" s="112"/>
      <c r="AD178" s="113">
        <v>0</v>
      </c>
      <c r="AE178" s="137">
        <v>0</v>
      </c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 t="str">
        <f>"   " &amp; TEXT(AE178,"#0.00%") &amp; " "</f>
        <v xml:space="preserve">   0.00% </v>
      </c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 t="str">
        <f>"    " &amp; "BUFFER STK" &amp; " " &amp; IF(P178="","",TEXT(P178,"M/D-")) &amp; IF(Q178="","",TEXT(Q178,"M/D")) &amp; " "</f>
        <v xml:space="preserve">    BUFFER STK 11/16-4/12 </v>
      </c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15"/>
      <c r="DY178" s="115"/>
      <c r="DZ178" s="115"/>
      <c r="EA178" s="115"/>
      <c r="EB178" s="115"/>
      <c r="EC178" s="115"/>
      <c r="ED178" s="115"/>
      <c r="EE178" s="115"/>
      <c r="EF178" s="115"/>
      <c r="EG178" s="115"/>
      <c r="EH178" s="116"/>
    </row>
    <row r="179" spans="1:138" ht="12" customHeight="1" outlineLevel="2" x14ac:dyDescent="0.4">
      <c r="A179" s="101"/>
      <c r="B179" s="101"/>
      <c r="C179" s="101">
        <v>3</v>
      </c>
      <c r="D179" s="102" t="s">
        <v>543</v>
      </c>
      <c r="E179" s="103"/>
      <c r="F179" s="103"/>
      <c r="G179" s="103" t="s">
        <v>544</v>
      </c>
      <c r="H179" s="103"/>
      <c r="I179" s="103"/>
      <c r="J179" s="103"/>
      <c r="K179" s="103"/>
      <c r="L179" s="103"/>
      <c r="M179" s="103"/>
      <c r="N179" s="103"/>
      <c r="O179" s="104"/>
      <c r="P179" s="108">
        <v>44881</v>
      </c>
      <c r="Q179" s="108">
        <v>44937</v>
      </c>
      <c r="R179" s="106"/>
      <c r="S179" s="107">
        <v>57</v>
      </c>
      <c r="T179" s="107">
        <v>0</v>
      </c>
      <c r="U179" s="107">
        <v>57</v>
      </c>
      <c r="V179" s="107">
        <v>0</v>
      </c>
      <c r="W179" s="108"/>
      <c r="X179" s="108"/>
      <c r="Y179" s="109"/>
      <c r="Z179" s="110">
        <v>0</v>
      </c>
      <c r="AA179" s="107"/>
      <c r="AB179" s="111"/>
      <c r="AC179" s="112"/>
      <c r="AD179" s="113">
        <v>0</v>
      </c>
      <c r="AE179" s="134">
        <v>0</v>
      </c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 t="str">
        <f>"   " &amp; TEXT(AE179,"#0.00%") &amp; " "</f>
        <v xml:space="preserve">   0.00% </v>
      </c>
      <c r="CA179" s="115"/>
      <c r="CB179" s="115"/>
      <c r="CC179" s="115"/>
      <c r="CD179" s="115"/>
      <c r="CE179" s="115"/>
      <c r="CF179" s="115"/>
      <c r="CG179" s="115"/>
      <c r="CH179" s="115" t="str">
        <f>"    " &amp; "출하 선적" &amp; " " &amp; IF(P179="","",TEXT(P179,"M/D-")) &amp; IF(Q179="","",TEXT(Q179,"M/D")) &amp; " "</f>
        <v xml:space="preserve">    출하 선적 11/16-1/11 </v>
      </c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  <c r="DX179" s="115"/>
      <c r="DY179" s="115"/>
      <c r="DZ179" s="115"/>
      <c r="EA179" s="115"/>
      <c r="EB179" s="115"/>
      <c r="EC179" s="115"/>
      <c r="ED179" s="115"/>
      <c r="EE179" s="115"/>
      <c r="EF179" s="115"/>
      <c r="EG179" s="115"/>
      <c r="EH179" s="116"/>
    </row>
    <row r="180" spans="1:138" ht="12" customHeight="1" outlineLevel="2" x14ac:dyDescent="0.4">
      <c r="A180" s="101"/>
      <c r="B180" s="101"/>
      <c r="C180" s="101">
        <v>3</v>
      </c>
      <c r="D180" s="102" t="s">
        <v>545</v>
      </c>
      <c r="E180" s="103"/>
      <c r="F180" s="103"/>
      <c r="G180" s="103" t="s">
        <v>546</v>
      </c>
      <c r="H180" s="103"/>
      <c r="I180" s="103"/>
      <c r="J180" s="103"/>
      <c r="K180" s="103"/>
      <c r="L180" s="103"/>
      <c r="M180" s="103"/>
      <c r="N180" s="103"/>
      <c r="O180" s="104"/>
      <c r="P180" s="108">
        <v>44882</v>
      </c>
      <c r="Q180" s="108">
        <v>45028</v>
      </c>
      <c r="R180" s="106"/>
      <c r="S180" s="107">
        <v>147</v>
      </c>
      <c r="T180" s="107">
        <v>0</v>
      </c>
      <c r="U180" s="107">
        <v>147</v>
      </c>
      <c r="V180" s="107">
        <v>0</v>
      </c>
      <c r="W180" s="108"/>
      <c r="X180" s="108"/>
      <c r="Y180" s="109"/>
      <c r="Z180" s="110">
        <v>0</v>
      </c>
      <c r="AA180" s="107"/>
      <c r="AB180" s="111"/>
      <c r="AC180" s="112"/>
      <c r="AD180" s="113">
        <v>0</v>
      </c>
      <c r="AE180" s="134">
        <v>0</v>
      </c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 t="str">
        <f>"    " &amp; TEXT(AE180,"#0.00%") &amp; " "</f>
        <v xml:space="preserve">    0.00% </v>
      </c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 t="str">
        <f>"    " &amp; "화물이동" &amp; " " &amp; IF(P180="","",TEXT(P180,"M/D-")) &amp; IF(Q180="","",TEXT(Q180,"M/D")) &amp; " "</f>
        <v xml:space="preserve">    화물이동 11/17-4/12 </v>
      </c>
      <c r="CV180" s="115"/>
      <c r="CW180" s="115"/>
      <c r="CX180" s="115"/>
      <c r="CY180" s="115"/>
      <c r="CZ180" s="115"/>
      <c r="DA180" s="115"/>
      <c r="DB180" s="115"/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  <c r="DR180" s="115"/>
      <c r="DS180" s="115"/>
      <c r="DT180" s="115"/>
      <c r="DU180" s="115"/>
      <c r="DV180" s="115"/>
      <c r="DW180" s="115"/>
      <c r="DX180" s="115"/>
      <c r="DY180" s="115"/>
      <c r="DZ180" s="115"/>
      <c r="EA180" s="115"/>
      <c r="EB180" s="115"/>
      <c r="EC180" s="115"/>
      <c r="ED180" s="115"/>
      <c r="EE180" s="115"/>
      <c r="EF180" s="115"/>
      <c r="EG180" s="115"/>
      <c r="EH180" s="116"/>
    </row>
    <row r="181" spans="1:138" ht="12" customHeight="1" outlineLevel="1" x14ac:dyDescent="0.4">
      <c r="A181" s="101"/>
      <c r="B181" s="101" t="s">
        <v>325</v>
      </c>
      <c r="C181" s="101">
        <v>2</v>
      </c>
      <c r="D181" s="102" t="s">
        <v>547</v>
      </c>
      <c r="E181" s="103"/>
      <c r="F181" s="103" t="s">
        <v>344</v>
      </c>
      <c r="G181" s="103"/>
      <c r="H181" s="103"/>
      <c r="I181" s="103"/>
      <c r="J181" s="103"/>
      <c r="K181" s="103"/>
      <c r="L181" s="103"/>
      <c r="M181" s="103"/>
      <c r="N181" s="103"/>
      <c r="O181" s="104" t="s">
        <v>345</v>
      </c>
      <c r="P181" s="108">
        <v>44901</v>
      </c>
      <c r="Q181" s="108">
        <v>44985</v>
      </c>
      <c r="R181" s="106"/>
      <c r="S181" s="107">
        <v>85</v>
      </c>
      <c r="T181" s="107">
        <v>0</v>
      </c>
      <c r="U181" s="107">
        <v>85</v>
      </c>
      <c r="V181" s="107">
        <v>0</v>
      </c>
      <c r="W181" s="108"/>
      <c r="X181" s="108"/>
      <c r="Y181" s="109">
        <v>0</v>
      </c>
      <c r="Z181" s="110">
        <v>0</v>
      </c>
      <c r="AA181" s="107"/>
      <c r="AB181" s="111"/>
      <c r="AC181" s="112"/>
      <c r="AD181" s="113">
        <v>0</v>
      </c>
      <c r="AE181" s="137">
        <v>0</v>
      </c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 t="str">
        <f>"  " &amp; TEXT(AE181,"#0.00%") &amp; " "</f>
        <v xml:space="preserve">  0.00% </v>
      </c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 t="str">
        <f>"   " &amp; "BUFFER 입출고 물류" &amp; " " &amp; IF(P181="","",TEXT(P181,"M/D-")) &amp; IF(Q181="","",TEXT(Q181,"M/D")) &amp; " "</f>
        <v xml:space="preserve">   BUFFER 입출고 물류 12/6-2/28 </v>
      </c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/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  <c r="DR181" s="115"/>
      <c r="DS181" s="115"/>
      <c r="DT181" s="115"/>
      <c r="DU181" s="115"/>
      <c r="DV181" s="115"/>
      <c r="DW181" s="115"/>
      <c r="DX181" s="115"/>
      <c r="DY181" s="115"/>
      <c r="DZ181" s="115"/>
      <c r="EA181" s="115"/>
      <c r="EB181" s="115"/>
      <c r="EC181" s="115"/>
      <c r="ED181" s="115"/>
      <c r="EE181" s="115"/>
      <c r="EF181" s="115"/>
      <c r="EG181" s="115"/>
      <c r="EH181" s="116"/>
    </row>
    <row r="182" spans="1:138" ht="12" customHeight="1" outlineLevel="2" x14ac:dyDescent="0.4">
      <c r="A182" s="101"/>
      <c r="B182" s="101"/>
      <c r="C182" s="101">
        <v>3</v>
      </c>
      <c r="D182" s="102" t="s">
        <v>548</v>
      </c>
      <c r="E182" s="103"/>
      <c r="F182" s="103"/>
      <c r="G182" s="103" t="s">
        <v>544</v>
      </c>
      <c r="H182" s="103"/>
      <c r="I182" s="103"/>
      <c r="J182" s="103"/>
      <c r="K182" s="103"/>
      <c r="L182" s="103"/>
      <c r="M182" s="103"/>
      <c r="N182" s="103"/>
      <c r="O182" s="104"/>
      <c r="P182" s="108">
        <v>44901</v>
      </c>
      <c r="Q182" s="108">
        <v>44905</v>
      </c>
      <c r="R182" s="106"/>
      <c r="S182" s="107">
        <v>5</v>
      </c>
      <c r="T182" s="107">
        <v>0</v>
      </c>
      <c r="U182" s="107">
        <v>5</v>
      </c>
      <c r="V182" s="107">
        <v>0</v>
      </c>
      <c r="W182" s="108"/>
      <c r="X182" s="108"/>
      <c r="Y182" s="109"/>
      <c r="Z182" s="110">
        <v>0</v>
      </c>
      <c r="AA182" s="107"/>
      <c r="AB182" s="111"/>
      <c r="AC182" s="112"/>
      <c r="AD182" s="113">
        <v>0</v>
      </c>
      <c r="AE182" s="134">
        <v>0</v>
      </c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115"/>
      <c r="BO182" s="115"/>
      <c r="BP182" s="115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115" t="str">
        <f>"  " &amp; TEXT(AE182,"#0.00%") &amp; " " &amp; "출하 선적" &amp; " " &amp; IF(P182="","",TEXT(P182,"M/D-")) &amp; IF(Q182="","",TEXT(Q182,"M/D")) &amp; " "</f>
        <v xml:space="preserve">  0.00% 출하 선적 12/6-12/10 </v>
      </c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5"/>
      <c r="CR182" s="115"/>
      <c r="CS182" s="115"/>
      <c r="CT182" s="115"/>
      <c r="CU182" s="115"/>
      <c r="CV182" s="115"/>
      <c r="CW182" s="115"/>
      <c r="CX182" s="115"/>
      <c r="CY182" s="115"/>
      <c r="CZ182" s="115"/>
      <c r="DA182" s="115"/>
      <c r="DB182" s="115"/>
      <c r="DC182" s="115"/>
      <c r="DD182" s="115"/>
      <c r="DE182" s="115"/>
      <c r="DF182" s="115"/>
      <c r="DG182" s="115"/>
      <c r="DH182" s="115"/>
      <c r="DI182" s="115"/>
      <c r="DJ182" s="115"/>
      <c r="DK182" s="115"/>
      <c r="DL182" s="115"/>
      <c r="DM182" s="115"/>
      <c r="DN182" s="115"/>
      <c r="DO182" s="115"/>
      <c r="DP182" s="115"/>
      <c r="DQ182" s="115"/>
      <c r="DR182" s="115"/>
      <c r="DS182" s="115"/>
      <c r="DT182" s="115"/>
      <c r="DU182" s="115"/>
      <c r="DV182" s="115"/>
      <c r="DW182" s="115"/>
      <c r="DX182" s="115"/>
      <c r="DY182" s="115"/>
      <c r="DZ182" s="115"/>
      <c r="EA182" s="115"/>
      <c r="EB182" s="115"/>
      <c r="EC182" s="115"/>
      <c r="ED182" s="115"/>
      <c r="EE182" s="115"/>
      <c r="EF182" s="115"/>
      <c r="EG182" s="115"/>
      <c r="EH182" s="116"/>
    </row>
    <row r="183" spans="1:138" ht="12" customHeight="1" outlineLevel="2" x14ac:dyDescent="0.4">
      <c r="A183" s="101"/>
      <c r="B183" s="101"/>
      <c r="C183" s="101">
        <v>3</v>
      </c>
      <c r="D183" s="102" t="s">
        <v>549</v>
      </c>
      <c r="E183" s="103"/>
      <c r="F183" s="103"/>
      <c r="G183" s="103" t="s">
        <v>546</v>
      </c>
      <c r="H183" s="103"/>
      <c r="I183" s="103"/>
      <c r="J183" s="103"/>
      <c r="K183" s="103"/>
      <c r="L183" s="103"/>
      <c r="M183" s="103"/>
      <c r="N183" s="103"/>
      <c r="O183" s="104"/>
      <c r="P183" s="108">
        <v>44906</v>
      </c>
      <c r="Q183" s="108">
        <v>44985</v>
      </c>
      <c r="R183" s="106"/>
      <c r="S183" s="107">
        <v>80</v>
      </c>
      <c r="T183" s="107">
        <v>0</v>
      </c>
      <c r="U183" s="107">
        <v>80</v>
      </c>
      <c r="V183" s="107">
        <v>0</v>
      </c>
      <c r="W183" s="108"/>
      <c r="X183" s="108"/>
      <c r="Y183" s="109"/>
      <c r="Z183" s="110">
        <v>0</v>
      </c>
      <c r="AA183" s="107"/>
      <c r="AB183" s="111"/>
      <c r="AC183" s="112"/>
      <c r="AD183" s="113">
        <v>0</v>
      </c>
      <c r="AE183" s="134">
        <v>0</v>
      </c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 t="str">
        <f>"" &amp; TEXT(AE183,"#0.00%") &amp; " "</f>
        <v xml:space="preserve">0.00% </v>
      </c>
      <c r="CE183" s="115"/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 t="str">
        <f>"   " &amp; "화물이동" &amp; " " &amp; IF(P183="","",TEXT(P183,"M/D-")) &amp; IF(Q183="","",TEXT(Q183,"M/D")) &amp; " "</f>
        <v xml:space="preserve">   화물이동 12/11-2/28 </v>
      </c>
      <c r="CP183" s="115"/>
      <c r="CQ183" s="115"/>
      <c r="CR183" s="115"/>
      <c r="CS183" s="115"/>
      <c r="CT183" s="115"/>
      <c r="CU183" s="115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F183" s="115"/>
      <c r="DG183" s="115"/>
      <c r="DH183" s="115"/>
      <c r="DI183" s="115"/>
      <c r="DJ183" s="115"/>
      <c r="DK183" s="115"/>
      <c r="DL183" s="115"/>
      <c r="DM183" s="115"/>
      <c r="DN183" s="115"/>
      <c r="DO183" s="115"/>
      <c r="DP183" s="115"/>
      <c r="DQ183" s="115"/>
      <c r="DR183" s="115"/>
      <c r="DS183" s="115"/>
      <c r="DT183" s="115"/>
      <c r="DU183" s="115"/>
      <c r="DV183" s="115"/>
      <c r="DW183" s="115"/>
      <c r="DX183" s="115"/>
      <c r="DY183" s="115"/>
      <c r="DZ183" s="115"/>
      <c r="EA183" s="115"/>
      <c r="EB183" s="115"/>
      <c r="EC183" s="115"/>
      <c r="ED183" s="115"/>
      <c r="EE183" s="115"/>
      <c r="EF183" s="115"/>
      <c r="EG183" s="115"/>
      <c r="EH183" s="116"/>
    </row>
    <row r="184" spans="1:138" ht="12" customHeight="1" outlineLevel="1" x14ac:dyDescent="0.4">
      <c r="A184" s="101"/>
      <c r="B184" s="101" t="s">
        <v>325</v>
      </c>
      <c r="C184" s="101">
        <v>2</v>
      </c>
      <c r="D184" s="102" t="s">
        <v>550</v>
      </c>
      <c r="E184" s="103"/>
      <c r="F184" s="103" t="s">
        <v>353</v>
      </c>
      <c r="G184" s="103"/>
      <c r="H184" s="103"/>
      <c r="I184" s="103"/>
      <c r="J184" s="103"/>
      <c r="K184" s="103"/>
      <c r="L184" s="103"/>
      <c r="M184" s="103"/>
      <c r="N184" s="103"/>
      <c r="O184" s="104" t="s">
        <v>345</v>
      </c>
      <c r="P184" s="108">
        <v>44896</v>
      </c>
      <c r="Q184" s="108">
        <v>44985</v>
      </c>
      <c r="R184" s="106"/>
      <c r="S184" s="107">
        <v>90</v>
      </c>
      <c r="T184" s="107">
        <v>0</v>
      </c>
      <c r="U184" s="107">
        <v>90</v>
      </c>
      <c r="V184" s="107">
        <v>0</v>
      </c>
      <c r="W184" s="108"/>
      <c r="X184" s="108"/>
      <c r="Y184" s="109">
        <v>0</v>
      </c>
      <c r="Z184" s="110">
        <v>0</v>
      </c>
      <c r="AA184" s="107"/>
      <c r="AB184" s="111"/>
      <c r="AC184" s="112"/>
      <c r="AD184" s="113">
        <v>0</v>
      </c>
      <c r="AE184" s="137">
        <v>0</v>
      </c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 t="str">
        <f>"    " &amp; TEXT(AE184,"#0.00%") &amp; " "</f>
        <v xml:space="preserve">    0.00% </v>
      </c>
      <c r="CC184" s="115"/>
      <c r="CD184" s="115"/>
      <c r="CE184" s="115"/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 t="str">
        <f>"   " &amp; "외관검사기 물류" &amp; " " &amp; IF(P184="","",TEXT(P184,"M/D-")) &amp; IF(Q184="","",TEXT(Q184,"M/D")) &amp; " "</f>
        <v xml:space="preserve">   외관검사기 물류 12/1-2/28 </v>
      </c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  <c r="DR184" s="115"/>
      <c r="DS184" s="115"/>
      <c r="DT184" s="115"/>
      <c r="DU184" s="115"/>
      <c r="DV184" s="115"/>
      <c r="DW184" s="115"/>
      <c r="DX184" s="115"/>
      <c r="DY184" s="115"/>
      <c r="DZ184" s="115"/>
      <c r="EA184" s="115"/>
      <c r="EB184" s="115"/>
      <c r="EC184" s="115"/>
      <c r="ED184" s="115"/>
      <c r="EE184" s="115"/>
      <c r="EF184" s="115"/>
      <c r="EG184" s="115"/>
      <c r="EH184" s="116"/>
    </row>
    <row r="185" spans="1:138" ht="12" customHeight="1" outlineLevel="2" x14ac:dyDescent="0.4">
      <c r="A185" s="101"/>
      <c r="B185" s="101"/>
      <c r="C185" s="101">
        <v>3</v>
      </c>
      <c r="D185" s="102" t="s">
        <v>551</v>
      </c>
      <c r="E185" s="103"/>
      <c r="F185" s="103"/>
      <c r="G185" s="103" t="s">
        <v>544</v>
      </c>
      <c r="H185" s="103"/>
      <c r="I185" s="103"/>
      <c r="J185" s="103"/>
      <c r="K185" s="103"/>
      <c r="L185" s="103"/>
      <c r="M185" s="103"/>
      <c r="N185" s="103"/>
      <c r="O185" s="104"/>
      <c r="P185" s="108">
        <v>44896</v>
      </c>
      <c r="Q185" s="108">
        <v>44902</v>
      </c>
      <c r="R185" s="106"/>
      <c r="S185" s="107">
        <v>7</v>
      </c>
      <c r="T185" s="107">
        <v>0</v>
      </c>
      <c r="U185" s="107">
        <v>7</v>
      </c>
      <c r="V185" s="107">
        <v>0</v>
      </c>
      <c r="W185" s="108"/>
      <c r="X185" s="108"/>
      <c r="Y185" s="109"/>
      <c r="Z185" s="110">
        <v>0</v>
      </c>
      <c r="AA185" s="107"/>
      <c r="AB185" s="111"/>
      <c r="AC185" s="112"/>
      <c r="AD185" s="113">
        <v>0</v>
      </c>
      <c r="AE185" s="134">
        <v>0</v>
      </c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 t="str">
        <f>"    " &amp; TEXT(AE185,"#0.00%") &amp; " " &amp; "출하 선적" &amp; " " &amp; IF(P185="","",TEXT(P185,"M/D-")) &amp; IF(Q185="","",TEXT(Q185,"M/D")) &amp; " "</f>
        <v xml:space="preserve">    0.00% 출하 선적 12/1-12/7 </v>
      </c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  <c r="DR185" s="115"/>
      <c r="DS185" s="115"/>
      <c r="DT185" s="115"/>
      <c r="DU185" s="115"/>
      <c r="DV185" s="115"/>
      <c r="DW185" s="115"/>
      <c r="DX185" s="115"/>
      <c r="DY185" s="115"/>
      <c r="DZ185" s="115"/>
      <c r="EA185" s="115"/>
      <c r="EB185" s="115"/>
      <c r="EC185" s="115"/>
      <c r="ED185" s="115"/>
      <c r="EE185" s="115"/>
      <c r="EF185" s="115"/>
      <c r="EG185" s="115"/>
      <c r="EH185" s="116"/>
    </row>
    <row r="186" spans="1:138" ht="12" customHeight="1" outlineLevel="2" x14ac:dyDescent="0.4">
      <c r="A186" s="101"/>
      <c r="B186" s="101"/>
      <c r="C186" s="101">
        <v>3</v>
      </c>
      <c r="D186" s="102" t="s">
        <v>552</v>
      </c>
      <c r="E186" s="103"/>
      <c r="F186" s="103"/>
      <c r="G186" s="103" t="s">
        <v>546</v>
      </c>
      <c r="H186" s="103"/>
      <c r="I186" s="103"/>
      <c r="J186" s="103"/>
      <c r="K186" s="103"/>
      <c r="L186" s="103"/>
      <c r="M186" s="103"/>
      <c r="N186" s="103"/>
      <c r="O186" s="104"/>
      <c r="P186" s="108">
        <v>44903</v>
      </c>
      <c r="Q186" s="108">
        <v>44985</v>
      </c>
      <c r="R186" s="106"/>
      <c r="S186" s="107">
        <v>83</v>
      </c>
      <c r="T186" s="107">
        <v>0</v>
      </c>
      <c r="U186" s="107">
        <v>83</v>
      </c>
      <c r="V186" s="107">
        <v>0</v>
      </c>
      <c r="W186" s="108"/>
      <c r="X186" s="108"/>
      <c r="Y186" s="109"/>
      <c r="Z186" s="110">
        <v>0</v>
      </c>
      <c r="AA186" s="107"/>
      <c r="AB186" s="111"/>
      <c r="AC186" s="112"/>
      <c r="AD186" s="113">
        <v>0</v>
      </c>
      <c r="AE186" s="134">
        <v>0</v>
      </c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 t="str">
        <f>"    " &amp; TEXT(AE186,"#0.00%") &amp; " "</f>
        <v xml:space="preserve">    0.00% </v>
      </c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 t="str">
        <f>"   " &amp; "화물이동" &amp; " " &amp; IF(P186="","",TEXT(P186,"M/D-")) &amp; IF(Q186="","",TEXT(Q186,"M/D")) &amp; " "</f>
        <v xml:space="preserve">   화물이동 12/8-2/28 </v>
      </c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  <c r="DX186" s="115"/>
      <c r="DY186" s="115"/>
      <c r="DZ186" s="115"/>
      <c r="EA186" s="115"/>
      <c r="EB186" s="115"/>
      <c r="EC186" s="115"/>
      <c r="ED186" s="115"/>
      <c r="EE186" s="115"/>
      <c r="EF186" s="115"/>
      <c r="EG186" s="115"/>
      <c r="EH186" s="116"/>
    </row>
    <row r="187" spans="1:138" ht="12" customHeight="1" outlineLevel="1" x14ac:dyDescent="0.4">
      <c r="A187" s="101"/>
      <c r="B187" s="101" t="s">
        <v>325</v>
      </c>
      <c r="C187" s="101">
        <v>2</v>
      </c>
      <c r="D187" s="102" t="s">
        <v>553</v>
      </c>
      <c r="E187" s="103"/>
      <c r="F187" s="103" t="s">
        <v>361</v>
      </c>
      <c r="G187" s="103"/>
      <c r="H187" s="148"/>
      <c r="I187" s="103"/>
      <c r="J187" s="103"/>
      <c r="K187" s="103"/>
      <c r="L187" s="103"/>
      <c r="M187" s="103"/>
      <c r="N187" s="103"/>
      <c r="O187" s="104" t="s">
        <v>345</v>
      </c>
      <c r="P187" s="108">
        <v>44866</v>
      </c>
      <c r="Q187" s="108">
        <v>44977</v>
      </c>
      <c r="R187" s="106"/>
      <c r="S187" s="107">
        <v>132</v>
      </c>
      <c r="T187" s="107">
        <v>0</v>
      </c>
      <c r="U187" s="107">
        <v>112</v>
      </c>
      <c r="V187" s="107">
        <v>0</v>
      </c>
      <c r="W187" s="108"/>
      <c r="X187" s="108"/>
      <c r="Y187" s="109">
        <v>0</v>
      </c>
      <c r="Z187" s="110">
        <v>0</v>
      </c>
      <c r="AA187" s="107"/>
      <c r="AB187" s="111"/>
      <c r="AC187" s="112"/>
      <c r="AD187" s="113">
        <v>0</v>
      </c>
      <c r="AE187" s="137">
        <v>0</v>
      </c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 t="str">
        <f>"  " &amp; TEXT(AE187,"#0.00%") &amp; " "</f>
        <v xml:space="preserve">  0.00% </v>
      </c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 t="str">
        <f>"  " &amp; "OHT" &amp; " " &amp; IF(P187="","",TEXT(P187,"M/D-")) &amp; IF(Q187="","",TEXT(Q187,"M/D")) &amp; " "</f>
        <v xml:space="preserve">  OHT 11/1-2/20 </v>
      </c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  <c r="DR187" s="115"/>
      <c r="DS187" s="115"/>
      <c r="DT187" s="115"/>
      <c r="DU187" s="115"/>
      <c r="DV187" s="115"/>
      <c r="DW187" s="115"/>
      <c r="DX187" s="115"/>
      <c r="DY187" s="115"/>
      <c r="DZ187" s="115"/>
      <c r="EA187" s="115"/>
      <c r="EB187" s="115"/>
      <c r="EC187" s="115"/>
      <c r="ED187" s="115"/>
      <c r="EE187" s="115"/>
      <c r="EF187" s="115"/>
      <c r="EG187" s="115"/>
      <c r="EH187" s="116"/>
    </row>
    <row r="188" spans="1:138" ht="12" customHeight="1" outlineLevel="2" x14ac:dyDescent="0.4">
      <c r="A188" s="101"/>
      <c r="B188" s="101"/>
      <c r="C188" s="101">
        <v>3</v>
      </c>
      <c r="D188" s="102" t="s">
        <v>554</v>
      </c>
      <c r="E188" s="103"/>
      <c r="F188" s="103"/>
      <c r="G188" s="103" t="s">
        <v>555</v>
      </c>
      <c r="H188" s="148"/>
      <c r="I188" s="103"/>
      <c r="J188" s="103"/>
      <c r="K188" s="103"/>
      <c r="L188" s="103"/>
      <c r="M188" s="103"/>
      <c r="N188" s="103"/>
      <c r="O188" s="104"/>
      <c r="P188" s="108">
        <v>44866</v>
      </c>
      <c r="Q188" s="108">
        <v>44885</v>
      </c>
      <c r="R188" s="106"/>
      <c r="S188" s="107">
        <v>20</v>
      </c>
      <c r="T188" s="107">
        <v>0</v>
      </c>
      <c r="U188" s="107">
        <v>20</v>
      </c>
      <c r="V188" s="107">
        <v>0</v>
      </c>
      <c r="W188" s="108"/>
      <c r="X188" s="108"/>
      <c r="Y188" s="109"/>
      <c r="Z188" s="110">
        <v>0</v>
      </c>
      <c r="AA188" s="107"/>
      <c r="AB188" s="111"/>
      <c r="AC188" s="112"/>
      <c r="AD188" s="113">
        <v>0</v>
      </c>
      <c r="AE188" s="134">
        <v>0</v>
      </c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 t="str">
        <f>"  " &amp; TEXT(AE188,"#0.00%") &amp; " "</f>
        <v xml:space="preserve">  0.00% </v>
      </c>
      <c r="BY188" s="115"/>
      <c r="BZ188" s="115"/>
      <c r="CA188" s="115" t="str">
        <f>" " &amp; "출하 선적 (Rail 우선 출하)" &amp; " " &amp; IF(P188="","",TEXT(P188,"M/D-")) &amp; IF(Q188="","",TEXT(Q188,"M/D")) &amp; " "</f>
        <v xml:space="preserve"> 출하 선적 (Rail 우선 출하) 11/1-11/20 </v>
      </c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  <c r="DR188" s="115"/>
      <c r="DS188" s="115"/>
      <c r="DT188" s="115"/>
      <c r="DU188" s="115"/>
      <c r="DV188" s="115"/>
      <c r="DW188" s="115"/>
      <c r="DX188" s="115"/>
      <c r="DY188" s="115"/>
      <c r="DZ188" s="115"/>
      <c r="EA188" s="115"/>
      <c r="EB188" s="115"/>
      <c r="EC188" s="115"/>
      <c r="ED188" s="115"/>
      <c r="EE188" s="115"/>
      <c r="EF188" s="115"/>
      <c r="EG188" s="115"/>
      <c r="EH188" s="116"/>
    </row>
    <row r="189" spans="1:138" ht="12" customHeight="1" outlineLevel="2" x14ac:dyDescent="0.4">
      <c r="A189" s="101"/>
      <c r="B189" s="101"/>
      <c r="C189" s="101">
        <v>3</v>
      </c>
      <c r="D189" s="102" t="s">
        <v>556</v>
      </c>
      <c r="E189" s="103"/>
      <c r="F189" s="103"/>
      <c r="G189" s="103" t="s">
        <v>546</v>
      </c>
      <c r="H189" s="148"/>
      <c r="I189" s="103"/>
      <c r="J189" s="103"/>
      <c r="K189" s="103"/>
      <c r="L189" s="103"/>
      <c r="M189" s="103"/>
      <c r="N189" s="103"/>
      <c r="O189" s="104"/>
      <c r="P189" s="108">
        <v>44866</v>
      </c>
      <c r="Q189" s="108">
        <v>44977</v>
      </c>
      <c r="R189" s="106"/>
      <c r="S189" s="107">
        <v>112</v>
      </c>
      <c r="T189" s="107">
        <v>0</v>
      </c>
      <c r="U189" s="107">
        <v>112</v>
      </c>
      <c r="V189" s="107">
        <v>0</v>
      </c>
      <c r="W189" s="108"/>
      <c r="X189" s="108"/>
      <c r="Y189" s="109"/>
      <c r="Z189" s="110">
        <v>0</v>
      </c>
      <c r="AA189" s="107"/>
      <c r="AB189" s="111"/>
      <c r="AC189" s="112"/>
      <c r="AD189" s="113">
        <v>0</v>
      </c>
      <c r="AE189" s="134">
        <v>0</v>
      </c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 t="str">
        <f>"  " &amp; TEXT(AE189,"#0.00%") &amp; " "</f>
        <v xml:space="preserve">  0.00% </v>
      </c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 t="str">
        <f>"  " &amp; "화물이동" &amp; " " &amp; IF(P189="","",TEXT(P189,"M/D-")) &amp; IF(Q189="","",TEXT(Q189,"M/D")) &amp; " "</f>
        <v xml:space="preserve">  화물이동 11/1-2/20 </v>
      </c>
      <c r="CO189" s="115"/>
      <c r="CP189" s="115"/>
      <c r="CQ189" s="115"/>
      <c r="CR189" s="115"/>
      <c r="CS189" s="115"/>
      <c r="CT189" s="115"/>
      <c r="CU189" s="115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  <c r="DR189" s="115"/>
      <c r="DS189" s="115"/>
      <c r="DT189" s="115"/>
      <c r="DU189" s="115"/>
      <c r="DV189" s="115"/>
      <c r="DW189" s="115"/>
      <c r="DX189" s="115"/>
      <c r="DY189" s="115"/>
      <c r="DZ189" s="115"/>
      <c r="EA189" s="115"/>
      <c r="EB189" s="115"/>
      <c r="EC189" s="115"/>
      <c r="ED189" s="115"/>
      <c r="EE189" s="115"/>
      <c r="EF189" s="115"/>
      <c r="EG189" s="115"/>
      <c r="EH189" s="116"/>
    </row>
    <row r="190" spans="1:138" ht="12" customHeight="1" outlineLevel="1" x14ac:dyDescent="0.4">
      <c r="A190" s="101"/>
      <c r="B190" s="101" t="s">
        <v>325</v>
      </c>
      <c r="C190" s="101">
        <v>2</v>
      </c>
      <c r="D190" s="102" t="s">
        <v>557</v>
      </c>
      <c r="E190" s="103"/>
      <c r="F190" s="103" t="s">
        <v>372</v>
      </c>
      <c r="G190" s="136"/>
      <c r="H190" s="103"/>
      <c r="I190" s="103"/>
      <c r="J190" s="103"/>
      <c r="K190" s="103"/>
      <c r="L190" s="103"/>
      <c r="M190" s="103"/>
      <c r="N190" s="103"/>
      <c r="O190" s="104" t="s">
        <v>345</v>
      </c>
      <c r="P190" s="108">
        <v>44885</v>
      </c>
      <c r="Q190" s="108">
        <v>44982</v>
      </c>
      <c r="R190" s="106"/>
      <c r="S190" s="107">
        <v>99</v>
      </c>
      <c r="T190" s="107">
        <v>0</v>
      </c>
      <c r="U190" s="107">
        <v>98</v>
      </c>
      <c r="V190" s="107">
        <v>0</v>
      </c>
      <c r="W190" s="108"/>
      <c r="X190" s="108"/>
      <c r="Y190" s="109">
        <v>0</v>
      </c>
      <c r="Z190" s="110">
        <v>0</v>
      </c>
      <c r="AA190" s="107"/>
      <c r="AB190" s="111"/>
      <c r="AC190" s="112"/>
      <c r="AD190" s="113">
        <v>0</v>
      </c>
      <c r="AE190" s="137">
        <v>0</v>
      </c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 t="str">
        <f>"" &amp; TEXT(AE190,"#0.00%") &amp; " "</f>
        <v xml:space="preserve">0.00% </v>
      </c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 t="str">
        <f>"" &amp; "CCS 물류" &amp; " " &amp; IF(P190="","",TEXT(P190,"M/D-")) &amp; IF(Q190="","",TEXT(Q190,"M/D")) &amp; " "</f>
        <v xml:space="preserve">CCS 물류 11/20-2/25 </v>
      </c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  <c r="DX190" s="115"/>
      <c r="DY190" s="115"/>
      <c r="DZ190" s="115"/>
      <c r="EA190" s="115"/>
      <c r="EB190" s="115"/>
      <c r="EC190" s="115"/>
      <c r="ED190" s="115"/>
      <c r="EE190" s="115"/>
      <c r="EF190" s="115"/>
      <c r="EG190" s="115"/>
      <c r="EH190" s="116"/>
    </row>
    <row r="191" spans="1:138" ht="12" customHeight="1" outlineLevel="2" x14ac:dyDescent="0.4">
      <c r="A191" s="101"/>
      <c r="B191" s="101"/>
      <c r="C191" s="101">
        <v>3</v>
      </c>
      <c r="D191" s="102" t="s">
        <v>558</v>
      </c>
      <c r="E191" s="103"/>
      <c r="F191" s="103"/>
      <c r="G191" s="103" t="s">
        <v>544</v>
      </c>
      <c r="H191" s="136"/>
      <c r="I191" s="103"/>
      <c r="J191" s="103"/>
      <c r="K191" s="103"/>
      <c r="L191" s="103"/>
      <c r="M191" s="103"/>
      <c r="N191" s="103"/>
      <c r="O191" s="104"/>
      <c r="P191" s="108">
        <v>44885</v>
      </c>
      <c r="Q191" s="108">
        <v>44890</v>
      </c>
      <c r="R191" s="106"/>
      <c r="S191" s="107">
        <v>6</v>
      </c>
      <c r="T191" s="107">
        <v>0</v>
      </c>
      <c r="U191" s="107">
        <v>6</v>
      </c>
      <c r="V191" s="107">
        <v>0</v>
      </c>
      <c r="W191" s="108"/>
      <c r="X191" s="108"/>
      <c r="Y191" s="109"/>
      <c r="Z191" s="110">
        <v>0</v>
      </c>
      <c r="AA191" s="107"/>
      <c r="AB191" s="111"/>
      <c r="AC191" s="112"/>
      <c r="AD191" s="113">
        <v>0</v>
      </c>
      <c r="AE191" s="134">
        <v>0</v>
      </c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 t="str">
        <f>"" &amp; TEXT(AE191,"#0.00%") &amp; " " &amp; "출하 선적" &amp; " " &amp; IF(P191="","",TEXT(P191,"M/D-")) &amp; IF(Q191="","",TEXT(Q191,"M/D")) &amp; " "</f>
        <v xml:space="preserve">0.00% 출하 선적 11/20-11/25 </v>
      </c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5"/>
      <c r="CT191" s="115"/>
      <c r="CU191" s="115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  <c r="DR191" s="115"/>
      <c r="DS191" s="115"/>
      <c r="DT191" s="115"/>
      <c r="DU191" s="115"/>
      <c r="DV191" s="115"/>
      <c r="DW191" s="115"/>
      <c r="DX191" s="115"/>
      <c r="DY191" s="115"/>
      <c r="DZ191" s="115"/>
      <c r="EA191" s="115"/>
      <c r="EB191" s="115"/>
      <c r="EC191" s="115"/>
      <c r="ED191" s="115"/>
      <c r="EE191" s="115"/>
      <c r="EF191" s="115"/>
      <c r="EG191" s="115"/>
      <c r="EH191" s="116"/>
    </row>
    <row r="192" spans="1:138" ht="12" customHeight="1" outlineLevel="2" x14ac:dyDescent="0.4">
      <c r="A192" s="101"/>
      <c r="B192" s="101"/>
      <c r="C192" s="101">
        <v>3</v>
      </c>
      <c r="D192" s="102" t="s">
        <v>559</v>
      </c>
      <c r="E192" s="103"/>
      <c r="F192" s="103"/>
      <c r="G192" s="103" t="s">
        <v>546</v>
      </c>
      <c r="H192" s="103"/>
      <c r="I192" s="103"/>
      <c r="J192" s="103"/>
      <c r="K192" s="103"/>
      <c r="L192" s="103"/>
      <c r="M192" s="103"/>
      <c r="N192" s="103"/>
      <c r="O192" s="104"/>
      <c r="P192" s="108">
        <v>44890</v>
      </c>
      <c r="Q192" s="108">
        <v>44982</v>
      </c>
      <c r="R192" s="106"/>
      <c r="S192" s="107">
        <v>93</v>
      </c>
      <c r="T192" s="107">
        <v>0</v>
      </c>
      <c r="U192" s="107">
        <v>93</v>
      </c>
      <c r="V192" s="107">
        <v>0</v>
      </c>
      <c r="W192" s="108"/>
      <c r="X192" s="108"/>
      <c r="Y192" s="109"/>
      <c r="Z192" s="110">
        <v>0</v>
      </c>
      <c r="AA192" s="107"/>
      <c r="AB192" s="111"/>
      <c r="AC192" s="112"/>
      <c r="AD192" s="113">
        <v>0</v>
      </c>
      <c r="AE192" s="134">
        <v>0</v>
      </c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 t="str">
        <f>"     " &amp; TEXT(AE192,"#0.00%") &amp; " "</f>
        <v xml:space="preserve">     0.00% </v>
      </c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 t="str">
        <f>"" &amp; "화물이동" &amp; " " &amp; IF(P192="","",TEXT(P192,"M/D-")) &amp; IF(Q192="","",TEXT(Q192,"M/D")) &amp; " "</f>
        <v xml:space="preserve">화물이동 11/25-2/25 </v>
      </c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6"/>
    </row>
    <row r="193" spans="1:138" ht="12" customHeight="1" outlineLevel="1" x14ac:dyDescent="0.4">
      <c r="A193" s="101"/>
      <c r="B193" s="101" t="s">
        <v>325</v>
      </c>
      <c r="C193" s="101">
        <v>2</v>
      </c>
      <c r="D193" s="102" t="s">
        <v>560</v>
      </c>
      <c r="E193" s="103"/>
      <c r="F193" s="103" t="s">
        <v>380</v>
      </c>
      <c r="G193" s="103"/>
      <c r="H193" s="103"/>
      <c r="I193" s="103"/>
      <c r="J193" s="103"/>
      <c r="K193" s="103"/>
      <c r="L193" s="103"/>
      <c r="M193" s="103"/>
      <c r="N193" s="103"/>
      <c r="O193" s="104" t="s">
        <v>330</v>
      </c>
      <c r="P193" s="108">
        <v>44881</v>
      </c>
      <c r="Q193" s="108">
        <v>45005</v>
      </c>
      <c r="R193" s="106"/>
      <c r="S193" s="107">
        <v>158</v>
      </c>
      <c r="T193" s="107">
        <v>0</v>
      </c>
      <c r="U193" s="107">
        <v>125</v>
      </c>
      <c r="V193" s="107">
        <v>0</v>
      </c>
      <c r="W193" s="108"/>
      <c r="X193" s="108"/>
      <c r="Y193" s="109">
        <v>0</v>
      </c>
      <c r="Z193" s="110">
        <v>0</v>
      </c>
      <c r="AA193" s="107"/>
      <c r="AB193" s="111"/>
      <c r="AC193" s="112"/>
      <c r="AD193" s="113">
        <v>0</v>
      </c>
      <c r="AE193" s="137">
        <v>0</v>
      </c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 t="str">
        <f>"   " &amp; TEXT(AE193,"#0.00%") &amp; " "</f>
        <v xml:space="preserve">   0.00% </v>
      </c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 t="str">
        <f>"  " &amp; "OVEN &amp; OVEN STK" &amp; " " &amp; IF(P193="","",TEXT(P193,"M/D-")) &amp; IF(Q193="","",TEXT(Q193,"M/D")) &amp; " "</f>
        <v xml:space="preserve">  OVEN &amp; OVEN STK 11/16-3/20 </v>
      </c>
      <c r="CS193" s="115"/>
      <c r="CT193" s="115"/>
      <c r="CU193" s="115"/>
      <c r="CV193" s="115"/>
      <c r="CW193" s="115"/>
      <c r="CX193" s="115"/>
      <c r="CY193" s="115"/>
      <c r="CZ193" s="115"/>
      <c r="DA193" s="115"/>
      <c r="DB193" s="115"/>
      <c r="DC193" s="115"/>
      <c r="DD193" s="115"/>
      <c r="DE193" s="115"/>
      <c r="DF193" s="115"/>
      <c r="DG193" s="115"/>
      <c r="DH193" s="115"/>
      <c r="DI193" s="115"/>
      <c r="DJ193" s="115"/>
      <c r="DK193" s="115"/>
      <c r="DL193" s="115"/>
      <c r="DM193" s="115"/>
      <c r="DN193" s="115"/>
      <c r="DO193" s="115"/>
      <c r="DP193" s="115"/>
      <c r="DQ193" s="115"/>
      <c r="DR193" s="115"/>
      <c r="DS193" s="115"/>
      <c r="DT193" s="115"/>
      <c r="DU193" s="115"/>
      <c r="DV193" s="115"/>
      <c r="DW193" s="115"/>
      <c r="DX193" s="115"/>
      <c r="DY193" s="115"/>
      <c r="DZ193" s="115"/>
      <c r="EA193" s="115"/>
      <c r="EB193" s="115"/>
      <c r="EC193" s="115"/>
      <c r="ED193" s="115"/>
      <c r="EE193" s="115"/>
      <c r="EF193" s="115"/>
      <c r="EG193" s="115"/>
      <c r="EH193" s="116"/>
    </row>
    <row r="194" spans="1:138" ht="12" customHeight="1" outlineLevel="2" x14ac:dyDescent="0.4">
      <c r="A194" s="101"/>
      <c r="B194" s="101"/>
      <c r="C194" s="101">
        <v>3</v>
      </c>
      <c r="D194" s="102" t="s">
        <v>561</v>
      </c>
      <c r="E194" s="103"/>
      <c r="F194" s="103"/>
      <c r="G194" s="103" t="s">
        <v>544</v>
      </c>
      <c r="H194" s="103"/>
      <c r="I194" s="103"/>
      <c r="J194" s="103"/>
      <c r="K194" s="103"/>
      <c r="L194" s="103"/>
      <c r="M194" s="103"/>
      <c r="N194" s="103"/>
      <c r="O194" s="104"/>
      <c r="P194" s="108">
        <v>44881</v>
      </c>
      <c r="Q194" s="108">
        <v>44914</v>
      </c>
      <c r="R194" s="106"/>
      <c r="S194" s="107">
        <v>34</v>
      </c>
      <c r="T194" s="107">
        <v>0</v>
      </c>
      <c r="U194" s="107">
        <v>34</v>
      </c>
      <c r="V194" s="107">
        <v>0</v>
      </c>
      <c r="W194" s="108"/>
      <c r="X194" s="108"/>
      <c r="Y194" s="109"/>
      <c r="Z194" s="110">
        <v>0</v>
      </c>
      <c r="AA194" s="107"/>
      <c r="AB194" s="111"/>
      <c r="AC194" s="112"/>
      <c r="AD194" s="113">
        <v>0</v>
      </c>
      <c r="AE194" s="134">
        <v>0</v>
      </c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 t="str">
        <f>"   " &amp; TEXT(AE194,"#0.00%") &amp; " "</f>
        <v xml:space="preserve">   0.00% </v>
      </c>
      <c r="CA194" s="115"/>
      <c r="CB194" s="115"/>
      <c r="CC194" s="115"/>
      <c r="CD194" s="115"/>
      <c r="CE194" s="115" t="str">
        <f>"  " &amp; "출하 선적" &amp; " " &amp; IF(P194="","",TEXT(P194,"M/D-")) &amp; IF(Q194="","",TEXT(Q194,"M/D")) &amp; " "</f>
        <v xml:space="preserve">  출하 선적 11/16-12/19 </v>
      </c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5"/>
      <c r="CR194" s="115"/>
      <c r="CS194" s="115"/>
      <c r="CT194" s="115"/>
      <c r="CU194" s="115"/>
      <c r="CV194" s="115"/>
      <c r="CW194" s="115"/>
      <c r="CX194" s="115"/>
      <c r="CY194" s="115"/>
      <c r="CZ194" s="115"/>
      <c r="DA194" s="115"/>
      <c r="DB194" s="115"/>
      <c r="DC194" s="115"/>
      <c r="DD194" s="115"/>
      <c r="DE194" s="115"/>
      <c r="DF194" s="115"/>
      <c r="DG194" s="115"/>
      <c r="DH194" s="115"/>
      <c r="DI194" s="115"/>
      <c r="DJ194" s="115"/>
      <c r="DK194" s="115"/>
      <c r="DL194" s="115"/>
      <c r="DM194" s="115"/>
      <c r="DN194" s="115"/>
      <c r="DO194" s="115"/>
      <c r="DP194" s="115"/>
      <c r="DQ194" s="115"/>
      <c r="DR194" s="115"/>
      <c r="DS194" s="115"/>
      <c r="DT194" s="115"/>
      <c r="DU194" s="115"/>
      <c r="DV194" s="115"/>
      <c r="DW194" s="115"/>
      <c r="DX194" s="115"/>
      <c r="DY194" s="115"/>
      <c r="DZ194" s="115"/>
      <c r="EA194" s="115"/>
      <c r="EB194" s="115"/>
      <c r="EC194" s="115"/>
      <c r="ED194" s="115"/>
      <c r="EE194" s="115"/>
      <c r="EF194" s="115"/>
      <c r="EG194" s="115"/>
      <c r="EH194" s="116"/>
    </row>
    <row r="195" spans="1:138" ht="12" customHeight="1" outlineLevel="2" x14ac:dyDescent="0.4">
      <c r="A195" s="101"/>
      <c r="B195" s="101"/>
      <c r="C195" s="101">
        <v>3</v>
      </c>
      <c r="D195" s="102" t="s">
        <v>562</v>
      </c>
      <c r="E195" s="103"/>
      <c r="F195" s="103"/>
      <c r="G195" s="103" t="s">
        <v>546</v>
      </c>
      <c r="H195" s="103"/>
      <c r="I195" s="103"/>
      <c r="J195" s="103"/>
      <c r="K195" s="103"/>
      <c r="L195" s="103"/>
      <c r="M195" s="103"/>
      <c r="N195" s="103"/>
      <c r="O195" s="104"/>
      <c r="P195" s="108">
        <v>44882</v>
      </c>
      <c r="Q195" s="108">
        <v>45005</v>
      </c>
      <c r="R195" s="106"/>
      <c r="S195" s="107">
        <v>124</v>
      </c>
      <c r="T195" s="107">
        <v>0</v>
      </c>
      <c r="U195" s="107">
        <v>124</v>
      </c>
      <c r="V195" s="107">
        <v>0</v>
      </c>
      <c r="W195" s="108"/>
      <c r="X195" s="108"/>
      <c r="Y195" s="109"/>
      <c r="Z195" s="110">
        <v>0</v>
      </c>
      <c r="AA195" s="107"/>
      <c r="AB195" s="111"/>
      <c r="AC195" s="112"/>
      <c r="AD195" s="113">
        <v>0</v>
      </c>
      <c r="AE195" s="134">
        <v>0</v>
      </c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 t="str">
        <f>"    " &amp; TEXT(AE195,"#0.00%") &amp; " "</f>
        <v xml:space="preserve">    0.00% </v>
      </c>
      <c r="CA195" s="115"/>
      <c r="CB195" s="115"/>
      <c r="CC195" s="115"/>
      <c r="CD195" s="115"/>
      <c r="CE195" s="115"/>
      <c r="CF195" s="115"/>
      <c r="CG195" s="115"/>
      <c r="CH195" s="115"/>
      <c r="CI195" s="115"/>
      <c r="CJ195" s="115"/>
      <c r="CK195" s="115"/>
      <c r="CL195" s="115"/>
      <c r="CM195" s="115"/>
      <c r="CN195" s="115"/>
      <c r="CO195" s="115"/>
      <c r="CP195" s="115"/>
      <c r="CQ195" s="115"/>
      <c r="CR195" s="115" t="str">
        <f>"  " &amp; "화물이동" &amp; " " &amp; IF(P195="","",TEXT(P195,"M/D-")) &amp; IF(Q195="","",TEXT(Q195,"M/D")) &amp; " "</f>
        <v xml:space="preserve">  화물이동 11/17-3/20 </v>
      </c>
      <c r="CS195" s="115"/>
      <c r="CT195" s="115"/>
      <c r="CU195" s="115"/>
      <c r="CV195" s="115"/>
      <c r="CW195" s="115"/>
      <c r="CX195" s="115"/>
      <c r="CY195" s="115"/>
      <c r="CZ195" s="115"/>
      <c r="DA195" s="115"/>
      <c r="DB195" s="115"/>
      <c r="DC195" s="115"/>
      <c r="DD195" s="115"/>
      <c r="DE195" s="115"/>
      <c r="DF195" s="115"/>
      <c r="DG195" s="115"/>
      <c r="DH195" s="115"/>
      <c r="DI195" s="115"/>
      <c r="DJ195" s="115"/>
      <c r="DK195" s="115"/>
      <c r="DL195" s="115"/>
      <c r="DM195" s="115"/>
      <c r="DN195" s="115"/>
      <c r="DO195" s="115"/>
      <c r="DP195" s="115"/>
      <c r="DQ195" s="115"/>
      <c r="DR195" s="115"/>
      <c r="DS195" s="115"/>
      <c r="DT195" s="115"/>
      <c r="DU195" s="115"/>
      <c r="DV195" s="115"/>
      <c r="DW195" s="115"/>
      <c r="DX195" s="115"/>
      <c r="DY195" s="115"/>
      <c r="DZ195" s="115"/>
      <c r="EA195" s="115"/>
      <c r="EB195" s="115"/>
      <c r="EC195" s="115"/>
      <c r="ED195" s="115"/>
      <c r="EE195" s="115"/>
      <c r="EF195" s="115"/>
      <c r="EG195" s="115"/>
      <c r="EH195" s="116"/>
    </row>
    <row r="196" spans="1:138" ht="12" customHeight="1" outlineLevel="1" x14ac:dyDescent="0.4">
      <c r="A196" s="101"/>
      <c r="B196" s="101" t="s">
        <v>325</v>
      </c>
      <c r="C196" s="101">
        <v>2</v>
      </c>
      <c r="D196" s="102" t="s">
        <v>563</v>
      </c>
      <c r="E196" s="103"/>
      <c r="F196" s="103" t="s">
        <v>388</v>
      </c>
      <c r="G196" s="103"/>
      <c r="H196" s="136"/>
      <c r="I196" s="103"/>
      <c r="J196" s="103"/>
      <c r="K196" s="103"/>
      <c r="L196" s="103"/>
      <c r="M196" s="103"/>
      <c r="N196" s="103"/>
      <c r="O196" s="104" t="s">
        <v>345</v>
      </c>
      <c r="P196" s="108">
        <v>44906</v>
      </c>
      <c r="Q196" s="108">
        <v>45006</v>
      </c>
      <c r="R196" s="106"/>
      <c r="S196" s="107">
        <v>101</v>
      </c>
      <c r="T196" s="107">
        <v>0</v>
      </c>
      <c r="U196" s="107">
        <v>101</v>
      </c>
      <c r="V196" s="107">
        <v>0</v>
      </c>
      <c r="W196" s="108"/>
      <c r="X196" s="108"/>
      <c r="Y196" s="109">
        <v>0</v>
      </c>
      <c r="Z196" s="110">
        <v>0</v>
      </c>
      <c r="AA196" s="107"/>
      <c r="AB196" s="111"/>
      <c r="AC196" s="112"/>
      <c r="AD196" s="113">
        <v>0</v>
      </c>
      <c r="AE196" s="137">
        <v>0</v>
      </c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 t="str">
        <f>"" &amp; TEXT(AE196,"#0.00%") &amp; " "</f>
        <v xml:space="preserve">0.00% </v>
      </c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 t="str">
        <f>"   " &amp; "OVEN 연결물류 " &amp; " " &amp; IF(P196="","",TEXT(P196,"M/D-")) &amp; IF(Q196="","",TEXT(Q196,"M/D")) &amp; " "</f>
        <v xml:space="preserve">   OVEN 연결물류  12/11-3/21 </v>
      </c>
      <c r="CS196" s="115"/>
      <c r="CT196" s="115"/>
      <c r="CU196" s="115"/>
      <c r="CV196" s="115"/>
      <c r="CW196" s="115"/>
      <c r="CX196" s="115"/>
      <c r="CY196" s="115"/>
      <c r="CZ196" s="115"/>
      <c r="DA196" s="115"/>
      <c r="DB196" s="115"/>
      <c r="DC196" s="115"/>
      <c r="DD196" s="115"/>
      <c r="DE196" s="115"/>
      <c r="DF196" s="115"/>
      <c r="DG196" s="115"/>
      <c r="DH196" s="115"/>
      <c r="DI196" s="115"/>
      <c r="DJ196" s="115"/>
      <c r="DK196" s="115"/>
      <c r="DL196" s="115"/>
      <c r="DM196" s="115"/>
      <c r="DN196" s="115"/>
      <c r="DO196" s="115"/>
      <c r="DP196" s="115"/>
      <c r="DQ196" s="115"/>
      <c r="DR196" s="115"/>
      <c r="DS196" s="115"/>
      <c r="DT196" s="115"/>
      <c r="DU196" s="115"/>
      <c r="DV196" s="115"/>
      <c r="DW196" s="115"/>
      <c r="DX196" s="115"/>
      <c r="DY196" s="115"/>
      <c r="DZ196" s="115"/>
      <c r="EA196" s="115"/>
      <c r="EB196" s="115"/>
      <c r="EC196" s="115"/>
      <c r="ED196" s="115"/>
      <c r="EE196" s="115"/>
      <c r="EF196" s="115"/>
      <c r="EG196" s="115"/>
      <c r="EH196" s="116"/>
    </row>
    <row r="197" spans="1:138" ht="12" customHeight="1" outlineLevel="2" x14ac:dyDescent="0.4">
      <c r="A197" s="101"/>
      <c r="B197" s="101"/>
      <c r="C197" s="101">
        <v>3</v>
      </c>
      <c r="D197" s="102" t="s">
        <v>564</v>
      </c>
      <c r="E197" s="103"/>
      <c r="F197" s="103"/>
      <c r="G197" s="103" t="s">
        <v>544</v>
      </c>
      <c r="H197" s="103"/>
      <c r="I197" s="103"/>
      <c r="J197" s="103"/>
      <c r="K197" s="103"/>
      <c r="L197" s="103"/>
      <c r="M197" s="103"/>
      <c r="N197" s="103"/>
      <c r="O197" s="104"/>
      <c r="P197" s="108">
        <v>44906</v>
      </c>
      <c r="Q197" s="108">
        <v>44915</v>
      </c>
      <c r="R197" s="106"/>
      <c r="S197" s="107">
        <v>10</v>
      </c>
      <c r="T197" s="107">
        <v>0</v>
      </c>
      <c r="U197" s="107">
        <v>10</v>
      </c>
      <c r="V197" s="107">
        <v>0</v>
      </c>
      <c r="W197" s="108"/>
      <c r="X197" s="108"/>
      <c r="Y197" s="109"/>
      <c r="Z197" s="110">
        <v>0</v>
      </c>
      <c r="AA197" s="107"/>
      <c r="AB197" s="111"/>
      <c r="AC197" s="112"/>
      <c r="AD197" s="113">
        <v>0</v>
      </c>
      <c r="AE197" s="134">
        <v>0</v>
      </c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  <c r="CB197" s="115"/>
      <c r="CC197" s="115"/>
      <c r="CD197" s="115" t="str">
        <f>"" &amp; TEXT(AE197,"#0.00%") &amp; " " &amp; "출하 선적" &amp; " " &amp; IF(P197="","",TEXT(P197,"M/D-")) &amp; IF(Q197="","",TEXT(Q197,"M/D")) &amp; " "</f>
        <v xml:space="preserve">0.00% 출하 선적 12/11-12/20 </v>
      </c>
      <c r="CE197" s="115"/>
      <c r="CF197" s="115"/>
      <c r="CG197" s="115"/>
      <c r="CH197" s="115"/>
      <c r="CI197" s="115"/>
      <c r="CJ197" s="115"/>
      <c r="CK197" s="115"/>
      <c r="CL197" s="115"/>
      <c r="CM197" s="115"/>
      <c r="CN197" s="115"/>
      <c r="CO197" s="115"/>
      <c r="CP197" s="115"/>
      <c r="CQ197" s="115"/>
      <c r="CR197" s="115"/>
      <c r="CS197" s="115"/>
      <c r="CT197" s="115"/>
      <c r="CU197" s="115"/>
      <c r="CV197" s="115"/>
      <c r="CW197" s="115"/>
      <c r="CX197" s="115"/>
      <c r="CY197" s="115"/>
      <c r="CZ197" s="115"/>
      <c r="DA197" s="115"/>
      <c r="DB197" s="115"/>
      <c r="DC197" s="115"/>
      <c r="DD197" s="115"/>
      <c r="DE197" s="115"/>
      <c r="DF197" s="115"/>
      <c r="DG197" s="115"/>
      <c r="DH197" s="115"/>
      <c r="DI197" s="115"/>
      <c r="DJ197" s="115"/>
      <c r="DK197" s="115"/>
      <c r="DL197" s="115"/>
      <c r="DM197" s="115"/>
      <c r="DN197" s="115"/>
      <c r="DO197" s="115"/>
      <c r="DP197" s="115"/>
      <c r="DQ197" s="115"/>
      <c r="DR197" s="115"/>
      <c r="DS197" s="115"/>
      <c r="DT197" s="115"/>
      <c r="DU197" s="115"/>
      <c r="DV197" s="115"/>
      <c r="DW197" s="115"/>
      <c r="DX197" s="115"/>
      <c r="DY197" s="115"/>
      <c r="DZ197" s="115"/>
      <c r="EA197" s="115"/>
      <c r="EB197" s="115"/>
      <c r="EC197" s="115"/>
      <c r="ED197" s="115"/>
      <c r="EE197" s="115"/>
      <c r="EF197" s="115"/>
      <c r="EG197" s="115"/>
      <c r="EH197" s="116"/>
    </row>
    <row r="198" spans="1:138" ht="12" customHeight="1" outlineLevel="2" x14ac:dyDescent="0.4">
      <c r="A198" s="101"/>
      <c r="B198" s="101"/>
      <c r="C198" s="101">
        <v>3</v>
      </c>
      <c r="D198" s="102" t="s">
        <v>565</v>
      </c>
      <c r="E198" s="103"/>
      <c r="F198" s="103"/>
      <c r="G198" s="103" t="s">
        <v>546</v>
      </c>
      <c r="H198" s="103"/>
      <c r="I198" s="103"/>
      <c r="J198" s="103"/>
      <c r="K198" s="103"/>
      <c r="L198" s="103"/>
      <c r="M198" s="103"/>
      <c r="N198" s="103"/>
      <c r="O198" s="104"/>
      <c r="P198" s="108">
        <v>44916</v>
      </c>
      <c r="Q198" s="108">
        <v>45006</v>
      </c>
      <c r="R198" s="106"/>
      <c r="S198" s="107">
        <v>91</v>
      </c>
      <c r="T198" s="107">
        <v>0</v>
      </c>
      <c r="U198" s="107">
        <v>91</v>
      </c>
      <c r="V198" s="107">
        <v>0</v>
      </c>
      <c r="W198" s="108"/>
      <c r="X198" s="108"/>
      <c r="Y198" s="109"/>
      <c r="Z198" s="110">
        <v>0</v>
      </c>
      <c r="AA198" s="107"/>
      <c r="AB198" s="111"/>
      <c r="AC198" s="112"/>
      <c r="AD198" s="113">
        <v>0</v>
      </c>
      <c r="AE198" s="134">
        <v>0</v>
      </c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 t="str">
        <f>"   " &amp; TEXT(AE198,"#0.00%") &amp; " "</f>
        <v xml:space="preserve">   0.00% </v>
      </c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 t="str">
        <f>"   " &amp; "화물이동" &amp; " " &amp; IF(P198="","",TEXT(P198,"M/D-")) &amp; IF(Q198="","",TEXT(Q198,"M/D")) &amp; " "</f>
        <v xml:space="preserve">   화물이동 12/21-3/21 </v>
      </c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  <c r="DR198" s="115"/>
      <c r="DS198" s="115"/>
      <c r="DT198" s="115"/>
      <c r="DU198" s="115"/>
      <c r="DV198" s="115"/>
      <c r="DW198" s="115"/>
      <c r="DX198" s="115"/>
      <c r="DY198" s="115"/>
      <c r="DZ198" s="115"/>
      <c r="EA198" s="115"/>
      <c r="EB198" s="115"/>
      <c r="EC198" s="115"/>
      <c r="ED198" s="115"/>
      <c r="EE198" s="115"/>
      <c r="EF198" s="115"/>
      <c r="EG198" s="115"/>
      <c r="EH198" s="116"/>
    </row>
    <row r="199" spans="1:138" ht="12" customHeight="1" outlineLevel="1" x14ac:dyDescent="0.4">
      <c r="A199" s="101"/>
      <c r="B199" s="101" t="s">
        <v>325</v>
      </c>
      <c r="C199" s="101">
        <v>2</v>
      </c>
      <c r="D199" s="102" t="s">
        <v>566</v>
      </c>
      <c r="E199" s="103"/>
      <c r="F199" s="103" t="s">
        <v>396</v>
      </c>
      <c r="G199" s="103"/>
      <c r="H199" s="103"/>
      <c r="I199" s="103"/>
      <c r="J199" s="103"/>
      <c r="K199" s="103"/>
      <c r="L199" s="103"/>
      <c r="M199" s="103"/>
      <c r="N199" s="103"/>
      <c r="O199" s="104" t="s">
        <v>345</v>
      </c>
      <c r="P199" s="108">
        <v>44957</v>
      </c>
      <c r="Q199" s="108">
        <v>45046</v>
      </c>
      <c r="R199" s="106"/>
      <c r="S199" s="107">
        <v>90</v>
      </c>
      <c r="T199" s="107">
        <v>0</v>
      </c>
      <c r="U199" s="107">
        <v>90</v>
      </c>
      <c r="V199" s="107">
        <v>0</v>
      </c>
      <c r="W199" s="108"/>
      <c r="X199" s="108"/>
      <c r="Y199" s="109">
        <v>0</v>
      </c>
      <c r="Z199" s="110">
        <v>0</v>
      </c>
      <c r="AA199" s="107"/>
      <c r="AB199" s="111"/>
      <c r="AC199" s="112"/>
      <c r="AD199" s="113">
        <v>0</v>
      </c>
      <c r="AE199" s="137">
        <v>0</v>
      </c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 t="str">
        <f>"  " &amp; TEXT(AE199,"#0.00%") &amp; " "</f>
        <v xml:space="preserve">  0.00% </v>
      </c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 t="str">
        <f>" " &amp; "CCS 포장물류" &amp; " " &amp; IF(P199="","",TEXT(P199,"M/D-")) &amp; IF(Q199="","",TEXT(Q199,"M/D")) &amp; " "</f>
        <v xml:space="preserve"> CCS 포장물류 1/31-4/30 </v>
      </c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6"/>
    </row>
    <row r="200" spans="1:138" ht="12" customHeight="1" outlineLevel="2" x14ac:dyDescent="0.4">
      <c r="A200" s="101"/>
      <c r="B200" s="101"/>
      <c r="C200" s="101">
        <v>3</v>
      </c>
      <c r="D200" s="102" t="s">
        <v>567</v>
      </c>
      <c r="E200" s="103"/>
      <c r="F200" s="103"/>
      <c r="G200" s="103" t="s">
        <v>544</v>
      </c>
      <c r="H200" s="103"/>
      <c r="I200" s="103"/>
      <c r="J200" s="103"/>
      <c r="K200" s="103"/>
      <c r="L200" s="103"/>
      <c r="M200" s="103"/>
      <c r="N200" s="103"/>
      <c r="O200" s="104"/>
      <c r="P200" s="135">
        <v>44957</v>
      </c>
      <c r="Q200" s="135">
        <v>44964</v>
      </c>
      <c r="R200" s="106"/>
      <c r="S200" s="107">
        <v>8</v>
      </c>
      <c r="T200" s="107">
        <v>0</v>
      </c>
      <c r="U200" s="107">
        <v>8</v>
      </c>
      <c r="V200" s="107">
        <v>0</v>
      </c>
      <c r="W200" s="108"/>
      <c r="X200" s="108"/>
      <c r="Y200" s="109"/>
      <c r="Z200" s="110">
        <v>0</v>
      </c>
      <c r="AA200" s="107"/>
      <c r="AB200" s="111"/>
      <c r="AC200" s="112"/>
      <c r="AD200" s="113">
        <v>0</v>
      </c>
      <c r="AE200" s="134">
        <v>0</v>
      </c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 t="str">
        <f>"  " &amp; TEXT(AE200,"#0.00%") &amp; " " &amp; "출하 선적" &amp; " " &amp; IF(P200="","",TEXT(P200,"M/D-")) &amp; IF(Q200="","",TEXT(Q200,"M/D")) &amp; " "</f>
        <v xml:space="preserve">  0.00% 출하 선적 1/31-2/7 </v>
      </c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5"/>
      <c r="CZ200" s="115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6"/>
    </row>
    <row r="201" spans="1:138" ht="12" customHeight="1" outlineLevel="2" x14ac:dyDescent="0.4">
      <c r="A201" s="101"/>
      <c r="B201" s="101"/>
      <c r="C201" s="101">
        <v>3</v>
      </c>
      <c r="D201" s="102" t="s">
        <v>568</v>
      </c>
      <c r="E201" s="103"/>
      <c r="F201" s="103"/>
      <c r="G201" s="103" t="s">
        <v>546</v>
      </c>
      <c r="H201" s="103"/>
      <c r="I201" s="103"/>
      <c r="J201" s="124"/>
      <c r="K201" s="124"/>
      <c r="L201" s="124"/>
      <c r="M201" s="124"/>
      <c r="N201" s="124"/>
      <c r="O201" s="104"/>
      <c r="P201" s="135">
        <v>44965</v>
      </c>
      <c r="Q201" s="135">
        <v>45046</v>
      </c>
      <c r="R201" s="106"/>
      <c r="S201" s="107">
        <v>82</v>
      </c>
      <c r="T201" s="107">
        <v>0</v>
      </c>
      <c r="U201" s="107">
        <v>82</v>
      </c>
      <c r="V201" s="107">
        <v>0</v>
      </c>
      <c r="W201" s="108"/>
      <c r="X201" s="108"/>
      <c r="Y201" s="109"/>
      <c r="Z201" s="110">
        <v>0</v>
      </c>
      <c r="AA201" s="107"/>
      <c r="AB201" s="111"/>
      <c r="AC201" s="112"/>
      <c r="AD201" s="113">
        <v>0</v>
      </c>
      <c r="AE201" s="134">
        <v>0</v>
      </c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 t="str">
        <f>"   " &amp; TEXT(AE201,"#0.00%") &amp; " "</f>
        <v xml:space="preserve">   0.00% </v>
      </c>
      <c r="CM201" s="115"/>
      <c r="CN201" s="115"/>
      <c r="CO201" s="115"/>
      <c r="CP201" s="115"/>
      <c r="CQ201" s="115"/>
      <c r="CR201" s="115"/>
      <c r="CS201" s="115"/>
      <c r="CT201" s="115"/>
      <c r="CU201" s="115"/>
      <c r="CV201" s="115"/>
      <c r="CW201" s="115"/>
      <c r="CX201" s="115" t="str">
        <f>" " &amp; "화물이동" &amp; " " &amp; IF(P201="","",TEXT(P201,"M/D-")) &amp; IF(Q201="","",TEXT(Q201,"M/D")) &amp; " "</f>
        <v xml:space="preserve"> 화물이동 2/8-4/30 </v>
      </c>
      <c r="CY201" s="115"/>
      <c r="CZ201" s="115"/>
      <c r="DA201" s="115"/>
      <c r="DB201" s="115"/>
      <c r="DC201" s="115"/>
      <c r="DD201" s="115"/>
      <c r="DE201" s="115"/>
      <c r="DF201" s="115"/>
      <c r="DG201" s="115"/>
      <c r="DH201" s="115"/>
      <c r="DI201" s="115"/>
      <c r="DJ201" s="115"/>
      <c r="DK201" s="115"/>
      <c r="DL201" s="115"/>
      <c r="DM201" s="115"/>
      <c r="DN201" s="115"/>
      <c r="DO201" s="115"/>
      <c r="DP201" s="115"/>
      <c r="DQ201" s="115"/>
      <c r="DR201" s="115"/>
      <c r="DS201" s="115"/>
      <c r="DT201" s="115"/>
      <c r="DU201" s="115"/>
      <c r="DV201" s="115"/>
      <c r="DW201" s="115"/>
      <c r="DX201" s="115"/>
      <c r="DY201" s="115"/>
      <c r="DZ201" s="115"/>
      <c r="EA201" s="115"/>
      <c r="EB201" s="115"/>
      <c r="EC201" s="115"/>
      <c r="ED201" s="115"/>
      <c r="EE201" s="115"/>
      <c r="EF201" s="115"/>
      <c r="EG201" s="115"/>
      <c r="EH201" s="116"/>
    </row>
    <row r="202" spans="1:138" ht="12" customHeight="1" outlineLevel="1" x14ac:dyDescent="0.4">
      <c r="A202" s="101"/>
      <c r="B202" s="101" t="s">
        <v>325</v>
      </c>
      <c r="C202" s="101">
        <v>2</v>
      </c>
      <c r="D202" s="102" t="s">
        <v>569</v>
      </c>
      <c r="E202" s="103"/>
      <c r="F202" s="103" t="s">
        <v>404</v>
      </c>
      <c r="G202" s="103"/>
      <c r="H202" s="103"/>
      <c r="I202" s="103"/>
      <c r="J202" s="103"/>
      <c r="K202" s="103"/>
      <c r="L202" s="103"/>
      <c r="M202" s="103"/>
      <c r="N202" s="103"/>
      <c r="O202" s="104" t="s">
        <v>330</v>
      </c>
      <c r="P202" s="108">
        <v>44907</v>
      </c>
      <c r="Q202" s="108">
        <v>45012</v>
      </c>
      <c r="R202" s="106"/>
      <c r="S202" s="107">
        <v>120</v>
      </c>
      <c r="T202" s="107">
        <v>0</v>
      </c>
      <c r="U202" s="107">
        <v>106</v>
      </c>
      <c r="V202" s="107">
        <v>0</v>
      </c>
      <c r="W202" s="108"/>
      <c r="X202" s="108"/>
      <c r="Y202" s="109">
        <v>0</v>
      </c>
      <c r="Z202" s="110">
        <v>0</v>
      </c>
      <c r="AA202" s="107"/>
      <c r="AB202" s="111"/>
      <c r="AC202" s="112"/>
      <c r="AD202" s="113">
        <v>0</v>
      </c>
      <c r="AE202" s="137">
        <v>0</v>
      </c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  <c r="CB202" s="115"/>
      <c r="CC202" s="115"/>
      <c r="CD202" s="115" t="str">
        <f>" " &amp; TEXT(AE202,"#0.00%") &amp; " "</f>
        <v xml:space="preserve"> 0.00% </v>
      </c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5"/>
      <c r="CR202" s="115"/>
      <c r="CS202" s="115" t="str">
        <f>"  " &amp; "완제품 창고" &amp; " " &amp; IF(P202="","",TEXT(P202,"M/D-")) &amp; IF(Q202="","",TEXT(Q202,"M/D")) &amp; " "</f>
        <v xml:space="preserve">  완제품 창고 12/12-3/27 </v>
      </c>
      <c r="CT202" s="115"/>
      <c r="CU202" s="115"/>
      <c r="CV202" s="115"/>
      <c r="CW202" s="115"/>
      <c r="CX202" s="115"/>
      <c r="CY202" s="115"/>
      <c r="CZ202" s="115"/>
      <c r="DA202" s="115"/>
      <c r="DB202" s="115"/>
      <c r="DC202" s="115"/>
      <c r="DD202" s="115"/>
      <c r="DE202" s="115"/>
      <c r="DF202" s="115"/>
      <c r="DG202" s="115"/>
      <c r="DH202" s="115"/>
      <c r="DI202" s="115"/>
      <c r="DJ202" s="115"/>
      <c r="DK202" s="115"/>
      <c r="DL202" s="115"/>
      <c r="DM202" s="115"/>
      <c r="DN202" s="115"/>
      <c r="DO202" s="115"/>
      <c r="DP202" s="115"/>
      <c r="DQ202" s="115"/>
      <c r="DR202" s="115"/>
      <c r="DS202" s="115"/>
      <c r="DT202" s="115"/>
      <c r="DU202" s="115"/>
      <c r="DV202" s="115"/>
      <c r="DW202" s="115"/>
      <c r="DX202" s="115"/>
      <c r="DY202" s="115"/>
      <c r="DZ202" s="115"/>
      <c r="EA202" s="115"/>
      <c r="EB202" s="115"/>
      <c r="EC202" s="115"/>
      <c r="ED202" s="115"/>
      <c r="EE202" s="115"/>
      <c r="EF202" s="115"/>
      <c r="EG202" s="115"/>
      <c r="EH202" s="116"/>
    </row>
    <row r="203" spans="1:138" ht="12" customHeight="1" outlineLevel="2" x14ac:dyDescent="0.4">
      <c r="A203" s="101"/>
      <c r="B203" s="101"/>
      <c r="C203" s="101">
        <v>3</v>
      </c>
      <c r="D203" s="102" t="s">
        <v>570</v>
      </c>
      <c r="E203" s="103"/>
      <c r="F203" s="103"/>
      <c r="G203" s="103" t="s">
        <v>544</v>
      </c>
      <c r="H203" s="103"/>
      <c r="I203" s="103"/>
      <c r="J203" s="103"/>
      <c r="K203" s="103"/>
      <c r="L203" s="103"/>
      <c r="M203" s="103"/>
      <c r="N203" s="103"/>
      <c r="O203" s="104"/>
      <c r="P203" s="108">
        <v>44907</v>
      </c>
      <c r="Q203" s="108">
        <v>44921</v>
      </c>
      <c r="R203" s="106"/>
      <c r="S203" s="107">
        <v>15</v>
      </c>
      <c r="T203" s="107">
        <v>0</v>
      </c>
      <c r="U203" s="107">
        <v>15</v>
      </c>
      <c r="V203" s="107">
        <v>0</v>
      </c>
      <c r="W203" s="108"/>
      <c r="X203" s="108"/>
      <c r="Y203" s="109"/>
      <c r="Z203" s="110">
        <v>0</v>
      </c>
      <c r="AA203" s="107"/>
      <c r="AB203" s="111"/>
      <c r="AC203" s="112"/>
      <c r="AD203" s="113">
        <v>0</v>
      </c>
      <c r="AE203" s="134">
        <v>0</v>
      </c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  <c r="CB203" s="115"/>
      <c r="CC203" s="115"/>
      <c r="CD203" s="115" t="str">
        <f>" " &amp; TEXT(AE203,"#0.00%") &amp; " " &amp; "출하 선적" &amp; " " &amp; IF(P203="","",TEXT(P203,"M/D-")) &amp; IF(Q203="","",TEXT(Q203,"M/D")) &amp; " "</f>
        <v xml:space="preserve"> 0.00% 출하 선적 12/12-12/26 </v>
      </c>
      <c r="CE203" s="115"/>
      <c r="CF203" s="115"/>
      <c r="CG203" s="115"/>
      <c r="CH203" s="115"/>
      <c r="CI203" s="115"/>
      <c r="CJ203" s="115"/>
      <c r="CK203" s="115"/>
      <c r="CL203" s="115"/>
      <c r="CM203" s="115"/>
      <c r="CN203" s="115"/>
      <c r="CO203" s="115"/>
      <c r="CP203" s="115"/>
      <c r="CQ203" s="115"/>
      <c r="CR203" s="115"/>
      <c r="CS203" s="115"/>
      <c r="CT203" s="115"/>
      <c r="CU203" s="115"/>
      <c r="CV203" s="115"/>
      <c r="CW203" s="115"/>
      <c r="CX203" s="115"/>
      <c r="CY203" s="115"/>
      <c r="CZ203" s="115"/>
      <c r="DA203" s="115"/>
      <c r="DB203" s="115"/>
      <c r="DC203" s="115"/>
      <c r="DD203" s="115"/>
      <c r="DE203" s="115"/>
      <c r="DF203" s="115"/>
      <c r="DG203" s="115"/>
      <c r="DH203" s="115"/>
      <c r="DI203" s="115"/>
      <c r="DJ203" s="115"/>
      <c r="DK203" s="115"/>
      <c r="DL203" s="115"/>
      <c r="DM203" s="115"/>
      <c r="DN203" s="115"/>
      <c r="DO203" s="115"/>
      <c r="DP203" s="115"/>
      <c r="DQ203" s="115"/>
      <c r="DR203" s="115"/>
      <c r="DS203" s="115"/>
      <c r="DT203" s="115"/>
      <c r="DU203" s="115"/>
      <c r="DV203" s="115"/>
      <c r="DW203" s="115"/>
      <c r="DX203" s="115"/>
      <c r="DY203" s="115"/>
      <c r="DZ203" s="115"/>
      <c r="EA203" s="115"/>
      <c r="EB203" s="115"/>
      <c r="EC203" s="115"/>
      <c r="ED203" s="115"/>
      <c r="EE203" s="115"/>
      <c r="EF203" s="115"/>
      <c r="EG203" s="115"/>
      <c r="EH203" s="116"/>
    </row>
    <row r="204" spans="1:138" ht="12" customHeight="1" outlineLevel="2" x14ac:dyDescent="0.4">
      <c r="A204" s="101"/>
      <c r="B204" s="101"/>
      <c r="C204" s="101">
        <v>3</v>
      </c>
      <c r="D204" s="102" t="s">
        <v>571</v>
      </c>
      <c r="E204" s="103"/>
      <c r="F204" s="103"/>
      <c r="G204" s="103" t="s">
        <v>546</v>
      </c>
      <c r="H204" s="103"/>
      <c r="I204" s="103"/>
      <c r="J204" s="103"/>
      <c r="K204" s="103"/>
      <c r="L204" s="103"/>
      <c r="M204" s="103"/>
      <c r="N204" s="103"/>
      <c r="O204" s="104"/>
      <c r="P204" s="108">
        <v>44908</v>
      </c>
      <c r="Q204" s="108">
        <v>45012</v>
      </c>
      <c r="R204" s="106"/>
      <c r="S204" s="107">
        <v>105</v>
      </c>
      <c r="T204" s="107">
        <v>0</v>
      </c>
      <c r="U204" s="107">
        <v>105</v>
      </c>
      <c r="V204" s="107">
        <v>0</v>
      </c>
      <c r="W204" s="108"/>
      <c r="X204" s="108"/>
      <c r="Y204" s="109"/>
      <c r="Z204" s="110">
        <v>0</v>
      </c>
      <c r="AA204" s="107"/>
      <c r="AB204" s="111"/>
      <c r="AC204" s="112"/>
      <c r="AD204" s="113">
        <v>0</v>
      </c>
      <c r="AE204" s="134">
        <v>0</v>
      </c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 t="str">
        <f>"  " &amp; TEXT(AE204,"#0.00%") &amp; " "</f>
        <v xml:space="preserve">  0.00% </v>
      </c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5" t="str">
        <f>"  " &amp; "화물이동" &amp; " " &amp; IF(P204="","",TEXT(P204,"M/D-")) &amp; IF(Q204="","",TEXT(Q204,"M/D")) &amp; " "</f>
        <v xml:space="preserve">  화물이동 12/13-3/27 </v>
      </c>
      <c r="CT204" s="115"/>
      <c r="CU204" s="115"/>
      <c r="CV204" s="115"/>
      <c r="CW204" s="115"/>
      <c r="CX204" s="115"/>
      <c r="CY204" s="115"/>
      <c r="CZ204" s="115"/>
      <c r="DA204" s="115"/>
      <c r="DB204" s="115"/>
      <c r="DC204" s="115"/>
      <c r="DD204" s="115"/>
      <c r="DE204" s="115"/>
      <c r="DF204" s="115"/>
      <c r="DG204" s="115"/>
      <c r="DH204" s="115"/>
      <c r="DI204" s="115"/>
      <c r="DJ204" s="115"/>
      <c r="DK204" s="115"/>
      <c r="DL204" s="115"/>
      <c r="DM204" s="115"/>
      <c r="DN204" s="115"/>
      <c r="DO204" s="115"/>
      <c r="DP204" s="115"/>
      <c r="DQ204" s="115"/>
      <c r="DR204" s="115"/>
      <c r="DS204" s="115"/>
      <c r="DT204" s="115"/>
      <c r="DU204" s="115"/>
      <c r="DV204" s="115"/>
      <c r="DW204" s="115"/>
      <c r="DX204" s="115"/>
      <c r="DY204" s="115"/>
      <c r="DZ204" s="115"/>
      <c r="EA204" s="115"/>
      <c r="EB204" s="115"/>
      <c r="EC204" s="115"/>
      <c r="ED204" s="115"/>
      <c r="EE204" s="115"/>
      <c r="EF204" s="115"/>
      <c r="EG204" s="115"/>
      <c r="EH204" s="116"/>
    </row>
    <row r="205" spans="1:138" ht="12" customHeight="1" outlineLevel="1" x14ac:dyDescent="0.4">
      <c r="A205" s="101"/>
      <c r="B205" s="101" t="s">
        <v>325</v>
      </c>
      <c r="C205" s="101">
        <v>2</v>
      </c>
      <c r="D205" s="102" t="s">
        <v>572</v>
      </c>
      <c r="E205" s="103"/>
      <c r="F205" s="123" t="s">
        <v>412</v>
      </c>
      <c r="G205" s="103"/>
      <c r="H205" s="103"/>
      <c r="I205" s="103"/>
      <c r="J205" s="103"/>
      <c r="K205" s="103"/>
      <c r="L205" s="103"/>
      <c r="M205" s="103"/>
      <c r="N205" s="103"/>
      <c r="O205" s="104" t="s">
        <v>345</v>
      </c>
      <c r="P205" s="108">
        <v>44866</v>
      </c>
      <c r="Q205" s="108">
        <v>44957</v>
      </c>
      <c r="R205" s="106"/>
      <c r="S205" s="107">
        <v>146</v>
      </c>
      <c r="T205" s="107">
        <v>0</v>
      </c>
      <c r="U205" s="107">
        <v>92</v>
      </c>
      <c r="V205" s="107">
        <v>0</v>
      </c>
      <c r="W205" s="108"/>
      <c r="X205" s="108"/>
      <c r="Y205" s="109">
        <v>0</v>
      </c>
      <c r="Z205" s="110">
        <v>0</v>
      </c>
      <c r="AA205" s="107"/>
      <c r="AB205" s="111"/>
      <c r="AC205" s="112"/>
      <c r="AD205" s="113">
        <v>0</v>
      </c>
      <c r="AE205" s="137">
        <v>0</v>
      </c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 t="str">
        <f>"  " &amp; TEXT(AE205,"#0.00%") &amp; " "</f>
        <v xml:space="preserve">  0.00% </v>
      </c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 t="str">
        <f>"   " &amp; "완제품 창고 연결물류" &amp; " " &amp; IF(P205="","",TEXT(P205,"M/D-")) &amp; IF(Q205="","",TEXT(Q205,"M/D")) &amp; " "</f>
        <v xml:space="preserve">   완제품 창고 연결물류 11/1-1/31 </v>
      </c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6"/>
    </row>
    <row r="206" spans="1:138" ht="12" customHeight="1" outlineLevel="2" x14ac:dyDescent="0.4">
      <c r="A206" s="101"/>
      <c r="B206" s="101"/>
      <c r="C206" s="101">
        <v>3</v>
      </c>
      <c r="D206" s="102" t="s">
        <v>573</v>
      </c>
      <c r="E206" s="103"/>
      <c r="F206" s="103"/>
      <c r="G206" s="103" t="s">
        <v>544</v>
      </c>
      <c r="H206" s="103"/>
      <c r="I206" s="103"/>
      <c r="J206" s="103"/>
      <c r="K206" s="103"/>
      <c r="L206" s="103"/>
      <c r="M206" s="103"/>
      <c r="N206" s="103"/>
      <c r="O206" s="104"/>
      <c r="P206" s="108">
        <v>44866</v>
      </c>
      <c r="Q206" s="108">
        <v>44920</v>
      </c>
      <c r="R206" s="106"/>
      <c r="S206" s="107">
        <v>55</v>
      </c>
      <c r="T206" s="107">
        <v>0</v>
      </c>
      <c r="U206" s="107">
        <v>55</v>
      </c>
      <c r="V206" s="107">
        <v>0</v>
      </c>
      <c r="W206" s="108"/>
      <c r="X206" s="108"/>
      <c r="Y206" s="109"/>
      <c r="Z206" s="110">
        <v>0</v>
      </c>
      <c r="AA206" s="107"/>
      <c r="AB206" s="111"/>
      <c r="AC206" s="112"/>
      <c r="AD206" s="113">
        <v>0</v>
      </c>
      <c r="AE206" s="134">
        <v>0</v>
      </c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 t="str">
        <f>"  " &amp; TEXT(AE206,"#0.00%") &amp; " "</f>
        <v xml:space="preserve">  0.00% </v>
      </c>
      <c r="BY206" s="115"/>
      <c r="BZ206" s="115"/>
      <c r="CA206" s="115"/>
      <c r="CB206" s="115"/>
      <c r="CC206" s="115"/>
      <c r="CD206" s="115"/>
      <c r="CE206" s="115"/>
      <c r="CF206" s="115" t="str">
        <f>" " &amp; "출하 선적" &amp; " " &amp; IF(P206="","",TEXT(P206,"M/D-")) &amp; IF(Q206="","",TEXT(Q206,"M/D")) &amp; " "</f>
        <v xml:space="preserve"> 출하 선적 11/1-12/25 </v>
      </c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5"/>
      <c r="CZ206" s="115"/>
      <c r="DA206" s="115"/>
      <c r="DB206" s="115"/>
      <c r="DC206" s="115"/>
      <c r="DD206" s="115"/>
      <c r="DE206" s="115"/>
      <c r="DF206" s="115"/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  <c r="DR206" s="115"/>
      <c r="DS206" s="115"/>
      <c r="DT206" s="115"/>
      <c r="DU206" s="115"/>
      <c r="DV206" s="115"/>
      <c r="DW206" s="115"/>
      <c r="DX206" s="115"/>
      <c r="DY206" s="115"/>
      <c r="DZ206" s="115"/>
      <c r="EA206" s="115"/>
      <c r="EB206" s="115"/>
      <c r="EC206" s="115"/>
      <c r="ED206" s="115"/>
      <c r="EE206" s="115"/>
      <c r="EF206" s="115"/>
      <c r="EG206" s="115"/>
      <c r="EH206" s="116"/>
    </row>
    <row r="207" spans="1:138" ht="12" customHeight="1" outlineLevel="2" x14ac:dyDescent="0.4">
      <c r="A207" s="101"/>
      <c r="B207" s="101"/>
      <c r="C207" s="101">
        <v>3</v>
      </c>
      <c r="D207" s="102" t="s">
        <v>574</v>
      </c>
      <c r="E207" s="103"/>
      <c r="F207" s="103"/>
      <c r="G207" s="103" t="s">
        <v>546</v>
      </c>
      <c r="H207" s="103"/>
      <c r="I207" s="103"/>
      <c r="J207" s="103"/>
      <c r="K207" s="103"/>
      <c r="L207" s="103"/>
      <c r="M207" s="103"/>
      <c r="N207" s="103"/>
      <c r="O207" s="104"/>
      <c r="P207" s="108">
        <v>44867</v>
      </c>
      <c r="Q207" s="108">
        <v>44957</v>
      </c>
      <c r="R207" s="106"/>
      <c r="S207" s="107">
        <v>91</v>
      </c>
      <c r="T207" s="107">
        <v>0</v>
      </c>
      <c r="U207" s="107">
        <v>91</v>
      </c>
      <c r="V207" s="107">
        <v>0</v>
      </c>
      <c r="W207" s="108"/>
      <c r="X207" s="108"/>
      <c r="Y207" s="109"/>
      <c r="Z207" s="110">
        <v>0</v>
      </c>
      <c r="AA207" s="107"/>
      <c r="AB207" s="111"/>
      <c r="AC207" s="112"/>
      <c r="AD207" s="113">
        <v>0</v>
      </c>
      <c r="AE207" s="134">
        <v>0</v>
      </c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/>
      <c r="BT207" s="115"/>
      <c r="BU207" s="115"/>
      <c r="BV207" s="115"/>
      <c r="BW207" s="115"/>
      <c r="BX207" s="115" t="str">
        <f>"   " &amp; TEXT(AE207,"#0.00%") &amp; " "</f>
        <v xml:space="preserve">   0.00% </v>
      </c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 t="str">
        <f>"   " &amp; "화물이동" &amp; " " &amp; IF(P207="","",TEXT(P207,"M/D-")) &amp; IF(Q207="","",TEXT(Q207,"M/D")) &amp; " "</f>
        <v xml:space="preserve">   화물이동 11/2-1/31 </v>
      </c>
      <c r="CL207" s="115"/>
      <c r="CM207" s="115"/>
      <c r="CN207" s="115"/>
      <c r="CO207" s="115"/>
      <c r="CP207" s="115"/>
      <c r="CQ207" s="115"/>
      <c r="CR207" s="115"/>
      <c r="CS207" s="115"/>
      <c r="CT207" s="115"/>
      <c r="CU207" s="115"/>
      <c r="CV207" s="115"/>
      <c r="CW207" s="115"/>
      <c r="CX207" s="115"/>
      <c r="CY207" s="115"/>
      <c r="CZ207" s="115"/>
      <c r="DA207" s="115"/>
      <c r="DB207" s="115"/>
      <c r="DC207" s="115"/>
      <c r="DD207" s="115"/>
      <c r="DE207" s="115"/>
      <c r="DF207" s="115"/>
      <c r="DG207" s="115"/>
      <c r="DH207" s="115"/>
      <c r="DI207" s="115"/>
      <c r="DJ207" s="115"/>
      <c r="DK207" s="115"/>
      <c r="DL207" s="115"/>
      <c r="DM207" s="115"/>
      <c r="DN207" s="115"/>
      <c r="DO207" s="115"/>
      <c r="DP207" s="115"/>
      <c r="DQ207" s="115"/>
      <c r="DR207" s="115"/>
      <c r="DS207" s="115"/>
      <c r="DT207" s="115"/>
      <c r="DU207" s="115"/>
      <c r="DV207" s="115"/>
      <c r="DW207" s="115"/>
      <c r="DX207" s="115"/>
      <c r="DY207" s="115"/>
      <c r="DZ207" s="115"/>
      <c r="EA207" s="115"/>
      <c r="EB207" s="115"/>
      <c r="EC207" s="115"/>
      <c r="ED207" s="115"/>
      <c r="EE207" s="115"/>
      <c r="EF207" s="115"/>
      <c r="EG207" s="115"/>
      <c r="EH207" s="116"/>
    </row>
    <row r="208" spans="1:138" ht="12" customHeight="1" x14ac:dyDescent="0.4">
      <c r="A208" s="101"/>
      <c r="B208" s="101" t="s">
        <v>325</v>
      </c>
      <c r="C208" s="101">
        <v>1</v>
      </c>
      <c r="D208" s="102" t="s">
        <v>575</v>
      </c>
      <c r="E208" s="103" t="s">
        <v>576</v>
      </c>
      <c r="F208" s="103"/>
      <c r="G208" s="103"/>
      <c r="H208" s="103"/>
      <c r="I208" s="103"/>
      <c r="J208" s="103"/>
      <c r="K208" s="103"/>
      <c r="L208" s="103"/>
      <c r="M208" s="103"/>
      <c r="N208" s="103"/>
      <c r="O208" s="104"/>
      <c r="P208" s="108">
        <v>44915</v>
      </c>
      <c r="Q208" s="108">
        <v>45291</v>
      </c>
      <c r="R208" s="106"/>
      <c r="S208" s="107">
        <v>497</v>
      </c>
      <c r="T208" s="107">
        <v>0</v>
      </c>
      <c r="U208" s="107">
        <v>377</v>
      </c>
      <c r="V208" s="107">
        <v>0</v>
      </c>
      <c r="W208" s="108"/>
      <c r="X208" s="108"/>
      <c r="Y208" s="109">
        <v>0</v>
      </c>
      <c r="Z208" s="110">
        <v>0</v>
      </c>
      <c r="AA208" s="107"/>
      <c r="AB208" s="111"/>
      <c r="AC208" s="112"/>
      <c r="AD208" s="113">
        <v>0</v>
      </c>
      <c r="AE208" s="137">
        <v>0</v>
      </c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 t="str">
        <f>"  " &amp; TEXT(AE208,"#0.00%") &amp; " "</f>
        <v xml:space="preserve">  0.00% </v>
      </c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5"/>
      <c r="CR208" s="115"/>
      <c r="CS208" s="115"/>
      <c r="CT208" s="115"/>
      <c r="CU208" s="115"/>
      <c r="CV208" s="115"/>
      <c r="CW208" s="115"/>
      <c r="CX208" s="115"/>
      <c r="CY208" s="115"/>
      <c r="CZ208" s="115"/>
      <c r="DA208" s="115"/>
      <c r="DB208" s="115"/>
      <c r="DC208" s="115"/>
      <c r="DD208" s="115"/>
      <c r="DE208" s="115"/>
      <c r="DF208" s="115"/>
      <c r="DG208" s="115"/>
      <c r="DH208" s="115"/>
      <c r="DI208" s="115"/>
      <c r="DJ208" s="115"/>
      <c r="DK208" s="115"/>
      <c r="DL208" s="115"/>
      <c r="DM208" s="115"/>
      <c r="DN208" s="115"/>
      <c r="DO208" s="115"/>
      <c r="DP208" s="115"/>
      <c r="DQ208" s="115"/>
      <c r="DR208" s="115"/>
      <c r="DS208" s="115"/>
      <c r="DT208" s="115"/>
      <c r="DU208" s="115"/>
      <c r="DV208" s="115"/>
      <c r="DW208" s="115"/>
      <c r="DX208" s="115"/>
      <c r="DY208" s="115"/>
      <c r="DZ208" s="115"/>
      <c r="EA208" s="115"/>
      <c r="EB208" s="115"/>
      <c r="EC208" s="115"/>
      <c r="ED208" s="115"/>
      <c r="EE208" s="115"/>
      <c r="EF208" s="115"/>
      <c r="EG208" s="115" t="str">
        <f>" " &amp; "현장 가설" &amp; " " &amp; IF(P208="","",TEXT(P208,"M/D-")) &amp; IF(Q208="","",TEXT(Q208,"M/D")) &amp; " "</f>
        <v xml:space="preserve"> 현장 가설 12/20-12/31 </v>
      </c>
      <c r="EH208" s="116"/>
    </row>
    <row r="209" spans="1:138" ht="12" customHeight="1" outlineLevel="1" x14ac:dyDescent="0.4">
      <c r="A209" s="101"/>
      <c r="B209" s="101"/>
      <c r="C209" s="101">
        <v>2</v>
      </c>
      <c r="D209" s="102" t="s">
        <v>577</v>
      </c>
      <c r="E209" s="103"/>
      <c r="F209" s="103" t="s">
        <v>578</v>
      </c>
      <c r="G209" s="103"/>
      <c r="H209" s="103"/>
      <c r="I209" s="103"/>
      <c r="J209" s="103"/>
      <c r="K209" s="103"/>
      <c r="L209" s="103"/>
      <c r="M209" s="103"/>
      <c r="N209" s="103"/>
      <c r="O209" s="104"/>
      <c r="P209" s="108">
        <v>44915</v>
      </c>
      <c r="Q209" s="108">
        <v>45291</v>
      </c>
      <c r="R209" s="106"/>
      <c r="S209" s="107">
        <v>377</v>
      </c>
      <c r="T209" s="107">
        <v>0</v>
      </c>
      <c r="U209" s="107">
        <v>377</v>
      </c>
      <c r="V209" s="107">
        <v>0</v>
      </c>
      <c r="W209" s="108"/>
      <c r="X209" s="108"/>
      <c r="Y209" s="109"/>
      <c r="Z209" s="110">
        <v>0</v>
      </c>
      <c r="AA209" s="107"/>
      <c r="AB209" s="111"/>
      <c r="AC209" s="112"/>
      <c r="AD209" s="113">
        <v>0</v>
      </c>
      <c r="AE209" s="134">
        <v>0</v>
      </c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 t="str">
        <f>"  " &amp; TEXT(AE209,"#0.00%") &amp; " "</f>
        <v xml:space="preserve">  0.00% </v>
      </c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5"/>
      <c r="CR209" s="115"/>
      <c r="CS209" s="115"/>
      <c r="CT209" s="115"/>
      <c r="CU209" s="115"/>
      <c r="CV209" s="115"/>
      <c r="CW209" s="115"/>
      <c r="CX209" s="115"/>
      <c r="CY209" s="115"/>
      <c r="CZ209" s="115"/>
      <c r="DA209" s="115"/>
      <c r="DB209" s="115"/>
      <c r="DC209" s="115"/>
      <c r="DD209" s="115"/>
      <c r="DE209" s="115"/>
      <c r="DF209" s="115"/>
      <c r="DG209" s="115"/>
      <c r="DH209" s="115"/>
      <c r="DI209" s="115"/>
      <c r="DJ209" s="115"/>
      <c r="DK209" s="115"/>
      <c r="DL209" s="115"/>
      <c r="DM209" s="115"/>
      <c r="DN209" s="115"/>
      <c r="DO209" s="115"/>
      <c r="DP209" s="115"/>
      <c r="DQ209" s="115"/>
      <c r="DR209" s="115"/>
      <c r="DS209" s="115"/>
      <c r="DT209" s="115"/>
      <c r="DU209" s="115"/>
      <c r="DV209" s="115"/>
      <c r="DW209" s="115"/>
      <c r="DX209" s="115"/>
      <c r="DY209" s="115"/>
      <c r="DZ209" s="115"/>
      <c r="EA209" s="115"/>
      <c r="EB209" s="115"/>
      <c r="EC209" s="115"/>
      <c r="ED209" s="115"/>
      <c r="EE209" s="115"/>
      <c r="EF209" s="115"/>
      <c r="EG209" s="115" t="str">
        <f>" " &amp; "현장 임시 사무실 설치 및 사용" &amp; " " &amp; IF(P209="","",TEXT(P209,"M/D-")) &amp; IF(Q209="","",TEXT(Q209,"M/D")) &amp; " "</f>
        <v xml:space="preserve"> 현장 임시 사무실 설치 및 사용 12/20-12/31 </v>
      </c>
      <c r="EH209" s="116"/>
    </row>
    <row r="210" spans="1:138" ht="12" customHeight="1" outlineLevel="1" x14ac:dyDescent="0.4">
      <c r="A210" s="101"/>
      <c r="B210" s="101"/>
      <c r="C210" s="101">
        <v>2</v>
      </c>
      <c r="D210" s="102" t="s">
        <v>579</v>
      </c>
      <c r="E210" s="103"/>
      <c r="F210" s="103" t="s">
        <v>580</v>
      </c>
      <c r="G210" s="103"/>
      <c r="H210" s="103"/>
      <c r="I210" s="103"/>
      <c r="J210" s="103"/>
      <c r="K210" s="103"/>
      <c r="L210" s="103"/>
      <c r="M210" s="103"/>
      <c r="N210" s="103"/>
      <c r="O210" s="104"/>
      <c r="P210" s="108">
        <v>44927</v>
      </c>
      <c r="Q210" s="108">
        <v>45046</v>
      </c>
      <c r="R210" s="106"/>
      <c r="S210" s="107">
        <v>120</v>
      </c>
      <c r="T210" s="107">
        <v>0</v>
      </c>
      <c r="U210" s="107">
        <v>120</v>
      </c>
      <c r="V210" s="107">
        <v>0</v>
      </c>
      <c r="W210" s="108"/>
      <c r="X210" s="108"/>
      <c r="Y210" s="109"/>
      <c r="Z210" s="110">
        <v>0</v>
      </c>
      <c r="AA210" s="107"/>
      <c r="AB210" s="111"/>
      <c r="AC210" s="112"/>
      <c r="AD210" s="113">
        <v>0</v>
      </c>
      <c r="AE210" s="134">
        <v>0</v>
      </c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 t="str">
        <f>"" &amp; TEXT(AE210,"#0.00%") &amp; " "</f>
        <v xml:space="preserve">0.00% </v>
      </c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15"/>
      <c r="CU210" s="115"/>
      <c r="CV210" s="115"/>
      <c r="CW210" s="115"/>
      <c r="CX210" s="115" t="str">
        <f>" " &amp; "야적장 화물 반입" &amp; " " &amp; IF(P210="","",TEXT(P210,"M/D-")) &amp; IF(Q210="","",TEXT(Q210,"M/D")) &amp; " "</f>
        <v xml:space="preserve"> 야적장 화물 반입 1/1-4/30 </v>
      </c>
      <c r="CY210" s="115"/>
      <c r="CZ210" s="115"/>
      <c r="DA210" s="115"/>
      <c r="DB210" s="115"/>
      <c r="DC210" s="115"/>
      <c r="DD210" s="115"/>
      <c r="DE210" s="115"/>
      <c r="DF210" s="115"/>
      <c r="DG210" s="115"/>
      <c r="DH210" s="115"/>
      <c r="DI210" s="115"/>
      <c r="DJ210" s="115"/>
      <c r="DK210" s="115"/>
      <c r="DL210" s="115"/>
      <c r="DM210" s="115"/>
      <c r="DN210" s="115"/>
      <c r="DO210" s="115"/>
      <c r="DP210" s="115"/>
      <c r="DQ210" s="115"/>
      <c r="DR210" s="115"/>
      <c r="DS210" s="115"/>
      <c r="DT210" s="115"/>
      <c r="DU210" s="115"/>
      <c r="DV210" s="115"/>
      <c r="DW210" s="115"/>
      <c r="DX210" s="115"/>
      <c r="DY210" s="115"/>
      <c r="DZ210" s="115"/>
      <c r="EA210" s="115"/>
      <c r="EB210" s="115"/>
      <c r="EC210" s="115"/>
      <c r="ED210" s="115"/>
      <c r="EE210" s="115"/>
      <c r="EF210" s="115"/>
      <c r="EG210" s="115"/>
      <c r="EH210" s="116"/>
    </row>
    <row r="211" spans="1:138" ht="12" customHeight="1" x14ac:dyDescent="0.4">
      <c r="A211" s="101"/>
      <c r="B211" s="101" t="s">
        <v>325</v>
      </c>
      <c r="C211" s="101">
        <v>1</v>
      </c>
      <c r="D211" s="102" t="s">
        <v>581</v>
      </c>
      <c r="E211" s="103" t="s">
        <v>582</v>
      </c>
      <c r="F211" s="103"/>
      <c r="G211" s="103"/>
      <c r="H211" s="120"/>
      <c r="I211" s="103"/>
      <c r="J211" s="103"/>
      <c r="K211" s="103"/>
      <c r="L211" s="103"/>
      <c r="M211" s="103"/>
      <c r="N211" s="103"/>
      <c r="O211" s="104"/>
      <c r="P211" s="108">
        <v>44898</v>
      </c>
      <c r="Q211" s="108">
        <v>45051</v>
      </c>
      <c r="R211" s="106"/>
      <c r="S211" s="107">
        <v>244</v>
      </c>
      <c r="T211" s="107">
        <v>0</v>
      </c>
      <c r="U211" s="107">
        <v>154</v>
      </c>
      <c r="V211" s="107">
        <v>0</v>
      </c>
      <c r="W211" s="108"/>
      <c r="X211" s="108"/>
      <c r="Y211" s="109">
        <v>0</v>
      </c>
      <c r="Z211" s="110">
        <v>0</v>
      </c>
      <c r="AA211" s="107"/>
      <c r="AB211" s="111"/>
      <c r="AC211" s="112"/>
      <c r="AD211" s="113">
        <v>0</v>
      </c>
      <c r="AE211" s="137">
        <v>0</v>
      </c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 t="str">
        <f>"      " &amp; TEXT(AE211,"#0.00%") &amp; " "</f>
        <v xml:space="preserve">      0.00% </v>
      </c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15"/>
      <c r="CU211" s="115"/>
      <c r="CV211" s="115"/>
      <c r="CW211" s="115"/>
      <c r="CX211" s="115" t="str">
        <f>"      " &amp; "하역 및 반입" &amp; " " &amp; IF(P211="","",TEXT(P211,"M/D-")) &amp; IF(Q211="","",TEXT(Q211,"M/D")) &amp; " "</f>
        <v xml:space="preserve">      하역 및 반입 12/3-5/5 </v>
      </c>
      <c r="CY211" s="115"/>
      <c r="CZ211" s="115"/>
      <c r="DA211" s="115"/>
      <c r="DB211" s="115"/>
      <c r="DC211" s="115"/>
      <c r="DD211" s="115"/>
      <c r="DE211" s="115"/>
      <c r="DF211" s="115"/>
      <c r="DG211" s="115"/>
      <c r="DH211" s="115"/>
      <c r="DI211" s="115"/>
      <c r="DJ211" s="115"/>
      <c r="DK211" s="115"/>
      <c r="DL211" s="115"/>
      <c r="DM211" s="115"/>
      <c r="DN211" s="115"/>
      <c r="DO211" s="115"/>
      <c r="DP211" s="115"/>
      <c r="DQ211" s="115"/>
      <c r="DR211" s="115"/>
      <c r="DS211" s="115"/>
      <c r="DT211" s="115"/>
      <c r="DU211" s="115"/>
      <c r="DV211" s="115"/>
      <c r="DW211" s="115"/>
      <c r="DX211" s="115"/>
      <c r="DY211" s="115"/>
      <c r="DZ211" s="115"/>
      <c r="EA211" s="115"/>
      <c r="EB211" s="115"/>
      <c r="EC211" s="115"/>
      <c r="ED211" s="115"/>
      <c r="EE211" s="115"/>
      <c r="EF211" s="115"/>
      <c r="EG211" s="115"/>
      <c r="EH211" s="116"/>
    </row>
    <row r="212" spans="1:138" ht="12" customHeight="1" outlineLevel="1" x14ac:dyDescent="0.4">
      <c r="A212" s="101"/>
      <c r="B212" s="101"/>
      <c r="C212" s="101">
        <v>2</v>
      </c>
      <c r="D212" s="102" t="s">
        <v>583</v>
      </c>
      <c r="E212" s="103"/>
      <c r="F212" s="124" t="s">
        <v>329</v>
      </c>
      <c r="G212" s="103"/>
      <c r="H212" s="120"/>
      <c r="I212" s="103"/>
      <c r="J212" s="103"/>
      <c r="K212" s="103"/>
      <c r="L212" s="103"/>
      <c r="M212" s="103"/>
      <c r="N212" s="103"/>
      <c r="O212" s="104" t="s">
        <v>330</v>
      </c>
      <c r="P212" s="108">
        <v>44972</v>
      </c>
      <c r="Q212" s="108">
        <v>45030</v>
      </c>
      <c r="R212" s="106"/>
      <c r="S212" s="107">
        <v>59</v>
      </c>
      <c r="T212" s="107">
        <v>0</v>
      </c>
      <c r="U212" s="107">
        <v>59</v>
      </c>
      <c r="V212" s="107">
        <v>0</v>
      </c>
      <c r="W212" s="108"/>
      <c r="X212" s="108"/>
      <c r="Y212" s="109"/>
      <c r="Z212" s="110">
        <v>0</v>
      </c>
      <c r="AA212" s="107"/>
      <c r="AB212" s="111"/>
      <c r="AC212" s="112"/>
      <c r="AD212" s="113">
        <v>0</v>
      </c>
      <c r="AE212" s="134">
        <v>0</v>
      </c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 t="str">
        <f>"   " &amp; TEXT(AE212,"#0.00%") &amp; " "</f>
        <v xml:space="preserve">   0.00% </v>
      </c>
      <c r="CN212" s="115"/>
      <c r="CO212" s="115"/>
      <c r="CP212" s="115"/>
      <c r="CQ212" s="115"/>
      <c r="CR212" s="115"/>
      <c r="CS212" s="115"/>
      <c r="CT212" s="115"/>
      <c r="CU212" s="115" t="str">
        <f>"      " &amp; "BUFFER STK" &amp; " " &amp; IF(P212="","",TEXT(P212,"M/D-")) &amp; IF(Q212="","",TEXT(Q212,"M/D")) &amp; " "</f>
        <v xml:space="preserve">      BUFFER STK 2/15-4/14 </v>
      </c>
      <c r="CV212" s="115"/>
      <c r="CW212" s="115"/>
      <c r="CX212" s="115"/>
      <c r="CY212" s="115"/>
      <c r="CZ212" s="115"/>
      <c r="DA212" s="115"/>
      <c r="DB212" s="115"/>
      <c r="DC212" s="115"/>
      <c r="DD212" s="115"/>
      <c r="DE212" s="115"/>
      <c r="DF212" s="115"/>
      <c r="DG212" s="115"/>
      <c r="DH212" s="115"/>
      <c r="DI212" s="115"/>
      <c r="DJ212" s="115"/>
      <c r="DK212" s="115"/>
      <c r="DL212" s="115"/>
      <c r="DM212" s="115"/>
      <c r="DN212" s="115"/>
      <c r="DO212" s="115"/>
      <c r="DP212" s="115"/>
      <c r="DQ212" s="115"/>
      <c r="DR212" s="115"/>
      <c r="DS212" s="115"/>
      <c r="DT212" s="115"/>
      <c r="DU212" s="115"/>
      <c r="DV212" s="115"/>
      <c r="DW212" s="115"/>
      <c r="DX212" s="115"/>
      <c r="DY212" s="115"/>
      <c r="DZ212" s="115"/>
      <c r="EA212" s="115"/>
      <c r="EB212" s="115"/>
      <c r="EC212" s="115"/>
      <c r="ED212" s="115"/>
      <c r="EE212" s="115"/>
      <c r="EF212" s="115"/>
      <c r="EG212" s="115"/>
      <c r="EH212" s="116"/>
    </row>
    <row r="213" spans="1:138" ht="12" customHeight="1" outlineLevel="1" x14ac:dyDescent="0.4">
      <c r="A213" s="101"/>
      <c r="B213" s="101"/>
      <c r="C213" s="101">
        <v>2</v>
      </c>
      <c r="D213" s="102" t="s">
        <v>584</v>
      </c>
      <c r="E213" s="103"/>
      <c r="F213" s="124" t="s">
        <v>344</v>
      </c>
      <c r="G213" s="103"/>
      <c r="H213" s="120"/>
      <c r="I213" s="103"/>
      <c r="J213" s="103"/>
      <c r="K213" s="103"/>
      <c r="L213" s="103"/>
      <c r="M213" s="103"/>
      <c r="N213" s="103"/>
      <c r="O213" s="104" t="s">
        <v>345</v>
      </c>
      <c r="P213" s="108">
        <v>44986</v>
      </c>
      <c r="Q213" s="108">
        <v>44995</v>
      </c>
      <c r="R213" s="106"/>
      <c r="S213" s="107">
        <v>10</v>
      </c>
      <c r="T213" s="107">
        <v>0</v>
      </c>
      <c r="U213" s="107">
        <v>10</v>
      </c>
      <c r="V213" s="107">
        <v>0</v>
      </c>
      <c r="W213" s="108"/>
      <c r="X213" s="108"/>
      <c r="Y213" s="109"/>
      <c r="Z213" s="110">
        <v>0</v>
      </c>
      <c r="AA213" s="107"/>
      <c r="AB213" s="111"/>
      <c r="AC213" s="112"/>
      <c r="AD213" s="113">
        <v>0</v>
      </c>
      <c r="AE213" s="134">
        <v>0</v>
      </c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 t="str">
        <f>"   " &amp; TEXT(AE213,"#0.00%") &amp; " " &amp; "BUFFER 입출고 물류" &amp; " " &amp; IF(P213="","",TEXT(P213,"M/D-")) &amp; IF(Q213="","",TEXT(Q213,"M/D")) &amp; " "</f>
        <v xml:space="preserve">   0.00% BUFFER 입출고 물류 3/1-3/10 </v>
      </c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6"/>
    </row>
    <row r="214" spans="1:138" ht="12" customHeight="1" outlineLevel="1" x14ac:dyDescent="0.4">
      <c r="A214" s="101"/>
      <c r="B214" s="101"/>
      <c r="C214" s="101">
        <v>2</v>
      </c>
      <c r="D214" s="102" t="s">
        <v>585</v>
      </c>
      <c r="E214" s="103"/>
      <c r="F214" s="124" t="s">
        <v>353</v>
      </c>
      <c r="G214" s="103"/>
      <c r="H214" s="120"/>
      <c r="I214" s="103"/>
      <c r="J214" s="103"/>
      <c r="K214" s="103"/>
      <c r="L214" s="103"/>
      <c r="M214" s="103"/>
      <c r="N214" s="103"/>
      <c r="O214" s="104" t="s">
        <v>345</v>
      </c>
      <c r="P214" s="108">
        <v>45000</v>
      </c>
      <c r="Q214" s="108">
        <v>45010</v>
      </c>
      <c r="R214" s="106"/>
      <c r="S214" s="107">
        <v>11</v>
      </c>
      <c r="T214" s="107">
        <v>0</v>
      </c>
      <c r="U214" s="107">
        <v>11</v>
      </c>
      <c r="V214" s="107">
        <v>0</v>
      </c>
      <c r="W214" s="108"/>
      <c r="X214" s="108"/>
      <c r="Y214" s="109"/>
      <c r="Z214" s="110">
        <v>0</v>
      </c>
      <c r="AA214" s="107"/>
      <c r="AB214" s="111"/>
      <c r="AC214" s="112"/>
      <c r="AD214" s="113">
        <v>0</v>
      </c>
      <c r="AE214" s="134">
        <v>0</v>
      </c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 t="str">
        <f>"   " &amp; TEXT(AE214,"#0.00%") &amp; " " &amp; "외관검사기 물류" &amp; " " &amp; IF(P214="","",TEXT(P214,"M/D-")) &amp; IF(Q214="","",TEXT(Q214,"M/D")) &amp; " "</f>
        <v xml:space="preserve">   0.00% 외관검사기 물류 3/15-3/25 </v>
      </c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6"/>
    </row>
    <row r="215" spans="1:138" ht="12" customHeight="1" outlineLevel="1" x14ac:dyDescent="0.4">
      <c r="A215" s="101"/>
      <c r="B215" s="101"/>
      <c r="C215" s="101">
        <v>2</v>
      </c>
      <c r="D215" s="102" t="s">
        <v>586</v>
      </c>
      <c r="E215" s="103"/>
      <c r="F215" s="124" t="s">
        <v>361</v>
      </c>
      <c r="G215" s="103"/>
      <c r="H215" s="120"/>
      <c r="I215" s="103"/>
      <c r="J215" s="103"/>
      <c r="K215" s="103"/>
      <c r="L215" s="103"/>
      <c r="M215" s="103"/>
      <c r="N215" s="103"/>
      <c r="O215" s="104" t="s">
        <v>345</v>
      </c>
      <c r="P215" s="108">
        <v>44957</v>
      </c>
      <c r="Q215" s="108">
        <v>44985</v>
      </c>
      <c r="R215" s="106"/>
      <c r="S215" s="107">
        <v>29</v>
      </c>
      <c r="T215" s="107">
        <v>0</v>
      </c>
      <c r="U215" s="107">
        <v>29</v>
      </c>
      <c r="V215" s="107">
        <v>0</v>
      </c>
      <c r="W215" s="108"/>
      <c r="X215" s="108"/>
      <c r="Y215" s="109"/>
      <c r="Z215" s="110">
        <v>0</v>
      </c>
      <c r="AA215" s="107"/>
      <c r="AB215" s="111"/>
      <c r="AC215" s="112"/>
      <c r="AD215" s="113">
        <v>0</v>
      </c>
      <c r="AE215" s="134">
        <v>0</v>
      </c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 t="str">
        <f>"  " &amp; TEXT(AE215,"#0.00%") &amp; " "</f>
        <v xml:space="preserve">  0.00% </v>
      </c>
      <c r="CL215" s="115"/>
      <c r="CM215" s="115"/>
      <c r="CN215" s="115"/>
      <c r="CO215" s="115" t="str">
        <f>"   " &amp; "OHT" &amp; " " &amp; IF(P215="","",TEXT(P215,"M/D-")) &amp; IF(Q215="","",TEXT(Q215,"M/D")) &amp; " "</f>
        <v xml:space="preserve">   OHT 1/31-2/28 </v>
      </c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6"/>
    </row>
    <row r="216" spans="1:138" ht="12" customHeight="1" outlineLevel="1" x14ac:dyDescent="0.4">
      <c r="A216" s="101"/>
      <c r="B216" s="101"/>
      <c r="C216" s="101">
        <v>2</v>
      </c>
      <c r="D216" s="102" t="s">
        <v>587</v>
      </c>
      <c r="E216" s="103"/>
      <c r="F216" s="124" t="s">
        <v>372</v>
      </c>
      <c r="G216" s="103"/>
      <c r="H216" s="120"/>
      <c r="I216" s="103"/>
      <c r="J216" s="103"/>
      <c r="K216" s="103"/>
      <c r="L216" s="103"/>
      <c r="M216" s="103"/>
      <c r="N216" s="103"/>
      <c r="O216" s="104" t="s">
        <v>345</v>
      </c>
      <c r="P216" s="108">
        <v>45010</v>
      </c>
      <c r="Q216" s="108">
        <v>45021</v>
      </c>
      <c r="R216" s="106"/>
      <c r="S216" s="107">
        <v>12</v>
      </c>
      <c r="T216" s="107">
        <v>0</v>
      </c>
      <c r="U216" s="107">
        <v>12</v>
      </c>
      <c r="V216" s="107">
        <v>0</v>
      </c>
      <c r="W216" s="108"/>
      <c r="X216" s="108"/>
      <c r="Y216" s="109"/>
      <c r="Z216" s="110">
        <v>0</v>
      </c>
      <c r="AA216" s="107"/>
      <c r="AB216" s="111"/>
      <c r="AC216" s="112"/>
      <c r="AD216" s="113">
        <v>0</v>
      </c>
      <c r="AE216" s="134">
        <v>0</v>
      </c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 t="str">
        <f>"      " &amp; TEXT(AE216,"#0.00%") &amp; " " &amp; "CCS 물류" &amp; " " &amp; IF(P216="","",TEXT(P216,"M/D-")) &amp; IF(Q216="","",TEXT(Q216,"M/D")) &amp; " "</f>
        <v xml:space="preserve">      0.00% CCS 물류 3/25-4/5 </v>
      </c>
      <c r="CS216" s="115"/>
      <c r="CT216" s="115"/>
      <c r="CU216" s="115"/>
      <c r="CV216" s="115"/>
      <c r="CW216" s="115"/>
      <c r="CX216" s="115"/>
      <c r="CY216" s="115"/>
      <c r="CZ216" s="115"/>
      <c r="DA216" s="115"/>
      <c r="DB216" s="115"/>
      <c r="DC216" s="115"/>
      <c r="DD216" s="115"/>
      <c r="DE216" s="115"/>
      <c r="DF216" s="115"/>
      <c r="DG216" s="115"/>
      <c r="DH216" s="115"/>
      <c r="DI216" s="115"/>
      <c r="DJ216" s="115"/>
      <c r="DK216" s="115"/>
      <c r="DL216" s="115"/>
      <c r="DM216" s="115"/>
      <c r="DN216" s="115"/>
      <c r="DO216" s="115"/>
      <c r="DP216" s="115"/>
      <c r="DQ216" s="115"/>
      <c r="DR216" s="115"/>
      <c r="DS216" s="115"/>
      <c r="DT216" s="115"/>
      <c r="DU216" s="115"/>
      <c r="DV216" s="115"/>
      <c r="DW216" s="115"/>
      <c r="DX216" s="115"/>
      <c r="DY216" s="115"/>
      <c r="DZ216" s="115"/>
      <c r="EA216" s="115"/>
      <c r="EB216" s="115"/>
      <c r="EC216" s="115"/>
      <c r="ED216" s="115"/>
      <c r="EE216" s="115"/>
      <c r="EF216" s="115"/>
      <c r="EG216" s="115"/>
      <c r="EH216" s="116"/>
    </row>
    <row r="217" spans="1:138" ht="12" customHeight="1" outlineLevel="1" x14ac:dyDescent="0.4">
      <c r="A217" s="101"/>
      <c r="B217" s="101"/>
      <c r="C217" s="101">
        <v>2</v>
      </c>
      <c r="D217" s="102" t="s">
        <v>588</v>
      </c>
      <c r="E217" s="103"/>
      <c r="F217" s="124" t="s">
        <v>380</v>
      </c>
      <c r="G217" s="103"/>
      <c r="H217" s="120"/>
      <c r="I217" s="103"/>
      <c r="J217" s="103"/>
      <c r="K217" s="103"/>
      <c r="L217" s="103"/>
      <c r="M217" s="103"/>
      <c r="N217" s="103"/>
      <c r="O217" s="104" t="s">
        <v>330</v>
      </c>
      <c r="P217" s="108">
        <v>44991</v>
      </c>
      <c r="Q217" s="108">
        <v>45005</v>
      </c>
      <c r="R217" s="106"/>
      <c r="S217" s="107">
        <v>15</v>
      </c>
      <c r="T217" s="107">
        <v>0</v>
      </c>
      <c r="U217" s="107">
        <v>15</v>
      </c>
      <c r="V217" s="107">
        <v>0</v>
      </c>
      <c r="W217" s="108"/>
      <c r="X217" s="108"/>
      <c r="Y217" s="109"/>
      <c r="Z217" s="110">
        <v>0</v>
      </c>
      <c r="AA217" s="107"/>
      <c r="AB217" s="111"/>
      <c r="AC217" s="112"/>
      <c r="AD217" s="113">
        <v>0</v>
      </c>
      <c r="AE217" s="134">
        <v>0</v>
      </c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 t="str">
        <f>" " &amp; TEXT(AE217,"#0.00%") &amp; " " &amp; "OVEN &amp; OVEN STK" &amp; " " &amp; IF(P217="","",TEXT(P217,"M/D-")) &amp; IF(Q217="","",TEXT(Q217,"M/D")) &amp; " "</f>
        <v xml:space="preserve"> 0.00% OVEN &amp; OVEN STK 3/6-3/20 </v>
      </c>
      <c r="CQ217" s="115"/>
      <c r="CR217" s="115"/>
      <c r="CS217" s="115"/>
      <c r="CT217" s="115"/>
      <c r="CU217" s="115"/>
      <c r="CV217" s="115"/>
      <c r="CW217" s="115"/>
      <c r="CX217" s="115"/>
      <c r="CY217" s="115"/>
      <c r="CZ217" s="115"/>
      <c r="DA217" s="115"/>
      <c r="DB217" s="115"/>
      <c r="DC217" s="115"/>
      <c r="DD217" s="115"/>
      <c r="DE217" s="115"/>
      <c r="DF217" s="115"/>
      <c r="DG217" s="115"/>
      <c r="DH217" s="115"/>
      <c r="DI217" s="115"/>
      <c r="DJ217" s="115"/>
      <c r="DK217" s="115"/>
      <c r="DL217" s="115"/>
      <c r="DM217" s="115"/>
      <c r="DN217" s="115"/>
      <c r="DO217" s="115"/>
      <c r="DP217" s="115"/>
      <c r="DQ217" s="115"/>
      <c r="DR217" s="115"/>
      <c r="DS217" s="115"/>
      <c r="DT217" s="115"/>
      <c r="DU217" s="115"/>
      <c r="DV217" s="115"/>
      <c r="DW217" s="115"/>
      <c r="DX217" s="115"/>
      <c r="DY217" s="115"/>
      <c r="DZ217" s="115"/>
      <c r="EA217" s="115"/>
      <c r="EB217" s="115"/>
      <c r="EC217" s="115"/>
      <c r="ED217" s="115"/>
      <c r="EE217" s="115"/>
      <c r="EF217" s="115"/>
      <c r="EG217" s="115"/>
      <c r="EH217" s="116"/>
    </row>
    <row r="218" spans="1:138" ht="12" customHeight="1" outlineLevel="1" x14ac:dyDescent="0.4">
      <c r="A218" s="101"/>
      <c r="B218" s="101"/>
      <c r="C218" s="101">
        <v>2</v>
      </c>
      <c r="D218" s="102" t="s">
        <v>589</v>
      </c>
      <c r="E218" s="103"/>
      <c r="F218" s="124" t="s">
        <v>388</v>
      </c>
      <c r="G218" s="103"/>
      <c r="H218" s="120"/>
      <c r="I218" s="103"/>
      <c r="J218" s="103"/>
      <c r="K218" s="103"/>
      <c r="L218" s="103"/>
      <c r="M218" s="103"/>
      <c r="N218" s="103"/>
      <c r="O218" s="104" t="s">
        <v>345</v>
      </c>
      <c r="P218" s="108">
        <v>45007</v>
      </c>
      <c r="Q218" s="108">
        <v>45016</v>
      </c>
      <c r="R218" s="106"/>
      <c r="S218" s="107">
        <v>10</v>
      </c>
      <c r="T218" s="107">
        <v>0</v>
      </c>
      <c r="U218" s="107">
        <v>10</v>
      </c>
      <c r="V218" s="107">
        <v>0</v>
      </c>
      <c r="W218" s="108"/>
      <c r="X218" s="108"/>
      <c r="Y218" s="109"/>
      <c r="Z218" s="110">
        <v>0</v>
      </c>
      <c r="AA218" s="107"/>
      <c r="AB218" s="111"/>
      <c r="AC218" s="112"/>
      <c r="AD218" s="113">
        <v>0</v>
      </c>
      <c r="AE218" s="134">
        <v>0</v>
      </c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/>
      <c r="BN218" s="115"/>
      <c r="BO218" s="115"/>
      <c r="BP218" s="115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115"/>
      <c r="CJ218" s="115"/>
      <c r="CK218" s="115"/>
      <c r="CL218" s="115"/>
      <c r="CM218" s="115"/>
      <c r="CN218" s="115"/>
      <c r="CO218" s="115"/>
      <c r="CP218" s="115"/>
      <c r="CQ218" s="115"/>
      <c r="CR218" s="115" t="str">
        <f>"   " &amp; TEXT(AE218,"#0.00%") &amp; " " &amp; "OVEN 연결물류 " &amp; " " &amp; IF(P218="","",TEXT(P218,"M/D-")) &amp; IF(Q218="","",TEXT(Q218,"M/D")) &amp; " "</f>
        <v xml:space="preserve">   0.00% OVEN 연결물류  3/22-3/31 </v>
      </c>
      <c r="CS218" s="115"/>
      <c r="CT218" s="115"/>
      <c r="CU218" s="115"/>
      <c r="CV218" s="115"/>
      <c r="CW218" s="115"/>
      <c r="CX218" s="115"/>
      <c r="CY218" s="115"/>
      <c r="CZ218" s="115"/>
      <c r="DA218" s="115"/>
      <c r="DB218" s="115"/>
      <c r="DC218" s="115"/>
      <c r="DD218" s="115"/>
      <c r="DE218" s="115"/>
      <c r="DF218" s="115"/>
      <c r="DG218" s="115"/>
      <c r="DH218" s="115"/>
      <c r="DI218" s="115"/>
      <c r="DJ218" s="115"/>
      <c r="DK218" s="115"/>
      <c r="DL218" s="115"/>
      <c r="DM218" s="115"/>
      <c r="DN218" s="115"/>
      <c r="DO218" s="115"/>
      <c r="DP218" s="115"/>
      <c r="DQ218" s="115"/>
      <c r="DR218" s="115"/>
      <c r="DS218" s="115"/>
      <c r="DT218" s="115"/>
      <c r="DU218" s="115"/>
      <c r="DV218" s="115"/>
      <c r="DW218" s="115"/>
      <c r="DX218" s="115"/>
      <c r="DY218" s="115"/>
      <c r="DZ218" s="115"/>
      <c r="EA218" s="115"/>
      <c r="EB218" s="115"/>
      <c r="EC218" s="115"/>
      <c r="ED218" s="115"/>
      <c r="EE218" s="115"/>
      <c r="EF218" s="115"/>
      <c r="EG218" s="115"/>
      <c r="EH218" s="116"/>
    </row>
    <row r="219" spans="1:138" ht="12" customHeight="1" outlineLevel="1" x14ac:dyDescent="0.4">
      <c r="A219" s="101"/>
      <c r="B219" s="101"/>
      <c r="C219" s="101">
        <v>2</v>
      </c>
      <c r="D219" s="102" t="s">
        <v>590</v>
      </c>
      <c r="E219" s="103"/>
      <c r="F219" s="124" t="s">
        <v>396</v>
      </c>
      <c r="G219" s="103"/>
      <c r="H219" s="120"/>
      <c r="I219" s="103"/>
      <c r="J219" s="103"/>
      <c r="K219" s="103"/>
      <c r="L219" s="103"/>
      <c r="M219" s="103"/>
      <c r="N219" s="103"/>
      <c r="O219" s="104" t="s">
        <v>345</v>
      </c>
      <c r="P219" s="108">
        <v>45046</v>
      </c>
      <c r="Q219" s="108">
        <v>45051</v>
      </c>
      <c r="R219" s="106"/>
      <c r="S219" s="107">
        <v>6</v>
      </c>
      <c r="T219" s="107">
        <v>0</v>
      </c>
      <c r="U219" s="107">
        <v>6</v>
      </c>
      <c r="V219" s="107">
        <v>0</v>
      </c>
      <c r="W219" s="108"/>
      <c r="X219" s="108"/>
      <c r="Y219" s="109"/>
      <c r="Z219" s="110">
        <v>0</v>
      </c>
      <c r="AA219" s="107"/>
      <c r="AB219" s="111"/>
      <c r="AC219" s="112"/>
      <c r="AD219" s="113">
        <v>0</v>
      </c>
      <c r="AE219" s="134">
        <v>0</v>
      </c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5"/>
      <c r="CR219" s="115"/>
      <c r="CS219" s="115"/>
      <c r="CT219" s="115"/>
      <c r="CU219" s="115"/>
      <c r="CV219" s="115"/>
      <c r="CW219" s="115"/>
      <c r="CX219" s="115" t="str">
        <f>"" &amp; TEXT(AE219,"#0.00%") &amp; " " &amp; "CCS 포장물류" &amp; " " &amp; IF(P219="","",TEXT(P219,"M/D-")) &amp; IF(Q219="","",TEXT(Q219,"M/D")) &amp; " "</f>
        <v xml:space="preserve">0.00% CCS 포장물류 4/30-5/5 </v>
      </c>
      <c r="CY219" s="115"/>
      <c r="CZ219" s="115"/>
      <c r="DA219" s="115"/>
      <c r="DB219" s="115"/>
      <c r="DC219" s="115"/>
      <c r="DD219" s="115"/>
      <c r="DE219" s="115"/>
      <c r="DF219" s="115"/>
      <c r="DG219" s="115"/>
      <c r="DH219" s="115"/>
      <c r="DI219" s="115"/>
      <c r="DJ219" s="115"/>
      <c r="DK219" s="115"/>
      <c r="DL219" s="115"/>
      <c r="DM219" s="115"/>
      <c r="DN219" s="115"/>
      <c r="DO219" s="115"/>
      <c r="DP219" s="115"/>
      <c r="DQ219" s="115"/>
      <c r="DR219" s="115"/>
      <c r="DS219" s="115"/>
      <c r="DT219" s="115"/>
      <c r="DU219" s="115"/>
      <c r="DV219" s="115"/>
      <c r="DW219" s="115"/>
      <c r="DX219" s="115"/>
      <c r="DY219" s="115"/>
      <c r="DZ219" s="115"/>
      <c r="EA219" s="115"/>
      <c r="EB219" s="115"/>
      <c r="EC219" s="115"/>
      <c r="ED219" s="115"/>
      <c r="EE219" s="115"/>
      <c r="EF219" s="115"/>
      <c r="EG219" s="115"/>
      <c r="EH219" s="116"/>
    </row>
    <row r="220" spans="1:138" ht="12" customHeight="1" outlineLevel="1" x14ac:dyDescent="0.4">
      <c r="A220" s="101"/>
      <c r="B220" s="101"/>
      <c r="C220" s="101">
        <v>2</v>
      </c>
      <c r="D220" s="102" t="s">
        <v>591</v>
      </c>
      <c r="E220" s="103"/>
      <c r="F220" s="124" t="s">
        <v>404</v>
      </c>
      <c r="G220" s="103"/>
      <c r="H220" s="120"/>
      <c r="I220" s="103"/>
      <c r="J220" s="103"/>
      <c r="K220" s="103"/>
      <c r="L220" s="103"/>
      <c r="M220" s="103"/>
      <c r="N220" s="103"/>
      <c r="O220" s="104" t="s">
        <v>330</v>
      </c>
      <c r="P220" s="108">
        <v>44998</v>
      </c>
      <c r="Q220" s="108">
        <v>45016</v>
      </c>
      <c r="R220" s="106"/>
      <c r="S220" s="107">
        <v>19</v>
      </c>
      <c r="T220" s="107">
        <v>0</v>
      </c>
      <c r="U220" s="107">
        <v>19</v>
      </c>
      <c r="V220" s="107">
        <v>0</v>
      </c>
      <c r="W220" s="108"/>
      <c r="X220" s="108"/>
      <c r="Y220" s="109"/>
      <c r="Z220" s="110">
        <v>0</v>
      </c>
      <c r="AA220" s="107"/>
      <c r="AB220" s="111"/>
      <c r="AC220" s="112"/>
      <c r="AD220" s="113">
        <v>0</v>
      </c>
      <c r="AE220" s="134">
        <v>0</v>
      </c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  <c r="CB220" s="115"/>
      <c r="CC220" s="115"/>
      <c r="CD220" s="115"/>
      <c r="CE220" s="115"/>
      <c r="CF220" s="115"/>
      <c r="CG220" s="115"/>
      <c r="CH220" s="115"/>
      <c r="CI220" s="115"/>
      <c r="CJ220" s="115"/>
      <c r="CK220" s="115"/>
      <c r="CL220" s="115"/>
      <c r="CM220" s="115"/>
      <c r="CN220" s="115"/>
      <c r="CO220" s="115"/>
      <c r="CP220" s="115"/>
      <c r="CQ220" s="115" t="str">
        <f>" " &amp; TEXT(AE220,"#0.00%") &amp; " " &amp; "완제품 창고" &amp; " " &amp; IF(P220="","",TEXT(P220,"M/D-")) &amp; IF(Q220="","",TEXT(Q220,"M/D")) &amp; " "</f>
        <v xml:space="preserve"> 0.00% 완제품 창고 3/13-3/31 </v>
      </c>
      <c r="CR220" s="115"/>
      <c r="CS220" s="115"/>
      <c r="CT220" s="115"/>
      <c r="CU220" s="115"/>
      <c r="CV220" s="115"/>
      <c r="CW220" s="115"/>
      <c r="CX220" s="115"/>
      <c r="CY220" s="115"/>
      <c r="CZ220" s="115"/>
      <c r="DA220" s="115"/>
      <c r="DB220" s="115"/>
      <c r="DC220" s="115"/>
      <c r="DD220" s="115"/>
      <c r="DE220" s="115"/>
      <c r="DF220" s="115"/>
      <c r="DG220" s="115"/>
      <c r="DH220" s="115"/>
      <c r="DI220" s="115"/>
      <c r="DJ220" s="115"/>
      <c r="DK220" s="115"/>
      <c r="DL220" s="115"/>
      <c r="DM220" s="115"/>
      <c r="DN220" s="115"/>
      <c r="DO220" s="115"/>
      <c r="DP220" s="115"/>
      <c r="DQ220" s="115"/>
      <c r="DR220" s="115"/>
      <c r="DS220" s="115"/>
      <c r="DT220" s="115"/>
      <c r="DU220" s="115"/>
      <c r="DV220" s="115"/>
      <c r="DW220" s="115"/>
      <c r="DX220" s="115"/>
      <c r="DY220" s="115"/>
      <c r="DZ220" s="115"/>
      <c r="EA220" s="115"/>
      <c r="EB220" s="115"/>
      <c r="EC220" s="115"/>
      <c r="ED220" s="115"/>
      <c r="EE220" s="115"/>
      <c r="EF220" s="115"/>
      <c r="EG220" s="115"/>
      <c r="EH220" s="116"/>
    </row>
    <row r="221" spans="1:138" ht="12" customHeight="1" outlineLevel="1" x14ac:dyDescent="0.4">
      <c r="A221" s="101"/>
      <c r="B221" s="101"/>
      <c r="C221" s="101">
        <v>2</v>
      </c>
      <c r="D221" s="102" t="s">
        <v>592</v>
      </c>
      <c r="E221" s="103"/>
      <c r="F221" s="149" t="s">
        <v>412</v>
      </c>
      <c r="G221" s="103"/>
      <c r="H221" s="120"/>
      <c r="I221" s="103"/>
      <c r="J221" s="103"/>
      <c r="K221" s="103"/>
      <c r="L221" s="103"/>
      <c r="M221" s="103"/>
      <c r="N221" s="103"/>
      <c r="O221" s="104" t="s">
        <v>345</v>
      </c>
      <c r="P221" s="108">
        <v>44898</v>
      </c>
      <c r="Q221" s="108">
        <v>44970</v>
      </c>
      <c r="R221" s="106"/>
      <c r="S221" s="107">
        <v>73</v>
      </c>
      <c r="T221" s="107">
        <v>0</v>
      </c>
      <c r="U221" s="107">
        <v>73</v>
      </c>
      <c r="V221" s="107">
        <v>0</v>
      </c>
      <c r="W221" s="108"/>
      <c r="X221" s="108"/>
      <c r="Y221" s="109"/>
      <c r="Z221" s="110">
        <v>0</v>
      </c>
      <c r="AA221" s="107"/>
      <c r="AB221" s="111"/>
      <c r="AC221" s="112"/>
      <c r="AD221" s="113">
        <v>0</v>
      </c>
      <c r="AE221" s="134">
        <v>0</v>
      </c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  <c r="CB221" s="115" t="str">
        <f>"      " &amp; TEXT(AE221,"#0.00%") &amp; " "</f>
        <v xml:space="preserve">      0.00% </v>
      </c>
      <c r="CC221" s="115"/>
      <c r="CD221" s="115"/>
      <c r="CE221" s="115"/>
      <c r="CF221" s="115"/>
      <c r="CG221" s="115"/>
      <c r="CH221" s="115"/>
      <c r="CI221" s="115"/>
      <c r="CJ221" s="115"/>
      <c r="CK221" s="115"/>
      <c r="CL221" s="115"/>
      <c r="CM221" s="115" t="str">
        <f>"  " &amp; "완제품 창고 연결물류" &amp; " " &amp; IF(P221="","",TEXT(P221,"M/D-")) &amp; IF(Q221="","",TEXT(Q221,"M/D")) &amp; " "</f>
        <v xml:space="preserve">  완제품 창고 연결물류 12/3-2/13 </v>
      </c>
      <c r="CN221" s="115"/>
      <c r="CO221" s="115"/>
      <c r="CP221" s="115"/>
      <c r="CQ221" s="115"/>
      <c r="CR221" s="115"/>
      <c r="CS221" s="115"/>
      <c r="CT221" s="115"/>
      <c r="CU221" s="115"/>
      <c r="CV221" s="115"/>
      <c r="CW221" s="115"/>
      <c r="CX221" s="115"/>
      <c r="CY221" s="115"/>
      <c r="CZ221" s="115"/>
      <c r="DA221" s="115"/>
      <c r="DB221" s="115"/>
      <c r="DC221" s="115"/>
      <c r="DD221" s="115"/>
      <c r="DE221" s="115"/>
      <c r="DF221" s="115"/>
      <c r="DG221" s="115"/>
      <c r="DH221" s="115"/>
      <c r="DI221" s="115"/>
      <c r="DJ221" s="115"/>
      <c r="DK221" s="115"/>
      <c r="DL221" s="115"/>
      <c r="DM221" s="115"/>
      <c r="DN221" s="115"/>
      <c r="DO221" s="115"/>
      <c r="DP221" s="115"/>
      <c r="DQ221" s="115"/>
      <c r="DR221" s="115"/>
      <c r="DS221" s="115"/>
      <c r="DT221" s="115"/>
      <c r="DU221" s="115"/>
      <c r="DV221" s="115"/>
      <c r="DW221" s="115"/>
      <c r="DX221" s="115"/>
      <c r="DY221" s="115"/>
      <c r="DZ221" s="115"/>
      <c r="EA221" s="115"/>
      <c r="EB221" s="115"/>
      <c r="EC221" s="115"/>
      <c r="ED221" s="115"/>
      <c r="EE221" s="115"/>
      <c r="EF221" s="115"/>
      <c r="EG221" s="115"/>
      <c r="EH221" s="116"/>
    </row>
    <row r="222" spans="1:138" ht="12" customHeight="1" x14ac:dyDescent="0.4">
      <c r="A222" s="101"/>
      <c r="B222" s="101" t="s">
        <v>325</v>
      </c>
      <c r="C222" s="101">
        <v>1</v>
      </c>
      <c r="D222" s="102" t="s">
        <v>593</v>
      </c>
      <c r="E222" s="103" t="s">
        <v>594</v>
      </c>
      <c r="F222" s="103"/>
      <c r="G222" s="103"/>
      <c r="H222" s="103"/>
      <c r="I222" s="103"/>
      <c r="J222" s="103"/>
      <c r="K222" s="103"/>
      <c r="L222" s="103"/>
      <c r="M222" s="103"/>
      <c r="N222" s="103"/>
      <c r="O222" s="104"/>
      <c r="P222" s="108">
        <v>44958</v>
      </c>
      <c r="Q222" s="108">
        <v>45169</v>
      </c>
      <c r="R222" s="106"/>
      <c r="S222" s="107">
        <v>1852</v>
      </c>
      <c r="T222" s="107">
        <v>0</v>
      </c>
      <c r="U222" s="107">
        <v>212</v>
      </c>
      <c r="V222" s="107">
        <v>0</v>
      </c>
      <c r="W222" s="108"/>
      <c r="X222" s="108"/>
      <c r="Y222" s="109">
        <v>0</v>
      </c>
      <c r="Z222" s="110">
        <v>0</v>
      </c>
      <c r="AA222" s="107"/>
      <c r="AB222" s="111"/>
      <c r="AC222" s="112"/>
      <c r="AD222" s="113">
        <v>0</v>
      </c>
      <c r="AE222" s="137">
        <v>0</v>
      </c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 t="str">
        <f>"   " &amp; TEXT(AE222,"#0.00%") &amp; " "</f>
        <v xml:space="preserve">   0.00% </v>
      </c>
      <c r="CL222" s="115"/>
      <c r="CM222" s="115"/>
      <c r="CN222" s="115"/>
      <c r="CO222" s="115"/>
      <c r="CP222" s="115"/>
      <c r="CQ222" s="115"/>
      <c r="CR222" s="115"/>
      <c r="CS222" s="115"/>
      <c r="CT222" s="115"/>
      <c r="CU222" s="115"/>
      <c r="CV222" s="115"/>
      <c r="CW222" s="115"/>
      <c r="CX222" s="115"/>
      <c r="CY222" s="115"/>
      <c r="CZ222" s="115"/>
      <c r="DA222" s="115"/>
      <c r="DB222" s="115"/>
      <c r="DC222" s="115"/>
      <c r="DD222" s="115"/>
      <c r="DE222" s="115"/>
      <c r="DF222" s="115"/>
      <c r="DG222" s="115"/>
      <c r="DH222" s="115"/>
      <c r="DI222" s="115"/>
      <c r="DJ222" s="115"/>
      <c r="DK222" s="115"/>
      <c r="DL222" s="115"/>
      <c r="DM222" s="115"/>
      <c r="DN222" s="115"/>
      <c r="DO222" s="115" t="str">
        <f>"     " &amp; "현장 SET-UP" &amp; " " &amp; IF(P222="","",TEXT(P222,"M/D-")) &amp; IF(Q222="","",TEXT(Q222,"M/D")) &amp; " "</f>
        <v xml:space="preserve">     현장 SET-UP 2/1-8/31 </v>
      </c>
      <c r="DP222" s="115"/>
      <c r="DQ222" s="115"/>
      <c r="DR222" s="115"/>
      <c r="DS222" s="115"/>
      <c r="DT222" s="115"/>
      <c r="DU222" s="115"/>
      <c r="DV222" s="115"/>
      <c r="DW222" s="115"/>
      <c r="DX222" s="115"/>
      <c r="DY222" s="115"/>
      <c r="DZ222" s="115"/>
      <c r="EA222" s="115"/>
      <c r="EB222" s="115"/>
      <c r="EC222" s="115"/>
      <c r="ED222" s="115"/>
      <c r="EE222" s="115"/>
      <c r="EF222" s="115"/>
      <c r="EG222" s="115"/>
      <c r="EH222" s="116"/>
    </row>
    <row r="223" spans="1:138" ht="12" customHeight="1" outlineLevel="1" x14ac:dyDescent="0.4">
      <c r="A223" s="101"/>
      <c r="B223" s="101" t="s">
        <v>325</v>
      </c>
      <c r="C223" s="101">
        <v>2</v>
      </c>
      <c r="D223" s="102" t="s">
        <v>595</v>
      </c>
      <c r="E223" s="103"/>
      <c r="F223" s="103" t="s">
        <v>329</v>
      </c>
      <c r="G223" s="103"/>
      <c r="H223" s="120"/>
      <c r="I223" s="103"/>
      <c r="J223" s="103"/>
      <c r="K223" s="103"/>
      <c r="L223" s="103"/>
      <c r="M223" s="103"/>
      <c r="N223" s="103"/>
      <c r="O223" s="104" t="s">
        <v>330</v>
      </c>
      <c r="P223" s="108">
        <v>44972</v>
      </c>
      <c r="Q223" s="108">
        <v>45097</v>
      </c>
      <c r="R223" s="106"/>
      <c r="S223" s="107">
        <v>270</v>
      </c>
      <c r="T223" s="107">
        <v>0</v>
      </c>
      <c r="U223" s="107">
        <v>126</v>
      </c>
      <c r="V223" s="107">
        <v>0</v>
      </c>
      <c r="W223" s="108"/>
      <c r="X223" s="108"/>
      <c r="Y223" s="109">
        <v>0</v>
      </c>
      <c r="Z223" s="110">
        <v>0</v>
      </c>
      <c r="AA223" s="107"/>
      <c r="AB223" s="111"/>
      <c r="AC223" s="112"/>
      <c r="AD223" s="113">
        <v>0</v>
      </c>
      <c r="AE223" s="137">
        <v>0</v>
      </c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 t="str">
        <f>"   " &amp; TEXT(AE223,"#0.00%") &amp; " "</f>
        <v xml:space="preserve">   0.00% </v>
      </c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 t="str">
        <f>"   " &amp; "BUFFER STK" &amp; " " &amp; IF(P223="","",TEXT(P223,"M/D-")) &amp; IF(Q223="","",TEXT(Q223,"M/D")) &amp; " "</f>
        <v xml:space="preserve">   BUFFER STK 2/15-6/20 </v>
      </c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6"/>
    </row>
    <row r="224" spans="1:138" ht="12" customHeight="1" outlineLevel="2" x14ac:dyDescent="0.4">
      <c r="A224" s="101"/>
      <c r="B224" s="101" t="s">
        <v>325</v>
      </c>
      <c r="C224" s="101">
        <v>3</v>
      </c>
      <c r="D224" s="102" t="s">
        <v>596</v>
      </c>
      <c r="E224" s="103"/>
      <c r="F224" s="103"/>
      <c r="G224" s="103" t="s">
        <v>597</v>
      </c>
      <c r="H224" s="103"/>
      <c r="I224" s="103"/>
      <c r="J224" s="103"/>
      <c r="K224" s="103"/>
      <c r="L224" s="103"/>
      <c r="M224" s="103"/>
      <c r="N224" s="103"/>
      <c r="O224" s="104"/>
      <c r="P224" s="108">
        <v>44972</v>
      </c>
      <c r="Q224" s="108">
        <v>45044</v>
      </c>
      <c r="R224" s="106"/>
      <c r="S224" s="107">
        <v>116</v>
      </c>
      <c r="T224" s="107">
        <v>0</v>
      </c>
      <c r="U224" s="107">
        <v>73</v>
      </c>
      <c r="V224" s="107">
        <v>0</v>
      </c>
      <c r="W224" s="108"/>
      <c r="X224" s="108"/>
      <c r="Y224" s="109">
        <v>0</v>
      </c>
      <c r="Z224" s="110">
        <v>0</v>
      </c>
      <c r="AA224" s="107"/>
      <c r="AB224" s="111"/>
      <c r="AC224" s="112"/>
      <c r="AD224" s="113">
        <v>0</v>
      </c>
      <c r="AE224" s="137">
        <v>0</v>
      </c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 t="str">
        <f>"   " &amp; TEXT(AE224,"#0.00%") &amp; " "</f>
        <v xml:space="preserve">   0.00% </v>
      </c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 t="str">
        <f>"      " &amp; "기구" &amp; " " &amp; IF(P224="","",TEXT(P224,"M/D-")) &amp; IF(Q224="","",TEXT(Q224,"M/D")) &amp; " "</f>
        <v xml:space="preserve">      기구 2/15-4/28 </v>
      </c>
      <c r="CX224" s="115"/>
      <c r="CY224" s="115"/>
      <c r="CZ224" s="115"/>
      <c r="DA224" s="115"/>
      <c r="DB224" s="115"/>
      <c r="DC224" s="115"/>
      <c r="DD224" s="115"/>
      <c r="DE224" s="115"/>
      <c r="DF224" s="115"/>
      <c r="DG224" s="115"/>
      <c r="DH224" s="115"/>
      <c r="DI224" s="115"/>
      <c r="DJ224" s="115"/>
      <c r="DK224" s="115"/>
      <c r="DL224" s="115"/>
      <c r="DM224" s="115"/>
      <c r="DN224" s="115"/>
      <c r="DO224" s="115"/>
      <c r="DP224" s="115"/>
      <c r="DQ224" s="115"/>
      <c r="DR224" s="115"/>
      <c r="DS224" s="115"/>
      <c r="DT224" s="115"/>
      <c r="DU224" s="115"/>
      <c r="DV224" s="115"/>
      <c r="DW224" s="115"/>
      <c r="DX224" s="115"/>
      <c r="DY224" s="115"/>
      <c r="DZ224" s="115"/>
      <c r="EA224" s="115"/>
      <c r="EB224" s="115"/>
      <c r="EC224" s="115"/>
      <c r="ED224" s="115"/>
      <c r="EE224" s="115"/>
      <c r="EF224" s="115"/>
      <c r="EG224" s="115"/>
      <c r="EH224" s="116"/>
    </row>
    <row r="225" spans="1:138" ht="12" customHeight="1" outlineLevel="3" x14ac:dyDescent="0.4">
      <c r="A225" s="101"/>
      <c r="B225" s="101"/>
      <c r="C225" s="101">
        <v>4</v>
      </c>
      <c r="D225" s="102" t="s">
        <v>598</v>
      </c>
      <c r="E225" s="103"/>
      <c r="F225" s="103"/>
      <c r="G225" s="103"/>
      <c r="H225" s="103" t="s">
        <v>599</v>
      </c>
      <c r="I225" s="103"/>
      <c r="J225" s="103"/>
      <c r="K225" s="103"/>
      <c r="L225" s="103"/>
      <c r="M225" s="103"/>
      <c r="N225" s="103"/>
      <c r="O225" s="104"/>
      <c r="P225" s="108">
        <v>44972</v>
      </c>
      <c r="Q225" s="108">
        <v>45014</v>
      </c>
      <c r="R225" s="106"/>
      <c r="S225" s="107">
        <v>43</v>
      </c>
      <c r="T225" s="107">
        <v>0</v>
      </c>
      <c r="U225" s="107">
        <v>43</v>
      </c>
      <c r="V225" s="107">
        <v>0</v>
      </c>
      <c r="W225" s="108"/>
      <c r="X225" s="108"/>
      <c r="Y225" s="109"/>
      <c r="Z225" s="110">
        <v>0</v>
      </c>
      <c r="AA225" s="107"/>
      <c r="AB225" s="111"/>
      <c r="AC225" s="112"/>
      <c r="AD225" s="113">
        <v>0</v>
      </c>
      <c r="AE225" s="134">
        <v>0</v>
      </c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 t="str">
        <f>"   " &amp; TEXT(AE225,"#0.00%") &amp; " "</f>
        <v xml:space="preserve">   0.00% </v>
      </c>
      <c r="CN225" s="115"/>
      <c r="CO225" s="115"/>
      <c r="CP225" s="115"/>
      <c r="CQ225" s="115"/>
      <c r="CR225" s="115"/>
      <c r="CS225" s="115" t="str">
        <f>"    " &amp; "RACK 설치(STK09-12)" &amp; " " &amp; IF(P225="","",TEXT(P225,"M/D-")) &amp; IF(Q225="","",TEXT(Q225,"M/D")) &amp; " "</f>
        <v xml:space="preserve">    RACK 설치(STK09-12) 2/15-3/29 </v>
      </c>
      <c r="CT225" s="115"/>
      <c r="CU225" s="115"/>
      <c r="CV225" s="115"/>
      <c r="CW225" s="115"/>
      <c r="CX225" s="115"/>
      <c r="CY225" s="115"/>
      <c r="CZ225" s="115"/>
      <c r="DA225" s="115"/>
      <c r="DB225" s="115"/>
      <c r="DC225" s="115"/>
      <c r="DD225" s="115"/>
      <c r="DE225" s="115"/>
      <c r="DF225" s="115"/>
      <c r="DG225" s="115"/>
      <c r="DH225" s="115"/>
      <c r="DI225" s="115"/>
      <c r="DJ225" s="115"/>
      <c r="DK225" s="115"/>
      <c r="DL225" s="115"/>
      <c r="DM225" s="115"/>
      <c r="DN225" s="115"/>
      <c r="DO225" s="115"/>
      <c r="DP225" s="115"/>
      <c r="DQ225" s="115"/>
      <c r="DR225" s="115"/>
      <c r="DS225" s="115"/>
      <c r="DT225" s="115"/>
      <c r="DU225" s="115"/>
      <c r="DV225" s="115"/>
      <c r="DW225" s="115"/>
      <c r="DX225" s="115"/>
      <c r="DY225" s="115"/>
      <c r="DZ225" s="115"/>
      <c r="EA225" s="115"/>
      <c r="EB225" s="115"/>
      <c r="EC225" s="115"/>
      <c r="ED225" s="115"/>
      <c r="EE225" s="115"/>
      <c r="EF225" s="115"/>
      <c r="EG225" s="115"/>
      <c r="EH225" s="116"/>
    </row>
    <row r="226" spans="1:138" ht="12" customHeight="1" outlineLevel="3" x14ac:dyDescent="0.4">
      <c r="A226" s="101"/>
      <c r="B226" s="101"/>
      <c r="C226" s="101">
        <v>4</v>
      </c>
      <c r="D226" s="102" t="s">
        <v>600</v>
      </c>
      <c r="E226" s="103"/>
      <c r="F226" s="103"/>
      <c r="G226" s="103"/>
      <c r="H226" s="103" t="s">
        <v>601</v>
      </c>
      <c r="I226" s="103"/>
      <c r="J226" s="103"/>
      <c r="K226" s="103"/>
      <c r="L226" s="103"/>
      <c r="M226" s="103"/>
      <c r="N226" s="103"/>
      <c r="O226" s="104"/>
      <c r="P226" s="108">
        <v>44982</v>
      </c>
      <c r="Q226" s="108">
        <v>45024</v>
      </c>
      <c r="R226" s="106"/>
      <c r="S226" s="107">
        <v>43</v>
      </c>
      <c r="T226" s="107">
        <v>0</v>
      </c>
      <c r="U226" s="107">
        <v>43</v>
      </c>
      <c r="V226" s="107">
        <v>0</v>
      </c>
      <c r="W226" s="108"/>
      <c r="X226" s="108"/>
      <c r="Y226" s="109"/>
      <c r="Z226" s="110">
        <v>0</v>
      </c>
      <c r="AA226" s="107"/>
      <c r="AB226" s="111"/>
      <c r="AC226" s="112"/>
      <c r="AD226" s="113">
        <v>0</v>
      </c>
      <c r="AE226" s="134">
        <v>0</v>
      </c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 t="str">
        <f>"      " &amp; TEXT(AE226,"#0.00%") &amp; " "</f>
        <v xml:space="preserve">      0.00% </v>
      </c>
      <c r="CO226" s="115"/>
      <c r="CP226" s="115"/>
      <c r="CQ226" s="115"/>
      <c r="CR226" s="115"/>
      <c r="CS226" s="115"/>
      <c r="CT226" s="115"/>
      <c r="CU226" s="115" t="str">
        <f>"" &amp; "RACK 설치(STK13-16)" &amp; " " &amp; IF(P226="","",TEXT(P226,"M/D-")) &amp; IF(Q226="","",TEXT(Q226,"M/D")) &amp; " "</f>
        <v xml:space="preserve">RACK 설치(STK13-16) 2/25-4/8 </v>
      </c>
      <c r="CV226" s="115"/>
      <c r="CW226" s="115"/>
      <c r="CX226" s="115"/>
      <c r="CY226" s="115"/>
      <c r="CZ226" s="115"/>
      <c r="DA226" s="115"/>
      <c r="DB226" s="115"/>
      <c r="DC226" s="115"/>
      <c r="DD226" s="115"/>
      <c r="DE226" s="115"/>
      <c r="DF226" s="115"/>
      <c r="DG226" s="115"/>
      <c r="DH226" s="115"/>
      <c r="DI226" s="115"/>
      <c r="DJ226" s="115"/>
      <c r="DK226" s="115"/>
      <c r="DL226" s="115"/>
      <c r="DM226" s="115"/>
      <c r="DN226" s="115"/>
      <c r="DO226" s="115"/>
      <c r="DP226" s="115"/>
      <c r="DQ226" s="115"/>
      <c r="DR226" s="115"/>
      <c r="DS226" s="115"/>
      <c r="DT226" s="115"/>
      <c r="DU226" s="115"/>
      <c r="DV226" s="115"/>
      <c r="DW226" s="115"/>
      <c r="DX226" s="115"/>
      <c r="DY226" s="115"/>
      <c r="DZ226" s="115"/>
      <c r="EA226" s="115"/>
      <c r="EB226" s="115"/>
      <c r="EC226" s="115"/>
      <c r="ED226" s="115"/>
      <c r="EE226" s="115"/>
      <c r="EF226" s="115"/>
      <c r="EG226" s="115"/>
      <c r="EH226" s="116"/>
    </row>
    <row r="227" spans="1:138" ht="12" customHeight="1" outlineLevel="3" x14ac:dyDescent="0.4">
      <c r="A227" s="101"/>
      <c r="B227" s="101"/>
      <c r="C227" s="101">
        <v>4</v>
      </c>
      <c r="D227" s="102" t="s">
        <v>602</v>
      </c>
      <c r="E227" s="103"/>
      <c r="F227" s="103"/>
      <c r="G227" s="103"/>
      <c r="H227" s="103" t="s">
        <v>603</v>
      </c>
      <c r="I227" s="103"/>
      <c r="J227" s="103"/>
      <c r="K227" s="103"/>
      <c r="L227" s="103"/>
      <c r="M227" s="103"/>
      <c r="N227" s="103"/>
      <c r="O227" s="104"/>
      <c r="P227" s="108">
        <v>45015</v>
      </c>
      <c r="Q227" s="108">
        <v>45044</v>
      </c>
      <c r="R227" s="106"/>
      <c r="S227" s="107">
        <v>30</v>
      </c>
      <c r="T227" s="107">
        <v>0</v>
      </c>
      <c r="U227" s="107">
        <v>30</v>
      </c>
      <c r="V227" s="107">
        <v>0</v>
      </c>
      <c r="W227" s="108"/>
      <c r="X227" s="108"/>
      <c r="Y227" s="109"/>
      <c r="Z227" s="110">
        <v>0</v>
      </c>
      <c r="AA227" s="107"/>
      <c r="AB227" s="111"/>
      <c r="AC227" s="112"/>
      <c r="AD227" s="113">
        <v>0</v>
      </c>
      <c r="AE227" s="134">
        <v>0</v>
      </c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  <c r="CR227" s="115"/>
      <c r="CS227" s="115" t="str">
        <f>"    " &amp; TEXT(AE227,"#0.00%") &amp; " "</f>
        <v xml:space="preserve">    0.00% </v>
      </c>
      <c r="CT227" s="115"/>
      <c r="CU227" s="115"/>
      <c r="CV227" s="115"/>
      <c r="CW227" s="115" t="str">
        <f>"      " &amp; "RM 설치" &amp; " " &amp; IF(P227="","",TEXT(P227,"M/D-")) &amp; IF(Q227="","",TEXT(Q227,"M/D")) &amp; " "</f>
        <v xml:space="preserve">      RM 설치 3/30-4/28 </v>
      </c>
      <c r="CX227" s="115"/>
      <c r="CY227" s="115"/>
      <c r="CZ227" s="115"/>
      <c r="DA227" s="115"/>
      <c r="DB227" s="115"/>
      <c r="DC227" s="115"/>
      <c r="DD227" s="115"/>
      <c r="DE227" s="115"/>
      <c r="DF227" s="115"/>
      <c r="DG227" s="115"/>
      <c r="DH227" s="115"/>
      <c r="DI227" s="115"/>
      <c r="DJ227" s="115"/>
      <c r="DK227" s="115"/>
      <c r="DL227" s="115"/>
      <c r="DM227" s="115"/>
      <c r="DN227" s="115"/>
      <c r="DO227" s="115"/>
      <c r="DP227" s="115"/>
      <c r="DQ227" s="115"/>
      <c r="DR227" s="115"/>
      <c r="DS227" s="115"/>
      <c r="DT227" s="115"/>
      <c r="DU227" s="115"/>
      <c r="DV227" s="115"/>
      <c r="DW227" s="115"/>
      <c r="DX227" s="115"/>
      <c r="DY227" s="115"/>
      <c r="DZ227" s="115"/>
      <c r="EA227" s="115"/>
      <c r="EB227" s="115"/>
      <c r="EC227" s="115"/>
      <c r="ED227" s="115"/>
      <c r="EE227" s="115"/>
      <c r="EF227" s="115"/>
      <c r="EG227" s="115"/>
      <c r="EH227" s="116"/>
    </row>
    <row r="228" spans="1:138" ht="12" customHeight="1" outlineLevel="2" x14ac:dyDescent="0.4">
      <c r="A228" s="101"/>
      <c r="B228" s="101" t="s">
        <v>325</v>
      </c>
      <c r="C228" s="101">
        <v>3</v>
      </c>
      <c r="D228" s="102" t="s">
        <v>604</v>
      </c>
      <c r="E228" s="103"/>
      <c r="F228" s="103"/>
      <c r="G228" s="103" t="s">
        <v>605</v>
      </c>
      <c r="H228" s="120"/>
      <c r="I228" s="103"/>
      <c r="J228" s="103"/>
      <c r="K228" s="103"/>
      <c r="L228" s="103"/>
      <c r="M228" s="103"/>
      <c r="N228" s="103"/>
      <c r="O228" s="104"/>
      <c r="P228" s="108">
        <v>45035</v>
      </c>
      <c r="Q228" s="108">
        <v>45056</v>
      </c>
      <c r="R228" s="106"/>
      <c r="S228" s="107">
        <v>35</v>
      </c>
      <c r="T228" s="107">
        <v>0</v>
      </c>
      <c r="U228" s="107">
        <v>22</v>
      </c>
      <c r="V228" s="107">
        <v>0</v>
      </c>
      <c r="W228" s="108"/>
      <c r="X228" s="108"/>
      <c r="Y228" s="109">
        <v>0</v>
      </c>
      <c r="Z228" s="110">
        <v>0</v>
      </c>
      <c r="AA228" s="107"/>
      <c r="AB228" s="111"/>
      <c r="AC228" s="112"/>
      <c r="AD228" s="113">
        <v>0</v>
      </c>
      <c r="AE228" s="137">
        <v>0</v>
      </c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5"/>
      <c r="CR228" s="115"/>
      <c r="CS228" s="115"/>
      <c r="CT228" s="115"/>
      <c r="CU228" s="115"/>
      <c r="CV228" s="115" t="str">
        <f>"   " &amp; TEXT(AE228,"#0.00%") &amp; " "</f>
        <v xml:space="preserve">   0.00% </v>
      </c>
      <c r="CW228" s="115"/>
      <c r="CX228" s="115"/>
      <c r="CY228" s="115" t="str">
        <f>"    " &amp; "전장" &amp; " " &amp; IF(P228="","",TEXT(P228,"M/D-")) &amp; IF(Q228="","",TEXT(Q228,"M/D")) &amp; " "</f>
        <v xml:space="preserve">    전장 4/19-5/10 </v>
      </c>
      <c r="CZ228" s="115"/>
      <c r="DA228" s="115"/>
      <c r="DB228" s="115"/>
      <c r="DC228" s="115"/>
      <c r="DD228" s="115"/>
      <c r="DE228" s="115"/>
      <c r="DF228" s="115"/>
      <c r="DG228" s="115"/>
      <c r="DH228" s="115"/>
      <c r="DI228" s="115"/>
      <c r="DJ228" s="115"/>
      <c r="DK228" s="115"/>
      <c r="DL228" s="115"/>
      <c r="DM228" s="115"/>
      <c r="DN228" s="115"/>
      <c r="DO228" s="115"/>
      <c r="DP228" s="115"/>
      <c r="DQ228" s="115"/>
      <c r="DR228" s="115"/>
      <c r="DS228" s="115"/>
      <c r="DT228" s="115"/>
      <c r="DU228" s="115"/>
      <c r="DV228" s="115"/>
      <c r="DW228" s="115"/>
      <c r="DX228" s="115"/>
      <c r="DY228" s="115"/>
      <c r="DZ228" s="115"/>
      <c r="EA228" s="115"/>
      <c r="EB228" s="115"/>
      <c r="EC228" s="115"/>
      <c r="ED228" s="115"/>
      <c r="EE228" s="115"/>
      <c r="EF228" s="115"/>
      <c r="EG228" s="115"/>
      <c r="EH228" s="116"/>
    </row>
    <row r="229" spans="1:138" ht="12" customHeight="1" outlineLevel="3" x14ac:dyDescent="0.4">
      <c r="A229" s="101"/>
      <c r="B229" s="101"/>
      <c r="C229" s="101">
        <v>4</v>
      </c>
      <c r="D229" s="102" t="s">
        <v>606</v>
      </c>
      <c r="E229" s="103"/>
      <c r="F229" s="103"/>
      <c r="G229" s="103"/>
      <c r="H229" s="103" t="s">
        <v>607</v>
      </c>
      <c r="I229" s="103"/>
      <c r="J229" s="103"/>
      <c r="K229" s="103"/>
      <c r="L229" s="103"/>
      <c r="M229" s="103"/>
      <c r="N229" s="103"/>
      <c r="O229" s="104"/>
      <c r="P229" s="108">
        <v>45035</v>
      </c>
      <c r="Q229" s="108">
        <v>45056</v>
      </c>
      <c r="R229" s="106"/>
      <c r="S229" s="107">
        <v>22</v>
      </c>
      <c r="T229" s="107">
        <v>0</v>
      </c>
      <c r="U229" s="107">
        <v>22</v>
      </c>
      <c r="V229" s="107">
        <v>0</v>
      </c>
      <c r="W229" s="108"/>
      <c r="X229" s="108"/>
      <c r="Y229" s="109"/>
      <c r="Z229" s="110">
        <v>0</v>
      </c>
      <c r="AA229" s="107"/>
      <c r="AB229" s="111"/>
      <c r="AC229" s="112"/>
      <c r="AD229" s="113">
        <v>0</v>
      </c>
      <c r="AE229" s="134">
        <v>0</v>
      </c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5"/>
      <c r="CR229" s="115"/>
      <c r="CS229" s="115"/>
      <c r="CT229" s="115"/>
      <c r="CU229" s="115"/>
      <c r="CV229" s="115" t="str">
        <f>"   " &amp; TEXT(AE229,"#0.00%") &amp; " "</f>
        <v xml:space="preserve">   0.00% </v>
      </c>
      <c r="CW229" s="115"/>
      <c r="CX229" s="115"/>
      <c r="CY229" s="115" t="str">
        <f>"    " &amp; "전장 배선 및 CPS 설치" &amp; " " &amp; IF(P229="","",TEXT(P229,"M/D-")) &amp; IF(Q229="","",TEXT(Q229,"M/D")) &amp; " "</f>
        <v xml:space="preserve">    전장 배선 및 CPS 설치 4/19-5/10 </v>
      </c>
      <c r="CZ229" s="115"/>
      <c r="DA229" s="115"/>
      <c r="DB229" s="115"/>
      <c r="DC229" s="115"/>
      <c r="DD229" s="115"/>
      <c r="DE229" s="115"/>
      <c r="DF229" s="115"/>
      <c r="DG229" s="115"/>
      <c r="DH229" s="115"/>
      <c r="DI229" s="115"/>
      <c r="DJ229" s="115"/>
      <c r="DK229" s="115"/>
      <c r="DL229" s="115"/>
      <c r="DM229" s="115"/>
      <c r="DN229" s="115"/>
      <c r="DO229" s="115"/>
      <c r="DP229" s="115"/>
      <c r="DQ229" s="115"/>
      <c r="DR229" s="115"/>
      <c r="DS229" s="115"/>
      <c r="DT229" s="115"/>
      <c r="DU229" s="115"/>
      <c r="DV229" s="115"/>
      <c r="DW229" s="115"/>
      <c r="DX229" s="115"/>
      <c r="DY229" s="115"/>
      <c r="DZ229" s="115"/>
      <c r="EA229" s="115"/>
      <c r="EB229" s="115"/>
      <c r="EC229" s="115"/>
      <c r="ED229" s="115"/>
      <c r="EE229" s="115"/>
      <c r="EF229" s="115"/>
      <c r="EG229" s="115"/>
      <c r="EH229" s="116"/>
    </row>
    <row r="230" spans="1:138" ht="12" customHeight="1" outlineLevel="3" x14ac:dyDescent="0.4">
      <c r="A230" s="101"/>
      <c r="B230" s="101"/>
      <c r="C230" s="101">
        <v>4</v>
      </c>
      <c r="D230" s="102" t="s">
        <v>608</v>
      </c>
      <c r="E230" s="103"/>
      <c r="F230" s="103"/>
      <c r="G230" s="103"/>
      <c r="H230" s="103" t="s">
        <v>609</v>
      </c>
      <c r="I230" s="103"/>
      <c r="J230" s="103"/>
      <c r="K230" s="103"/>
      <c r="L230" s="103"/>
      <c r="M230" s="103"/>
      <c r="N230" s="103"/>
      <c r="O230" s="104"/>
      <c r="P230" s="108">
        <v>45038</v>
      </c>
      <c r="Q230" s="108">
        <v>45050</v>
      </c>
      <c r="R230" s="106"/>
      <c r="S230" s="107">
        <v>13</v>
      </c>
      <c r="T230" s="107">
        <v>0</v>
      </c>
      <c r="U230" s="107">
        <v>13</v>
      </c>
      <c r="V230" s="107">
        <v>0</v>
      </c>
      <c r="W230" s="108"/>
      <c r="X230" s="108"/>
      <c r="Y230" s="109"/>
      <c r="Z230" s="110">
        <v>0</v>
      </c>
      <c r="AA230" s="107"/>
      <c r="AB230" s="111"/>
      <c r="AC230" s="112"/>
      <c r="AD230" s="113">
        <v>0</v>
      </c>
      <c r="AE230" s="134">
        <v>0</v>
      </c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5"/>
      <c r="CR230" s="115"/>
      <c r="CS230" s="115"/>
      <c r="CT230" s="115"/>
      <c r="CU230" s="115"/>
      <c r="CV230" s="115" t="str">
        <f>"      " &amp; TEXT(AE230,"#0.00%") &amp; " " &amp; "UT Hook up/Turn on" &amp; " " &amp; IF(P230="","",TEXT(P230,"M/D-")) &amp; IF(Q230="","",TEXT(Q230,"M/D")) &amp; " "</f>
        <v xml:space="preserve">      0.00% UT Hook up/Turn on 4/22-5/4 </v>
      </c>
      <c r="CW230" s="115"/>
      <c r="CX230" s="115"/>
      <c r="CY230" s="115"/>
      <c r="CZ230" s="115"/>
      <c r="DA230" s="115"/>
      <c r="DB230" s="115"/>
      <c r="DC230" s="115"/>
      <c r="DD230" s="115"/>
      <c r="DE230" s="115"/>
      <c r="DF230" s="115"/>
      <c r="DG230" s="115"/>
      <c r="DH230" s="115"/>
      <c r="DI230" s="115"/>
      <c r="DJ230" s="115"/>
      <c r="DK230" s="115"/>
      <c r="DL230" s="115"/>
      <c r="DM230" s="115"/>
      <c r="DN230" s="115"/>
      <c r="DO230" s="115"/>
      <c r="DP230" s="115"/>
      <c r="DQ230" s="115"/>
      <c r="DR230" s="115"/>
      <c r="DS230" s="115"/>
      <c r="DT230" s="115"/>
      <c r="DU230" s="115"/>
      <c r="DV230" s="115"/>
      <c r="DW230" s="115"/>
      <c r="DX230" s="115"/>
      <c r="DY230" s="115"/>
      <c r="DZ230" s="115"/>
      <c r="EA230" s="115"/>
      <c r="EB230" s="115"/>
      <c r="EC230" s="115"/>
      <c r="ED230" s="115"/>
      <c r="EE230" s="115"/>
      <c r="EF230" s="115"/>
      <c r="EG230" s="115"/>
      <c r="EH230" s="116"/>
    </row>
    <row r="231" spans="1:138" ht="12" customHeight="1" outlineLevel="2" x14ac:dyDescent="0.4">
      <c r="A231" s="101"/>
      <c r="B231" s="101" t="s">
        <v>325</v>
      </c>
      <c r="C231" s="101">
        <v>3</v>
      </c>
      <c r="D231" s="102" t="s">
        <v>610</v>
      </c>
      <c r="E231" s="103"/>
      <c r="F231" s="103"/>
      <c r="G231" s="103" t="s">
        <v>611</v>
      </c>
      <c r="H231" s="103"/>
      <c r="I231" s="103"/>
      <c r="J231" s="103"/>
      <c r="K231" s="103"/>
      <c r="L231" s="103"/>
      <c r="M231" s="103"/>
      <c r="N231" s="103"/>
      <c r="O231" s="104"/>
      <c r="P231" s="108">
        <v>45009</v>
      </c>
      <c r="Q231" s="108">
        <v>45097</v>
      </c>
      <c r="R231" s="106"/>
      <c r="S231" s="107">
        <v>119</v>
      </c>
      <c r="T231" s="107">
        <v>0</v>
      </c>
      <c r="U231" s="107">
        <v>89</v>
      </c>
      <c r="V231" s="107">
        <v>0</v>
      </c>
      <c r="W231" s="108"/>
      <c r="X231" s="108"/>
      <c r="Y231" s="109">
        <v>0</v>
      </c>
      <c r="Z231" s="110">
        <v>0</v>
      </c>
      <c r="AA231" s="107"/>
      <c r="AB231" s="111"/>
      <c r="AC231" s="112"/>
      <c r="AD231" s="113">
        <v>0</v>
      </c>
      <c r="AE231" s="137">
        <v>0</v>
      </c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 t="str">
        <f>"     " &amp; TEXT(AE231,"#0.00%") &amp; " "</f>
        <v xml:space="preserve">     0.00% </v>
      </c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 t="str">
        <f>"   " &amp; "제어" &amp; " " &amp; IF(P231="","",TEXT(P231,"M/D-")) &amp; IF(Q231="","",TEXT(Q231,"M/D")) &amp; " "</f>
        <v xml:space="preserve">   제어 3/24-6/20 </v>
      </c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6"/>
    </row>
    <row r="232" spans="1:138" ht="12" customHeight="1" outlineLevel="3" x14ac:dyDescent="0.4">
      <c r="A232" s="101"/>
      <c r="B232" s="101"/>
      <c r="C232" s="101">
        <v>4</v>
      </c>
      <c r="D232" s="102" t="s">
        <v>612</v>
      </c>
      <c r="E232" s="103"/>
      <c r="F232" s="103"/>
      <c r="G232" s="103"/>
      <c r="H232" s="103" t="s">
        <v>613</v>
      </c>
      <c r="I232" s="103"/>
      <c r="J232" s="103"/>
      <c r="K232" s="103"/>
      <c r="L232" s="103"/>
      <c r="M232" s="103"/>
      <c r="N232" s="103"/>
      <c r="O232" s="104"/>
      <c r="P232" s="108">
        <v>45009</v>
      </c>
      <c r="Q232" s="108">
        <v>45045</v>
      </c>
      <c r="R232" s="106"/>
      <c r="S232" s="107">
        <v>37</v>
      </c>
      <c r="T232" s="107">
        <v>0</v>
      </c>
      <c r="U232" s="107">
        <v>37</v>
      </c>
      <c r="V232" s="107">
        <v>0</v>
      </c>
      <c r="W232" s="108"/>
      <c r="X232" s="108"/>
      <c r="Y232" s="109"/>
      <c r="Z232" s="110">
        <v>0</v>
      </c>
      <c r="AA232" s="107"/>
      <c r="AB232" s="111"/>
      <c r="AC232" s="112"/>
      <c r="AD232" s="113">
        <v>0</v>
      </c>
      <c r="AE232" s="134">
        <v>0</v>
      </c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 t="str">
        <f>"     " &amp; TEXT(AE232,"#0.00%") &amp; " "</f>
        <v xml:space="preserve">     0.00% </v>
      </c>
      <c r="CS232" s="115"/>
      <c r="CT232" s="115"/>
      <c r="CU232" s="115"/>
      <c r="CV232" s="115"/>
      <c r="CW232" s="115"/>
      <c r="CX232" s="115" t="str">
        <f>"" &amp; "I/O CHECK" &amp; " " &amp; IF(P232="","",TEXT(P232,"M/D-")) &amp; IF(Q232="","",TEXT(Q232,"M/D")) &amp; " "</f>
        <v xml:space="preserve">I/O CHECK 3/24-4/29 </v>
      </c>
      <c r="CY232" s="115"/>
      <c r="CZ232" s="115"/>
      <c r="DA232" s="115"/>
      <c r="DB232" s="115"/>
      <c r="DC232" s="115"/>
      <c r="DD232" s="115"/>
      <c r="DE232" s="115"/>
      <c r="DF232" s="115"/>
      <c r="DG232" s="115"/>
      <c r="DH232" s="115"/>
      <c r="DI232" s="115"/>
      <c r="DJ232" s="115"/>
      <c r="DK232" s="115"/>
      <c r="DL232" s="115"/>
      <c r="DM232" s="115"/>
      <c r="DN232" s="115"/>
      <c r="DO232" s="115"/>
      <c r="DP232" s="115"/>
      <c r="DQ232" s="115"/>
      <c r="DR232" s="115"/>
      <c r="DS232" s="115"/>
      <c r="DT232" s="115"/>
      <c r="DU232" s="115"/>
      <c r="DV232" s="115"/>
      <c r="DW232" s="115"/>
      <c r="DX232" s="115"/>
      <c r="DY232" s="115"/>
      <c r="DZ232" s="115"/>
      <c r="EA232" s="115"/>
      <c r="EB232" s="115"/>
      <c r="EC232" s="115"/>
      <c r="ED232" s="115"/>
      <c r="EE232" s="115"/>
      <c r="EF232" s="115"/>
      <c r="EG232" s="115"/>
      <c r="EH232" s="116"/>
    </row>
    <row r="233" spans="1:138" ht="12" customHeight="1" outlineLevel="3" x14ac:dyDescent="0.4">
      <c r="A233" s="101"/>
      <c r="B233" s="101"/>
      <c r="C233" s="101">
        <v>4</v>
      </c>
      <c r="D233" s="102" t="s">
        <v>614</v>
      </c>
      <c r="E233" s="103"/>
      <c r="F233" s="103"/>
      <c r="G233" s="103"/>
      <c r="H233" s="103" t="s">
        <v>615</v>
      </c>
      <c r="I233" s="103"/>
      <c r="J233" s="103"/>
      <c r="K233" s="103"/>
      <c r="L233" s="103"/>
      <c r="M233" s="103"/>
      <c r="N233" s="103"/>
      <c r="O233" s="104"/>
      <c r="P233" s="108">
        <v>45016</v>
      </c>
      <c r="Q233" s="108">
        <v>45097</v>
      </c>
      <c r="R233" s="106"/>
      <c r="S233" s="107">
        <v>82</v>
      </c>
      <c r="T233" s="107">
        <v>0</v>
      </c>
      <c r="U233" s="107">
        <v>82</v>
      </c>
      <c r="V233" s="107">
        <v>0</v>
      </c>
      <c r="W233" s="108"/>
      <c r="X233" s="108"/>
      <c r="Y233" s="109"/>
      <c r="Z233" s="110">
        <v>0</v>
      </c>
      <c r="AA233" s="107"/>
      <c r="AB233" s="111"/>
      <c r="AC233" s="112"/>
      <c r="AD233" s="113">
        <v>0</v>
      </c>
      <c r="AE233" s="134">
        <v>0</v>
      </c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 t="str">
        <f>"     " &amp; TEXT(AE233,"#0.00%") &amp; " "</f>
        <v xml:space="preserve">     0.00% </v>
      </c>
      <c r="CT233" s="115"/>
      <c r="CU233" s="115"/>
      <c r="CV233" s="115"/>
      <c r="CW233" s="115"/>
      <c r="CX233" s="115"/>
      <c r="CY233" s="115"/>
      <c r="CZ233" s="115"/>
      <c r="DA233" s="115"/>
      <c r="DB233" s="115"/>
      <c r="DC233" s="115"/>
      <c r="DD233" s="115"/>
      <c r="DE233" s="115" t="str">
        <f>"   " &amp; "TEACHING 및 단동 TEST" &amp; " " &amp; IF(P233="","",TEXT(P233,"M/D-")) &amp; IF(Q233="","",TEXT(Q233,"M/D")) &amp; " "</f>
        <v xml:space="preserve">   TEACHING 및 단동 TEST 3/31-6/20 </v>
      </c>
      <c r="DF233" s="115"/>
      <c r="DG233" s="115"/>
      <c r="DH233" s="115"/>
      <c r="DI233" s="115"/>
      <c r="DJ233" s="115"/>
      <c r="DK233" s="115"/>
      <c r="DL233" s="115"/>
      <c r="DM233" s="115"/>
      <c r="DN233" s="115"/>
      <c r="DO233" s="115"/>
      <c r="DP233" s="115"/>
      <c r="DQ233" s="115"/>
      <c r="DR233" s="115"/>
      <c r="DS233" s="115"/>
      <c r="DT233" s="115"/>
      <c r="DU233" s="115"/>
      <c r="DV233" s="115"/>
      <c r="DW233" s="115"/>
      <c r="DX233" s="115"/>
      <c r="DY233" s="115"/>
      <c r="DZ233" s="115"/>
      <c r="EA233" s="115"/>
      <c r="EB233" s="115"/>
      <c r="EC233" s="115"/>
      <c r="ED233" s="115"/>
      <c r="EE233" s="115"/>
      <c r="EF233" s="115"/>
      <c r="EG233" s="115"/>
      <c r="EH233" s="116"/>
    </row>
    <row r="234" spans="1:138" ht="12" customHeight="1" outlineLevel="1" x14ac:dyDescent="0.4">
      <c r="A234" s="101"/>
      <c r="B234" s="101" t="s">
        <v>325</v>
      </c>
      <c r="C234" s="101">
        <v>2</v>
      </c>
      <c r="D234" s="102" t="s">
        <v>616</v>
      </c>
      <c r="E234" s="103"/>
      <c r="F234" s="103" t="s">
        <v>344</v>
      </c>
      <c r="G234" s="103"/>
      <c r="H234" s="103"/>
      <c r="I234" s="103"/>
      <c r="J234" s="103"/>
      <c r="K234" s="103"/>
      <c r="L234" s="103"/>
      <c r="M234" s="103"/>
      <c r="N234" s="103"/>
      <c r="O234" s="104" t="s">
        <v>345</v>
      </c>
      <c r="P234" s="108">
        <v>44995</v>
      </c>
      <c r="Q234" s="108">
        <v>45079</v>
      </c>
      <c r="R234" s="106"/>
      <c r="S234" s="107">
        <v>146</v>
      </c>
      <c r="T234" s="107">
        <v>0</v>
      </c>
      <c r="U234" s="107">
        <v>85</v>
      </c>
      <c r="V234" s="107">
        <v>0</v>
      </c>
      <c r="W234" s="108"/>
      <c r="X234" s="108"/>
      <c r="Y234" s="109">
        <v>0</v>
      </c>
      <c r="Z234" s="110">
        <v>0</v>
      </c>
      <c r="AA234" s="107"/>
      <c r="AB234" s="111"/>
      <c r="AC234" s="112"/>
      <c r="AD234" s="113">
        <v>0</v>
      </c>
      <c r="AE234" s="137">
        <v>0</v>
      </c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  <c r="BN234" s="115"/>
      <c r="BO234" s="115"/>
      <c r="BP234" s="115"/>
      <c r="BQ234" s="115"/>
      <c r="BR234" s="115"/>
      <c r="BS234" s="115"/>
      <c r="BT234" s="115"/>
      <c r="BU234" s="115"/>
      <c r="BV234" s="115"/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 t="str">
        <f>"     " &amp; TEXT(AE234,"#0.00%") &amp; " "</f>
        <v xml:space="preserve">     0.00% </v>
      </c>
      <c r="CQ234" s="115"/>
      <c r="CR234" s="115"/>
      <c r="CS234" s="115"/>
      <c r="CT234" s="115"/>
      <c r="CU234" s="115"/>
      <c r="CV234" s="115"/>
      <c r="CW234" s="115"/>
      <c r="CX234" s="115"/>
      <c r="CY234" s="115"/>
      <c r="CZ234" s="115"/>
      <c r="DA234" s="115"/>
      <c r="DB234" s="115" t="str">
        <f>"      " &amp; "BUFFER 입출고 물류" &amp; " " &amp; IF(P234="","",TEXT(P234,"M/D-")) &amp; IF(Q234="","",TEXT(Q234,"M/D")) &amp; " "</f>
        <v xml:space="preserve">      BUFFER 입출고 물류 3/10-6/2 </v>
      </c>
      <c r="DC234" s="115"/>
      <c r="DD234" s="115"/>
      <c r="DE234" s="115"/>
      <c r="DF234" s="115"/>
      <c r="DG234" s="115"/>
      <c r="DH234" s="115"/>
      <c r="DI234" s="115"/>
      <c r="DJ234" s="115"/>
      <c r="DK234" s="115"/>
      <c r="DL234" s="115"/>
      <c r="DM234" s="115"/>
      <c r="DN234" s="115"/>
      <c r="DO234" s="115"/>
      <c r="DP234" s="115"/>
      <c r="DQ234" s="115"/>
      <c r="DR234" s="115"/>
      <c r="DS234" s="115"/>
      <c r="DT234" s="115"/>
      <c r="DU234" s="115"/>
      <c r="DV234" s="115"/>
      <c r="DW234" s="115"/>
      <c r="DX234" s="115"/>
      <c r="DY234" s="115"/>
      <c r="DZ234" s="115"/>
      <c r="EA234" s="115"/>
      <c r="EB234" s="115"/>
      <c r="EC234" s="115"/>
      <c r="ED234" s="115"/>
      <c r="EE234" s="115"/>
      <c r="EF234" s="115"/>
      <c r="EG234" s="115"/>
      <c r="EH234" s="116"/>
    </row>
    <row r="235" spans="1:138" ht="12" customHeight="1" outlineLevel="2" x14ac:dyDescent="0.4">
      <c r="A235" s="101"/>
      <c r="B235" s="101" t="s">
        <v>325</v>
      </c>
      <c r="C235" s="101">
        <v>3</v>
      </c>
      <c r="D235" s="102" t="s">
        <v>617</v>
      </c>
      <c r="E235" s="103"/>
      <c r="F235" s="103"/>
      <c r="G235" s="103" t="s">
        <v>597</v>
      </c>
      <c r="H235" s="103"/>
      <c r="I235" s="103"/>
      <c r="J235" s="103"/>
      <c r="K235" s="103"/>
      <c r="L235" s="103"/>
      <c r="M235" s="103"/>
      <c r="N235" s="103"/>
      <c r="O235" s="104"/>
      <c r="P235" s="108">
        <v>44995</v>
      </c>
      <c r="Q235" s="108">
        <v>45056</v>
      </c>
      <c r="R235" s="106"/>
      <c r="S235" s="107">
        <v>62</v>
      </c>
      <c r="T235" s="107">
        <v>0</v>
      </c>
      <c r="U235" s="107">
        <v>62</v>
      </c>
      <c r="V235" s="107">
        <v>0</v>
      </c>
      <c r="W235" s="108"/>
      <c r="X235" s="108"/>
      <c r="Y235" s="109">
        <v>0</v>
      </c>
      <c r="Z235" s="110">
        <v>0</v>
      </c>
      <c r="AA235" s="107"/>
      <c r="AB235" s="111"/>
      <c r="AC235" s="112"/>
      <c r="AD235" s="113">
        <v>0</v>
      </c>
      <c r="AE235" s="137">
        <v>0</v>
      </c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 t="str">
        <f>"     " &amp; TEXT(AE235,"#0.00%") &amp; " "</f>
        <v xml:space="preserve">     0.00% </v>
      </c>
      <c r="CQ235" s="115"/>
      <c r="CR235" s="115"/>
      <c r="CS235" s="115"/>
      <c r="CT235" s="115"/>
      <c r="CU235" s="115"/>
      <c r="CV235" s="115"/>
      <c r="CW235" s="115"/>
      <c r="CX235" s="115"/>
      <c r="CY235" s="115" t="str">
        <f>"    " &amp; "기구" &amp; " " &amp; IF(P235="","",TEXT(P235,"M/D-")) &amp; IF(Q235="","",TEXT(Q235,"M/D")) &amp; " "</f>
        <v xml:space="preserve">    기구 3/10-5/10 </v>
      </c>
      <c r="CZ235" s="115"/>
      <c r="DA235" s="115"/>
      <c r="DB235" s="115"/>
      <c r="DC235" s="115"/>
      <c r="DD235" s="115"/>
      <c r="DE235" s="115"/>
      <c r="DF235" s="115"/>
      <c r="DG235" s="115"/>
      <c r="DH235" s="115"/>
      <c r="DI235" s="115"/>
      <c r="DJ235" s="115"/>
      <c r="DK235" s="115"/>
      <c r="DL235" s="115"/>
      <c r="DM235" s="115"/>
      <c r="DN235" s="115"/>
      <c r="DO235" s="115"/>
      <c r="DP235" s="115"/>
      <c r="DQ235" s="115"/>
      <c r="DR235" s="115"/>
      <c r="DS235" s="115"/>
      <c r="DT235" s="115"/>
      <c r="DU235" s="115"/>
      <c r="DV235" s="115"/>
      <c r="DW235" s="115"/>
      <c r="DX235" s="115"/>
      <c r="DY235" s="115"/>
      <c r="DZ235" s="115"/>
      <c r="EA235" s="115"/>
      <c r="EB235" s="115"/>
      <c r="EC235" s="115"/>
      <c r="ED235" s="115"/>
      <c r="EE235" s="115"/>
      <c r="EF235" s="115"/>
      <c r="EG235" s="115"/>
      <c r="EH235" s="116"/>
    </row>
    <row r="236" spans="1:138" ht="12" customHeight="1" outlineLevel="3" x14ac:dyDescent="0.4">
      <c r="A236" s="101"/>
      <c r="B236" s="101"/>
      <c r="C236" s="101">
        <v>4</v>
      </c>
      <c r="D236" s="102" t="s">
        <v>618</v>
      </c>
      <c r="E236" s="103"/>
      <c r="F236" s="103"/>
      <c r="G236" s="103"/>
      <c r="H236" s="103" t="s">
        <v>619</v>
      </c>
      <c r="I236" s="103"/>
      <c r="J236" s="103"/>
      <c r="K236" s="103"/>
      <c r="L236" s="103"/>
      <c r="M236" s="103"/>
      <c r="N236" s="103"/>
      <c r="O236" s="104"/>
      <c r="P236" s="108">
        <v>44995</v>
      </c>
      <c r="Q236" s="108">
        <v>45026</v>
      </c>
      <c r="R236" s="106"/>
      <c r="S236" s="107">
        <v>32</v>
      </c>
      <c r="T236" s="107">
        <v>0</v>
      </c>
      <c r="U236" s="107">
        <v>32</v>
      </c>
      <c r="V236" s="107">
        <v>0</v>
      </c>
      <c r="W236" s="108"/>
      <c r="X236" s="108"/>
      <c r="Y236" s="109"/>
      <c r="Z236" s="110">
        <v>0</v>
      </c>
      <c r="AA236" s="107"/>
      <c r="AB236" s="111"/>
      <c r="AC236" s="112"/>
      <c r="AD236" s="113">
        <v>0</v>
      </c>
      <c r="AE236" s="134">
        <v>0</v>
      </c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  <c r="BN236" s="115"/>
      <c r="BO236" s="115"/>
      <c r="BP236" s="115"/>
      <c r="BQ236" s="115"/>
      <c r="BR236" s="115"/>
      <c r="BS236" s="115"/>
      <c r="BT236" s="115"/>
      <c r="BU236" s="115"/>
      <c r="BV236" s="115"/>
      <c r="BW236" s="115"/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 t="str">
        <f>"     " &amp; TEXT(AE236,"#0.00%") &amp; " "</f>
        <v xml:space="preserve">     0.00% </v>
      </c>
      <c r="CQ236" s="115"/>
      <c r="CR236" s="115"/>
      <c r="CS236" s="115"/>
      <c r="CT236" s="115"/>
      <c r="CU236" s="115" t="str">
        <f>"  " &amp; "입구단 설치" &amp; " " &amp; IF(P236="","",TEXT(P236,"M/D-")) &amp; IF(Q236="","",TEXT(Q236,"M/D")) &amp; " "</f>
        <v xml:space="preserve">  입구단 설치 3/10-4/10 </v>
      </c>
      <c r="CV236" s="115"/>
      <c r="CW236" s="115"/>
      <c r="CX236" s="115"/>
      <c r="CY236" s="115"/>
      <c r="CZ236" s="115"/>
      <c r="DA236" s="115"/>
      <c r="DB236" s="115"/>
      <c r="DC236" s="115"/>
      <c r="DD236" s="115"/>
      <c r="DE236" s="115"/>
      <c r="DF236" s="115"/>
      <c r="DG236" s="115"/>
      <c r="DH236" s="115"/>
      <c r="DI236" s="115"/>
      <c r="DJ236" s="115"/>
      <c r="DK236" s="115"/>
      <c r="DL236" s="115"/>
      <c r="DM236" s="115"/>
      <c r="DN236" s="115"/>
      <c r="DO236" s="115"/>
      <c r="DP236" s="115"/>
      <c r="DQ236" s="115"/>
      <c r="DR236" s="115"/>
      <c r="DS236" s="115"/>
      <c r="DT236" s="115"/>
      <c r="DU236" s="115"/>
      <c r="DV236" s="115"/>
      <c r="DW236" s="115"/>
      <c r="DX236" s="115"/>
      <c r="DY236" s="115"/>
      <c r="DZ236" s="115"/>
      <c r="EA236" s="115"/>
      <c r="EB236" s="115"/>
      <c r="EC236" s="115"/>
      <c r="ED236" s="115"/>
      <c r="EE236" s="115"/>
      <c r="EF236" s="115"/>
      <c r="EG236" s="115"/>
      <c r="EH236" s="116"/>
    </row>
    <row r="237" spans="1:138" ht="12" customHeight="1" outlineLevel="3" x14ac:dyDescent="0.4">
      <c r="A237" s="101"/>
      <c r="B237" s="101"/>
      <c r="C237" s="101">
        <v>4</v>
      </c>
      <c r="D237" s="102" t="s">
        <v>620</v>
      </c>
      <c r="E237" s="103"/>
      <c r="F237" s="103"/>
      <c r="G237" s="103"/>
      <c r="H237" s="103" t="s">
        <v>621</v>
      </c>
      <c r="I237" s="103"/>
      <c r="J237" s="103"/>
      <c r="K237" s="103"/>
      <c r="L237" s="103"/>
      <c r="M237" s="103"/>
      <c r="N237" s="103"/>
      <c r="O237" s="104"/>
      <c r="P237" s="108">
        <v>45027</v>
      </c>
      <c r="Q237" s="108">
        <v>45056</v>
      </c>
      <c r="R237" s="106"/>
      <c r="S237" s="107">
        <v>30</v>
      </c>
      <c r="T237" s="107">
        <v>0</v>
      </c>
      <c r="U237" s="107">
        <v>30</v>
      </c>
      <c r="V237" s="107">
        <v>0</v>
      </c>
      <c r="W237" s="108"/>
      <c r="X237" s="108"/>
      <c r="Y237" s="109"/>
      <c r="Z237" s="110">
        <v>0</v>
      </c>
      <c r="AA237" s="107"/>
      <c r="AB237" s="111"/>
      <c r="AC237" s="112"/>
      <c r="AD237" s="113">
        <v>0</v>
      </c>
      <c r="AE237" s="134">
        <v>0</v>
      </c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  <c r="CQ237" s="115"/>
      <c r="CR237" s="115"/>
      <c r="CS237" s="115"/>
      <c r="CT237" s="115"/>
      <c r="CU237" s="115" t="str">
        <f>"  " &amp; TEXT(AE237,"#0.00%") &amp; " "</f>
        <v xml:space="preserve">  0.00% </v>
      </c>
      <c r="CV237" s="115"/>
      <c r="CW237" s="115"/>
      <c r="CX237" s="115"/>
      <c r="CY237" s="115" t="str">
        <f>"    " &amp; "출구단 설치" &amp; " " &amp; IF(P237="","",TEXT(P237,"M/D-")) &amp; IF(Q237="","",TEXT(Q237,"M/D")) &amp; " "</f>
        <v xml:space="preserve">    출구단 설치 4/11-5/10 </v>
      </c>
      <c r="CZ237" s="115"/>
      <c r="DA237" s="115"/>
      <c r="DB237" s="115"/>
      <c r="DC237" s="115"/>
      <c r="DD237" s="115"/>
      <c r="DE237" s="115"/>
      <c r="DF237" s="115"/>
      <c r="DG237" s="115"/>
      <c r="DH237" s="115"/>
      <c r="DI237" s="115"/>
      <c r="DJ237" s="115"/>
      <c r="DK237" s="115"/>
      <c r="DL237" s="115"/>
      <c r="DM237" s="115"/>
      <c r="DN237" s="115"/>
      <c r="DO237" s="115"/>
      <c r="DP237" s="115"/>
      <c r="DQ237" s="115"/>
      <c r="DR237" s="115"/>
      <c r="DS237" s="115"/>
      <c r="DT237" s="115"/>
      <c r="DU237" s="115"/>
      <c r="DV237" s="115"/>
      <c r="DW237" s="115"/>
      <c r="DX237" s="115"/>
      <c r="DY237" s="115"/>
      <c r="DZ237" s="115"/>
      <c r="EA237" s="115"/>
      <c r="EB237" s="115"/>
      <c r="EC237" s="115"/>
      <c r="ED237" s="115"/>
      <c r="EE237" s="115"/>
      <c r="EF237" s="115"/>
      <c r="EG237" s="115"/>
      <c r="EH237" s="116"/>
    </row>
    <row r="238" spans="1:138" ht="12" customHeight="1" outlineLevel="2" x14ac:dyDescent="0.4">
      <c r="A238" s="101"/>
      <c r="B238" s="101" t="s">
        <v>325</v>
      </c>
      <c r="C238" s="101">
        <v>3</v>
      </c>
      <c r="D238" s="102" t="s">
        <v>622</v>
      </c>
      <c r="E238" s="103"/>
      <c r="F238" s="103"/>
      <c r="G238" s="103" t="s">
        <v>605</v>
      </c>
      <c r="H238" s="120"/>
      <c r="I238" s="103"/>
      <c r="J238" s="103"/>
      <c r="K238" s="103"/>
      <c r="L238" s="103"/>
      <c r="M238" s="103"/>
      <c r="N238" s="103"/>
      <c r="O238" s="104"/>
      <c r="P238" s="108">
        <v>45027</v>
      </c>
      <c r="Q238" s="108">
        <v>45066</v>
      </c>
      <c r="R238" s="106"/>
      <c r="S238" s="107">
        <v>41</v>
      </c>
      <c r="T238" s="107">
        <v>0</v>
      </c>
      <c r="U238" s="107">
        <v>40</v>
      </c>
      <c r="V238" s="107">
        <v>0</v>
      </c>
      <c r="W238" s="108"/>
      <c r="X238" s="108"/>
      <c r="Y238" s="109">
        <v>0</v>
      </c>
      <c r="Z238" s="110">
        <v>0</v>
      </c>
      <c r="AA238" s="107"/>
      <c r="AB238" s="111"/>
      <c r="AC238" s="112"/>
      <c r="AD238" s="113">
        <v>0</v>
      </c>
      <c r="AE238" s="137">
        <v>0</v>
      </c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  <c r="CS238" s="115"/>
      <c r="CT238" s="115"/>
      <c r="CU238" s="115" t="str">
        <f>"  " &amp; TEXT(AE238,"#0.00%") &amp; " "</f>
        <v xml:space="preserve">  0.00% </v>
      </c>
      <c r="CV238" s="115"/>
      <c r="CW238" s="115"/>
      <c r="CX238" s="115"/>
      <c r="CY238" s="115"/>
      <c r="CZ238" s="115"/>
      <c r="DA238" s="115" t="str">
        <f>"" &amp; "전장" &amp; " " &amp; IF(P238="","",TEXT(P238,"M/D-")) &amp; IF(Q238="","",TEXT(Q238,"M/D")) &amp; " "</f>
        <v xml:space="preserve">전장 4/11-5/20 </v>
      </c>
      <c r="DB238" s="115"/>
      <c r="DC238" s="115"/>
      <c r="DD238" s="115"/>
      <c r="DE238" s="115"/>
      <c r="DF238" s="115"/>
      <c r="DG238" s="115"/>
      <c r="DH238" s="115"/>
      <c r="DI238" s="115"/>
      <c r="DJ238" s="115"/>
      <c r="DK238" s="115"/>
      <c r="DL238" s="115"/>
      <c r="DM238" s="115"/>
      <c r="DN238" s="115"/>
      <c r="DO238" s="115"/>
      <c r="DP238" s="115"/>
      <c r="DQ238" s="115"/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6"/>
    </row>
    <row r="239" spans="1:138" ht="12" customHeight="1" outlineLevel="3" x14ac:dyDescent="0.4">
      <c r="A239" s="101"/>
      <c r="B239" s="101"/>
      <c r="C239" s="101">
        <v>4</v>
      </c>
      <c r="D239" s="102" t="s">
        <v>623</v>
      </c>
      <c r="E239" s="103"/>
      <c r="F239" s="103"/>
      <c r="G239" s="103"/>
      <c r="H239" s="103" t="s">
        <v>624</v>
      </c>
      <c r="I239" s="103"/>
      <c r="J239" s="103"/>
      <c r="K239" s="103"/>
      <c r="L239" s="103"/>
      <c r="M239" s="103"/>
      <c r="N239" s="103"/>
      <c r="O239" s="104"/>
      <c r="P239" s="108">
        <v>45027</v>
      </c>
      <c r="Q239" s="108">
        <v>45056</v>
      </c>
      <c r="R239" s="106"/>
      <c r="S239" s="107">
        <v>30</v>
      </c>
      <c r="T239" s="107">
        <v>0</v>
      </c>
      <c r="U239" s="107">
        <v>30</v>
      </c>
      <c r="V239" s="107">
        <v>0</v>
      </c>
      <c r="W239" s="108"/>
      <c r="X239" s="108"/>
      <c r="Y239" s="109"/>
      <c r="Z239" s="110">
        <v>0</v>
      </c>
      <c r="AA239" s="107"/>
      <c r="AB239" s="111"/>
      <c r="AC239" s="112"/>
      <c r="AD239" s="113">
        <v>0</v>
      </c>
      <c r="AE239" s="134">
        <v>0</v>
      </c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  <c r="CS239" s="115"/>
      <c r="CT239" s="115"/>
      <c r="CU239" s="115" t="str">
        <f>"  " &amp; TEXT(AE239,"#0.00%") &amp; " "</f>
        <v xml:space="preserve">  0.00% </v>
      </c>
      <c r="CV239" s="115"/>
      <c r="CW239" s="115"/>
      <c r="CX239" s="115"/>
      <c r="CY239" s="115" t="str">
        <f>"    " &amp; "전장 배선 " &amp; " " &amp; IF(P239="","",TEXT(P239,"M/D-")) &amp; IF(Q239="","",TEXT(Q239,"M/D")) &amp; " "</f>
        <v xml:space="preserve">    전장 배선  4/11-5/10 </v>
      </c>
      <c r="CZ239" s="115"/>
      <c r="DA239" s="115"/>
      <c r="DB239" s="115"/>
      <c r="DC239" s="115"/>
      <c r="DD239" s="115"/>
      <c r="DE239" s="115"/>
      <c r="DF239" s="115"/>
      <c r="DG239" s="115"/>
      <c r="DH239" s="115"/>
      <c r="DI239" s="115"/>
      <c r="DJ239" s="115"/>
      <c r="DK239" s="115"/>
      <c r="DL239" s="115"/>
      <c r="DM239" s="115"/>
      <c r="DN239" s="115"/>
      <c r="DO239" s="115"/>
      <c r="DP239" s="115"/>
      <c r="DQ239" s="115"/>
      <c r="DR239" s="115"/>
      <c r="DS239" s="115"/>
      <c r="DT239" s="115"/>
      <c r="DU239" s="115"/>
      <c r="DV239" s="115"/>
      <c r="DW239" s="115"/>
      <c r="DX239" s="115"/>
      <c r="DY239" s="115"/>
      <c r="DZ239" s="115"/>
      <c r="EA239" s="115"/>
      <c r="EB239" s="115"/>
      <c r="EC239" s="115"/>
      <c r="ED239" s="115"/>
      <c r="EE239" s="115"/>
      <c r="EF239" s="115"/>
      <c r="EG239" s="115"/>
      <c r="EH239" s="116"/>
    </row>
    <row r="240" spans="1:138" ht="12" customHeight="1" outlineLevel="3" x14ac:dyDescent="0.4">
      <c r="A240" s="101"/>
      <c r="B240" s="101"/>
      <c r="C240" s="101">
        <v>4</v>
      </c>
      <c r="D240" s="102" t="s">
        <v>625</v>
      </c>
      <c r="E240" s="103"/>
      <c r="F240" s="103"/>
      <c r="G240" s="103"/>
      <c r="H240" s="103" t="s">
        <v>609</v>
      </c>
      <c r="I240" s="103"/>
      <c r="J240" s="103"/>
      <c r="K240" s="103"/>
      <c r="L240" s="103"/>
      <c r="M240" s="103"/>
      <c r="N240" s="103"/>
      <c r="O240" s="104"/>
      <c r="P240" s="108">
        <v>45056</v>
      </c>
      <c r="Q240" s="108">
        <v>45066</v>
      </c>
      <c r="R240" s="106"/>
      <c r="S240" s="107">
        <v>11</v>
      </c>
      <c r="T240" s="107">
        <v>0</v>
      </c>
      <c r="U240" s="107">
        <v>11</v>
      </c>
      <c r="V240" s="107">
        <v>0</v>
      </c>
      <c r="W240" s="108"/>
      <c r="X240" s="108"/>
      <c r="Y240" s="109"/>
      <c r="Z240" s="110">
        <v>0</v>
      </c>
      <c r="AA240" s="107"/>
      <c r="AB240" s="111"/>
      <c r="AC240" s="112"/>
      <c r="AD240" s="113">
        <v>0</v>
      </c>
      <c r="AE240" s="134">
        <v>0</v>
      </c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  <c r="CS240" s="115"/>
      <c r="CT240" s="115"/>
      <c r="CU240" s="115"/>
      <c r="CV240" s="115"/>
      <c r="CW240" s="115"/>
      <c r="CX240" s="115"/>
      <c r="CY240" s="115" t="str">
        <f>"   " &amp; TEXT(AE240,"#0.00%") &amp; " " &amp; "UT Hook up/Turn on" &amp; " " &amp; IF(P240="","",TEXT(P240,"M/D-")) &amp; IF(Q240="","",TEXT(Q240,"M/D")) &amp; " "</f>
        <v xml:space="preserve">   0.00% UT Hook up/Turn on 5/10-5/20 </v>
      </c>
      <c r="CZ240" s="115"/>
      <c r="DA240" s="115"/>
      <c r="DB240" s="115"/>
      <c r="DC240" s="115"/>
      <c r="DD240" s="115"/>
      <c r="DE240" s="115"/>
      <c r="DF240" s="115"/>
      <c r="DG240" s="115"/>
      <c r="DH240" s="115"/>
      <c r="DI240" s="115"/>
      <c r="DJ240" s="115"/>
      <c r="DK240" s="115"/>
      <c r="DL240" s="115"/>
      <c r="DM240" s="115"/>
      <c r="DN240" s="115"/>
      <c r="DO240" s="115"/>
      <c r="DP240" s="115"/>
      <c r="DQ240" s="115"/>
      <c r="DR240" s="115"/>
      <c r="DS240" s="115"/>
      <c r="DT240" s="115"/>
      <c r="DU240" s="115"/>
      <c r="DV240" s="115"/>
      <c r="DW240" s="115"/>
      <c r="DX240" s="115"/>
      <c r="DY240" s="115"/>
      <c r="DZ240" s="115"/>
      <c r="EA240" s="115"/>
      <c r="EB240" s="115"/>
      <c r="EC240" s="115"/>
      <c r="ED240" s="115"/>
      <c r="EE240" s="115"/>
      <c r="EF240" s="115"/>
      <c r="EG240" s="115"/>
      <c r="EH240" s="116"/>
    </row>
    <row r="241" spans="1:138" ht="12" customHeight="1" outlineLevel="2" x14ac:dyDescent="0.4">
      <c r="A241" s="101"/>
      <c r="B241" s="101" t="s">
        <v>325</v>
      </c>
      <c r="C241" s="101">
        <v>3</v>
      </c>
      <c r="D241" s="102" t="s">
        <v>626</v>
      </c>
      <c r="E241" s="103"/>
      <c r="F241" s="103"/>
      <c r="G241" s="103" t="s">
        <v>611</v>
      </c>
      <c r="H241" s="103"/>
      <c r="I241" s="103"/>
      <c r="J241" s="103"/>
      <c r="K241" s="103"/>
      <c r="L241" s="103"/>
      <c r="M241" s="103"/>
      <c r="N241" s="103"/>
      <c r="O241" s="104"/>
      <c r="P241" s="108">
        <v>45047</v>
      </c>
      <c r="Q241" s="108">
        <v>45079</v>
      </c>
      <c r="R241" s="106"/>
      <c r="S241" s="107">
        <v>43</v>
      </c>
      <c r="T241" s="107">
        <v>0</v>
      </c>
      <c r="U241" s="107">
        <v>33</v>
      </c>
      <c r="V241" s="107">
        <v>0</v>
      </c>
      <c r="W241" s="108"/>
      <c r="X241" s="108"/>
      <c r="Y241" s="109">
        <v>0</v>
      </c>
      <c r="Z241" s="110">
        <v>0</v>
      </c>
      <c r="AA241" s="107"/>
      <c r="AB241" s="111"/>
      <c r="AC241" s="112"/>
      <c r="AD241" s="113">
        <v>0</v>
      </c>
      <c r="AE241" s="137">
        <v>0</v>
      </c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/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  <c r="CR241" s="115"/>
      <c r="CS241" s="115"/>
      <c r="CT241" s="115"/>
      <c r="CU241" s="115"/>
      <c r="CV241" s="115"/>
      <c r="CW241" s="115"/>
      <c r="CX241" s="115" t="str">
        <f>" " &amp; TEXT(AE241,"#0.00%") &amp; " "</f>
        <v xml:space="preserve"> 0.00% </v>
      </c>
      <c r="CY241" s="115"/>
      <c r="CZ241" s="115"/>
      <c r="DA241" s="115"/>
      <c r="DB241" s="115" t="str">
        <f>"      " &amp; "제어" &amp; " " &amp; IF(P241="","",TEXT(P241,"M/D-")) &amp; IF(Q241="","",TEXT(Q241,"M/D")) &amp; " "</f>
        <v xml:space="preserve">      제어 5/1-6/2 </v>
      </c>
      <c r="DC241" s="115"/>
      <c r="DD241" s="115"/>
      <c r="DE241" s="115"/>
      <c r="DF241" s="115"/>
      <c r="DG241" s="115"/>
      <c r="DH241" s="115"/>
      <c r="DI241" s="115"/>
      <c r="DJ241" s="115"/>
      <c r="DK241" s="115"/>
      <c r="DL241" s="115"/>
      <c r="DM241" s="115"/>
      <c r="DN241" s="115"/>
      <c r="DO241" s="115"/>
      <c r="DP241" s="115"/>
      <c r="DQ241" s="115"/>
      <c r="DR241" s="115"/>
      <c r="DS241" s="115"/>
      <c r="DT241" s="115"/>
      <c r="DU241" s="115"/>
      <c r="DV241" s="115"/>
      <c r="DW241" s="115"/>
      <c r="DX241" s="115"/>
      <c r="DY241" s="115"/>
      <c r="DZ241" s="115"/>
      <c r="EA241" s="115"/>
      <c r="EB241" s="115"/>
      <c r="EC241" s="115"/>
      <c r="ED241" s="115"/>
      <c r="EE241" s="115"/>
      <c r="EF241" s="115"/>
      <c r="EG241" s="115"/>
      <c r="EH241" s="116"/>
    </row>
    <row r="242" spans="1:138" ht="12" customHeight="1" outlineLevel="3" x14ac:dyDescent="0.4">
      <c r="A242" s="101"/>
      <c r="B242" s="101"/>
      <c r="C242" s="101">
        <v>4</v>
      </c>
      <c r="D242" s="102" t="s">
        <v>627</v>
      </c>
      <c r="E242" s="103"/>
      <c r="F242" s="103"/>
      <c r="G242" s="103"/>
      <c r="H242" s="103" t="s">
        <v>613</v>
      </c>
      <c r="I242" s="103"/>
      <c r="J242" s="103"/>
      <c r="K242" s="103"/>
      <c r="L242" s="103"/>
      <c r="M242" s="103"/>
      <c r="N242" s="103"/>
      <c r="O242" s="104"/>
      <c r="P242" s="108">
        <v>45047</v>
      </c>
      <c r="Q242" s="108">
        <v>45065</v>
      </c>
      <c r="R242" s="106"/>
      <c r="S242" s="107">
        <v>19</v>
      </c>
      <c r="T242" s="107">
        <v>0</v>
      </c>
      <c r="U242" s="107">
        <v>19</v>
      </c>
      <c r="V242" s="107">
        <v>0</v>
      </c>
      <c r="W242" s="108"/>
      <c r="X242" s="108"/>
      <c r="Y242" s="109"/>
      <c r="Z242" s="110">
        <v>0</v>
      </c>
      <c r="AA242" s="107"/>
      <c r="AB242" s="111"/>
      <c r="AC242" s="112"/>
      <c r="AD242" s="113">
        <v>0</v>
      </c>
      <c r="AE242" s="134">
        <v>0</v>
      </c>
      <c r="AF242" s="115"/>
      <c r="AG242" s="115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  <c r="CR242" s="115"/>
      <c r="CS242" s="115"/>
      <c r="CT242" s="115"/>
      <c r="CU242" s="115"/>
      <c r="CV242" s="115"/>
      <c r="CW242" s="115"/>
      <c r="CX242" s="115" t="str">
        <f>" " &amp; TEXT(AE242,"#0.00%") &amp; " " &amp; "I/O CHECK" &amp; " " &amp; IF(P242="","",TEXT(P242,"M/D-")) &amp; IF(Q242="","",TEXT(Q242,"M/D")) &amp; " "</f>
        <v xml:space="preserve"> 0.00% I/O CHECK 5/1-5/19 </v>
      </c>
      <c r="CY242" s="115"/>
      <c r="CZ242" s="115"/>
      <c r="DA242" s="115"/>
      <c r="DB242" s="115"/>
      <c r="DC242" s="115"/>
      <c r="DD242" s="115"/>
      <c r="DE242" s="115"/>
      <c r="DF242" s="115"/>
      <c r="DG242" s="115"/>
      <c r="DH242" s="115"/>
      <c r="DI242" s="115"/>
      <c r="DJ242" s="115"/>
      <c r="DK242" s="115"/>
      <c r="DL242" s="115"/>
      <c r="DM242" s="115"/>
      <c r="DN242" s="115"/>
      <c r="DO242" s="115"/>
      <c r="DP242" s="115"/>
      <c r="DQ242" s="115"/>
      <c r="DR242" s="115"/>
      <c r="DS242" s="115"/>
      <c r="DT242" s="115"/>
      <c r="DU242" s="115"/>
      <c r="DV242" s="115"/>
      <c r="DW242" s="115"/>
      <c r="DX242" s="115"/>
      <c r="DY242" s="115"/>
      <c r="DZ242" s="115"/>
      <c r="EA242" s="115"/>
      <c r="EB242" s="115"/>
      <c r="EC242" s="115"/>
      <c r="ED242" s="115"/>
      <c r="EE242" s="115"/>
      <c r="EF242" s="115"/>
      <c r="EG242" s="115"/>
      <c r="EH242" s="116"/>
    </row>
    <row r="243" spans="1:138" ht="12" customHeight="1" outlineLevel="3" x14ac:dyDescent="0.4">
      <c r="A243" s="101"/>
      <c r="B243" s="101"/>
      <c r="C243" s="101">
        <v>4</v>
      </c>
      <c r="D243" s="102" t="s">
        <v>628</v>
      </c>
      <c r="E243" s="103"/>
      <c r="F243" s="103"/>
      <c r="G243" s="103"/>
      <c r="H243" s="103" t="s">
        <v>433</v>
      </c>
      <c r="I243" s="103"/>
      <c r="J243" s="103"/>
      <c r="K243" s="103"/>
      <c r="L243" s="103"/>
      <c r="M243" s="103"/>
      <c r="N243" s="103"/>
      <c r="O243" s="104"/>
      <c r="P243" s="108">
        <v>45056</v>
      </c>
      <c r="Q243" s="108">
        <v>45079</v>
      </c>
      <c r="R243" s="106"/>
      <c r="S243" s="107">
        <v>24</v>
      </c>
      <c r="T243" s="107">
        <v>0</v>
      </c>
      <c r="U243" s="107">
        <v>24</v>
      </c>
      <c r="V243" s="107">
        <v>0</v>
      </c>
      <c r="W243" s="108"/>
      <c r="X243" s="108"/>
      <c r="Y243" s="109"/>
      <c r="Z243" s="110">
        <v>0</v>
      </c>
      <c r="AA243" s="107"/>
      <c r="AB243" s="111"/>
      <c r="AC243" s="112"/>
      <c r="AD243" s="113">
        <v>0</v>
      </c>
      <c r="AE243" s="134">
        <v>0</v>
      </c>
      <c r="AF243" s="115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  <c r="BN243" s="115"/>
      <c r="BO243" s="115"/>
      <c r="BP243" s="115"/>
      <c r="BQ243" s="115"/>
      <c r="BR243" s="115"/>
      <c r="BS243" s="115"/>
      <c r="BT243" s="115"/>
      <c r="BU243" s="115"/>
      <c r="BV243" s="115"/>
      <c r="BW243" s="115"/>
      <c r="BX243" s="115"/>
      <c r="BY243" s="115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115"/>
      <c r="CJ243" s="115"/>
      <c r="CK243" s="115"/>
      <c r="CL243" s="115"/>
      <c r="CM243" s="115"/>
      <c r="CN243" s="115"/>
      <c r="CO243" s="115"/>
      <c r="CP243" s="115"/>
      <c r="CQ243" s="115"/>
      <c r="CR243" s="115"/>
      <c r="CS243" s="115"/>
      <c r="CT243" s="115"/>
      <c r="CU243" s="115"/>
      <c r="CV243" s="115"/>
      <c r="CW243" s="115"/>
      <c r="CX243" s="115"/>
      <c r="CY243" s="115" t="str">
        <f>"   " &amp; TEXT(AE243,"#0.00%") &amp; " "</f>
        <v xml:space="preserve">   0.00% </v>
      </c>
      <c r="CZ243" s="115"/>
      <c r="DA243" s="115"/>
      <c r="DB243" s="115" t="str">
        <f>"      " &amp; "단동 TEST" &amp; " " &amp; IF(P243="","",TEXT(P243,"M/D-")) &amp; IF(Q243="","",TEXT(Q243,"M/D")) &amp; " "</f>
        <v xml:space="preserve">      단동 TEST 5/10-6/2 </v>
      </c>
      <c r="DC243" s="115"/>
      <c r="DD243" s="115"/>
      <c r="DE243" s="115"/>
      <c r="DF243" s="115"/>
      <c r="DG243" s="115"/>
      <c r="DH243" s="115"/>
      <c r="DI243" s="115"/>
      <c r="DJ243" s="115"/>
      <c r="DK243" s="115"/>
      <c r="DL243" s="115"/>
      <c r="DM243" s="115"/>
      <c r="DN243" s="115"/>
      <c r="DO243" s="115"/>
      <c r="DP243" s="115"/>
      <c r="DQ243" s="115"/>
      <c r="DR243" s="115"/>
      <c r="DS243" s="115"/>
      <c r="DT243" s="115"/>
      <c r="DU243" s="115"/>
      <c r="DV243" s="115"/>
      <c r="DW243" s="115"/>
      <c r="DX243" s="115"/>
      <c r="DY243" s="115"/>
      <c r="DZ243" s="115"/>
      <c r="EA243" s="115"/>
      <c r="EB243" s="115"/>
      <c r="EC243" s="115"/>
      <c r="ED243" s="115"/>
      <c r="EE243" s="115"/>
      <c r="EF243" s="115"/>
      <c r="EG243" s="115"/>
      <c r="EH243" s="116"/>
    </row>
    <row r="244" spans="1:138" ht="12" customHeight="1" outlineLevel="1" x14ac:dyDescent="0.4">
      <c r="A244" s="101"/>
      <c r="B244" s="101" t="s">
        <v>325</v>
      </c>
      <c r="C244" s="101">
        <v>2</v>
      </c>
      <c r="D244" s="102" t="s">
        <v>629</v>
      </c>
      <c r="E244" s="103"/>
      <c r="F244" s="103" t="s">
        <v>353</v>
      </c>
      <c r="G244" s="103"/>
      <c r="H244" s="103"/>
      <c r="I244" s="103"/>
      <c r="J244" s="103"/>
      <c r="K244" s="103"/>
      <c r="L244" s="103"/>
      <c r="M244" s="103"/>
      <c r="N244" s="103"/>
      <c r="O244" s="104" t="s">
        <v>345</v>
      </c>
      <c r="P244" s="108">
        <v>45011</v>
      </c>
      <c r="Q244" s="108">
        <v>45169</v>
      </c>
      <c r="R244" s="106"/>
      <c r="S244" s="107">
        <v>182</v>
      </c>
      <c r="T244" s="107">
        <v>0</v>
      </c>
      <c r="U244" s="107">
        <v>159</v>
      </c>
      <c r="V244" s="107">
        <v>0</v>
      </c>
      <c r="W244" s="108"/>
      <c r="X244" s="108"/>
      <c r="Y244" s="109">
        <v>0</v>
      </c>
      <c r="Z244" s="110">
        <v>0</v>
      </c>
      <c r="AA244" s="107"/>
      <c r="AB244" s="111"/>
      <c r="AC244" s="112"/>
      <c r="AD244" s="113">
        <v>0</v>
      </c>
      <c r="AE244" s="137">
        <v>0</v>
      </c>
      <c r="AF244" s="115"/>
      <c r="AG244" s="115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  <c r="BN244" s="115"/>
      <c r="BO244" s="115"/>
      <c r="BP244" s="115"/>
      <c r="BQ244" s="115"/>
      <c r="BR244" s="115"/>
      <c r="BS244" s="115"/>
      <c r="BT244" s="115"/>
      <c r="BU244" s="115"/>
      <c r="BV244" s="115"/>
      <c r="BW244" s="115"/>
      <c r="BX244" s="115"/>
      <c r="BY244" s="115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5"/>
      <c r="CR244" s="115"/>
      <c r="CS244" s="115" t="str">
        <f>"" &amp; TEXT(AE244,"#0.00%") &amp; " "</f>
        <v xml:space="preserve">0.00% </v>
      </c>
      <c r="CT244" s="115"/>
      <c r="CU244" s="115"/>
      <c r="CV244" s="115"/>
      <c r="CW244" s="115"/>
      <c r="CX244" s="115"/>
      <c r="CY244" s="115"/>
      <c r="CZ244" s="115"/>
      <c r="DA244" s="115"/>
      <c r="DB244" s="115"/>
      <c r="DC244" s="115"/>
      <c r="DD244" s="115"/>
      <c r="DE244" s="115"/>
      <c r="DF244" s="115"/>
      <c r="DG244" s="115"/>
      <c r="DH244" s="115"/>
      <c r="DI244" s="115"/>
      <c r="DJ244" s="115"/>
      <c r="DK244" s="115"/>
      <c r="DL244" s="115"/>
      <c r="DM244" s="115"/>
      <c r="DN244" s="115"/>
      <c r="DO244" s="115" t="str">
        <f>"     " &amp; "외관검사기 물류" &amp; " " &amp; IF(P244="","",TEXT(P244,"M/D-")) &amp; IF(Q244="","",TEXT(Q244,"M/D")) &amp; " "</f>
        <v xml:space="preserve">     외관검사기 물류 3/26-8/31 </v>
      </c>
      <c r="DP244" s="115"/>
      <c r="DQ244" s="115"/>
      <c r="DR244" s="115"/>
      <c r="DS244" s="115"/>
      <c r="DT244" s="115"/>
      <c r="DU244" s="115"/>
      <c r="DV244" s="115"/>
      <c r="DW244" s="115"/>
      <c r="DX244" s="115"/>
      <c r="DY244" s="115"/>
      <c r="DZ244" s="115"/>
      <c r="EA244" s="115"/>
      <c r="EB244" s="115"/>
      <c r="EC244" s="115"/>
      <c r="ED244" s="115"/>
      <c r="EE244" s="115"/>
      <c r="EF244" s="115"/>
      <c r="EG244" s="115"/>
      <c r="EH244" s="116"/>
    </row>
    <row r="245" spans="1:138" ht="12" customHeight="1" outlineLevel="2" x14ac:dyDescent="0.4">
      <c r="A245" s="101"/>
      <c r="B245" s="101" t="s">
        <v>325</v>
      </c>
      <c r="C245" s="101">
        <v>3</v>
      </c>
      <c r="D245" s="102" t="s">
        <v>630</v>
      </c>
      <c r="E245" s="103"/>
      <c r="F245" s="103"/>
      <c r="G245" s="103" t="s">
        <v>597</v>
      </c>
      <c r="H245" s="103"/>
      <c r="I245" s="103"/>
      <c r="J245" s="103"/>
      <c r="K245" s="103"/>
      <c r="L245" s="103"/>
      <c r="M245" s="103"/>
      <c r="N245" s="103"/>
      <c r="O245" s="104"/>
      <c r="P245" s="108">
        <v>45011</v>
      </c>
      <c r="Q245" s="108">
        <v>45046</v>
      </c>
      <c r="R245" s="106"/>
      <c r="S245" s="107">
        <v>36</v>
      </c>
      <c r="T245" s="107">
        <v>0</v>
      </c>
      <c r="U245" s="107">
        <v>36</v>
      </c>
      <c r="V245" s="107">
        <v>0</v>
      </c>
      <c r="W245" s="108"/>
      <c r="X245" s="108"/>
      <c r="Y245" s="109">
        <v>0</v>
      </c>
      <c r="Z245" s="110">
        <v>0</v>
      </c>
      <c r="AA245" s="107"/>
      <c r="AB245" s="111"/>
      <c r="AC245" s="112"/>
      <c r="AD245" s="113">
        <v>0</v>
      </c>
      <c r="AE245" s="137">
        <v>0</v>
      </c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5"/>
      <c r="CR245" s="115"/>
      <c r="CS245" s="115" t="str">
        <f>"" &amp; TEXT(AE245,"#0.00%") &amp; " "</f>
        <v xml:space="preserve">0.00% </v>
      </c>
      <c r="CT245" s="115"/>
      <c r="CU245" s="115"/>
      <c r="CV245" s="115"/>
      <c r="CW245" s="115"/>
      <c r="CX245" s="115" t="str">
        <f>" " &amp; "기구" &amp; " " &amp; IF(P245="","",TEXT(P245,"M/D-")) &amp; IF(Q245="","",TEXT(Q245,"M/D")) &amp; " "</f>
        <v xml:space="preserve"> 기구 3/26-4/30 </v>
      </c>
      <c r="CY245" s="115"/>
      <c r="CZ245" s="115"/>
      <c r="DA245" s="115"/>
      <c r="DB245" s="115"/>
      <c r="DC245" s="115"/>
      <c r="DD245" s="115"/>
      <c r="DE245" s="115"/>
      <c r="DF245" s="115"/>
      <c r="DG245" s="115"/>
      <c r="DH245" s="115"/>
      <c r="DI245" s="115"/>
      <c r="DJ245" s="115"/>
      <c r="DK245" s="115"/>
      <c r="DL245" s="115"/>
      <c r="DM245" s="115"/>
      <c r="DN245" s="115"/>
      <c r="DO245" s="115"/>
      <c r="DP245" s="115"/>
      <c r="DQ245" s="115"/>
      <c r="DR245" s="115"/>
      <c r="DS245" s="115"/>
      <c r="DT245" s="115"/>
      <c r="DU245" s="115"/>
      <c r="DV245" s="115"/>
      <c r="DW245" s="115"/>
      <c r="DX245" s="115"/>
      <c r="DY245" s="115"/>
      <c r="DZ245" s="115"/>
      <c r="EA245" s="115"/>
      <c r="EB245" s="115"/>
      <c r="EC245" s="115"/>
      <c r="ED245" s="115"/>
      <c r="EE245" s="115"/>
      <c r="EF245" s="115"/>
      <c r="EG245" s="115"/>
      <c r="EH245" s="116"/>
    </row>
    <row r="246" spans="1:138" ht="12" customHeight="1" outlineLevel="3" x14ac:dyDescent="0.4">
      <c r="A246" s="101"/>
      <c r="B246" s="101"/>
      <c r="C246" s="101">
        <v>4</v>
      </c>
      <c r="D246" s="102" t="s">
        <v>631</v>
      </c>
      <c r="E246" s="103"/>
      <c r="F246" s="103"/>
      <c r="G246" s="103"/>
      <c r="H246" s="103" t="s">
        <v>632</v>
      </c>
      <c r="I246" s="103"/>
      <c r="J246" s="103"/>
      <c r="K246" s="103"/>
      <c r="L246" s="103"/>
      <c r="M246" s="103"/>
      <c r="N246" s="103"/>
      <c r="O246" s="104"/>
      <c r="P246" s="108">
        <v>45011</v>
      </c>
      <c r="Q246" s="108">
        <v>45046</v>
      </c>
      <c r="R246" s="106"/>
      <c r="S246" s="107">
        <v>36</v>
      </c>
      <c r="T246" s="107">
        <v>0</v>
      </c>
      <c r="U246" s="107">
        <v>36</v>
      </c>
      <c r="V246" s="107">
        <v>0</v>
      </c>
      <c r="W246" s="108"/>
      <c r="X246" s="108"/>
      <c r="Y246" s="109"/>
      <c r="Z246" s="110">
        <v>0</v>
      </c>
      <c r="AA246" s="107"/>
      <c r="AB246" s="111"/>
      <c r="AC246" s="112"/>
      <c r="AD246" s="113">
        <v>0</v>
      </c>
      <c r="AE246" s="134">
        <v>0</v>
      </c>
      <c r="AF246" s="115"/>
      <c r="AG246" s="115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  <c r="BM246" s="115"/>
      <c r="BN246" s="115"/>
      <c r="BO246" s="115"/>
      <c r="BP246" s="115"/>
      <c r="BQ246" s="115"/>
      <c r="BR246" s="115"/>
      <c r="BS246" s="115"/>
      <c r="BT246" s="115"/>
      <c r="BU246" s="115"/>
      <c r="BV246" s="115"/>
      <c r="BW246" s="115"/>
      <c r="BX246" s="115"/>
      <c r="BY246" s="115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5"/>
      <c r="CR246" s="115"/>
      <c r="CS246" s="115" t="str">
        <f>"" &amp; TEXT(AE246,"#0.00%") &amp; " "</f>
        <v xml:space="preserve">0.00% </v>
      </c>
      <c r="CT246" s="115"/>
      <c r="CU246" s="115"/>
      <c r="CV246" s="115"/>
      <c r="CW246" s="115"/>
      <c r="CX246" s="115" t="str">
        <f>" " &amp; "정위치 및 LEVELING" &amp; " " &amp; IF(P246="","",TEXT(P246,"M/D-")) &amp; IF(Q246="","",TEXT(Q246,"M/D")) &amp; " "</f>
        <v xml:space="preserve"> 정위치 및 LEVELING 3/26-4/30 </v>
      </c>
      <c r="CY246" s="115"/>
      <c r="CZ246" s="115"/>
      <c r="DA246" s="115"/>
      <c r="DB246" s="115"/>
      <c r="DC246" s="115"/>
      <c r="DD246" s="115"/>
      <c r="DE246" s="115"/>
      <c r="DF246" s="115"/>
      <c r="DG246" s="115"/>
      <c r="DH246" s="115"/>
      <c r="DI246" s="115"/>
      <c r="DJ246" s="115"/>
      <c r="DK246" s="115"/>
      <c r="DL246" s="115"/>
      <c r="DM246" s="115"/>
      <c r="DN246" s="115"/>
      <c r="DO246" s="115"/>
      <c r="DP246" s="115"/>
      <c r="DQ246" s="115"/>
      <c r="DR246" s="115"/>
      <c r="DS246" s="115"/>
      <c r="DT246" s="115"/>
      <c r="DU246" s="115"/>
      <c r="DV246" s="115"/>
      <c r="DW246" s="115"/>
      <c r="DX246" s="115"/>
      <c r="DY246" s="115"/>
      <c r="DZ246" s="115"/>
      <c r="EA246" s="115"/>
      <c r="EB246" s="115"/>
      <c r="EC246" s="115"/>
      <c r="ED246" s="115"/>
      <c r="EE246" s="115"/>
      <c r="EF246" s="115"/>
      <c r="EG246" s="115"/>
      <c r="EH246" s="116"/>
    </row>
    <row r="247" spans="1:138" ht="12" customHeight="1" outlineLevel="2" x14ac:dyDescent="0.4">
      <c r="A247" s="101"/>
      <c r="B247" s="101" t="s">
        <v>325</v>
      </c>
      <c r="C247" s="101">
        <v>3</v>
      </c>
      <c r="D247" s="102" t="s">
        <v>633</v>
      </c>
      <c r="E247" s="103"/>
      <c r="F247" s="103"/>
      <c r="G247" s="103" t="s">
        <v>605</v>
      </c>
      <c r="H247" s="120"/>
      <c r="I247" s="103"/>
      <c r="J247" s="103"/>
      <c r="K247" s="103"/>
      <c r="L247" s="103"/>
      <c r="M247" s="103"/>
      <c r="N247" s="103"/>
      <c r="O247" s="104"/>
      <c r="P247" s="108">
        <v>45036</v>
      </c>
      <c r="Q247" s="108">
        <v>45066</v>
      </c>
      <c r="R247" s="106"/>
      <c r="S247" s="107">
        <v>42</v>
      </c>
      <c r="T247" s="107">
        <v>0</v>
      </c>
      <c r="U247" s="107">
        <v>31</v>
      </c>
      <c r="V247" s="107">
        <v>0</v>
      </c>
      <c r="W247" s="108"/>
      <c r="X247" s="108"/>
      <c r="Y247" s="109">
        <v>0</v>
      </c>
      <c r="Z247" s="110">
        <v>0</v>
      </c>
      <c r="AA247" s="107"/>
      <c r="AB247" s="111"/>
      <c r="AC247" s="112"/>
      <c r="AD247" s="113">
        <v>0</v>
      </c>
      <c r="AE247" s="137">
        <v>0</v>
      </c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5"/>
      <c r="CR247" s="115"/>
      <c r="CS247" s="115"/>
      <c r="CT247" s="115"/>
      <c r="CU247" s="115"/>
      <c r="CV247" s="115" t="str">
        <f>"    " &amp; TEXT(AE247,"#0.00%") &amp; " "</f>
        <v xml:space="preserve">    0.00% </v>
      </c>
      <c r="CW247" s="115"/>
      <c r="CX247" s="115"/>
      <c r="CY247" s="115"/>
      <c r="CZ247" s="115"/>
      <c r="DA247" s="115" t="str">
        <f>"" &amp; "전장" &amp; " " &amp; IF(P247="","",TEXT(P247,"M/D-")) &amp; IF(Q247="","",TEXT(Q247,"M/D")) &amp; " "</f>
        <v xml:space="preserve">전장 4/20-5/20 </v>
      </c>
      <c r="DB247" s="115"/>
      <c r="DC247" s="115"/>
      <c r="DD247" s="115"/>
      <c r="DE247" s="115"/>
      <c r="DF247" s="115"/>
      <c r="DG247" s="115"/>
      <c r="DH247" s="115"/>
      <c r="DI247" s="115"/>
      <c r="DJ247" s="115"/>
      <c r="DK247" s="115"/>
      <c r="DL247" s="115"/>
      <c r="DM247" s="115"/>
      <c r="DN247" s="115"/>
      <c r="DO247" s="115"/>
      <c r="DP247" s="115"/>
      <c r="DQ247" s="115"/>
      <c r="DR247" s="115"/>
      <c r="DS247" s="115"/>
      <c r="DT247" s="115"/>
      <c r="DU247" s="115"/>
      <c r="DV247" s="115"/>
      <c r="DW247" s="115"/>
      <c r="DX247" s="115"/>
      <c r="DY247" s="115"/>
      <c r="DZ247" s="115"/>
      <c r="EA247" s="115"/>
      <c r="EB247" s="115"/>
      <c r="EC247" s="115"/>
      <c r="ED247" s="115"/>
      <c r="EE247" s="115"/>
      <c r="EF247" s="115"/>
      <c r="EG247" s="115"/>
      <c r="EH247" s="116"/>
    </row>
    <row r="248" spans="1:138" ht="12" customHeight="1" outlineLevel="3" x14ac:dyDescent="0.4">
      <c r="A248" s="101"/>
      <c r="B248" s="101"/>
      <c r="C248" s="101">
        <v>4</v>
      </c>
      <c r="D248" s="102" t="s">
        <v>634</v>
      </c>
      <c r="E248" s="103"/>
      <c r="F248" s="103"/>
      <c r="G248" s="103"/>
      <c r="H248" s="103" t="s">
        <v>624</v>
      </c>
      <c r="I248" s="103"/>
      <c r="J248" s="103"/>
      <c r="K248" s="103"/>
      <c r="L248" s="103"/>
      <c r="M248" s="103"/>
      <c r="N248" s="103"/>
      <c r="O248" s="104"/>
      <c r="P248" s="108">
        <v>45036</v>
      </c>
      <c r="Q248" s="108">
        <v>45066</v>
      </c>
      <c r="R248" s="106"/>
      <c r="S248" s="107">
        <v>31</v>
      </c>
      <c r="T248" s="107">
        <v>0</v>
      </c>
      <c r="U248" s="107">
        <v>31</v>
      </c>
      <c r="V248" s="107">
        <v>0</v>
      </c>
      <c r="W248" s="108"/>
      <c r="X248" s="108"/>
      <c r="Y248" s="109"/>
      <c r="Z248" s="110">
        <v>0</v>
      </c>
      <c r="AA248" s="107"/>
      <c r="AB248" s="111"/>
      <c r="AC248" s="112"/>
      <c r="AD248" s="113">
        <v>0</v>
      </c>
      <c r="AE248" s="134">
        <v>0</v>
      </c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5"/>
      <c r="CR248" s="115"/>
      <c r="CS248" s="115"/>
      <c r="CT248" s="115"/>
      <c r="CU248" s="115"/>
      <c r="CV248" s="115" t="str">
        <f>"    " &amp; TEXT(AE248,"#0.00%") &amp; " "</f>
        <v xml:space="preserve">    0.00% </v>
      </c>
      <c r="CW248" s="115"/>
      <c r="CX248" s="115"/>
      <c r="CY248" s="115"/>
      <c r="CZ248" s="115"/>
      <c r="DA248" s="115" t="str">
        <f>"" &amp; "전장 배선 " &amp; " " &amp; IF(P248="","",TEXT(P248,"M/D-")) &amp; IF(Q248="","",TEXT(Q248,"M/D")) &amp; " "</f>
        <v xml:space="preserve">전장 배선  4/20-5/20 </v>
      </c>
      <c r="DB248" s="115"/>
      <c r="DC248" s="115"/>
      <c r="DD248" s="115"/>
      <c r="DE248" s="115"/>
      <c r="DF248" s="115"/>
      <c r="DG248" s="115"/>
      <c r="DH248" s="115"/>
      <c r="DI248" s="115"/>
      <c r="DJ248" s="115"/>
      <c r="DK248" s="115"/>
      <c r="DL248" s="115"/>
      <c r="DM248" s="115"/>
      <c r="DN248" s="115"/>
      <c r="DO248" s="115"/>
      <c r="DP248" s="115"/>
      <c r="DQ248" s="115"/>
      <c r="DR248" s="115"/>
      <c r="DS248" s="115"/>
      <c r="DT248" s="115"/>
      <c r="DU248" s="115"/>
      <c r="DV248" s="115"/>
      <c r="DW248" s="115"/>
      <c r="DX248" s="115"/>
      <c r="DY248" s="115"/>
      <c r="DZ248" s="115"/>
      <c r="EA248" s="115"/>
      <c r="EB248" s="115"/>
      <c r="EC248" s="115"/>
      <c r="ED248" s="115"/>
      <c r="EE248" s="115"/>
      <c r="EF248" s="115"/>
      <c r="EG248" s="115"/>
      <c r="EH248" s="116"/>
    </row>
    <row r="249" spans="1:138" ht="12" customHeight="1" outlineLevel="3" x14ac:dyDescent="0.4">
      <c r="A249" s="101"/>
      <c r="B249" s="101"/>
      <c r="C249" s="101">
        <v>4</v>
      </c>
      <c r="D249" s="102" t="s">
        <v>635</v>
      </c>
      <c r="E249" s="103"/>
      <c r="F249" s="103"/>
      <c r="G249" s="103"/>
      <c r="H249" s="103" t="s">
        <v>609</v>
      </c>
      <c r="I249" s="103"/>
      <c r="J249" s="103"/>
      <c r="K249" s="103"/>
      <c r="L249" s="103"/>
      <c r="M249" s="103"/>
      <c r="N249" s="103"/>
      <c r="O249" s="104"/>
      <c r="P249" s="108">
        <v>45056</v>
      </c>
      <c r="Q249" s="108">
        <v>45066</v>
      </c>
      <c r="R249" s="106"/>
      <c r="S249" s="107">
        <v>11</v>
      </c>
      <c r="T249" s="107">
        <v>0</v>
      </c>
      <c r="U249" s="107">
        <v>11</v>
      </c>
      <c r="V249" s="107">
        <v>0</v>
      </c>
      <c r="W249" s="108"/>
      <c r="X249" s="108"/>
      <c r="Y249" s="109"/>
      <c r="Z249" s="110">
        <v>0</v>
      </c>
      <c r="AA249" s="107"/>
      <c r="AB249" s="111"/>
      <c r="AC249" s="112"/>
      <c r="AD249" s="113">
        <v>0</v>
      </c>
      <c r="AE249" s="134">
        <v>0</v>
      </c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5"/>
      <c r="CR249" s="115"/>
      <c r="CS249" s="115"/>
      <c r="CT249" s="115"/>
      <c r="CU249" s="115"/>
      <c r="CV249" s="115"/>
      <c r="CW249" s="115"/>
      <c r="CX249" s="115"/>
      <c r="CY249" s="115" t="str">
        <f>"   " &amp; TEXT(AE249,"#0.00%") &amp; " " &amp; "UT Hook up/Turn on" &amp; " " &amp; IF(P249="","",TEXT(P249,"M/D-")) &amp; IF(Q249="","",TEXT(Q249,"M/D")) &amp; " "</f>
        <v xml:space="preserve">   0.00% UT Hook up/Turn on 5/10-5/20 </v>
      </c>
      <c r="CZ249" s="115"/>
      <c r="DA249" s="115"/>
      <c r="DB249" s="115"/>
      <c r="DC249" s="115"/>
      <c r="DD249" s="115"/>
      <c r="DE249" s="115"/>
      <c r="DF249" s="115"/>
      <c r="DG249" s="115"/>
      <c r="DH249" s="115"/>
      <c r="DI249" s="115"/>
      <c r="DJ249" s="115"/>
      <c r="DK249" s="115"/>
      <c r="DL249" s="115"/>
      <c r="DM249" s="115"/>
      <c r="DN249" s="115"/>
      <c r="DO249" s="115"/>
      <c r="DP249" s="115"/>
      <c r="DQ249" s="115"/>
      <c r="DR249" s="115"/>
      <c r="DS249" s="115"/>
      <c r="DT249" s="115"/>
      <c r="DU249" s="115"/>
      <c r="DV249" s="115"/>
      <c r="DW249" s="115"/>
      <c r="DX249" s="115"/>
      <c r="DY249" s="115"/>
      <c r="DZ249" s="115"/>
      <c r="EA249" s="115"/>
      <c r="EB249" s="115"/>
      <c r="EC249" s="115"/>
      <c r="ED249" s="115"/>
      <c r="EE249" s="115"/>
      <c r="EF249" s="115"/>
      <c r="EG249" s="115"/>
      <c r="EH249" s="116"/>
    </row>
    <row r="250" spans="1:138" ht="12" customHeight="1" outlineLevel="2" x14ac:dyDescent="0.4">
      <c r="A250" s="101"/>
      <c r="B250" s="101" t="s">
        <v>325</v>
      </c>
      <c r="C250" s="101">
        <v>3</v>
      </c>
      <c r="D250" s="102" t="s">
        <v>636</v>
      </c>
      <c r="E250" s="103"/>
      <c r="F250" s="103"/>
      <c r="G250" s="103" t="s">
        <v>611</v>
      </c>
      <c r="H250" s="103"/>
      <c r="I250" s="103"/>
      <c r="J250" s="103"/>
      <c r="K250" s="103"/>
      <c r="L250" s="103"/>
      <c r="M250" s="103"/>
      <c r="N250" s="103"/>
      <c r="O250" s="104"/>
      <c r="P250" s="108">
        <v>45066</v>
      </c>
      <c r="Q250" s="108">
        <v>45169</v>
      </c>
      <c r="R250" s="106"/>
      <c r="S250" s="107">
        <v>104</v>
      </c>
      <c r="T250" s="107">
        <v>0</v>
      </c>
      <c r="U250" s="107">
        <v>104</v>
      </c>
      <c r="V250" s="107">
        <v>0</v>
      </c>
      <c r="W250" s="108"/>
      <c r="X250" s="108"/>
      <c r="Y250" s="109">
        <v>0</v>
      </c>
      <c r="Z250" s="110">
        <v>0</v>
      </c>
      <c r="AA250" s="107"/>
      <c r="AB250" s="111"/>
      <c r="AC250" s="112"/>
      <c r="AD250" s="113">
        <v>0</v>
      </c>
      <c r="AE250" s="137">
        <v>0</v>
      </c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  <c r="CS250" s="115"/>
      <c r="CT250" s="115"/>
      <c r="CU250" s="115"/>
      <c r="CV250" s="115"/>
      <c r="CW250" s="115"/>
      <c r="CX250" s="115"/>
      <c r="CY250" s="115"/>
      <c r="CZ250" s="115" t="str">
        <f>"      " &amp; TEXT(AE250,"#0.00%") &amp; " "</f>
        <v xml:space="preserve">      0.00% </v>
      </c>
      <c r="DA250" s="115"/>
      <c r="DB250" s="115"/>
      <c r="DC250" s="115"/>
      <c r="DD250" s="115"/>
      <c r="DE250" s="115"/>
      <c r="DF250" s="115"/>
      <c r="DG250" s="115"/>
      <c r="DH250" s="115"/>
      <c r="DI250" s="115"/>
      <c r="DJ250" s="115"/>
      <c r="DK250" s="115"/>
      <c r="DL250" s="115"/>
      <c r="DM250" s="115"/>
      <c r="DN250" s="115"/>
      <c r="DO250" s="115" t="str">
        <f>"     " &amp; "제어" &amp; " " &amp; IF(P250="","",TEXT(P250,"M/D-")) &amp; IF(Q250="","",TEXT(Q250,"M/D")) &amp; " "</f>
        <v xml:space="preserve">     제어 5/20-8/31 </v>
      </c>
      <c r="DP250" s="115"/>
      <c r="DQ250" s="115"/>
      <c r="DR250" s="115"/>
      <c r="DS250" s="115"/>
      <c r="DT250" s="115"/>
      <c r="DU250" s="115"/>
      <c r="DV250" s="115"/>
      <c r="DW250" s="115"/>
      <c r="DX250" s="115"/>
      <c r="DY250" s="115"/>
      <c r="DZ250" s="115"/>
      <c r="EA250" s="115"/>
      <c r="EB250" s="115"/>
      <c r="EC250" s="115"/>
      <c r="ED250" s="115"/>
      <c r="EE250" s="115"/>
      <c r="EF250" s="115"/>
      <c r="EG250" s="115"/>
      <c r="EH250" s="116"/>
    </row>
    <row r="251" spans="1:138" ht="12" customHeight="1" outlineLevel="3" x14ac:dyDescent="0.4">
      <c r="A251" s="101"/>
      <c r="B251" s="101"/>
      <c r="C251" s="101">
        <v>4</v>
      </c>
      <c r="D251" s="102" t="s">
        <v>637</v>
      </c>
      <c r="E251" s="103"/>
      <c r="F251" s="103"/>
      <c r="G251" s="103"/>
      <c r="H251" s="103" t="s">
        <v>613</v>
      </c>
      <c r="I251" s="103"/>
      <c r="J251" s="103"/>
      <c r="K251" s="103"/>
      <c r="L251" s="103"/>
      <c r="M251" s="103"/>
      <c r="N251" s="103"/>
      <c r="O251" s="104"/>
      <c r="P251" s="108">
        <v>45066</v>
      </c>
      <c r="Q251" s="108">
        <v>45097</v>
      </c>
      <c r="R251" s="106"/>
      <c r="S251" s="107">
        <v>32</v>
      </c>
      <c r="T251" s="107">
        <v>0</v>
      </c>
      <c r="U251" s="107">
        <v>32</v>
      </c>
      <c r="V251" s="107">
        <v>0</v>
      </c>
      <c r="W251" s="108"/>
      <c r="X251" s="108"/>
      <c r="Y251" s="109"/>
      <c r="Z251" s="110">
        <v>0</v>
      </c>
      <c r="AA251" s="107"/>
      <c r="AB251" s="111"/>
      <c r="AC251" s="112"/>
      <c r="AD251" s="113">
        <v>0</v>
      </c>
      <c r="AE251" s="134">
        <v>0</v>
      </c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15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115"/>
      <c r="CJ251" s="115"/>
      <c r="CK251" s="115"/>
      <c r="CL251" s="115"/>
      <c r="CM251" s="115"/>
      <c r="CN251" s="115"/>
      <c r="CO251" s="115"/>
      <c r="CP251" s="115"/>
      <c r="CQ251" s="115"/>
      <c r="CR251" s="115"/>
      <c r="CS251" s="115"/>
      <c r="CT251" s="115"/>
      <c r="CU251" s="115"/>
      <c r="CV251" s="115"/>
      <c r="CW251" s="115"/>
      <c r="CX251" s="115"/>
      <c r="CY251" s="115"/>
      <c r="CZ251" s="115" t="str">
        <f>"      " &amp; TEXT(AE251,"#0.00%") &amp; " "</f>
        <v xml:space="preserve">      0.00% </v>
      </c>
      <c r="DA251" s="115"/>
      <c r="DB251" s="115"/>
      <c r="DC251" s="115"/>
      <c r="DD251" s="115"/>
      <c r="DE251" s="115" t="str">
        <f>"   " &amp; "I/O CHECK" &amp; " " &amp; IF(P251="","",TEXT(P251,"M/D-")) &amp; IF(Q251="","",TEXT(Q251,"M/D")) &amp; " "</f>
        <v xml:space="preserve">   I/O CHECK 5/20-6/20 </v>
      </c>
      <c r="DF251" s="115"/>
      <c r="DG251" s="115"/>
      <c r="DH251" s="115"/>
      <c r="DI251" s="115"/>
      <c r="DJ251" s="115"/>
      <c r="DK251" s="115"/>
      <c r="DL251" s="115"/>
      <c r="DM251" s="115"/>
      <c r="DN251" s="115"/>
      <c r="DO251" s="115"/>
      <c r="DP251" s="115"/>
      <c r="DQ251" s="115"/>
      <c r="DR251" s="115"/>
      <c r="DS251" s="115"/>
      <c r="DT251" s="115"/>
      <c r="DU251" s="115"/>
      <c r="DV251" s="115"/>
      <c r="DW251" s="115"/>
      <c r="DX251" s="115"/>
      <c r="DY251" s="115"/>
      <c r="DZ251" s="115"/>
      <c r="EA251" s="115"/>
      <c r="EB251" s="115"/>
      <c r="EC251" s="115"/>
      <c r="ED251" s="115"/>
      <c r="EE251" s="115"/>
      <c r="EF251" s="115"/>
      <c r="EG251" s="115"/>
      <c r="EH251" s="116"/>
    </row>
    <row r="252" spans="1:138" ht="12" customHeight="1" outlineLevel="3" x14ac:dyDescent="0.4">
      <c r="A252" s="101"/>
      <c r="B252" s="101"/>
      <c r="C252" s="101">
        <v>4</v>
      </c>
      <c r="D252" s="102" t="s">
        <v>638</v>
      </c>
      <c r="E252" s="103"/>
      <c r="F252" s="103"/>
      <c r="G252" s="103"/>
      <c r="H252" s="103" t="s">
        <v>433</v>
      </c>
      <c r="I252" s="103"/>
      <c r="J252" s="103"/>
      <c r="K252" s="103"/>
      <c r="L252" s="103"/>
      <c r="M252" s="103"/>
      <c r="N252" s="103"/>
      <c r="O252" s="104"/>
      <c r="P252" s="108">
        <v>45098</v>
      </c>
      <c r="Q252" s="108">
        <v>45138</v>
      </c>
      <c r="R252" s="106"/>
      <c r="S252" s="107">
        <v>41</v>
      </c>
      <c r="T252" s="107">
        <v>0</v>
      </c>
      <c r="U252" s="107">
        <v>41</v>
      </c>
      <c r="V252" s="107">
        <v>0</v>
      </c>
      <c r="W252" s="108"/>
      <c r="X252" s="108"/>
      <c r="Y252" s="109"/>
      <c r="Z252" s="110">
        <v>0</v>
      </c>
      <c r="AA252" s="107"/>
      <c r="AB252" s="111"/>
      <c r="AC252" s="112"/>
      <c r="AD252" s="113">
        <v>0</v>
      </c>
      <c r="AE252" s="134">
        <v>0</v>
      </c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/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5"/>
      <c r="CR252" s="115"/>
      <c r="CS252" s="115"/>
      <c r="CT252" s="115"/>
      <c r="CU252" s="115"/>
      <c r="CV252" s="115"/>
      <c r="CW252" s="115"/>
      <c r="CX252" s="115"/>
      <c r="CY252" s="115"/>
      <c r="CZ252" s="115"/>
      <c r="DA252" s="115"/>
      <c r="DB252" s="115"/>
      <c r="DC252" s="115"/>
      <c r="DD252" s="115"/>
      <c r="DE252" s="115" t="str">
        <f>"   " &amp; TEXT(AE252,"#0.00%") &amp; " "</f>
        <v xml:space="preserve">   0.00% </v>
      </c>
      <c r="DF252" s="115"/>
      <c r="DG252" s="115"/>
      <c r="DH252" s="115"/>
      <c r="DI252" s="115"/>
      <c r="DJ252" s="115"/>
      <c r="DK252" s="115" t="str">
        <f>"  " &amp; "단동 TEST" &amp; " " &amp; IF(P252="","",TEXT(P252,"M/D-")) &amp; IF(Q252="","",TEXT(Q252,"M/D")) &amp; " "</f>
        <v xml:space="preserve">  단동 TEST 6/21-7/31 </v>
      </c>
      <c r="DL252" s="115"/>
      <c r="DM252" s="115"/>
      <c r="DN252" s="115"/>
      <c r="DO252" s="115"/>
      <c r="DP252" s="115"/>
      <c r="DQ252" s="115"/>
      <c r="DR252" s="115"/>
      <c r="DS252" s="115"/>
      <c r="DT252" s="115"/>
      <c r="DU252" s="115"/>
      <c r="DV252" s="115"/>
      <c r="DW252" s="115"/>
      <c r="DX252" s="115"/>
      <c r="DY252" s="115"/>
      <c r="DZ252" s="115"/>
      <c r="EA252" s="115"/>
      <c r="EB252" s="115"/>
      <c r="EC252" s="115"/>
      <c r="ED252" s="115"/>
      <c r="EE252" s="115"/>
      <c r="EF252" s="115"/>
      <c r="EG252" s="115"/>
      <c r="EH252" s="116"/>
    </row>
    <row r="253" spans="1:138" ht="12" customHeight="1" outlineLevel="3" x14ac:dyDescent="0.4">
      <c r="A253" s="101"/>
      <c r="B253" s="101"/>
      <c r="C253" s="101">
        <v>4</v>
      </c>
      <c r="D253" s="102" t="s">
        <v>639</v>
      </c>
      <c r="E253" s="103"/>
      <c r="F253" s="103"/>
      <c r="G253" s="103"/>
      <c r="H253" s="103" t="s">
        <v>640</v>
      </c>
      <c r="I253" s="103"/>
      <c r="J253" s="103"/>
      <c r="K253" s="103"/>
      <c r="L253" s="103"/>
      <c r="M253" s="103"/>
      <c r="N253" s="103"/>
      <c r="O253" s="104"/>
      <c r="P253" s="108">
        <v>45139</v>
      </c>
      <c r="Q253" s="108">
        <v>45169</v>
      </c>
      <c r="R253" s="106"/>
      <c r="S253" s="107">
        <v>31</v>
      </c>
      <c r="T253" s="107">
        <v>0</v>
      </c>
      <c r="U253" s="107">
        <v>31</v>
      </c>
      <c r="V253" s="107">
        <v>0</v>
      </c>
      <c r="W253" s="108"/>
      <c r="X253" s="108"/>
      <c r="Y253" s="109"/>
      <c r="Z253" s="110">
        <v>0</v>
      </c>
      <c r="AA253" s="107"/>
      <c r="AB253" s="111"/>
      <c r="AC253" s="112"/>
      <c r="AD253" s="113">
        <v>0</v>
      </c>
      <c r="AE253" s="134">
        <v>0</v>
      </c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 t="str">
        <f>"  " &amp; TEXT(AE253,"#0.00%") &amp; " "</f>
        <v xml:space="preserve">  0.00% </v>
      </c>
      <c r="DL253" s="115"/>
      <c r="DM253" s="115"/>
      <c r="DN253" s="115"/>
      <c r="DO253" s="115" t="str">
        <f>"     " &amp; "EQ TEST" &amp; " " &amp; IF(P253="","",TEXT(P253,"M/D-")) &amp; IF(Q253="","",TEXT(Q253,"M/D")) &amp; " "</f>
        <v xml:space="preserve">     EQ TEST 8/1-8/31 </v>
      </c>
      <c r="DP253" s="115"/>
      <c r="DQ253" s="115"/>
      <c r="DR253" s="115"/>
      <c r="DS253" s="115"/>
      <c r="DT253" s="115"/>
      <c r="DU253" s="115"/>
      <c r="DV253" s="115"/>
      <c r="DW253" s="115"/>
      <c r="DX253" s="115"/>
      <c r="DY253" s="115"/>
      <c r="DZ253" s="115"/>
      <c r="EA253" s="115"/>
      <c r="EB253" s="115"/>
      <c r="EC253" s="115"/>
      <c r="ED253" s="115"/>
      <c r="EE253" s="115"/>
      <c r="EF253" s="115"/>
      <c r="EG253" s="115"/>
      <c r="EH253" s="116"/>
    </row>
    <row r="254" spans="1:138" ht="12" customHeight="1" outlineLevel="1" x14ac:dyDescent="0.4">
      <c r="A254" s="101"/>
      <c r="B254" s="101" t="s">
        <v>325</v>
      </c>
      <c r="C254" s="101">
        <v>2</v>
      </c>
      <c r="D254" s="102" t="s">
        <v>641</v>
      </c>
      <c r="E254" s="103"/>
      <c r="F254" s="103" t="s">
        <v>361</v>
      </c>
      <c r="G254" s="103"/>
      <c r="H254" s="103"/>
      <c r="I254" s="103"/>
      <c r="J254" s="103"/>
      <c r="K254" s="103"/>
      <c r="L254" s="103"/>
      <c r="M254" s="103"/>
      <c r="N254" s="103"/>
      <c r="O254" s="104" t="s">
        <v>345</v>
      </c>
      <c r="P254" s="108">
        <v>44958</v>
      </c>
      <c r="Q254" s="108">
        <v>45153</v>
      </c>
      <c r="R254" s="106"/>
      <c r="S254" s="107">
        <v>391</v>
      </c>
      <c r="T254" s="107">
        <v>0</v>
      </c>
      <c r="U254" s="107">
        <v>196</v>
      </c>
      <c r="V254" s="107">
        <v>0</v>
      </c>
      <c r="W254" s="108"/>
      <c r="X254" s="108"/>
      <c r="Y254" s="109">
        <v>0</v>
      </c>
      <c r="Z254" s="110">
        <v>0</v>
      </c>
      <c r="AA254" s="107"/>
      <c r="AB254" s="111"/>
      <c r="AC254" s="112"/>
      <c r="AD254" s="113">
        <v>0</v>
      </c>
      <c r="AE254" s="137">
        <v>0</v>
      </c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 t="str">
        <f>"   " &amp; TEXT(AE254,"#0.00%") &amp; " "</f>
        <v xml:space="preserve">   0.00% </v>
      </c>
      <c r="CL254" s="115"/>
      <c r="CM254" s="115"/>
      <c r="CN254" s="115"/>
      <c r="CO254" s="115"/>
      <c r="CP254" s="115"/>
      <c r="CQ254" s="115"/>
      <c r="CR254" s="115"/>
      <c r="CS254" s="115"/>
      <c r="CT254" s="115"/>
      <c r="CU254" s="115"/>
      <c r="CV254" s="115"/>
      <c r="CW254" s="115"/>
      <c r="CX254" s="115"/>
      <c r="CY254" s="115"/>
      <c r="CZ254" s="115"/>
      <c r="DA254" s="115"/>
      <c r="DB254" s="115"/>
      <c r="DC254" s="115"/>
      <c r="DD254" s="115"/>
      <c r="DE254" s="115"/>
      <c r="DF254" s="115"/>
      <c r="DG254" s="115"/>
      <c r="DH254" s="115"/>
      <c r="DI254" s="115"/>
      <c r="DJ254" s="115"/>
      <c r="DK254" s="115"/>
      <c r="DL254" s="115"/>
      <c r="DM254" s="115" t="str">
        <f>"   " &amp; "OHT" &amp; " " &amp; IF(P254="","",TEXT(P254,"M/D-")) &amp; IF(Q254="","",TEXT(Q254,"M/D")) &amp; " "</f>
        <v xml:space="preserve">   OHT 2/1-8/15 </v>
      </c>
      <c r="DN254" s="115"/>
      <c r="DO254" s="115"/>
      <c r="DP254" s="115"/>
      <c r="DQ254" s="115"/>
      <c r="DR254" s="115"/>
      <c r="DS254" s="115"/>
      <c r="DT254" s="115"/>
      <c r="DU254" s="115"/>
      <c r="DV254" s="115"/>
      <c r="DW254" s="115"/>
      <c r="DX254" s="115"/>
      <c r="DY254" s="115"/>
      <c r="DZ254" s="115"/>
      <c r="EA254" s="115"/>
      <c r="EB254" s="115"/>
      <c r="EC254" s="115"/>
      <c r="ED254" s="115"/>
      <c r="EE254" s="115"/>
      <c r="EF254" s="115"/>
      <c r="EG254" s="115"/>
      <c r="EH254" s="116"/>
    </row>
    <row r="255" spans="1:138" ht="12" customHeight="1" outlineLevel="2" x14ac:dyDescent="0.4">
      <c r="A255" s="101"/>
      <c r="B255" s="101" t="s">
        <v>325</v>
      </c>
      <c r="C255" s="101">
        <v>3</v>
      </c>
      <c r="D255" s="102" t="s">
        <v>642</v>
      </c>
      <c r="E255" s="103"/>
      <c r="F255" s="103"/>
      <c r="G255" s="103" t="s">
        <v>597</v>
      </c>
      <c r="H255" s="103"/>
      <c r="I255" s="103"/>
      <c r="J255" s="103"/>
      <c r="K255" s="103"/>
      <c r="L255" s="103"/>
      <c r="M255" s="103"/>
      <c r="N255" s="103"/>
      <c r="O255" s="104"/>
      <c r="P255" s="108">
        <v>44958</v>
      </c>
      <c r="Q255" s="108">
        <v>45077</v>
      </c>
      <c r="R255" s="106"/>
      <c r="S255" s="107">
        <v>161</v>
      </c>
      <c r="T255" s="107">
        <v>0</v>
      </c>
      <c r="U255" s="107">
        <v>120</v>
      </c>
      <c r="V255" s="107">
        <v>0</v>
      </c>
      <c r="W255" s="108"/>
      <c r="X255" s="108"/>
      <c r="Y255" s="109">
        <v>0</v>
      </c>
      <c r="Z255" s="110">
        <v>0</v>
      </c>
      <c r="AA255" s="107"/>
      <c r="AB255" s="111"/>
      <c r="AC255" s="112"/>
      <c r="AD255" s="113">
        <v>0</v>
      </c>
      <c r="AE255" s="137">
        <v>0</v>
      </c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 t="str">
        <f>"   " &amp; TEXT(AE255,"#0.00%") &amp; " "</f>
        <v xml:space="preserve">   0.00% </v>
      </c>
      <c r="CL255" s="115"/>
      <c r="CM255" s="115"/>
      <c r="CN255" s="115"/>
      <c r="CO255" s="115"/>
      <c r="CP255" s="115"/>
      <c r="CQ255" s="115"/>
      <c r="CR255" s="115"/>
      <c r="CS255" s="115"/>
      <c r="CT255" s="115"/>
      <c r="CU255" s="115"/>
      <c r="CV255" s="115"/>
      <c r="CW255" s="115"/>
      <c r="CX255" s="115"/>
      <c r="CY255" s="115"/>
      <c r="CZ255" s="115"/>
      <c r="DA255" s="115"/>
      <c r="DB255" s="115" t="str">
        <f>"    " &amp; "기구" &amp; " " &amp; IF(P255="","",TEXT(P255,"M/D-")) &amp; IF(Q255="","",TEXT(Q255,"M/D")) &amp; " "</f>
        <v xml:space="preserve">    기구 2/1-5/31 </v>
      </c>
      <c r="DC255" s="115"/>
      <c r="DD255" s="115"/>
      <c r="DE255" s="115"/>
      <c r="DF255" s="115"/>
      <c r="DG255" s="115"/>
      <c r="DH255" s="115"/>
      <c r="DI255" s="115"/>
      <c r="DJ255" s="115"/>
      <c r="DK255" s="115"/>
      <c r="DL255" s="115"/>
      <c r="DM255" s="115"/>
      <c r="DN255" s="115"/>
      <c r="DO255" s="115"/>
      <c r="DP255" s="115"/>
      <c r="DQ255" s="115"/>
      <c r="DR255" s="115"/>
      <c r="DS255" s="115"/>
      <c r="DT255" s="115"/>
      <c r="DU255" s="115"/>
      <c r="DV255" s="115"/>
      <c r="DW255" s="115"/>
      <c r="DX255" s="115"/>
      <c r="DY255" s="115"/>
      <c r="DZ255" s="115"/>
      <c r="EA255" s="115"/>
      <c r="EB255" s="115"/>
      <c r="EC255" s="115"/>
      <c r="ED255" s="115"/>
      <c r="EE255" s="115"/>
      <c r="EF255" s="115"/>
      <c r="EG255" s="115"/>
      <c r="EH255" s="116"/>
    </row>
    <row r="256" spans="1:138" ht="12" customHeight="1" outlineLevel="3" x14ac:dyDescent="0.4">
      <c r="A256" s="101"/>
      <c r="B256" s="101"/>
      <c r="C256" s="101">
        <v>4</v>
      </c>
      <c r="D256" s="102" t="s">
        <v>643</v>
      </c>
      <c r="E256" s="103"/>
      <c r="F256" s="103"/>
      <c r="G256" s="103"/>
      <c r="H256" s="103" t="s">
        <v>644</v>
      </c>
      <c r="I256" s="103"/>
      <c r="J256" s="103"/>
      <c r="K256" s="103"/>
      <c r="L256" s="103"/>
      <c r="M256" s="103"/>
      <c r="N256" s="103"/>
      <c r="O256" s="104"/>
      <c r="P256" s="108">
        <v>44958</v>
      </c>
      <c r="Q256" s="108">
        <v>45016</v>
      </c>
      <c r="R256" s="106"/>
      <c r="S256" s="107">
        <v>59</v>
      </c>
      <c r="T256" s="107">
        <v>0</v>
      </c>
      <c r="U256" s="107">
        <v>59</v>
      </c>
      <c r="V256" s="107">
        <v>0</v>
      </c>
      <c r="W256" s="108"/>
      <c r="X256" s="108"/>
      <c r="Y256" s="109"/>
      <c r="Z256" s="110">
        <v>0</v>
      </c>
      <c r="AA256" s="107"/>
      <c r="AB256" s="111"/>
      <c r="AC256" s="112"/>
      <c r="AD256" s="113">
        <v>0</v>
      </c>
      <c r="AE256" s="134">
        <v>0</v>
      </c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 t="str">
        <f>"   " &amp; TEXT(AE256,"#0.00%") &amp; " "</f>
        <v xml:space="preserve">   0.00% </v>
      </c>
      <c r="CL256" s="115"/>
      <c r="CM256" s="115"/>
      <c r="CN256" s="115"/>
      <c r="CO256" s="115"/>
      <c r="CP256" s="115"/>
      <c r="CQ256" s="115"/>
      <c r="CR256" s="115"/>
      <c r="CS256" s="115" t="str">
        <f>"      " &amp; "상부레일설치" &amp; " " &amp; IF(P256="","",TEXT(P256,"M/D-")) &amp; IF(Q256="","",TEXT(Q256,"M/D")) &amp; " "</f>
        <v xml:space="preserve">      상부레일설치 2/1-3/31 </v>
      </c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6"/>
    </row>
    <row r="257" spans="1:138" ht="12" customHeight="1" outlineLevel="3" x14ac:dyDescent="0.4">
      <c r="A257" s="101"/>
      <c r="B257" s="101"/>
      <c r="C257" s="101">
        <v>4</v>
      </c>
      <c r="D257" s="102" t="s">
        <v>645</v>
      </c>
      <c r="E257" s="103"/>
      <c r="F257" s="103"/>
      <c r="G257" s="103"/>
      <c r="H257" s="103" t="s">
        <v>646</v>
      </c>
      <c r="I257" s="103"/>
      <c r="J257" s="103"/>
      <c r="K257" s="103"/>
      <c r="L257" s="103"/>
      <c r="M257" s="103"/>
      <c r="N257" s="103"/>
      <c r="O257" s="104"/>
      <c r="P257" s="108">
        <v>44986</v>
      </c>
      <c r="Q257" s="108">
        <v>45046</v>
      </c>
      <c r="R257" s="106"/>
      <c r="S257" s="107">
        <v>61</v>
      </c>
      <c r="T257" s="107">
        <v>0</v>
      </c>
      <c r="U257" s="107">
        <v>61</v>
      </c>
      <c r="V257" s="107">
        <v>0</v>
      </c>
      <c r="W257" s="108"/>
      <c r="X257" s="108"/>
      <c r="Y257" s="109"/>
      <c r="Z257" s="110">
        <v>0</v>
      </c>
      <c r="AA257" s="107"/>
      <c r="AB257" s="111"/>
      <c r="AC257" s="112"/>
      <c r="AD257" s="113">
        <v>0</v>
      </c>
      <c r="AE257" s="134">
        <v>0</v>
      </c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 t="str">
        <f>"   " &amp; TEXT(AE257,"#0.00%") &amp; " "</f>
        <v xml:space="preserve">   0.00% </v>
      </c>
      <c r="CP257" s="115"/>
      <c r="CQ257" s="115"/>
      <c r="CR257" s="115"/>
      <c r="CS257" s="115"/>
      <c r="CT257" s="115"/>
      <c r="CU257" s="115"/>
      <c r="CV257" s="115"/>
      <c r="CW257" s="115"/>
      <c r="CX257" s="115" t="str">
        <f>" " &amp; "하부 안전 펜스 설치" &amp; " " &amp; IF(P257="","",TEXT(P257,"M/D-")) &amp; IF(Q257="","",TEXT(Q257,"M/D")) &amp; " "</f>
        <v xml:space="preserve"> 하부 안전 펜스 설치 3/1-4/30 </v>
      </c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  <c r="DR257" s="115"/>
      <c r="DS257" s="115"/>
      <c r="DT257" s="115"/>
      <c r="DU257" s="115"/>
      <c r="DV257" s="115"/>
      <c r="DW257" s="115"/>
      <c r="DX257" s="115"/>
      <c r="DY257" s="115"/>
      <c r="DZ257" s="115"/>
      <c r="EA257" s="115"/>
      <c r="EB257" s="115"/>
      <c r="EC257" s="115"/>
      <c r="ED257" s="115"/>
      <c r="EE257" s="115"/>
      <c r="EF257" s="115"/>
      <c r="EG257" s="115"/>
      <c r="EH257" s="116"/>
    </row>
    <row r="258" spans="1:138" ht="12" customHeight="1" outlineLevel="3" x14ac:dyDescent="0.4">
      <c r="A258" s="101"/>
      <c r="B258" s="101"/>
      <c r="C258" s="101">
        <v>4</v>
      </c>
      <c r="D258" s="102" t="s">
        <v>647</v>
      </c>
      <c r="E258" s="103"/>
      <c r="F258" s="103"/>
      <c r="G258" s="103"/>
      <c r="H258" s="103" t="s">
        <v>648</v>
      </c>
      <c r="I258" s="103"/>
      <c r="J258" s="103"/>
      <c r="K258" s="103"/>
      <c r="L258" s="103"/>
      <c r="M258" s="103"/>
      <c r="N258" s="103"/>
      <c r="O258" s="104"/>
      <c r="P258" s="108">
        <v>44986</v>
      </c>
      <c r="Q258" s="108">
        <v>44995</v>
      </c>
      <c r="R258" s="106"/>
      <c r="S258" s="107">
        <v>10</v>
      </c>
      <c r="T258" s="107">
        <v>0</v>
      </c>
      <c r="U258" s="107">
        <v>10</v>
      </c>
      <c r="V258" s="107">
        <v>0</v>
      </c>
      <c r="W258" s="108"/>
      <c r="X258" s="108"/>
      <c r="Y258" s="109"/>
      <c r="Z258" s="110">
        <v>0</v>
      </c>
      <c r="AA258" s="107"/>
      <c r="AB258" s="111"/>
      <c r="AC258" s="112"/>
      <c r="AD258" s="113">
        <v>0</v>
      </c>
      <c r="AE258" s="134">
        <v>0</v>
      </c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 t="str">
        <f>"   " &amp; TEXT(AE258,"#0.00%") &amp; " " &amp; "MTL 설치" &amp; " " &amp; IF(P258="","",TEXT(P258,"M/D-")) &amp; IF(Q258="","",TEXT(Q258,"M/D")) &amp; " "</f>
        <v xml:space="preserve">   0.00% MTL 설치 3/1-3/10 </v>
      </c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  <c r="DE258" s="115"/>
      <c r="DF258" s="115"/>
      <c r="DG258" s="115"/>
      <c r="DH258" s="115"/>
      <c r="DI258" s="115"/>
      <c r="DJ258" s="115"/>
      <c r="DK258" s="115"/>
      <c r="DL258" s="115"/>
      <c r="DM258" s="115"/>
      <c r="DN258" s="115"/>
      <c r="DO258" s="115"/>
      <c r="DP258" s="115"/>
      <c r="DQ258" s="115"/>
      <c r="DR258" s="115"/>
      <c r="DS258" s="115"/>
      <c r="DT258" s="115"/>
      <c r="DU258" s="115"/>
      <c r="DV258" s="115"/>
      <c r="DW258" s="115"/>
      <c r="DX258" s="115"/>
      <c r="DY258" s="115"/>
      <c r="DZ258" s="115"/>
      <c r="EA258" s="115"/>
      <c r="EB258" s="115"/>
      <c r="EC258" s="115"/>
      <c r="ED258" s="115"/>
      <c r="EE258" s="115"/>
      <c r="EF258" s="115"/>
      <c r="EG258" s="115"/>
      <c r="EH258" s="116"/>
    </row>
    <row r="259" spans="1:138" ht="12" customHeight="1" outlineLevel="3" x14ac:dyDescent="0.4">
      <c r="A259" s="101"/>
      <c r="B259" s="101"/>
      <c r="C259" s="101">
        <v>4</v>
      </c>
      <c r="D259" s="102" t="s">
        <v>649</v>
      </c>
      <c r="E259" s="103"/>
      <c r="F259" s="103"/>
      <c r="G259" s="136"/>
      <c r="H259" s="103" t="s">
        <v>650</v>
      </c>
      <c r="I259" s="103"/>
      <c r="J259" s="103"/>
      <c r="K259" s="103"/>
      <c r="L259" s="103"/>
      <c r="M259" s="103"/>
      <c r="N259" s="103"/>
      <c r="O259" s="104"/>
      <c r="P259" s="108">
        <v>45047</v>
      </c>
      <c r="Q259" s="108">
        <v>45077</v>
      </c>
      <c r="R259" s="106"/>
      <c r="S259" s="107">
        <v>31</v>
      </c>
      <c r="T259" s="107">
        <v>0</v>
      </c>
      <c r="U259" s="107">
        <v>31</v>
      </c>
      <c r="V259" s="107">
        <v>0</v>
      </c>
      <c r="W259" s="108"/>
      <c r="X259" s="108"/>
      <c r="Y259" s="109"/>
      <c r="Z259" s="110">
        <v>0</v>
      </c>
      <c r="AA259" s="107"/>
      <c r="AB259" s="111"/>
      <c r="AC259" s="112"/>
      <c r="AD259" s="113">
        <v>0</v>
      </c>
      <c r="AE259" s="134">
        <v>0</v>
      </c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5"/>
      <c r="CR259" s="115"/>
      <c r="CS259" s="115"/>
      <c r="CT259" s="115"/>
      <c r="CU259" s="115"/>
      <c r="CV259" s="115"/>
      <c r="CW259" s="115"/>
      <c r="CX259" s="115" t="str">
        <f>" " &amp; TEXT(AE259,"#0.00%") &amp; " "</f>
        <v xml:space="preserve"> 0.00% </v>
      </c>
      <c r="CY259" s="115"/>
      <c r="CZ259" s="115"/>
      <c r="DA259" s="115"/>
      <c r="DB259" s="115" t="str">
        <f>"    " &amp; "OHT 양중" &amp; " " &amp; IF(P259="","",TEXT(P259,"M/D-")) &amp; IF(Q259="","",TEXT(Q259,"M/D")) &amp; " "</f>
        <v xml:space="preserve">    OHT 양중 5/1-5/31 </v>
      </c>
      <c r="DC259" s="115"/>
      <c r="DD259" s="115"/>
      <c r="DE259" s="115"/>
      <c r="DF259" s="115"/>
      <c r="DG259" s="115"/>
      <c r="DH259" s="115"/>
      <c r="DI259" s="115"/>
      <c r="DJ259" s="115"/>
      <c r="DK259" s="115"/>
      <c r="DL259" s="115"/>
      <c r="DM259" s="115"/>
      <c r="DN259" s="115"/>
      <c r="DO259" s="115"/>
      <c r="DP259" s="115"/>
      <c r="DQ259" s="115"/>
      <c r="DR259" s="115"/>
      <c r="DS259" s="115"/>
      <c r="DT259" s="115"/>
      <c r="DU259" s="115"/>
      <c r="DV259" s="115"/>
      <c r="DW259" s="115"/>
      <c r="DX259" s="115"/>
      <c r="DY259" s="115"/>
      <c r="DZ259" s="115"/>
      <c r="EA259" s="115"/>
      <c r="EB259" s="115"/>
      <c r="EC259" s="115"/>
      <c r="ED259" s="115"/>
      <c r="EE259" s="115"/>
      <c r="EF259" s="115"/>
      <c r="EG259" s="115"/>
      <c r="EH259" s="116"/>
    </row>
    <row r="260" spans="1:138" ht="12" customHeight="1" outlineLevel="2" x14ac:dyDescent="0.4">
      <c r="A260" s="101"/>
      <c r="B260" s="101" t="s">
        <v>325</v>
      </c>
      <c r="C260" s="101">
        <v>3</v>
      </c>
      <c r="D260" s="102" t="s">
        <v>651</v>
      </c>
      <c r="E260" s="103"/>
      <c r="F260" s="103"/>
      <c r="G260" s="103" t="s">
        <v>605</v>
      </c>
      <c r="H260" s="103"/>
      <c r="I260" s="103"/>
      <c r="J260" s="103"/>
      <c r="K260" s="103"/>
      <c r="L260" s="103"/>
      <c r="M260" s="103"/>
      <c r="N260" s="103"/>
      <c r="O260" s="104"/>
      <c r="P260" s="108">
        <v>44986</v>
      </c>
      <c r="Q260" s="108">
        <v>45061</v>
      </c>
      <c r="R260" s="106"/>
      <c r="S260" s="107">
        <v>106</v>
      </c>
      <c r="T260" s="107">
        <v>0</v>
      </c>
      <c r="U260" s="107">
        <v>76</v>
      </c>
      <c r="V260" s="107">
        <v>0</v>
      </c>
      <c r="W260" s="108"/>
      <c r="X260" s="108"/>
      <c r="Y260" s="109">
        <v>0</v>
      </c>
      <c r="Z260" s="110">
        <v>0</v>
      </c>
      <c r="AA260" s="107"/>
      <c r="AB260" s="111"/>
      <c r="AC260" s="112"/>
      <c r="AD260" s="113">
        <v>0</v>
      </c>
      <c r="AE260" s="137">
        <v>0</v>
      </c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 t="str">
        <f>"   " &amp; TEXT(AE260,"#0.00%") &amp; " "</f>
        <v xml:space="preserve">   0.00% </v>
      </c>
      <c r="CP260" s="115"/>
      <c r="CQ260" s="115"/>
      <c r="CR260" s="115"/>
      <c r="CS260" s="115"/>
      <c r="CT260" s="115"/>
      <c r="CU260" s="115"/>
      <c r="CV260" s="115"/>
      <c r="CW260" s="115"/>
      <c r="CX260" s="115"/>
      <c r="CY260" s="115"/>
      <c r="CZ260" s="115" t="str">
        <f>"  " &amp; "전장" &amp; " " &amp; IF(P260="","",TEXT(P260,"M/D-")) &amp; IF(Q260="","",TEXT(Q260,"M/D")) &amp; " "</f>
        <v xml:space="preserve">  전장 3/1-5/15 </v>
      </c>
      <c r="DA260" s="115"/>
      <c r="DB260" s="115"/>
      <c r="DC260" s="115"/>
      <c r="DD260" s="115"/>
      <c r="DE260" s="115"/>
      <c r="DF260" s="115"/>
      <c r="DG260" s="115"/>
      <c r="DH260" s="115"/>
      <c r="DI260" s="115"/>
      <c r="DJ260" s="115"/>
      <c r="DK260" s="115"/>
      <c r="DL260" s="115"/>
      <c r="DM260" s="115"/>
      <c r="DN260" s="115"/>
      <c r="DO260" s="115"/>
      <c r="DP260" s="115"/>
      <c r="DQ260" s="115"/>
      <c r="DR260" s="115"/>
      <c r="DS260" s="115"/>
      <c r="DT260" s="115"/>
      <c r="DU260" s="115"/>
      <c r="DV260" s="115"/>
      <c r="DW260" s="115"/>
      <c r="DX260" s="115"/>
      <c r="DY260" s="115"/>
      <c r="DZ260" s="115"/>
      <c r="EA260" s="115"/>
      <c r="EB260" s="115"/>
      <c r="EC260" s="115"/>
      <c r="ED260" s="115"/>
      <c r="EE260" s="115"/>
      <c r="EF260" s="115"/>
      <c r="EG260" s="115"/>
      <c r="EH260" s="116"/>
    </row>
    <row r="261" spans="1:138" ht="12" customHeight="1" outlineLevel="3" x14ac:dyDescent="0.4">
      <c r="A261" s="101"/>
      <c r="B261" s="101"/>
      <c r="C261" s="101">
        <v>4</v>
      </c>
      <c r="D261" s="102" t="s">
        <v>652</v>
      </c>
      <c r="E261" s="103"/>
      <c r="F261" s="103"/>
      <c r="G261" s="103"/>
      <c r="H261" s="150" t="s">
        <v>653</v>
      </c>
      <c r="I261" s="103"/>
      <c r="J261" s="103"/>
      <c r="K261" s="103"/>
      <c r="L261" s="103"/>
      <c r="M261" s="103"/>
      <c r="N261" s="103"/>
      <c r="O261" s="104"/>
      <c r="P261" s="108">
        <v>44986</v>
      </c>
      <c r="Q261" s="108">
        <v>45061</v>
      </c>
      <c r="R261" s="106"/>
      <c r="S261" s="107">
        <v>76</v>
      </c>
      <c r="T261" s="107">
        <v>0</v>
      </c>
      <c r="U261" s="107">
        <v>76</v>
      </c>
      <c r="V261" s="107">
        <v>0</v>
      </c>
      <c r="W261" s="108"/>
      <c r="X261" s="108"/>
      <c r="Y261" s="109"/>
      <c r="Z261" s="110">
        <v>0</v>
      </c>
      <c r="AA261" s="107"/>
      <c r="AB261" s="111"/>
      <c r="AC261" s="112"/>
      <c r="AD261" s="113">
        <v>0</v>
      </c>
      <c r="AE261" s="134">
        <v>0</v>
      </c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 t="str">
        <f>"   " &amp; TEXT(AE261,"#0.00%") &amp; " "</f>
        <v xml:space="preserve">   0.00% </v>
      </c>
      <c r="CP261" s="115"/>
      <c r="CQ261" s="115"/>
      <c r="CR261" s="115"/>
      <c r="CS261" s="115"/>
      <c r="CT261" s="115"/>
      <c r="CU261" s="115"/>
      <c r="CV261" s="115"/>
      <c r="CW261" s="115"/>
      <c r="CX261" s="115"/>
      <c r="CY261" s="115"/>
      <c r="CZ261" s="115" t="str">
        <f>"  " &amp; "CPS 설치" &amp; " " &amp; IF(P261="","",TEXT(P261,"M/D-")) &amp; IF(Q261="","",TEXT(Q261,"M/D")) &amp; " "</f>
        <v xml:space="preserve">  CPS 설치 3/1-5/15 </v>
      </c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5"/>
      <c r="DN261" s="115"/>
      <c r="DO261" s="115"/>
      <c r="DP261" s="115"/>
      <c r="DQ261" s="115"/>
      <c r="DR261" s="115"/>
      <c r="DS261" s="115"/>
      <c r="DT261" s="115"/>
      <c r="DU261" s="115"/>
      <c r="DV261" s="115"/>
      <c r="DW261" s="115"/>
      <c r="DX261" s="115"/>
      <c r="DY261" s="115"/>
      <c r="DZ261" s="115"/>
      <c r="EA261" s="115"/>
      <c r="EB261" s="115"/>
      <c r="EC261" s="115"/>
      <c r="ED261" s="115"/>
      <c r="EE261" s="115"/>
      <c r="EF261" s="115"/>
      <c r="EG261" s="115"/>
      <c r="EH261" s="116"/>
    </row>
    <row r="262" spans="1:138" ht="12" customHeight="1" outlineLevel="3" x14ac:dyDescent="0.4">
      <c r="A262" s="101"/>
      <c r="B262" s="101"/>
      <c r="C262" s="101">
        <v>4</v>
      </c>
      <c r="D262" s="102" t="s">
        <v>654</v>
      </c>
      <c r="E262" s="103"/>
      <c r="F262" s="103"/>
      <c r="G262" s="103"/>
      <c r="H262" s="103" t="s">
        <v>609</v>
      </c>
      <c r="I262" s="103"/>
      <c r="J262" s="103"/>
      <c r="K262" s="103"/>
      <c r="L262" s="103"/>
      <c r="M262" s="103"/>
      <c r="N262" s="103"/>
      <c r="O262" s="104"/>
      <c r="P262" s="108">
        <v>45017</v>
      </c>
      <c r="Q262" s="108">
        <v>45046</v>
      </c>
      <c r="R262" s="106"/>
      <c r="S262" s="107">
        <v>30</v>
      </c>
      <c r="T262" s="107">
        <v>0</v>
      </c>
      <c r="U262" s="107">
        <v>30</v>
      </c>
      <c r="V262" s="107">
        <v>0</v>
      </c>
      <c r="W262" s="108"/>
      <c r="X262" s="108"/>
      <c r="Y262" s="109"/>
      <c r="Z262" s="110">
        <v>0</v>
      </c>
      <c r="AA262" s="107"/>
      <c r="AB262" s="111"/>
      <c r="AC262" s="112"/>
      <c r="AD262" s="113">
        <v>0</v>
      </c>
      <c r="AE262" s="134">
        <v>0</v>
      </c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  <c r="CR262" s="115"/>
      <c r="CS262" s="115" t="str">
        <f>"      " &amp; TEXT(AE262,"#0.00%") &amp; " "</f>
        <v xml:space="preserve">      0.00% </v>
      </c>
      <c r="CT262" s="115"/>
      <c r="CU262" s="115"/>
      <c r="CV262" s="115"/>
      <c r="CW262" s="115"/>
      <c r="CX262" s="115" t="str">
        <f>" " &amp; "UT Hook up/Turn on" &amp; " " &amp; IF(P262="","",TEXT(P262,"M/D-")) &amp; IF(Q262="","",TEXT(Q262,"M/D")) &amp; " "</f>
        <v xml:space="preserve"> UT Hook up/Turn on 4/1-4/30 </v>
      </c>
      <c r="CY262" s="115"/>
      <c r="CZ262" s="115"/>
      <c r="DA262" s="115"/>
      <c r="DB262" s="115"/>
      <c r="DC262" s="115"/>
      <c r="DD262" s="115"/>
      <c r="DE262" s="115"/>
      <c r="DF262" s="115"/>
      <c r="DG262" s="115"/>
      <c r="DH262" s="115"/>
      <c r="DI262" s="115"/>
      <c r="DJ262" s="115"/>
      <c r="DK262" s="115"/>
      <c r="DL262" s="115"/>
      <c r="DM262" s="115"/>
      <c r="DN262" s="115"/>
      <c r="DO262" s="115"/>
      <c r="DP262" s="115"/>
      <c r="DQ262" s="115"/>
      <c r="DR262" s="115"/>
      <c r="DS262" s="115"/>
      <c r="DT262" s="115"/>
      <c r="DU262" s="115"/>
      <c r="DV262" s="115"/>
      <c r="DW262" s="115"/>
      <c r="DX262" s="115"/>
      <c r="DY262" s="115"/>
      <c r="DZ262" s="115"/>
      <c r="EA262" s="115"/>
      <c r="EB262" s="115"/>
      <c r="EC262" s="115"/>
      <c r="ED262" s="115"/>
      <c r="EE262" s="115"/>
      <c r="EF262" s="115"/>
      <c r="EG262" s="115"/>
      <c r="EH262" s="116"/>
    </row>
    <row r="263" spans="1:138" ht="12" customHeight="1" outlineLevel="2" x14ac:dyDescent="0.4">
      <c r="A263" s="101"/>
      <c r="B263" s="101" t="s">
        <v>325</v>
      </c>
      <c r="C263" s="101">
        <v>3</v>
      </c>
      <c r="D263" s="102" t="s">
        <v>655</v>
      </c>
      <c r="E263" s="103"/>
      <c r="F263" s="123"/>
      <c r="G263" s="103" t="s">
        <v>611</v>
      </c>
      <c r="H263" s="103"/>
      <c r="I263" s="103"/>
      <c r="J263" s="103"/>
      <c r="K263" s="103"/>
      <c r="L263" s="103"/>
      <c r="M263" s="103"/>
      <c r="N263" s="103"/>
      <c r="O263" s="104"/>
      <c r="P263" s="108">
        <v>45047</v>
      </c>
      <c r="Q263" s="108">
        <v>45153</v>
      </c>
      <c r="R263" s="106"/>
      <c r="S263" s="107">
        <v>124</v>
      </c>
      <c r="T263" s="107">
        <v>0</v>
      </c>
      <c r="U263" s="107">
        <v>107</v>
      </c>
      <c r="V263" s="107">
        <v>0</v>
      </c>
      <c r="W263" s="108"/>
      <c r="X263" s="108"/>
      <c r="Y263" s="109">
        <v>0</v>
      </c>
      <c r="Z263" s="110">
        <v>0</v>
      </c>
      <c r="AA263" s="107"/>
      <c r="AB263" s="111"/>
      <c r="AC263" s="112"/>
      <c r="AD263" s="113">
        <v>0</v>
      </c>
      <c r="AE263" s="137">
        <v>0</v>
      </c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5"/>
      <c r="CR263" s="115"/>
      <c r="CS263" s="115"/>
      <c r="CT263" s="115"/>
      <c r="CU263" s="115"/>
      <c r="CV263" s="115"/>
      <c r="CW263" s="115"/>
      <c r="CX263" s="115" t="str">
        <f>" " &amp; TEXT(AE263,"#0.00%") &amp; " "</f>
        <v xml:space="preserve"> 0.00% </v>
      </c>
      <c r="CY263" s="115"/>
      <c r="CZ263" s="115"/>
      <c r="DA263" s="115"/>
      <c r="DB263" s="115"/>
      <c r="DC263" s="115"/>
      <c r="DD263" s="115"/>
      <c r="DE263" s="115"/>
      <c r="DF263" s="115"/>
      <c r="DG263" s="115"/>
      <c r="DH263" s="115"/>
      <c r="DI263" s="115"/>
      <c r="DJ263" s="115"/>
      <c r="DK263" s="115"/>
      <c r="DL263" s="115"/>
      <c r="DM263" s="115" t="str">
        <f>"   " &amp; "제어" &amp; " " &amp; IF(P263="","",TEXT(P263,"M/D-")) &amp; IF(Q263="","",TEXT(Q263,"M/D")) &amp; " "</f>
        <v xml:space="preserve">   제어 5/1-8/15 </v>
      </c>
      <c r="DN263" s="115"/>
      <c r="DO263" s="115"/>
      <c r="DP263" s="115"/>
      <c r="DQ263" s="115"/>
      <c r="DR263" s="115"/>
      <c r="DS263" s="115"/>
      <c r="DT263" s="115"/>
      <c r="DU263" s="115"/>
      <c r="DV263" s="115"/>
      <c r="DW263" s="115"/>
      <c r="DX263" s="115"/>
      <c r="DY263" s="115"/>
      <c r="DZ263" s="115"/>
      <c r="EA263" s="115"/>
      <c r="EB263" s="115"/>
      <c r="EC263" s="115"/>
      <c r="ED263" s="115"/>
      <c r="EE263" s="115"/>
      <c r="EF263" s="115"/>
      <c r="EG263" s="115"/>
      <c r="EH263" s="116"/>
    </row>
    <row r="264" spans="1:138" ht="12" customHeight="1" outlineLevel="3" x14ac:dyDescent="0.4">
      <c r="A264" s="101"/>
      <c r="B264" s="101"/>
      <c r="C264" s="101">
        <v>4</v>
      </c>
      <c r="D264" s="102" t="s">
        <v>656</v>
      </c>
      <c r="E264" s="103"/>
      <c r="F264" s="103"/>
      <c r="G264" s="103"/>
      <c r="H264" s="151" t="s">
        <v>657</v>
      </c>
      <c r="I264" s="103"/>
      <c r="J264" s="103"/>
      <c r="K264" s="103"/>
      <c r="L264" s="103"/>
      <c r="M264" s="103"/>
      <c r="N264" s="103"/>
      <c r="O264" s="104"/>
      <c r="P264" s="108">
        <v>45047</v>
      </c>
      <c r="Q264" s="108">
        <v>45077</v>
      </c>
      <c r="R264" s="106"/>
      <c r="S264" s="107">
        <v>31</v>
      </c>
      <c r="T264" s="107">
        <v>0</v>
      </c>
      <c r="U264" s="107">
        <v>31</v>
      </c>
      <c r="V264" s="107">
        <v>0</v>
      </c>
      <c r="W264" s="108"/>
      <c r="X264" s="108"/>
      <c r="Y264" s="109"/>
      <c r="Z264" s="110">
        <v>0</v>
      </c>
      <c r="AA264" s="107"/>
      <c r="AB264" s="111"/>
      <c r="AC264" s="112"/>
      <c r="AD264" s="113">
        <v>0</v>
      </c>
      <c r="AE264" s="134">
        <v>0</v>
      </c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  <c r="CR264" s="115"/>
      <c r="CS264" s="115"/>
      <c r="CT264" s="115"/>
      <c r="CU264" s="115"/>
      <c r="CV264" s="115"/>
      <c r="CW264" s="115"/>
      <c r="CX264" s="115" t="str">
        <f>" " &amp; TEXT(AE264,"#0.00%") &amp; " "</f>
        <v xml:space="preserve"> 0.00% </v>
      </c>
      <c r="CY264" s="115"/>
      <c r="CZ264" s="115"/>
      <c r="DA264" s="115"/>
      <c r="DB264" s="115" t="str">
        <f>"    " &amp; "IO 체크" &amp; " " &amp; IF(P264="","",TEXT(P264,"M/D-")) &amp; IF(Q264="","",TEXT(Q264,"M/D")) &amp; " "</f>
        <v xml:space="preserve">    IO 체크 5/1-5/31 </v>
      </c>
      <c r="DC264" s="115"/>
      <c r="DD264" s="115"/>
      <c r="DE264" s="115"/>
      <c r="DF264" s="115"/>
      <c r="DG264" s="115"/>
      <c r="DH264" s="115"/>
      <c r="DI264" s="115"/>
      <c r="DJ264" s="115"/>
      <c r="DK264" s="115"/>
      <c r="DL264" s="115"/>
      <c r="DM264" s="115"/>
      <c r="DN264" s="115"/>
      <c r="DO264" s="115"/>
      <c r="DP264" s="115"/>
      <c r="DQ264" s="115"/>
      <c r="DR264" s="115"/>
      <c r="DS264" s="115"/>
      <c r="DT264" s="115"/>
      <c r="DU264" s="115"/>
      <c r="DV264" s="115"/>
      <c r="DW264" s="115"/>
      <c r="DX264" s="115"/>
      <c r="DY264" s="115"/>
      <c r="DZ264" s="115"/>
      <c r="EA264" s="115"/>
      <c r="EB264" s="115"/>
      <c r="EC264" s="115"/>
      <c r="ED264" s="115"/>
      <c r="EE264" s="115"/>
      <c r="EF264" s="115"/>
      <c r="EG264" s="115"/>
      <c r="EH264" s="116"/>
    </row>
    <row r="265" spans="1:138" ht="12" customHeight="1" outlineLevel="3" x14ac:dyDescent="0.4">
      <c r="A265" s="101"/>
      <c r="B265" s="101"/>
      <c r="C265" s="101">
        <v>4</v>
      </c>
      <c r="D265" s="102" t="s">
        <v>658</v>
      </c>
      <c r="E265" s="103"/>
      <c r="F265" s="103"/>
      <c r="G265" s="120"/>
      <c r="H265" s="151" t="s">
        <v>659</v>
      </c>
      <c r="I265" s="103"/>
      <c r="J265" s="103"/>
      <c r="K265" s="103"/>
      <c r="L265" s="103"/>
      <c r="M265" s="103"/>
      <c r="N265" s="103"/>
      <c r="O265" s="104"/>
      <c r="P265" s="108">
        <v>45078</v>
      </c>
      <c r="Q265" s="108">
        <v>45138</v>
      </c>
      <c r="R265" s="106"/>
      <c r="S265" s="107">
        <v>61</v>
      </c>
      <c r="T265" s="107">
        <v>0</v>
      </c>
      <c r="U265" s="107">
        <v>61</v>
      </c>
      <c r="V265" s="107">
        <v>0</v>
      </c>
      <c r="W265" s="108"/>
      <c r="X265" s="108"/>
      <c r="Y265" s="109"/>
      <c r="Z265" s="110">
        <v>0</v>
      </c>
      <c r="AA265" s="107"/>
      <c r="AB265" s="111"/>
      <c r="AC265" s="112"/>
      <c r="AD265" s="113">
        <v>0</v>
      </c>
      <c r="AE265" s="134">
        <v>0</v>
      </c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5"/>
      <c r="BZ265" s="115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5"/>
      <c r="CR265" s="115"/>
      <c r="CS265" s="115"/>
      <c r="CT265" s="115"/>
      <c r="CU265" s="115"/>
      <c r="CV265" s="115"/>
      <c r="CW265" s="115"/>
      <c r="CX265" s="115"/>
      <c r="CY265" s="115"/>
      <c r="CZ265" s="115"/>
      <c r="DA265" s="115"/>
      <c r="DB265" s="115" t="str">
        <f>"    " &amp; TEXT(AE265,"#0.00%") &amp; " "</f>
        <v xml:space="preserve">    0.00% </v>
      </c>
      <c r="DC265" s="115"/>
      <c r="DD265" s="115"/>
      <c r="DE265" s="115"/>
      <c r="DF265" s="115"/>
      <c r="DG265" s="115"/>
      <c r="DH265" s="115"/>
      <c r="DI265" s="115"/>
      <c r="DJ265" s="115"/>
      <c r="DK265" s="115" t="str">
        <f>"  " &amp; "단동 테스트" &amp; " " &amp; IF(P265="","",TEXT(P265,"M/D-")) &amp; IF(Q265="","",TEXT(Q265,"M/D")) &amp; " "</f>
        <v xml:space="preserve">  단동 테스트 6/1-7/31 </v>
      </c>
      <c r="DL265" s="115"/>
      <c r="DM265" s="115"/>
      <c r="DN265" s="115"/>
      <c r="DO265" s="115"/>
      <c r="DP265" s="115"/>
      <c r="DQ265" s="115"/>
      <c r="DR265" s="115"/>
      <c r="DS265" s="115"/>
      <c r="DT265" s="115"/>
      <c r="DU265" s="115"/>
      <c r="DV265" s="115"/>
      <c r="DW265" s="115"/>
      <c r="DX265" s="115"/>
      <c r="DY265" s="115"/>
      <c r="DZ265" s="115"/>
      <c r="EA265" s="115"/>
      <c r="EB265" s="115"/>
      <c r="EC265" s="115"/>
      <c r="ED265" s="115"/>
      <c r="EE265" s="115"/>
      <c r="EF265" s="115"/>
      <c r="EG265" s="115"/>
      <c r="EH265" s="116"/>
    </row>
    <row r="266" spans="1:138" ht="12" customHeight="1" outlineLevel="3" x14ac:dyDescent="0.4">
      <c r="A266" s="101"/>
      <c r="B266" s="101"/>
      <c r="C266" s="101">
        <v>4</v>
      </c>
      <c r="D266" s="102" t="s">
        <v>660</v>
      </c>
      <c r="E266" s="103"/>
      <c r="F266" s="103"/>
      <c r="G266" s="103"/>
      <c r="H266" s="151" t="s">
        <v>661</v>
      </c>
      <c r="I266" s="103"/>
      <c r="J266" s="103"/>
      <c r="K266" s="103"/>
      <c r="L266" s="103"/>
      <c r="M266" s="103"/>
      <c r="N266" s="103"/>
      <c r="O266" s="104"/>
      <c r="P266" s="108">
        <v>45122</v>
      </c>
      <c r="Q266" s="108">
        <v>45153</v>
      </c>
      <c r="R266" s="106"/>
      <c r="S266" s="107">
        <v>32</v>
      </c>
      <c r="T266" s="107">
        <v>0</v>
      </c>
      <c r="U266" s="107">
        <v>32</v>
      </c>
      <c r="V266" s="107">
        <v>0</v>
      </c>
      <c r="W266" s="108"/>
      <c r="X266" s="108"/>
      <c r="Y266" s="109"/>
      <c r="Z266" s="110">
        <v>0</v>
      </c>
      <c r="AA266" s="107"/>
      <c r="AB266" s="111"/>
      <c r="AC266" s="112"/>
      <c r="AD266" s="113">
        <v>0</v>
      </c>
      <c r="AE266" s="134">
        <v>0</v>
      </c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5"/>
      <c r="CR266" s="115"/>
      <c r="CS266" s="115"/>
      <c r="CT266" s="115"/>
      <c r="CU266" s="115"/>
      <c r="CV266" s="115"/>
      <c r="CW266" s="115"/>
      <c r="CX266" s="115"/>
      <c r="CY266" s="115"/>
      <c r="CZ266" s="115"/>
      <c r="DA266" s="115"/>
      <c r="DB266" s="115"/>
      <c r="DC266" s="115"/>
      <c r="DD266" s="115"/>
      <c r="DE266" s="115"/>
      <c r="DF266" s="115"/>
      <c r="DG266" s="115"/>
      <c r="DH266" s="115" t="str">
        <f>"      " &amp; TEXT(AE266,"#0.00%") &amp; " "</f>
        <v xml:space="preserve">      0.00% </v>
      </c>
      <c r="DI266" s="115"/>
      <c r="DJ266" s="115"/>
      <c r="DK266" s="115"/>
      <c r="DL266" s="115"/>
      <c r="DM266" s="115" t="str">
        <f>"   " &amp; "OHT 티칭" &amp; " " &amp; IF(P266="","",TEXT(P266,"M/D-")) &amp; IF(Q266="","",TEXT(Q266,"M/D")) &amp; " "</f>
        <v xml:space="preserve">   OHT 티칭 7/15-8/15 </v>
      </c>
      <c r="DN266" s="115"/>
      <c r="DO266" s="115"/>
      <c r="DP266" s="115"/>
      <c r="DQ266" s="115"/>
      <c r="DR266" s="115"/>
      <c r="DS266" s="115"/>
      <c r="DT266" s="115"/>
      <c r="DU266" s="115"/>
      <c r="DV266" s="115"/>
      <c r="DW266" s="115"/>
      <c r="DX266" s="115"/>
      <c r="DY266" s="115"/>
      <c r="DZ266" s="115"/>
      <c r="EA266" s="115"/>
      <c r="EB266" s="115"/>
      <c r="EC266" s="115"/>
      <c r="ED266" s="115"/>
      <c r="EE266" s="115"/>
      <c r="EF266" s="115"/>
      <c r="EG266" s="115"/>
      <c r="EH266" s="116"/>
    </row>
    <row r="267" spans="1:138" ht="12" customHeight="1" outlineLevel="1" x14ac:dyDescent="0.4">
      <c r="A267" s="101"/>
      <c r="B267" s="101" t="s">
        <v>325</v>
      </c>
      <c r="C267" s="101">
        <v>2</v>
      </c>
      <c r="D267" s="102" t="s">
        <v>662</v>
      </c>
      <c r="E267" s="103"/>
      <c r="F267" s="103" t="s">
        <v>372</v>
      </c>
      <c r="G267" s="103"/>
      <c r="H267" s="103"/>
      <c r="I267" s="103"/>
      <c r="J267" s="103"/>
      <c r="K267" s="103"/>
      <c r="L267" s="103"/>
      <c r="M267" s="103"/>
      <c r="N267" s="103"/>
      <c r="O267" s="104" t="s">
        <v>345</v>
      </c>
      <c r="P267" s="108">
        <v>45022</v>
      </c>
      <c r="Q267" s="108">
        <v>45153</v>
      </c>
      <c r="R267" s="106"/>
      <c r="S267" s="107">
        <v>159</v>
      </c>
      <c r="T267" s="107">
        <v>0</v>
      </c>
      <c r="U267" s="107">
        <v>132</v>
      </c>
      <c r="V267" s="107">
        <v>0</v>
      </c>
      <c r="W267" s="108"/>
      <c r="X267" s="108"/>
      <c r="Y267" s="109">
        <v>0</v>
      </c>
      <c r="Z267" s="110">
        <v>0</v>
      </c>
      <c r="AA267" s="107"/>
      <c r="AB267" s="111"/>
      <c r="AC267" s="112"/>
      <c r="AD267" s="113">
        <v>0</v>
      </c>
      <c r="AE267" s="137">
        <v>0</v>
      </c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5"/>
      <c r="CT267" s="115" t="str">
        <f>"    " &amp; TEXT(AE267,"#0.00%") &amp; " "</f>
        <v xml:space="preserve">    0.00% </v>
      </c>
      <c r="CU267" s="115"/>
      <c r="CV267" s="115"/>
      <c r="CW267" s="115"/>
      <c r="CX267" s="115"/>
      <c r="CY267" s="115"/>
      <c r="CZ267" s="115"/>
      <c r="DA267" s="115"/>
      <c r="DB267" s="115"/>
      <c r="DC267" s="115"/>
      <c r="DD267" s="115"/>
      <c r="DE267" s="115"/>
      <c r="DF267" s="115"/>
      <c r="DG267" s="115"/>
      <c r="DH267" s="115"/>
      <c r="DI267" s="115"/>
      <c r="DJ267" s="115"/>
      <c r="DK267" s="115"/>
      <c r="DL267" s="115"/>
      <c r="DM267" s="115" t="str">
        <f>"   " &amp; "CCS 물류" &amp; " " &amp; IF(P267="","",TEXT(P267,"M/D-")) &amp; IF(Q267="","",TEXT(Q267,"M/D")) &amp; " "</f>
        <v xml:space="preserve">   CCS 물류 4/6-8/15 </v>
      </c>
      <c r="DN267" s="115"/>
      <c r="DO267" s="115"/>
      <c r="DP267" s="115"/>
      <c r="DQ267" s="115"/>
      <c r="DR267" s="115"/>
      <c r="DS267" s="115"/>
      <c r="DT267" s="115"/>
      <c r="DU267" s="115"/>
      <c r="DV267" s="115"/>
      <c r="DW267" s="115"/>
      <c r="DX267" s="115"/>
      <c r="DY267" s="115"/>
      <c r="DZ267" s="115"/>
      <c r="EA267" s="115"/>
      <c r="EB267" s="115"/>
      <c r="EC267" s="115"/>
      <c r="ED267" s="115"/>
      <c r="EE267" s="115"/>
      <c r="EF267" s="115"/>
      <c r="EG267" s="115"/>
      <c r="EH267" s="116"/>
    </row>
    <row r="268" spans="1:138" ht="12" customHeight="1" outlineLevel="2" x14ac:dyDescent="0.4">
      <c r="A268" s="101"/>
      <c r="B268" s="101" t="s">
        <v>325</v>
      </c>
      <c r="C268" s="101">
        <v>3</v>
      </c>
      <c r="D268" s="102" t="s">
        <v>663</v>
      </c>
      <c r="E268" s="103"/>
      <c r="F268" s="103"/>
      <c r="G268" s="103" t="s">
        <v>597</v>
      </c>
      <c r="H268" s="103"/>
      <c r="I268" s="103"/>
      <c r="J268" s="103"/>
      <c r="K268" s="103"/>
      <c r="L268" s="103"/>
      <c r="M268" s="103"/>
      <c r="N268" s="103"/>
      <c r="O268" s="104"/>
      <c r="P268" s="108">
        <v>45022</v>
      </c>
      <c r="Q268" s="108">
        <v>45046</v>
      </c>
      <c r="R268" s="106"/>
      <c r="S268" s="107">
        <v>25</v>
      </c>
      <c r="T268" s="107">
        <v>0</v>
      </c>
      <c r="U268" s="107">
        <v>25</v>
      </c>
      <c r="V268" s="107">
        <v>0</v>
      </c>
      <c r="W268" s="108"/>
      <c r="X268" s="108"/>
      <c r="Y268" s="109">
        <v>0</v>
      </c>
      <c r="Z268" s="110">
        <v>0</v>
      </c>
      <c r="AA268" s="107"/>
      <c r="AB268" s="111"/>
      <c r="AC268" s="112"/>
      <c r="AD268" s="113">
        <v>0</v>
      </c>
      <c r="AE268" s="137">
        <v>0</v>
      </c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 t="str">
        <f>"    " &amp; TEXT(AE268,"#0.00%") &amp; " "</f>
        <v xml:space="preserve">    0.00% </v>
      </c>
      <c r="CU268" s="115"/>
      <c r="CV268" s="115"/>
      <c r="CW268" s="115"/>
      <c r="CX268" s="115" t="str">
        <f>" " &amp; "기구" &amp; " " &amp; IF(P268="","",TEXT(P268,"M/D-")) &amp; IF(Q268="","",TEXT(Q268,"M/D")) &amp; " "</f>
        <v xml:space="preserve"> 기구 4/6-4/30 </v>
      </c>
      <c r="CY268" s="115"/>
      <c r="CZ268" s="115"/>
      <c r="DA268" s="115"/>
      <c r="DB268" s="115"/>
      <c r="DC268" s="115"/>
      <c r="DD268" s="115"/>
      <c r="DE268" s="115"/>
      <c r="DF268" s="115"/>
      <c r="DG268" s="115"/>
      <c r="DH268" s="115"/>
      <c r="DI268" s="115"/>
      <c r="DJ268" s="115"/>
      <c r="DK268" s="115"/>
      <c r="DL268" s="115"/>
      <c r="DM268" s="115"/>
      <c r="DN268" s="115"/>
      <c r="DO268" s="115"/>
      <c r="DP268" s="115"/>
      <c r="DQ268" s="115"/>
      <c r="DR268" s="115"/>
      <c r="DS268" s="115"/>
      <c r="DT268" s="115"/>
      <c r="DU268" s="115"/>
      <c r="DV268" s="115"/>
      <c r="DW268" s="115"/>
      <c r="DX268" s="115"/>
      <c r="DY268" s="115"/>
      <c r="DZ268" s="115"/>
      <c r="EA268" s="115"/>
      <c r="EB268" s="115"/>
      <c r="EC268" s="115"/>
      <c r="ED268" s="115"/>
      <c r="EE268" s="115"/>
      <c r="EF268" s="115"/>
      <c r="EG268" s="115"/>
      <c r="EH268" s="116"/>
    </row>
    <row r="269" spans="1:138" ht="12" customHeight="1" outlineLevel="3" x14ac:dyDescent="0.4">
      <c r="A269" s="101"/>
      <c r="B269" s="101"/>
      <c r="C269" s="101">
        <v>4</v>
      </c>
      <c r="D269" s="102" t="s">
        <v>664</v>
      </c>
      <c r="E269" s="103"/>
      <c r="F269" s="103"/>
      <c r="G269" s="103"/>
      <c r="H269" s="103" t="s">
        <v>632</v>
      </c>
      <c r="I269" s="103"/>
      <c r="J269" s="103"/>
      <c r="K269" s="103"/>
      <c r="L269" s="103"/>
      <c r="M269" s="103"/>
      <c r="N269" s="103"/>
      <c r="O269" s="104"/>
      <c r="P269" s="108">
        <v>45022</v>
      </c>
      <c r="Q269" s="108">
        <v>45046</v>
      </c>
      <c r="R269" s="106"/>
      <c r="S269" s="107">
        <v>25</v>
      </c>
      <c r="T269" s="107">
        <v>0</v>
      </c>
      <c r="U269" s="107">
        <v>25</v>
      </c>
      <c r="V269" s="107">
        <v>0</v>
      </c>
      <c r="W269" s="108"/>
      <c r="X269" s="108"/>
      <c r="Y269" s="109"/>
      <c r="Z269" s="110">
        <v>0</v>
      </c>
      <c r="AA269" s="107"/>
      <c r="AB269" s="111"/>
      <c r="AC269" s="112"/>
      <c r="AD269" s="113">
        <v>0</v>
      </c>
      <c r="AE269" s="134">
        <v>0</v>
      </c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5"/>
      <c r="CT269" s="115" t="str">
        <f>"    " &amp; TEXT(AE269,"#0.00%") &amp; " "</f>
        <v xml:space="preserve">    0.00% </v>
      </c>
      <c r="CU269" s="115"/>
      <c r="CV269" s="115"/>
      <c r="CW269" s="115"/>
      <c r="CX269" s="115" t="str">
        <f>" " &amp; "정위치 및 LEVELING" &amp; " " &amp; IF(P269="","",TEXT(P269,"M/D-")) &amp; IF(Q269="","",TEXT(Q269,"M/D")) &amp; " "</f>
        <v xml:space="preserve"> 정위치 및 LEVELING 4/6-4/30 </v>
      </c>
      <c r="CY269" s="115"/>
      <c r="CZ269" s="115"/>
      <c r="DA269" s="115"/>
      <c r="DB269" s="115"/>
      <c r="DC269" s="115"/>
      <c r="DD269" s="115"/>
      <c r="DE269" s="115"/>
      <c r="DF269" s="115"/>
      <c r="DG269" s="115"/>
      <c r="DH269" s="115"/>
      <c r="DI269" s="115"/>
      <c r="DJ269" s="115"/>
      <c r="DK269" s="115"/>
      <c r="DL269" s="115"/>
      <c r="DM269" s="115"/>
      <c r="DN269" s="115"/>
      <c r="DO269" s="115"/>
      <c r="DP269" s="115"/>
      <c r="DQ269" s="115"/>
      <c r="DR269" s="115"/>
      <c r="DS269" s="115"/>
      <c r="DT269" s="115"/>
      <c r="DU269" s="115"/>
      <c r="DV269" s="115"/>
      <c r="DW269" s="115"/>
      <c r="DX269" s="115"/>
      <c r="DY269" s="115"/>
      <c r="DZ269" s="115"/>
      <c r="EA269" s="115"/>
      <c r="EB269" s="115"/>
      <c r="EC269" s="115"/>
      <c r="ED269" s="115"/>
      <c r="EE269" s="115"/>
      <c r="EF269" s="115"/>
      <c r="EG269" s="115"/>
      <c r="EH269" s="116"/>
    </row>
    <row r="270" spans="1:138" ht="12" customHeight="1" outlineLevel="2" x14ac:dyDescent="0.4">
      <c r="A270" s="101"/>
      <c r="B270" s="101" t="s">
        <v>325</v>
      </c>
      <c r="C270" s="101">
        <v>3</v>
      </c>
      <c r="D270" s="102" t="s">
        <v>665</v>
      </c>
      <c r="E270" s="103"/>
      <c r="F270" s="103"/>
      <c r="G270" s="103" t="s">
        <v>605</v>
      </c>
      <c r="H270" s="120"/>
      <c r="I270" s="103"/>
      <c r="J270" s="103"/>
      <c r="K270" s="103"/>
      <c r="L270" s="103"/>
      <c r="M270" s="103"/>
      <c r="N270" s="103"/>
      <c r="O270" s="104"/>
      <c r="P270" s="108">
        <v>45041</v>
      </c>
      <c r="Q270" s="108">
        <v>45077</v>
      </c>
      <c r="R270" s="106"/>
      <c r="S270" s="107">
        <v>48</v>
      </c>
      <c r="T270" s="107">
        <v>0</v>
      </c>
      <c r="U270" s="107">
        <v>37</v>
      </c>
      <c r="V270" s="107">
        <v>0</v>
      </c>
      <c r="W270" s="108"/>
      <c r="X270" s="108"/>
      <c r="Y270" s="109">
        <v>0</v>
      </c>
      <c r="Z270" s="110">
        <v>0</v>
      </c>
      <c r="AA270" s="107"/>
      <c r="AB270" s="111"/>
      <c r="AC270" s="112"/>
      <c r="AD270" s="113">
        <v>0</v>
      </c>
      <c r="AE270" s="137">
        <v>0</v>
      </c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  <c r="CS270" s="115"/>
      <c r="CT270" s="115"/>
      <c r="CU270" s="115"/>
      <c r="CV270" s="115"/>
      <c r="CW270" s="115" t="str">
        <f>"  " &amp; TEXT(AE270,"#0.00%") &amp; " "</f>
        <v xml:space="preserve">  0.00% </v>
      </c>
      <c r="CX270" s="115"/>
      <c r="CY270" s="115"/>
      <c r="CZ270" s="115"/>
      <c r="DA270" s="115"/>
      <c r="DB270" s="115" t="str">
        <f>"    " &amp; "전장" &amp; " " &amp; IF(P270="","",TEXT(P270,"M/D-")) &amp; IF(Q270="","",TEXT(Q270,"M/D")) &amp; " "</f>
        <v xml:space="preserve">    전장 4/25-5/31 </v>
      </c>
      <c r="DC270" s="115"/>
      <c r="DD270" s="115"/>
      <c r="DE270" s="115"/>
      <c r="DF270" s="115"/>
      <c r="DG270" s="115"/>
      <c r="DH270" s="115"/>
      <c r="DI270" s="115"/>
      <c r="DJ270" s="115"/>
      <c r="DK270" s="115"/>
      <c r="DL270" s="115"/>
      <c r="DM270" s="115"/>
      <c r="DN270" s="115"/>
      <c r="DO270" s="115"/>
      <c r="DP270" s="115"/>
      <c r="DQ270" s="115"/>
      <c r="DR270" s="115"/>
      <c r="DS270" s="115"/>
      <c r="DT270" s="115"/>
      <c r="DU270" s="115"/>
      <c r="DV270" s="115"/>
      <c r="DW270" s="115"/>
      <c r="DX270" s="115"/>
      <c r="DY270" s="115"/>
      <c r="DZ270" s="115"/>
      <c r="EA270" s="115"/>
      <c r="EB270" s="115"/>
      <c r="EC270" s="115"/>
      <c r="ED270" s="115"/>
      <c r="EE270" s="115"/>
      <c r="EF270" s="115"/>
      <c r="EG270" s="115"/>
      <c r="EH270" s="116"/>
    </row>
    <row r="271" spans="1:138" ht="12" customHeight="1" outlineLevel="3" x14ac:dyDescent="0.4">
      <c r="A271" s="101"/>
      <c r="B271" s="101"/>
      <c r="C271" s="101">
        <v>4</v>
      </c>
      <c r="D271" s="102" t="s">
        <v>666</v>
      </c>
      <c r="E271" s="103"/>
      <c r="F271" s="103"/>
      <c r="G271" s="103"/>
      <c r="H271" s="103" t="s">
        <v>667</v>
      </c>
      <c r="I271" s="103"/>
      <c r="J271" s="103"/>
      <c r="K271" s="103"/>
      <c r="L271" s="103"/>
      <c r="M271" s="103"/>
      <c r="N271" s="103"/>
      <c r="O271" s="104"/>
      <c r="P271" s="108">
        <v>45041</v>
      </c>
      <c r="Q271" s="108">
        <v>45077</v>
      </c>
      <c r="R271" s="106"/>
      <c r="S271" s="107">
        <v>37</v>
      </c>
      <c r="T271" s="107">
        <v>0</v>
      </c>
      <c r="U271" s="107">
        <v>37</v>
      </c>
      <c r="V271" s="107">
        <v>0</v>
      </c>
      <c r="W271" s="108"/>
      <c r="X271" s="108"/>
      <c r="Y271" s="109"/>
      <c r="Z271" s="110">
        <v>0</v>
      </c>
      <c r="AA271" s="107"/>
      <c r="AB271" s="111"/>
      <c r="AC271" s="112"/>
      <c r="AD271" s="113">
        <v>0</v>
      </c>
      <c r="AE271" s="134">
        <v>0</v>
      </c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BM271" s="115"/>
      <c r="BN271" s="115"/>
      <c r="BO271" s="115"/>
      <c r="BP271" s="115"/>
      <c r="BQ271" s="115"/>
      <c r="BR271" s="115"/>
      <c r="BS271" s="115"/>
      <c r="BT271" s="115"/>
      <c r="BU271" s="115"/>
      <c r="BV271" s="115"/>
      <c r="BW271" s="115"/>
      <c r="BX271" s="115"/>
      <c r="BY271" s="115"/>
      <c r="BZ271" s="115"/>
      <c r="CA271" s="115"/>
      <c r="CB271" s="115"/>
      <c r="CC271" s="115"/>
      <c r="CD271" s="115"/>
      <c r="CE271" s="115"/>
      <c r="CF271" s="115"/>
      <c r="CG271" s="115"/>
      <c r="CH271" s="115"/>
      <c r="CI271" s="115"/>
      <c r="CJ271" s="115"/>
      <c r="CK271" s="115"/>
      <c r="CL271" s="115"/>
      <c r="CM271" s="115"/>
      <c r="CN271" s="115"/>
      <c r="CO271" s="115"/>
      <c r="CP271" s="115"/>
      <c r="CQ271" s="115"/>
      <c r="CR271" s="115"/>
      <c r="CS271" s="115"/>
      <c r="CT271" s="115"/>
      <c r="CU271" s="115"/>
      <c r="CV271" s="115"/>
      <c r="CW271" s="115" t="str">
        <f>"  " &amp; TEXT(AE271,"#0.00%") &amp; " "</f>
        <v xml:space="preserve">  0.00% </v>
      </c>
      <c r="CX271" s="115"/>
      <c r="CY271" s="115"/>
      <c r="CZ271" s="115"/>
      <c r="DA271" s="115"/>
      <c r="DB271" s="115" t="str">
        <f>"    " &amp; "전장 SET-UP" &amp; " " &amp; IF(P271="","",TEXT(P271,"M/D-")) &amp; IF(Q271="","",TEXT(Q271,"M/D")) &amp; " "</f>
        <v xml:space="preserve">    전장 SET-UP 4/25-5/31 </v>
      </c>
      <c r="DC271" s="115"/>
      <c r="DD271" s="115"/>
      <c r="DE271" s="115"/>
      <c r="DF271" s="115"/>
      <c r="DG271" s="115"/>
      <c r="DH271" s="115"/>
      <c r="DI271" s="115"/>
      <c r="DJ271" s="115"/>
      <c r="DK271" s="115"/>
      <c r="DL271" s="115"/>
      <c r="DM271" s="115"/>
      <c r="DN271" s="115"/>
      <c r="DO271" s="115"/>
      <c r="DP271" s="115"/>
      <c r="DQ271" s="115"/>
      <c r="DR271" s="115"/>
      <c r="DS271" s="115"/>
      <c r="DT271" s="115"/>
      <c r="DU271" s="115"/>
      <c r="DV271" s="115"/>
      <c r="DW271" s="115"/>
      <c r="DX271" s="115"/>
      <c r="DY271" s="115"/>
      <c r="DZ271" s="115"/>
      <c r="EA271" s="115"/>
      <c r="EB271" s="115"/>
      <c r="EC271" s="115"/>
      <c r="ED271" s="115"/>
      <c r="EE271" s="115"/>
      <c r="EF271" s="115"/>
      <c r="EG271" s="115"/>
      <c r="EH271" s="116"/>
    </row>
    <row r="272" spans="1:138" ht="12" customHeight="1" outlineLevel="3" x14ac:dyDescent="0.4">
      <c r="A272" s="101"/>
      <c r="B272" s="101"/>
      <c r="C272" s="101">
        <v>4</v>
      </c>
      <c r="D272" s="102" t="s">
        <v>668</v>
      </c>
      <c r="E272" s="103"/>
      <c r="F272" s="103"/>
      <c r="G272" s="103"/>
      <c r="H272" s="103" t="s">
        <v>609</v>
      </c>
      <c r="I272" s="103"/>
      <c r="J272" s="103"/>
      <c r="K272" s="103"/>
      <c r="L272" s="103"/>
      <c r="M272" s="103"/>
      <c r="N272" s="103"/>
      <c r="O272" s="104"/>
      <c r="P272" s="108">
        <v>45056</v>
      </c>
      <c r="Q272" s="108">
        <v>45066</v>
      </c>
      <c r="R272" s="106"/>
      <c r="S272" s="107">
        <v>11</v>
      </c>
      <c r="T272" s="107">
        <v>0</v>
      </c>
      <c r="U272" s="107">
        <v>11</v>
      </c>
      <c r="V272" s="107">
        <v>0</v>
      </c>
      <c r="W272" s="108"/>
      <c r="X272" s="108"/>
      <c r="Y272" s="109"/>
      <c r="Z272" s="110">
        <v>0</v>
      </c>
      <c r="AA272" s="107"/>
      <c r="AB272" s="111"/>
      <c r="AC272" s="112"/>
      <c r="AD272" s="113">
        <v>0</v>
      </c>
      <c r="AE272" s="134">
        <v>0</v>
      </c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  <c r="BM272" s="115"/>
      <c r="BN272" s="115"/>
      <c r="BO272" s="115"/>
      <c r="BP272" s="115"/>
      <c r="BQ272" s="115"/>
      <c r="BR272" s="115"/>
      <c r="BS272" s="115"/>
      <c r="BT272" s="115"/>
      <c r="BU272" s="115"/>
      <c r="BV272" s="115"/>
      <c r="BW272" s="115"/>
      <c r="BX272" s="115"/>
      <c r="BY272" s="115"/>
      <c r="BZ272" s="115"/>
      <c r="CA272" s="115"/>
      <c r="CB272" s="115"/>
      <c r="CC272" s="115"/>
      <c r="CD272" s="115"/>
      <c r="CE272" s="115"/>
      <c r="CF272" s="115"/>
      <c r="CG272" s="115"/>
      <c r="CH272" s="115"/>
      <c r="CI272" s="115"/>
      <c r="CJ272" s="115"/>
      <c r="CK272" s="115"/>
      <c r="CL272" s="115"/>
      <c r="CM272" s="115"/>
      <c r="CN272" s="115"/>
      <c r="CO272" s="115"/>
      <c r="CP272" s="115"/>
      <c r="CQ272" s="115"/>
      <c r="CR272" s="115"/>
      <c r="CS272" s="115"/>
      <c r="CT272" s="115"/>
      <c r="CU272" s="115"/>
      <c r="CV272" s="115"/>
      <c r="CW272" s="115"/>
      <c r="CX272" s="115"/>
      <c r="CY272" s="115" t="str">
        <f>"   " &amp; TEXT(AE272,"#0.00%") &amp; " " &amp; "UT Hook up/Turn on" &amp; " " &amp; IF(P272="","",TEXT(P272,"M/D-")) &amp; IF(Q272="","",TEXT(Q272,"M/D")) &amp; " "</f>
        <v xml:space="preserve">   0.00% UT Hook up/Turn on 5/10-5/20 </v>
      </c>
      <c r="CZ272" s="115"/>
      <c r="DA272" s="115"/>
      <c r="DB272" s="115"/>
      <c r="DC272" s="115"/>
      <c r="DD272" s="115"/>
      <c r="DE272" s="115"/>
      <c r="DF272" s="115"/>
      <c r="DG272" s="115"/>
      <c r="DH272" s="115"/>
      <c r="DI272" s="115"/>
      <c r="DJ272" s="115"/>
      <c r="DK272" s="115"/>
      <c r="DL272" s="115"/>
      <c r="DM272" s="115"/>
      <c r="DN272" s="115"/>
      <c r="DO272" s="115"/>
      <c r="DP272" s="115"/>
      <c r="DQ272" s="115"/>
      <c r="DR272" s="115"/>
      <c r="DS272" s="115"/>
      <c r="DT272" s="115"/>
      <c r="DU272" s="115"/>
      <c r="DV272" s="115"/>
      <c r="DW272" s="115"/>
      <c r="DX272" s="115"/>
      <c r="DY272" s="115"/>
      <c r="DZ272" s="115"/>
      <c r="EA272" s="115"/>
      <c r="EB272" s="115"/>
      <c r="EC272" s="115"/>
      <c r="ED272" s="115"/>
      <c r="EE272" s="115"/>
      <c r="EF272" s="115"/>
      <c r="EG272" s="115"/>
      <c r="EH272" s="116"/>
    </row>
    <row r="273" spans="1:138" ht="12" customHeight="1" outlineLevel="2" x14ac:dyDescent="0.4">
      <c r="A273" s="101"/>
      <c r="B273" s="101" t="s">
        <v>325</v>
      </c>
      <c r="C273" s="101">
        <v>3</v>
      </c>
      <c r="D273" s="102" t="s">
        <v>669</v>
      </c>
      <c r="E273" s="103"/>
      <c r="F273" s="103"/>
      <c r="G273" s="103" t="s">
        <v>611</v>
      </c>
      <c r="H273" s="103"/>
      <c r="I273" s="103"/>
      <c r="J273" s="103"/>
      <c r="K273" s="103"/>
      <c r="L273" s="103"/>
      <c r="M273" s="103"/>
      <c r="N273" s="103"/>
      <c r="O273" s="104"/>
      <c r="P273" s="108">
        <v>45067</v>
      </c>
      <c r="Q273" s="108">
        <v>45153</v>
      </c>
      <c r="R273" s="106"/>
      <c r="S273" s="107">
        <v>86</v>
      </c>
      <c r="T273" s="107">
        <v>0</v>
      </c>
      <c r="U273" s="107">
        <v>87</v>
      </c>
      <c r="V273" s="107">
        <v>0</v>
      </c>
      <c r="W273" s="108"/>
      <c r="X273" s="108"/>
      <c r="Y273" s="109">
        <v>0</v>
      </c>
      <c r="Z273" s="110">
        <v>0</v>
      </c>
      <c r="AA273" s="107"/>
      <c r="AB273" s="111"/>
      <c r="AC273" s="112"/>
      <c r="AD273" s="113">
        <v>0</v>
      </c>
      <c r="AE273" s="137">
        <v>0</v>
      </c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 t="str">
        <f>"" &amp; TEXT(AE273,"#0.00%") &amp; " "</f>
        <v xml:space="preserve">0.00% </v>
      </c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 t="str">
        <f>"   " &amp; "제어" &amp; " " &amp; IF(P273="","",TEXT(P273,"M/D-")) &amp; IF(Q273="","",TEXT(Q273,"M/D")) &amp; " "</f>
        <v xml:space="preserve">   제어 5/21-8/15 </v>
      </c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6"/>
    </row>
    <row r="274" spans="1:138" ht="12" customHeight="1" outlineLevel="3" x14ac:dyDescent="0.4">
      <c r="A274" s="101"/>
      <c r="B274" s="101"/>
      <c r="C274" s="101">
        <v>4</v>
      </c>
      <c r="D274" s="102" t="s">
        <v>670</v>
      </c>
      <c r="E274" s="103"/>
      <c r="F274" s="103"/>
      <c r="G274" s="103"/>
      <c r="H274" s="103" t="s">
        <v>657</v>
      </c>
      <c r="I274" s="103"/>
      <c r="J274" s="103"/>
      <c r="K274" s="103"/>
      <c r="L274" s="103"/>
      <c r="M274" s="103"/>
      <c r="N274" s="103"/>
      <c r="O274" s="104"/>
      <c r="P274" s="108">
        <v>45067</v>
      </c>
      <c r="Q274" s="108">
        <v>45097</v>
      </c>
      <c r="R274" s="106"/>
      <c r="S274" s="107">
        <v>31</v>
      </c>
      <c r="T274" s="107">
        <v>0</v>
      </c>
      <c r="U274" s="107">
        <v>31</v>
      </c>
      <c r="V274" s="107">
        <v>0</v>
      </c>
      <c r="W274" s="108"/>
      <c r="X274" s="108"/>
      <c r="Y274" s="109"/>
      <c r="Z274" s="110">
        <v>0</v>
      </c>
      <c r="AA274" s="107"/>
      <c r="AB274" s="111"/>
      <c r="AC274" s="112"/>
      <c r="AD274" s="113">
        <v>0</v>
      </c>
      <c r="AE274" s="134">
        <v>0</v>
      </c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5"/>
      <c r="CR274" s="115"/>
      <c r="CS274" s="115"/>
      <c r="CT274" s="115"/>
      <c r="CU274" s="115"/>
      <c r="CV274" s="115"/>
      <c r="CW274" s="115"/>
      <c r="CX274" s="115"/>
      <c r="CY274" s="115"/>
      <c r="CZ274" s="115"/>
      <c r="DA274" s="115" t="str">
        <f>"" &amp; TEXT(AE274,"#0.00%") &amp; " "</f>
        <v xml:space="preserve">0.00% </v>
      </c>
      <c r="DB274" s="115"/>
      <c r="DC274" s="115"/>
      <c r="DD274" s="115"/>
      <c r="DE274" s="115" t="str">
        <f>"   " &amp; "IO 체크" &amp; " " &amp; IF(P274="","",TEXT(P274,"M/D-")) &amp; IF(Q274="","",TEXT(Q274,"M/D")) &amp; " "</f>
        <v xml:space="preserve">   IO 체크 5/21-6/20 </v>
      </c>
      <c r="DF274" s="115"/>
      <c r="DG274" s="115"/>
      <c r="DH274" s="115"/>
      <c r="DI274" s="115"/>
      <c r="DJ274" s="115"/>
      <c r="DK274" s="115"/>
      <c r="DL274" s="115"/>
      <c r="DM274" s="115"/>
      <c r="DN274" s="115"/>
      <c r="DO274" s="115"/>
      <c r="DP274" s="115"/>
      <c r="DQ274" s="115"/>
      <c r="DR274" s="115"/>
      <c r="DS274" s="115"/>
      <c r="DT274" s="115"/>
      <c r="DU274" s="115"/>
      <c r="DV274" s="115"/>
      <c r="DW274" s="115"/>
      <c r="DX274" s="115"/>
      <c r="DY274" s="115"/>
      <c r="DZ274" s="115"/>
      <c r="EA274" s="115"/>
      <c r="EB274" s="115"/>
      <c r="EC274" s="115"/>
      <c r="ED274" s="115"/>
      <c r="EE274" s="115"/>
      <c r="EF274" s="115"/>
      <c r="EG274" s="115"/>
      <c r="EH274" s="116"/>
    </row>
    <row r="275" spans="1:138" ht="12" customHeight="1" outlineLevel="3" x14ac:dyDescent="0.4">
      <c r="A275" s="101"/>
      <c r="B275" s="101"/>
      <c r="C275" s="101">
        <v>4</v>
      </c>
      <c r="D275" s="102" t="s">
        <v>671</v>
      </c>
      <c r="E275" s="103"/>
      <c r="F275" s="103"/>
      <c r="G275" s="103"/>
      <c r="H275" s="103" t="s">
        <v>672</v>
      </c>
      <c r="I275" s="103"/>
      <c r="J275" s="103"/>
      <c r="K275" s="103"/>
      <c r="L275" s="103"/>
      <c r="M275" s="103"/>
      <c r="N275" s="103"/>
      <c r="O275" s="104"/>
      <c r="P275" s="108">
        <v>45098</v>
      </c>
      <c r="Q275" s="108">
        <v>45137</v>
      </c>
      <c r="R275" s="106"/>
      <c r="S275" s="107">
        <v>40</v>
      </c>
      <c r="T275" s="107">
        <v>0</v>
      </c>
      <c r="U275" s="107">
        <v>40</v>
      </c>
      <c r="V275" s="107">
        <v>0</v>
      </c>
      <c r="W275" s="108"/>
      <c r="X275" s="108"/>
      <c r="Y275" s="109"/>
      <c r="Z275" s="110">
        <v>0</v>
      </c>
      <c r="AA275" s="107"/>
      <c r="AB275" s="111"/>
      <c r="AC275" s="112"/>
      <c r="AD275" s="113">
        <v>0</v>
      </c>
      <c r="AE275" s="134">
        <v>0</v>
      </c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 t="str">
        <f>"   " &amp; TEXT(AE275,"#0.00%") &amp; " "</f>
        <v xml:space="preserve">   0.00% </v>
      </c>
      <c r="DF275" s="115"/>
      <c r="DG275" s="115"/>
      <c r="DH275" s="115"/>
      <c r="DI275" s="115"/>
      <c r="DJ275" s="115"/>
      <c r="DK275" s="115" t="str">
        <f>" " &amp; "TEACHING 및 단동 테스트" &amp; " " &amp; IF(P275="","",TEXT(P275,"M/D-")) &amp; IF(Q275="","",TEXT(Q275,"M/D")) &amp; " "</f>
        <v xml:space="preserve"> TEACHING 및 단동 테스트 6/21-7/30 </v>
      </c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6"/>
    </row>
    <row r="276" spans="1:138" ht="12" customHeight="1" outlineLevel="3" x14ac:dyDescent="0.4">
      <c r="A276" s="101"/>
      <c r="B276" s="101"/>
      <c r="C276" s="101">
        <v>4</v>
      </c>
      <c r="D276" s="102" t="s">
        <v>673</v>
      </c>
      <c r="E276" s="103"/>
      <c r="F276" s="103"/>
      <c r="G276" s="103"/>
      <c r="H276" s="103" t="s">
        <v>640</v>
      </c>
      <c r="I276" s="103"/>
      <c r="J276" s="103"/>
      <c r="K276" s="103"/>
      <c r="L276" s="103"/>
      <c r="M276" s="103"/>
      <c r="N276" s="103"/>
      <c r="O276" s="104"/>
      <c r="P276" s="108">
        <v>45139</v>
      </c>
      <c r="Q276" s="108">
        <v>45153</v>
      </c>
      <c r="R276" s="106"/>
      <c r="S276" s="107">
        <v>15</v>
      </c>
      <c r="T276" s="107">
        <v>0</v>
      </c>
      <c r="U276" s="107">
        <v>15</v>
      </c>
      <c r="V276" s="107">
        <v>0</v>
      </c>
      <c r="W276" s="108"/>
      <c r="X276" s="108"/>
      <c r="Y276" s="109"/>
      <c r="Z276" s="110">
        <v>0</v>
      </c>
      <c r="AA276" s="107"/>
      <c r="AB276" s="111"/>
      <c r="AC276" s="112"/>
      <c r="AD276" s="113">
        <v>0</v>
      </c>
      <c r="AE276" s="134">
        <v>0</v>
      </c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5"/>
      <c r="CR276" s="115"/>
      <c r="CS276" s="115"/>
      <c r="CT276" s="115"/>
      <c r="CU276" s="115"/>
      <c r="CV276" s="115"/>
      <c r="CW276" s="115"/>
      <c r="CX276" s="115"/>
      <c r="CY276" s="115"/>
      <c r="CZ276" s="115"/>
      <c r="DA276" s="115"/>
      <c r="DB276" s="115"/>
      <c r="DC276" s="115"/>
      <c r="DD276" s="115"/>
      <c r="DE276" s="115"/>
      <c r="DF276" s="115"/>
      <c r="DG276" s="115"/>
      <c r="DH276" s="115"/>
      <c r="DI276" s="115"/>
      <c r="DJ276" s="115"/>
      <c r="DK276" s="115" t="str">
        <f>"  " &amp; TEXT(AE276,"#0.00%") &amp; " " &amp; "EQ TEST" &amp; " " &amp; IF(P276="","",TEXT(P276,"M/D-")) &amp; IF(Q276="","",TEXT(Q276,"M/D")) &amp; " "</f>
        <v xml:space="preserve">  0.00% EQ TEST 8/1-8/15 </v>
      </c>
      <c r="DL276" s="115"/>
      <c r="DM276" s="115"/>
      <c r="DN276" s="115"/>
      <c r="DO276" s="115"/>
      <c r="DP276" s="115"/>
      <c r="DQ276" s="115"/>
      <c r="DR276" s="115"/>
      <c r="DS276" s="115"/>
      <c r="DT276" s="115"/>
      <c r="DU276" s="115"/>
      <c r="DV276" s="115"/>
      <c r="DW276" s="115"/>
      <c r="DX276" s="115"/>
      <c r="DY276" s="115"/>
      <c r="DZ276" s="115"/>
      <c r="EA276" s="115"/>
      <c r="EB276" s="115"/>
      <c r="EC276" s="115"/>
      <c r="ED276" s="115"/>
      <c r="EE276" s="115"/>
      <c r="EF276" s="115"/>
      <c r="EG276" s="115"/>
      <c r="EH276" s="116"/>
    </row>
    <row r="277" spans="1:138" ht="12" customHeight="1" outlineLevel="1" x14ac:dyDescent="0.4">
      <c r="A277" s="101"/>
      <c r="B277" s="101" t="s">
        <v>325</v>
      </c>
      <c r="C277" s="101">
        <v>2</v>
      </c>
      <c r="D277" s="102" t="s">
        <v>674</v>
      </c>
      <c r="E277" s="103"/>
      <c r="F277" s="103" t="s">
        <v>380</v>
      </c>
      <c r="G277" s="103"/>
      <c r="H277" s="103"/>
      <c r="I277" s="103"/>
      <c r="J277" s="103"/>
      <c r="K277" s="103"/>
      <c r="L277" s="103"/>
      <c r="M277" s="103"/>
      <c r="N277" s="103"/>
      <c r="O277" s="104" t="s">
        <v>330</v>
      </c>
      <c r="P277" s="108">
        <v>44991</v>
      </c>
      <c r="Q277" s="108">
        <v>45058</v>
      </c>
      <c r="R277" s="106"/>
      <c r="S277" s="107">
        <v>94</v>
      </c>
      <c r="T277" s="107">
        <v>0</v>
      </c>
      <c r="U277" s="107">
        <v>68</v>
      </c>
      <c r="V277" s="107">
        <v>0</v>
      </c>
      <c r="W277" s="108"/>
      <c r="X277" s="108"/>
      <c r="Y277" s="109">
        <v>0</v>
      </c>
      <c r="Z277" s="110">
        <v>0</v>
      </c>
      <c r="AA277" s="107"/>
      <c r="AB277" s="111"/>
      <c r="AC277" s="112"/>
      <c r="AD277" s="113">
        <v>0</v>
      </c>
      <c r="AE277" s="137">
        <v>0</v>
      </c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  <c r="BN277" s="115"/>
      <c r="BO277" s="115"/>
      <c r="BP277" s="115"/>
      <c r="BQ277" s="115"/>
      <c r="BR277" s="115"/>
      <c r="BS277" s="115"/>
      <c r="BT277" s="115"/>
      <c r="BU277" s="115"/>
      <c r="BV277" s="115"/>
      <c r="BW277" s="115"/>
      <c r="BX277" s="115"/>
      <c r="BY277" s="115"/>
      <c r="BZ277" s="115"/>
      <c r="CA277" s="115"/>
      <c r="CB277" s="115"/>
      <c r="CC277" s="115"/>
      <c r="CD277" s="115"/>
      <c r="CE277" s="115"/>
      <c r="CF277" s="115"/>
      <c r="CG277" s="115"/>
      <c r="CH277" s="115"/>
      <c r="CI277" s="115"/>
      <c r="CJ277" s="115"/>
      <c r="CK277" s="115"/>
      <c r="CL277" s="115"/>
      <c r="CM277" s="115"/>
      <c r="CN277" s="115"/>
      <c r="CO277" s="115"/>
      <c r="CP277" s="115" t="str">
        <f>" " &amp; TEXT(AE277,"#0.00%") &amp; " "</f>
        <v xml:space="preserve"> 0.00% </v>
      </c>
      <c r="CQ277" s="115"/>
      <c r="CR277" s="115"/>
      <c r="CS277" s="115"/>
      <c r="CT277" s="115"/>
      <c r="CU277" s="115"/>
      <c r="CV277" s="115"/>
      <c r="CW277" s="115"/>
      <c r="CX277" s="115"/>
      <c r="CY277" s="115" t="str">
        <f>"      " &amp; "OVEN &amp; OVEN STK" &amp; " " &amp; IF(P277="","",TEXT(P277,"M/D-")) &amp; IF(Q277="","",TEXT(Q277,"M/D")) &amp; " "</f>
        <v xml:space="preserve">      OVEN &amp; OVEN STK 3/6-5/12 </v>
      </c>
      <c r="CZ277" s="115"/>
      <c r="DA277" s="115"/>
      <c r="DB277" s="115"/>
      <c r="DC277" s="115"/>
      <c r="DD277" s="115"/>
      <c r="DE277" s="115"/>
      <c r="DF277" s="115"/>
      <c r="DG277" s="115"/>
      <c r="DH277" s="115"/>
      <c r="DI277" s="115"/>
      <c r="DJ277" s="115"/>
      <c r="DK277" s="115"/>
      <c r="DL277" s="115"/>
      <c r="DM277" s="115"/>
      <c r="DN277" s="115"/>
      <c r="DO277" s="115"/>
      <c r="DP277" s="115"/>
      <c r="DQ277" s="115"/>
      <c r="DR277" s="115"/>
      <c r="DS277" s="115"/>
      <c r="DT277" s="115"/>
      <c r="DU277" s="115"/>
      <c r="DV277" s="115"/>
      <c r="DW277" s="115"/>
      <c r="DX277" s="115"/>
      <c r="DY277" s="115"/>
      <c r="DZ277" s="115"/>
      <c r="EA277" s="115"/>
      <c r="EB277" s="115"/>
      <c r="EC277" s="115"/>
      <c r="ED277" s="115"/>
      <c r="EE277" s="115"/>
      <c r="EF277" s="115"/>
      <c r="EG277" s="115"/>
      <c r="EH277" s="116"/>
    </row>
    <row r="278" spans="1:138" ht="12" customHeight="1" outlineLevel="2" x14ac:dyDescent="0.4">
      <c r="A278" s="101"/>
      <c r="B278" s="101" t="s">
        <v>325</v>
      </c>
      <c r="C278" s="101">
        <v>3</v>
      </c>
      <c r="D278" s="102" t="s">
        <v>675</v>
      </c>
      <c r="E278" s="103"/>
      <c r="F278" s="103"/>
      <c r="G278" s="103" t="s">
        <v>597</v>
      </c>
      <c r="H278" s="120"/>
      <c r="I278" s="103"/>
      <c r="J278" s="103"/>
      <c r="K278" s="103"/>
      <c r="L278" s="103"/>
      <c r="M278" s="103"/>
      <c r="N278" s="103"/>
      <c r="O278" s="104"/>
      <c r="P278" s="108">
        <v>44991</v>
      </c>
      <c r="Q278" s="108">
        <v>45026</v>
      </c>
      <c r="R278" s="106"/>
      <c r="S278" s="107">
        <v>55</v>
      </c>
      <c r="T278" s="107">
        <v>0</v>
      </c>
      <c r="U278" s="107">
        <v>36</v>
      </c>
      <c r="V278" s="107">
        <v>0</v>
      </c>
      <c r="W278" s="108"/>
      <c r="X278" s="108"/>
      <c r="Y278" s="109">
        <v>0</v>
      </c>
      <c r="Z278" s="110">
        <v>0</v>
      </c>
      <c r="AA278" s="107"/>
      <c r="AB278" s="111"/>
      <c r="AC278" s="112"/>
      <c r="AD278" s="113">
        <v>0</v>
      </c>
      <c r="AE278" s="137">
        <v>0</v>
      </c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 t="str">
        <f>" " &amp; TEXT(AE278,"#0.00%") &amp; " "</f>
        <v xml:space="preserve"> 0.00% </v>
      </c>
      <c r="CQ278" s="115"/>
      <c r="CR278" s="115"/>
      <c r="CS278" s="115"/>
      <c r="CT278" s="115"/>
      <c r="CU278" s="115" t="str">
        <f>"  " &amp; "기구" &amp; " " &amp; IF(P278="","",TEXT(P278,"M/D-")) &amp; IF(Q278="","",TEXT(Q278,"M/D")) &amp; " "</f>
        <v xml:space="preserve">  기구 3/6-4/10 </v>
      </c>
      <c r="CV278" s="115"/>
      <c r="CW278" s="115"/>
      <c r="CX278" s="115"/>
      <c r="CY278" s="115"/>
      <c r="CZ278" s="115"/>
      <c r="DA278" s="115"/>
      <c r="DB278" s="115"/>
      <c r="DC278" s="115"/>
      <c r="DD278" s="115"/>
      <c r="DE278" s="115"/>
      <c r="DF278" s="115"/>
      <c r="DG278" s="115"/>
      <c r="DH278" s="115"/>
      <c r="DI278" s="115"/>
      <c r="DJ278" s="115"/>
      <c r="DK278" s="115"/>
      <c r="DL278" s="115"/>
      <c r="DM278" s="115"/>
      <c r="DN278" s="115"/>
      <c r="DO278" s="115"/>
      <c r="DP278" s="115"/>
      <c r="DQ278" s="115"/>
      <c r="DR278" s="115"/>
      <c r="DS278" s="115"/>
      <c r="DT278" s="115"/>
      <c r="DU278" s="115"/>
      <c r="DV278" s="115"/>
      <c r="DW278" s="115"/>
      <c r="DX278" s="115"/>
      <c r="DY278" s="115"/>
      <c r="DZ278" s="115"/>
      <c r="EA278" s="115"/>
      <c r="EB278" s="115"/>
      <c r="EC278" s="115"/>
      <c r="ED278" s="115"/>
      <c r="EE278" s="115"/>
      <c r="EF278" s="115"/>
      <c r="EG278" s="115"/>
      <c r="EH278" s="116"/>
    </row>
    <row r="279" spans="1:138" ht="12" customHeight="1" outlineLevel="3" x14ac:dyDescent="0.4">
      <c r="A279" s="101"/>
      <c r="B279" s="101"/>
      <c r="C279" s="101">
        <v>4</v>
      </c>
      <c r="D279" s="102" t="s">
        <v>676</v>
      </c>
      <c r="E279" s="103"/>
      <c r="F279" s="103"/>
      <c r="G279" s="103"/>
      <c r="H279" s="103" t="s">
        <v>677</v>
      </c>
      <c r="I279" s="103"/>
      <c r="J279" s="103"/>
      <c r="K279" s="103"/>
      <c r="L279" s="103"/>
      <c r="M279" s="103"/>
      <c r="N279" s="103"/>
      <c r="O279" s="104"/>
      <c r="P279" s="108">
        <v>44991</v>
      </c>
      <c r="Q279" s="108">
        <v>45026</v>
      </c>
      <c r="R279" s="106"/>
      <c r="S279" s="107">
        <v>36</v>
      </c>
      <c r="T279" s="107">
        <v>0</v>
      </c>
      <c r="U279" s="107">
        <v>36</v>
      </c>
      <c r="V279" s="107">
        <v>0</v>
      </c>
      <c r="W279" s="108"/>
      <c r="X279" s="108"/>
      <c r="Y279" s="109"/>
      <c r="Z279" s="110">
        <v>0</v>
      </c>
      <c r="AA279" s="107"/>
      <c r="AB279" s="111"/>
      <c r="AC279" s="112"/>
      <c r="AD279" s="113">
        <v>0</v>
      </c>
      <c r="AE279" s="134">
        <v>0</v>
      </c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 t="str">
        <f>" " &amp; TEXT(AE279,"#0.00%") &amp; " "</f>
        <v xml:space="preserve"> 0.00% </v>
      </c>
      <c r="CQ279" s="115"/>
      <c r="CR279" s="115"/>
      <c r="CS279" s="115"/>
      <c r="CT279" s="115"/>
      <c r="CU279" s="115" t="str">
        <f>"  " &amp; "OVEN 설치" &amp; " " &amp; IF(P279="","",TEXT(P279,"M/D-")) &amp; IF(Q279="","",TEXT(Q279,"M/D")) &amp; " "</f>
        <v xml:space="preserve">  OVEN 설치 3/6-4/10 </v>
      </c>
      <c r="CV279" s="115"/>
      <c r="CW279" s="115"/>
      <c r="CX279" s="115"/>
      <c r="CY279" s="115"/>
      <c r="CZ279" s="115"/>
      <c r="DA279" s="115"/>
      <c r="DB279" s="115"/>
      <c r="DC279" s="115"/>
      <c r="DD279" s="115"/>
      <c r="DE279" s="115"/>
      <c r="DF279" s="115"/>
      <c r="DG279" s="115"/>
      <c r="DH279" s="115"/>
      <c r="DI279" s="115"/>
      <c r="DJ279" s="115"/>
      <c r="DK279" s="115"/>
      <c r="DL279" s="115"/>
      <c r="DM279" s="115"/>
      <c r="DN279" s="115"/>
      <c r="DO279" s="115"/>
      <c r="DP279" s="115"/>
      <c r="DQ279" s="115"/>
      <c r="DR279" s="115"/>
      <c r="DS279" s="115"/>
      <c r="DT279" s="115"/>
      <c r="DU279" s="115"/>
      <c r="DV279" s="115"/>
      <c r="DW279" s="115"/>
      <c r="DX279" s="115"/>
      <c r="DY279" s="115"/>
      <c r="DZ279" s="115"/>
      <c r="EA279" s="115"/>
      <c r="EB279" s="115"/>
      <c r="EC279" s="115"/>
      <c r="ED279" s="115"/>
      <c r="EE279" s="115"/>
      <c r="EF279" s="115"/>
      <c r="EG279" s="115"/>
      <c r="EH279" s="116"/>
    </row>
    <row r="280" spans="1:138" ht="12" customHeight="1" outlineLevel="3" x14ac:dyDescent="0.4">
      <c r="A280" s="101"/>
      <c r="B280" s="101"/>
      <c r="C280" s="101">
        <v>4</v>
      </c>
      <c r="D280" s="102" t="s">
        <v>678</v>
      </c>
      <c r="E280" s="103"/>
      <c r="F280" s="103"/>
      <c r="G280" s="103"/>
      <c r="H280" s="103" t="s">
        <v>603</v>
      </c>
      <c r="I280" s="103"/>
      <c r="J280" s="103"/>
      <c r="K280" s="103"/>
      <c r="L280" s="103"/>
      <c r="M280" s="103"/>
      <c r="N280" s="103"/>
      <c r="O280" s="104"/>
      <c r="P280" s="108">
        <v>45005</v>
      </c>
      <c r="Q280" s="108">
        <v>45023</v>
      </c>
      <c r="R280" s="106"/>
      <c r="S280" s="107">
        <v>19</v>
      </c>
      <c r="T280" s="107">
        <v>0</v>
      </c>
      <c r="U280" s="107">
        <v>19</v>
      </c>
      <c r="V280" s="107">
        <v>0</v>
      </c>
      <c r="W280" s="108"/>
      <c r="X280" s="108"/>
      <c r="Y280" s="109"/>
      <c r="Z280" s="110">
        <v>0</v>
      </c>
      <c r="AA280" s="107"/>
      <c r="AB280" s="111"/>
      <c r="AC280" s="112"/>
      <c r="AD280" s="113">
        <v>0</v>
      </c>
      <c r="AE280" s="134">
        <v>0</v>
      </c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  <c r="BN280" s="115"/>
      <c r="BO280" s="115"/>
      <c r="BP280" s="115"/>
      <c r="BQ280" s="115"/>
      <c r="BR280" s="115"/>
      <c r="BS280" s="115"/>
      <c r="BT280" s="115"/>
      <c r="BU280" s="115"/>
      <c r="BV280" s="115"/>
      <c r="BW280" s="115"/>
      <c r="BX280" s="115"/>
      <c r="BY280" s="115"/>
      <c r="BZ280" s="115"/>
      <c r="CA280" s="115"/>
      <c r="CB280" s="115"/>
      <c r="CC280" s="115"/>
      <c r="CD280" s="115"/>
      <c r="CE280" s="115"/>
      <c r="CF280" s="115"/>
      <c r="CG280" s="115"/>
      <c r="CH280" s="115"/>
      <c r="CI280" s="115"/>
      <c r="CJ280" s="115"/>
      <c r="CK280" s="115"/>
      <c r="CL280" s="115"/>
      <c r="CM280" s="115"/>
      <c r="CN280" s="115"/>
      <c r="CO280" s="115"/>
      <c r="CP280" s="115"/>
      <c r="CQ280" s="115"/>
      <c r="CR280" s="115" t="str">
        <f>" " &amp; TEXT(AE280,"#0.00%") &amp; " " &amp; "RM 설치" &amp; " " &amp; IF(P280="","",TEXT(P280,"M/D-")) &amp; IF(Q280="","",TEXT(Q280,"M/D")) &amp; " "</f>
        <v xml:space="preserve"> 0.00% RM 설치 3/20-4/7 </v>
      </c>
      <c r="CS280" s="115"/>
      <c r="CT280" s="115"/>
      <c r="CU280" s="115"/>
      <c r="CV280" s="115"/>
      <c r="CW280" s="115"/>
      <c r="CX280" s="115"/>
      <c r="CY280" s="115"/>
      <c r="CZ280" s="115"/>
      <c r="DA280" s="115"/>
      <c r="DB280" s="115"/>
      <c r="DC280" s="115"/>
      <c r="DD280" s="115"/>
      <c r="DE280" s="115"/>
      <c r="DF280" s="115"/>
      <c r="DG280" s="115"/>
      <c r="DH280" s="115"/>
      <c r="DI280" s="115"/>
      <c r="DJ280" s="115"/>
      <c r="DK280" s="115"/>
      <c r="DL280" s="115"/>
      <c r="DM280" s="115"/>
      <c r="DN280" s="115"/>
      <c r="DO280" s="115"/>
      <c r="DP280" s="115"/>
      <c r="DQ280" s="115"/>
      <c r="DR280" s="115"/>
      <c r="DS280" s="115"/>
      <c r="DT280" s="115"/>
      <c r="DU280" s="115"/>
      <c r="DV280" s="115"/>
      <c r="DW280" s="115"/>
      <c r="DX280" s="115"/>
      <c r="DY280" s="115"/>
      <c r="DZ280" s="115"/>
      <c r="EA280" s="115"/>
      <c r="EB280" s="115"/>
      <c r="EC280" s="115"/>
      <c r="ED280" s="115"/>
      <c r="EE280" s="115"/>
      <c r="EF280" s="115"/>
      <c r="EG280" s="115"/>
      <c r="EH280" s="116"/>
    </row>
    <row r="281" spans="1:138" ht="12" customHeight="1" outlineLevel="2" x14ac:dyDescent="0.4">
      <c r="A281" s="101"/>
      <c r="B281" s="101" t="s">
        <v>325</v>
      </c>
      <c r="C281" s="101">
        <v>3</v>
      </c>
      <c r="D281" s="102" t="s">
        <v>679</v>
      </c>
      <c r="E281" s="103"/>
      <c r="F281" s="103"/>
      <c r="G281" s="103" t="s">
        <v>605</v>
      </c>
      <c r="H281" s="103"/>
      <c r="I281" s="103"/>
      <c r="J281" s="103"/>
      <c r="K281" s="103"/>
      <c r="L281" s="103"/>
      <c r="M281" s="103"/>
      <c r="N281" s="103"/>
      <c r="O281" s="104"/>
      <c r="P281" s="108">
        <v>45024</v>
      </c>
      <c r="Q281" s="108">
        <v>45035</v>
      </c>
      <c r="R281" s="106"/>
      <c r="S281" s="107">
        <v>16</v>
      </c>
      <c r="T281" s="107">
        <v>0</v>
      </c>
      <c r="U281" s="107">
        <v>12</v>
      </c>
      <c r="V281" s="107">
        <v>0</v>
      </c>
      <c r="W281" s="108"/>
      <c r="X281" s="108"/>
      <c r="Y281" s="109">
        <v>0</v>
      </c>
      <c r="Z281" s="110">
        <v>0</v>
      </c>
      <c r="AA281" s="107"/>
      <c r="AB281" s="111"/>
      <c r="AC281" s="112"/>
      <c r="AD281" s="113">
        <v>0</v>
      </c>
      <c r="AE281" s="137">
        <v>0</v>
      </c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5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5"/>
      <c r="CI281" s="115"/>
      <c r="CJ281" s="115"/>
      <c r="CK281" s="115"/>
      <c r="CL281" s="115"/>
      <c r="CM281" s="115"/>
      <c r="CN281" s="115"/>
      <c r="CO281" s="115"/>
      <c r="CP281" s="115"/>
      <c r="CQ281" s="115"/>
      <c r="CR281" s="115"/>
      <c r="CS281" s="115"/>
      <c r="CT281" s="115" t="str">
        <f>"      " &amp; TEXT(AE281,"#0.00%") &amp; " " &amp; "전장" &amp; " " &amp; IF(P281="","",TEXT(P281,"M/D-")) &amp; IF(Q281="","",TEXT(Q281,"M/D")) &amp; " "</f>
        <v xml:space="preserve">      0.00% 전장 4/8-4/19 </v>
      </c>
      <c r="CU281" s="115"/>
      <c r="CV281" s="115"/>
      <c r="CW281" s="115"/>
      <c r="CX281" s="115"/>
      <c r="CY281" s="115"/>
      <c r="CZ281" s="115"/>
      <c r="DA281" s="115"/>
      <c r="DB281" s="115"/>
      <c r="DC281" s="115"/>
      <c r="DD281" s="115"/>
      <c r="DE281" s="115"/>
      <c r="DF281" s="115"/>
      <c r="DG281" s="115"/>
      <c r="DH281" s="115"/>
      <c r="DI281" s="115"/>
      <c r="DJ281" s="115"/>
      <c r="DK281" s="115"/>
      <c r="DL281" s="115"/>
      <c r="DM281" s="115"/>
      <c r="DN281" s="115"/>
      <c r="DO281" s="115"/>
      <c r="DP281" s="115"/>
      <c r="DQ281" s="115"/>
      <c r="DR281" s="115"/>
      <c r="DS281" s="115"/>
      <c r="DT281" s="115"/>
      <c r="DU281" s="115"/>
      <c r="DV281" s="115"/>
      <c r="DW281" s="115"/>
      <c r="DX281" s="115"/>
      <c r="DY281" s="115"/>
      <c r="DZ281" s="115"/>
      <c r="EA281" s="115"/>
      <c r="EB281" s="115"/>
      <c r="EC281" s="115"/>
      <c r="ED281" s="115"/>
      <c r="EE281" s="115"/>
      <c r="EF281" s="115"/>
      <c r="EG281" s="115"/>
      <c r="EH281" s="116"/>
    </row>
    <row r="282" spans="1:138" ht="12" customHeight="1" outlineLevel="3" x14ac:dyDescent="0.4">
      <c r="A282" s="101"/>
      <c r="B282" s="101"/>
      <c r="C282" s="101">
        <v>4</v>
      </c>
      <c r="D282" s="102" t="s">
        <v>680</v>
      </c>
      <c r="E282" s="103"/>
      <c r="F282" s="103"/>
      <c r="G282" s="103"/>
      <c r="H282" s="103" t="s">
        <v>653</v>
      </c>
      <c r="I282" s="103"/>
      <c r="J282" s="103"/>
      <c r="K282" s="103"/>
      <c r="L282" s="103"/>
      <c r="M282" s="103"/>
      <c r="N282" s="103"/>
      <c r="O282" s="104"/>
      <c r="P282" s="108">
        <v>45024</v>
      </c>
      <c r="Q282" s="108">
        <v>45035</v>
      </c>
      <c r="R282" s="106"/>
      <c r="S282" s="107">
        <v>12</v>
      </c>
      <c r="T282" s="107">
        <v>0</v>
      </c>
      <c r="U282" s="107">
        <v>12</v>
      </c>
      <c r="V282" s="107">
        <v>0</v>
      </c>
      <c r="W282" s="108"/>
      <c r="X282" s="108"/>
      <c r="Y282" s="109"/>
      <c r="Z282" s="110">
        <v>0</v>
      </c>
      <c r="AA282" s="107"/>
      <c r="AB282" s="111"/>
      <c r="AC282" s="112"/>
      <c r="AD282" s="113">
        <v>0</v>
      </c>
      <c r="AE282" s="134">
        <v>0</v>
      </c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  <c r="BN282" s="115"/>
      <c r="BO282" s="115"/>
      <c r="BP282" s="115"/>
      <c r="BQ282" s="115"/>
      <c r="BR282" s="115"/>
      <c r="BS282" s="115"/>
      <c r="BT282" s="115"/>
      <c r="BU282" s="115"/>
      <c r="BV282" s="115"/>
      <c r="BW282" s="115"/>
      <c r="BX282" s="115"/>
      <c r="BY282" s="115"/>
      <c r="BZ282" s="115"/>
      <c r="CA282" s="115"/>
      <c r="CB282" s="115"/>
      <c r="CC282" s="115"/>
      <c r="CD282" s="115"/>
      <c r="CE282" s="11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5"/>
      <c r="CR282" s="115"/>
      <c r="CS282" s="115"/>
      <c r="CT282" s="115" t="str">
        <f>"      " &amp; TEXT(AE282,"#0.00%") &amp; " " &amp; "CPS 설치" &amp; " " &amp; IF(P282="","",TEXT(P282,"M/D-")) &amp; IF(Q282="","",TEXT(Q282,"M/D")) &amp; " "</f>
        <v xml:space="preserve">      0.00% CPS 설치 4/8-4/19 </v>
      </c>
      <c r="CU282" s="115"/>
      <c r="CV282" s="115"/>
      <c r="CW282" s="115"/>
      <c r="CX282" s="115"/>
      <c r="CY282" s="115"/>
      <c r="CZ282" s="115"/>
      <c r="DA282" s="115"/>
      <c r="DB282" s="115"/>
      <c r="DC282" s="115"/>
      <c r="DD282" s="115"/>
      <c r="DE282" s="115"/>
      <c r="DF282" s="115"/>
      <c r="DG282" s="115"/>
      <c r="DH282" s="115"/>
      <c r="DI282" s="115"/>
      <c r="DJ282" s="115"/>
      <c r="DK282" s="115"/>
      <c r="DL282" s="115"/>
      <c r="DM282" s="115"/>
      <c r="DN282" s="115"/>
      <c r="DO282" s="115"/>
      <c r="DP282" s="115"/>
      <c r="DQ282" s="115"/>
      <c r="DR282" s="115"/>
      <c r="DS282" s="115"/>
      <c r="DT282" s="115"/>
      <c r="DU282" s="115"/>
      <c r="DV282" s="115"/>
      <c r="DW282" s="115"/>
      <c r="DX282" s="115"/>
      <c r="DY282" s="115"/>
      <c r="DZ282" s="115"/>
      <c r="EA282" s="115"/>
      <c r="EB282" s="115"/>
      <c r="EC282" s="115"/>
      <c r="ED282" s="115"/>
      <c r="EE282" s="115"/>
      <c r="EF282" s="115"/>
      <c r="EG282" s="115"/>
      <c r="EH282" s="116"/>
    </row>
    <row r="283" spans="1:138" ht="12" customHeight="1" outlineLevel="3" x14ac:dyDescent="0.4">
      <c r="A283" s="101"/>
      <c r="B283" s="101"/>
      <c r="C283" s="101">
        <v>4</v>
      </c>
      <c r="D283" s="102" t="s">
        <v>681</v>
      </c>
      <c r="E283" s="103"/>
      <c r="F283" s="103"/>
      <c r="G283" s="103"/>
      <c r="H283" s="103" t="s">
        <v>609</v>
      </c>
      <c r="I283" s="103"/>
      <c r="J283" s="103"/>
      <c r="K283" s="103"/>
      <c r="L283" s="103"/>
      <c r="M283" s="103"/>
      <c r="N283" s="103"/>
      <c r="O283" s="104"/>
      <c r="P283" s="108">
        <v>45026</v>
      </c>
      <c r="Q283" s="108">
        <v>45029</v>
      </c>
      <c r="R283" s="106"/>
      <c r="S283" s="107">
        <v>4</v>
      </c>
      <c r="T283" s="107">
        <v>0</v>
      </c>
      <c r="U283" s="107">
        <v>4</v>
      </c>
      <c r="V283" s="107">
        <v>0</v>
      </c>
      <c r="W283" s="108"/>
      <c r="X283" s="108"/>
      <c r="Y283" s="109"/>
      <c r="Z283" s="110">
        <v>0</v>
      </c>
      <c r="AA283" s="107"/>
      <c r="AB283" s="111"/>
      <c r="AC283" s="112"/>
      <c r="AD283" s="113">
        <v>0</v>
      </c>
      <c r="AE283" s="134">
        <v>0</v>
      </c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  <c r="CR283" s="115"/>
      <c r="CS283" s="115"/>
      <c r="CT283" s="115"/>
      <c r="CU283" s="115" t="str">
        <f>" " &amp; TEXT(AE283,"#0.00%") &amp; " " &amp; "UT Hook up/Turn on" &amp; " " &amp; IF(P283="","",TEXT(P283,"M/D-")) &amp; IF(Q283="","",TEXT(Q283,"M/D")) &amp; " "</f>
        <v xml:space="preserve"> 0.00% UT Hook up/Turn on 4/10-4/13 </v>
      </c>
      <c r="CV283" s="115"/>
      <c r="CW283" s="115"/>
      <c r="CX283" s="115"/>
      <c r="CY283" s="115"/>
      <c r="CZ283" s="115"/>
      <c r="DA283" s="115"/>
      <c r="DB283" s="115"/>
      <c r="DC283" s="115"/>
      <c r="DD283" s="115"/>
      <c r="DE283" s="115"/>
      <c r="DF283" s="115"/>
      <c r="DG283" s="115"/>
      <c r="DH283" s="115"/>
      <c r="DI283" s="115"/>
      <c r="DJ283" s="115"/>
      <c r="DK283" s="115"/>
      <c r="DL283" s="115"/>
      <c r="DM283" s="115"/>
      <c r="DN283" s="115"/>
      <c r="DO283" s="115"/>
      <c r="DP283" s="115"/>
      <c r="DQ283" s="115"/>
      <c r="DR283" s="115"/>
      <c r="DS283" s="115"/>
      <c r="DT283" s="115"/>
      <c r="DU283" s="115"/>
      <c r="DV283" s="115"/>
      <c r="DW283" s="115"/>
      <c r="DX283" s="115"/>
      <c r="DY283" s="115"/>
      <c r="DZ283" s="115"/>
      <c r="EA283" s="115"/>
      <c r="EB283" s="115"/>
      <c r="EC283" s="115"/>
      <c r="ED283" s="115"/>
      <c r="EE283" s="115"/>
      <c r="EF283" s="115"/>
      <c r="EG283" s="115"/>
      <c r="EH283" s="116"/>
    </row>
    <row r="284" spans="1:138" ht="12" customHeight="1" outlineLevel="2" x14ac:dyDescent="0.4">
      <c r="A284" s="101"/>
      <c r="B284" s="101" t="s">
        <v>325</v>
      </c>
      <c r="C284" s="101">
        <v>3</v>
      </c>
      <c r="D284" s="102" t="s">
        <v>682</v>
      </c>
      <c r="E284" s="103"/>
      <c r="F284" s="103"/>
      <c r="G284" s="103" t="s">
        <v>611</v>
      </c>
      <c r="H284" s="103"/>
      <c r="I284" s="103"/>
      <c r="J284" s="103"/>
      <c r="K284" s="103"/>
      <c r="L284" s="103"/>
      <c r="M284" s="103"/>
      <c r="N284" s="103"/>
      <c r="O284" s="104"/>
      <c r="P284" s="108">
        <v>45036</v>
      </c>
      <c r="Q284" s="108">
        <v>45058</v>
      </c>
      <c r="R284" s="106"/>
      <c r="S284" s="107">
        <v>23</v>
      </c>
      <c r="T284" s="107">
        <v>0</v>
      </c>
      <c r="U284" s="107">
        <v>23</v>
      </c>
      <c r="V284" s="107">
        <v>0</v>
      </c>
      <c r="W284" s="108"/>
      <c r="X284" s="108"/>
      <c r="Y284" s="109">
        <v>0</v>
      </c>
      <c r="Z284" s="110">
        <v>0</v>
      </c>
      <c r="AA284" s="107"/>
      <c r="AB284" s="111"/>
      <c r="AC284" s="112"/>
      <c r="AD284" s="113">
        <v>0</v>
      </c>
      <c r="AE284" s="137">
        <v>0</v>
      </c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115"/>
      <c r="BT284" s="115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5"/>
      <c r="CR284" s="115"/>
      <c r="CS284" s="115"/>
      <c r="CT284" s="115"/>
      <c r="CU284" s="115"/>
      <c r="CV284" s="115" t="str">
        <f>"    " &amp; TEXT(AE284,"#0.00%") &amp; " " &amp; "제어" &amp; " " &amp; IF(P284="","",TEXT(P284,"M/D-")) &amp; IF(Q284="","",TEXT(Q284,"M/D")) &amp; " "</f>
        <v xml:space="preserve">    0.00% 제어 4/20-5/12 </v>
      </c>
      <c r="CW284" s="115"/>
      <c r="CX284" s="115"/>
      <c r="CY284" s="115"/>
      <c r="CZ284" s="115"/>
      <c r="DA284" s="115"/>
      <c r="DB284" s="115"/>
      <c r="DC284" s="115"/>
      <c r="DD284" s="115"/>
      <c r="DE284" s="115"/>
      <c r="DF284" s="115"/>
      <c r="DG284" s="115"/>
      <c r="DH284" s="115"/>
      <c r="DI284" s="115"/>
      <c r="DJ284" s="115"/>
      <c r="DK284" s="115"/>
      <c r="DL284" s="115"/>
      <c r="DM284" s="115"/>
      <c r="DN284" s="115"/>
      <c r="DO284" s="115"/>
      <c r="DP284" s="115"/>
      <c r="DQ284" s="115"/>
      <c r="DR284" s="115"/>
      <c r="DS284" s="115"/>
      <c r="DT284" s="115"/>
      <c r="DU284" s="115"/>
      <c r="DV284" s="115"/>
      <c r="DW284" s="115"/>
      <c r="DX284" s="115"/>
      <c r="DY284" s="115"/>
      <c r="DZ284" s="115"/>
      <c r="EA284" s="115"/>
      <c r="EB284" s="115"/>
      <c r="EC284" s="115"/>
      <c r="ED284" s="115"/>
      <c r="EE284" s="115"/>
      <c r="EF284" s="115"/>
      <c r="EG284" s="115"/>
      <c r="EH284" s="116"/>
    </row>
    <row r="285" spans="1:138" ht="12" customHeight="1" outlineLevel="3" x14ac:dyDescent="0.4">
      <c r="A285" s="101"/>
      <c r="B285" s="101"/>
      <c r="C285" s="101">
        <v>4</v>
      </c>
      <c r="D285" s="102" t="s">
        <v>683</v>
      </c>
      <c r="E285" s="103"/>
      <c r="F285" s="103"/>
      <c r="G285" s="103"/>
      <c r="H285" s="103" t="s">
        <v>657</v>
      </c>
      <c r="I285" s="103"/>
      <c r="J285" s="103"/>
      <c r="K285" s="103"/>
      <c r="L285" s="103"/>
      <c r="M285" s="103"/>
      <c r="N285" s="103"/>
      <c r="O285" s="104"/>
      <c r="P285" s="108">
        <v>45036</v>
      </c>
      <c r="Q285" s="108">
        <v>45037</v>
      </c>
      <c r="R285" s="106"/>
      <c r="S285" s="107">
        <v>2</v>
      </c>
      <c r="T285" s="107">
        <v>0</v>
      </c>
      <c r="U285" s="107">
        <v>2</v>
      </c>
      <c r="V285" s="107">
        <v>0</v>
      </c>
      <c r="W285" s="108"/>
      <c r="X285" s="108"/>
      <c r="Y285" s="109"/>
      <c r="Z285" s="110">
        <v>0</v>
      </c>
      <c r="AA285" s="107"/>
      <c r="AB285" s="111"/>
      <c r="AC285" s="112"/>
      <c r="AD285" s="113">
        <v>0</v>
      </c>
      <c r="AE285" s="134">
        <v>0</v>
      </c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5"/>
      <c r="CI285" s="115"/>
      <c r="CJ285" s="115"/>
      <c r="CK285" s="115"/>
      <c r="CL285" s="115"/>
      <c r="CM285" s="115"/>
      <c r="CN285" s="115"/>
      <c r="CO285" s="115"/>
      <c r="CP285" s="115"/>
      <c r="CQ285" s="115"/>
      <c r="CR285" s="115"/>
      <c r="CS285" s="115"/>
      <c r="CT285" s="115"/>
      <c r="CU285" s="115"/>
      <c r="CV285" s="115" t="str">
        <f>"    " &amp; TEXT(AE285,"#0.00%") &amp; " " &amp; "IO 체크" &amp; " " &amp; IF(P285="","",TEXT(P285,"M/D-")) &amp; IF(Q285="","",TEXT(Q285,"M/D")) &amp; " "</f>
        <v xml:space="preserve">    0.00% IO 체크 4/20-4/21 </v>
      </c>
      <c r="CW285" s="115"/>
      <c r="CX285" s="115"/>
      <c r="CY285" s="115"/>
      <c r="CZ285" s="115"/>
      <c r="DA285" s="115"/>
      <c r="DB285" s="115"/>
      <c r="DC285" s="115"/>
      <c r="DD285" s="115"/>
      <c r="DE285" s="115"/>
      <c r="DF285" s="115"/>
      <c r="DG285" s="115"/>
      <c r="DH285" s="115"/>
      <c r="DI285" s="115"/>
      <c r="DJ285" s="115"/>
      <c r="DK285" s="115"/>
      <c r="DL285" s="115"/>
      <c r="DM285" s="115"/>
      <c r="DN285" s="115"/>
      <c r="DO285" s="115"/>
      <c r="DP285" s="115"/>
      <c r="DQ285" s="115"/>
      <c r="DR285" s="115"/>
      <c r="DS285" s="115"/>
      <c r="DT285" s="115"/>
      <c r="DU285" s="115"/>
      <c r="DV285" s="115"/>
      <c r="DW285" s="115"/>
      <c r="DX285" s="115"/>
      <c r="DY285" s="115"/>
      <c r="DZ285" s="115"/>
      <c r="EA285" s="115"/>
      <c r="EB285" s="115"/>
      <c r="EC285" s="115"/>
      <c r="ED285" s="115"/>
      <c r="EE285" s="115"/>
      <c r="EF285" s="115"/>
      <c r="EG285" s="115"/>
      <c r="EH285" s="116"/>
    </row>
    <row r="286" spans="1:138" ht="12" customHeight="1" outlineLevel="3" x14ac:dyDescent="0.4">
      <c r="A286" s="101"/>
      <c r="B286" s="101"/>
      <c r="C286" s="101">
        <v>4</v>
      </c>
      <c r="D286" s="102" t="s">
        <v>684</v>
      </c>
      <c r="E286" s="103"/>
      <c r="F286" s="103"/>
      <c r="G286" s="103"/>
      <c r="H286" s="103" t="s">
        <v>659</v>
      </c>
      <c r="I286" s="103"/>
      <c r="J286" s="103"/>
      <c r="K286" s="103"/>
      <c r="L286" s="103"/>
      <c r="M286" s="103"/>
      <c r="N286" s="103"/>
      <c r="O286" s="104"/>
      <c r="P286" s="108">
        <v>45038</v>
      </c>
      <c r="Q286" s="108">
        <v>45044</v>
      </c>
      <c r="R286" s="106"/>
      <c r="S286" s="107">
        <v>7</v>
      </c>
      <c r="T286" s="107">
        <v>0</v>
      </c>
      <c r="U286" s="107">
        <v>7</v>
      </c>
      <c r="V286" s="107">
        <v>0</v>
      </c>
      <c r="W286" s="108"/>
      <c r="X286" s="108"/>
      <c r="Y286" s="109"/>
      <c r="Z286" s="110">
        <v>0</v>
      </c>
      <c r="AA286" s="107"/>
      <c r="AB286" s="111"/>
      <c r="AC286" s="112"/>
      <c r="AD286" s="113">
        <v>0</v>
      </c>
      <c r="AE286" s="134">
        <v>0</v>
      </c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5"/>
      <c r="CR286" s="115"/>
      <c r="CS286" s="115"/>
      <c r="CT286" s="115"/>
      <c r="CU286" s="115"/>
      <c r="CV286" s="115" t="str">
        <f>"      " &amp; TEXT(AE286,"#0.00%") &amp; " " &amp; "단동 테스트" &amp; " " &amp; IF(P286="","",TEXT(P286,"M/D-")) &amp; IF(Q286="","",TEXT(Q286,"M/D")) &amp; " "</f>
        <v xml:space="preserve">      0.00% 단동 테스트 4/22-4/28 </v>
      </c>
      <c r="CW286" s="115"/>
      <c r="CX286" s="115"/>
      <c r="CY286" s="115"/>
      <c r="CZ286" s="115"/>
      <c r="DA286" s="115"/>
      <c r="DB286" s="115"/>
      <c r="DC286" s="115"/>
      <c r="DD286" s="115"/>
      <c r="DE286" s="115"/>
      <c r="DF286" s="115"/>
      <c r="DG286" s="115"/>
      <c r="DH286" s="115"/>
      <c r="DI286" s="115"/>
      <c r="DJ286" s="115"/>
      <c r="DK286" s="115"/>
      <c r="DL286" s="115"/>
      <c r="DM286" s="115"/>
      <c r="DN286" s="115"/>
      <c r="DO286" s="115"/>
      <c r="DP286" s="115"/>
      <c r="DQ286" s="115"/>
      <c r="DR286" s="115"/>
      <c r="DS286" s="115"/>
      <c r="DT286" s="115"/>
      <c r="DU286" s="115"/>
      <c r="DV286" s="115"/>
      <c r="DW286" s="115"/>
      <c r="DX286" s="115"/>
      <c r="DY286" s="115"/>
      <c r="DZ286" s="115"/>
      <c r="EA286" s="115"/>
      <c r="EB286" s="115"/>
      <c r="EC286" s="115"/>
      <c r="ED286" s="115"/>
      <c r="EE286" s="115"/>
      <c r="EF286" s="115"/>
      <c r="EG286" s="115"/>
      <c r="EH286" s="116"/>
    </row>
    <row r="287" spans="1:138" ht="12" customHeight="1" outlineLevel="3" x14ac:dyDescent="0.4">
      <c r="A287" s="101"/>
      <c r="B287" s="101"/>
      <c r="C287" s="101">
        <v>4</v>
      </c>
      <c r="D287" s="102" t="s">
        <v>685</v>
      </c>
      <c r="E287" s="103"/>
      <c r="F287" s="103"/>
      <c r="G287" s="103"/>
      <c r="H287" s="103" t="s">
        <v>686</v>
      </c>
      <c r="I287" s="103"/>
      <c r="J287" s="103"/>
      <c r="K287" s="103"/>
      <c r="L287" s="103"/>
      <c r="M287" s="103"/>
      <c r="N287" s="103"/>
      <c r="O287" s="104"/>
      <c r="P287" s="108">
        <v>45045</v>
      </c>
      <c r="Q287" s="108">
        <v>45058</v>
      </c>
      <c r="R287" s="106"/>
      <c r="S287" s="107">
        <v>14</v>
      </c>
      <c r="T287" s="107">
        <v>0</v>
      </c>
      <c r="U287" s="107">
        <v>14</v>
      </c>
      <c r="V287" s="107">
        <v>0</v>
      </c>
      <c r="W287" s="108"/>
      <c r="X287" s="108"/>
      <c r="Y287" s="109"/>
      <c r="Z287" s="110">
        <v>0</v>
      </c>
      <c r="AA287" s="107"/>
      <c r="AB287" s="111"/>
      <c r="AC287" s="112"/>
      <c r="AD287" s="113">
        <v>0</v>
      </c>
      <c r="AE287" s="134">
        <v>0</v>
      </c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  <c r="BN287" s="115"/>
      <c r="BO287" s="115"/>
      <c r="BP287" s="115"/>
      <c r="BQ287" s="115"/>
      <c r="BR287" s="115"/>
      <c r="BS287" s="115"/>
      <c r="BT287" s="115"/>
      <c r="BU287" s="115"/>
      <c r="BV287" s="115"/>
      <c r="BW287" s="115"/>
      <c r="BX287" s="115"/>
      <c r="BY287" s="115"/>
      <c r="BZ287" s="115"/>
      <c r="CA287" s="115"/>
      <c r="CB287" s="115"/>
      <c r="CC287" s="115"/>
      <c r="CD287" s="115"/>
      <c r="CE287" s="115"/>
      <c r="CF287" s="115"/>
      <c r="CG287" s="115"/>
      <c r="CH287" s="115"/>
      <c r="CI287" s="115"/>
      <c r="CJ287" s="115"/>
      <c r="CK287" s="115"/>
      <c r="CL287" s="115"/>
      <c r="CM287" s="115"/>
      <c r="CN287" s="115"/>
      <c r="CO287" s="115"/>
      <c r="CP287" s="115"/>
      <c r="CQ287" s="115"/>
      <c r="CR287" s="115"/>
      <c r="CS287" s="115"/>
      <c r="CT287" s="115"/>
      <c r="CU287" s="115"/>
      <c r="CV287" s="115"/>
      <c r="CW287" s="115" t="str">
        <f>"      " &amp; TEXT(AE287,"#0.00%") &amp; " " &amp; "STK 티칭" &amp; " " &amp; IF(P287="","",TEXT(P287,"M/D-")) &amp; IF(Q287="","",TEXT(Q287,"M/D")) &amp; " "</f>
        <v xml:space="preserve">      0.00% STK 티칭 4/29-5/12 </v>
      </c>
      <c r="CX287" s="115"/>
      <c r="CY287" s="115"/>
      <c r="CZ287" s="115"/>
      <c r="DA287" s="115"/>
      <c r="DB287" s="115"/>
      <c r="DC287" s="115"/>
      <c r="DD287" s="115"/>
      <c r="DE287" s="115"/>
      <c r="DF287" s="115"/>
      <c r="DG287" s="115"/>
      <c r="DH287" s="115"/>
      <c r="DI287" s="115"/>
      <c r="DJ287" s="115"/>
      <c r="DK287" s="115"/>
      <c r="DL287" s="115"/>
      <c r="DM287" s="115"/>
      <c r="DN287" s="115"/>
      <c r="DO287" s="115"/>
      <c r="DP287" s="115"/>
      <c r="DQ287" s="115"/>
      <c r="DR287" s="115"/>
      <c r="DS287" s="115"/>
      <c r="DT287" s="115"/>
      <c r="DU287" s="115"/>
      <c r="DV287" s="115"/>
      <c r="DW287" s="115"/>
      <c r="DX287" s="115"/>
      <c r="DY287" s="115"/>
      <c r="DZ287" s="115"/>
      <c r="EA287" s="115"/>
      <c r="EB287" s="115"/>
      <c r="EC287" s="115"/>
      <c r="ED287" s="115"/>
      <c r="EE287" s="115"/>
      <c r="EF287" s="115"/>
      <c r="EG287" s="115"/>
      <c r="EH287" s="116"/>
    </row>
    <row r="288" spans="1:138" ht="12" customHeight="1" outlineLevel="1" x14ac:dyDescent="0.4">
      <c r="A288" s="101"/>
      <c r="B288" s="101" t="s">
        <v>325</v>
      </c>
      <c r="C288" s="101">
        <v>2</v>
      </c>
      <c r="D288" s="102" t="s">
        <v>687</v>
      </c>
      <c r="E288" s="103"/>
      <c r="F288" s="103" t="s">
        <v>388</v>
      </c>
      <c r="G288" s="103"/>
      <c r="H288" s="103"/>
      <c r="I288" s="103"/>
      <c r="J288" s="103"/>
      <c r="K288" s="103"/>
      <c r="L288" s="103"/>
      <c r="M288" s="103"/>
      <c r="N288" s="103"/>
      <c r="O288" s="104" t="s">
        <v>345</v>
      </c>
      <c r="P288" s="108">
        <v>45017</v>
      </c>
      <c r="Q288" s="108">
        <v>45138</v>
      </c>
      <c r="R288" s="106"/>
      <c r="S288" s="107">
        <v>134</v>
      </c>
      <c r="T288" s="107">
        <v>0</v>
      </c>
      <c r="U288" s="107">
        <v>122</v>
      </c>
      <c r="V288" s="107">
        <v>0</v>
      </c>
      <c r="W288" s="108"/>
      <c r="X288" s="108"/>
      <c r="Y288" s="109">
        <v>0</v>
      </c>
      <c r="Z288" s="110">
        <v>0</v>
      </c>
      <c r="AA288" s="107"/>
      <c r="AB288" s="111"/>
      <c r="AC288" s="112"/>
      <c r="AD288" s="113">
        <v>0</v>
      </c>
      <c r="AE288" s="137">
        <v>0</v>
      </c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  <c r="BN288" s="115"/>
      <c r="BO288" s="115"/>
      <c r="BP288" s="115"/>
      <c r="BQ288" s="115"/>
      <c r="BR288" s="115"/>
      <c r="BS288" s="115"/>
      <c r="BT288" s="115"/>
      <c r="BU288" s="115"/>
      <c r="BV288" s="115"/>
      <c r="BW288" s="115"/>
      <c r="BX288" s="115"/>
      <c r="BY288" s="115"/>
      <c r="BZ288" s="115"/>
      <c r="CA288" s="115"/>
      <c r="CB288" s="115"/>
      <c r="CC288" s="115"/>
      <c r="CD288" s="115"/>
      <c r="CE288" s="115"/>
      <c r="CF288" s="115"/>
      <c r="CG288" s="115"/>
      <c r="CH288" s="115"/>
      <c r="CI288" s="115"/>
      <c r="CJ288" s="115"/>
      <c r="CK288" s="115"/>
      <c r="CL288" s="115"/>
      <c r="CM288" s="115"/>
      <c r="CN288" s="115"/>
      <c r="CO288" s="115"/>
      <c r="CP288" s="115"/>
      <c r="CQ288" s="115"/>
      <c r="CR288" s="115"/>
      <c r="CS288" s="115" t="str">
        <f>"      " &amp; TEXT(AE288,"#0.00%") &amp; " "</f>
        <v xml:space="preserve">      0.00% </v>
      </c>
      <c r="CT288" s="115"/>
      <c r="CU288" s="115"/>
      <c r="CV288" s="115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15"/>
      <c r="DG288" s="115"/>
      <c r="DH288" s="115"/>
      <c r="DI288" s="115"/>
      <c r="DJ288" s="115"/>
      <c r="DK288" s="115" t="str">
        <f>"  " &amp; "OVEN 연결물류 " &amp; " " &amp; IF(P288="","",TEXT(P288,"M/D-")) &amp; IF(Q288="","",TEXT(Q288,"M/D")) &amp; " "</f>
        <v xml:space="preserve">  OVEN 연결물류  4/1-7/31 </v>
      </c>
      <c r="DL288" s="115"/>
      <c r="DM288" s="115"/>
      <c r="DN288" s="115"/>
      <c r="DO288" s="115"/>
      <c r="DP288" s="115"/>
      <c r="DQ288" s="115"/>
      <c r="DR288" s="115"/>
      <c r="DS288" s="115"/>
      <c r="DT288" s="115"/>
      <c r="DU288" s="115"/>
      <c r="DV288" s="115"/>
      <c r="DW288" s="115"/>
      <c r="DX288" s="115"/>
      <c r="DY288" s="115"/>
      <c r="DZ288" s="115"/>
      <c r="EA288" s="115"/>
      <c r="EB288" s="115"/>
      <c r="EC288" s="115"/>
      <c r="ED288" s="115"/>
      <c r="EE288" s="115"/>
      <c r="EF288" s="115"/>
      <c r="EG288" s="115"/>
      <c r="EH288" s="116"/>
    </row>
    <row r="289" spans="1:138" ht="12" customHeight="1" outlineLevel="2" x14ac:dyDescent="0.4">
      <c r="A289" s="101"/>
      <c r="B289" s="101" t="s">
        <v>325</v>
      </c>
      <c r="C289" s="101">
        <v>3</v>
      </c>
      <c r="D289" s="102" t="s">
        <v>688</v>
      </c>
      <c r="E289" s="103"/>
      <c r="F289" s="103"/>
      <c r="G289" s="103" t="s">
        <v>597</v>
      </c>
      <c r="H289" s="103"/>
      <c r="I289" s="103"/>
      <c r="J289" s="103"/>
      <c r="K289" s="103"/>
      <c r="L289" s="103"/>
      <c r="M289" s="103"/>
      <c r="N289" s="103"/>
      <c r="O289" s="104"/>
      <c r="P289" s="108">
        <v>45017</v>
      </c>
      <c r="Q289" s="108">
        <v>45046</v>
      </c>
      <c r="R289" s="106"/>
      <c r="S289" s="107">
        <v>30</v>
      </c>
      <c r="T289" s="107">
        <v>0</v>
      </c>
      <c r="U289" s="107">
        <v>30</v>
      </c>
      <c r="V289" s="107">
        <v>0</v>
      </c>
      <c r="W289" s="108"/>
      <c r="X289" s="108"/>
      <c r="Y289" s="109">
        <v>0</v>
      </c>
      <c r="Z289" s="110">
        <v>0</v>
      </c>
      <c r="AA289" s="107"/>
      <c r="AB289" s="111"/>
      <c r="AC289" s="112"/>
      <c r="AD289" s="113">
        <v>0</v>
      </c>
      <c r="AE289" s="137">
        <v>0</v>
      </c>
      <c r="AF289" s="115"/>
      <c r="AG289" s="115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5" t="str">
        <f>"      " &amp; TEXT(AE289,"#0.00%") &amp; " "</f>
        <v xml:space="preserve">      0.00% </v>
      </c>
      <c r="CT289" s="115"/>
      <c r="CU289" s="115"/>
      <c r="CV289" s="115"/>
      <c r="CW289" s="115"/>
      <c r="CX289" s="115" t="str">
        <f>" " &amp; "기구" &amp; " " &amp; IF(P289="","",TEXT(P289,"M/D-")) &amp; IF(Q289="","",TEXT(Q289,"M/D")) &amp; " "</f>
        <v xml:space="preserve"> 기구 4/1-4/30 </v>
      </c>
      <c r="CY289" s="115"/>
      <c r="CZ289" s="115"/>
      <c r="DA289" s="115"/>
      <c r="DB289" s="115"/>
      <c r="DC289" s="115"/>
      <c r="DD289" s="115"/>
      <c r="DE289" s="115"/>
      <c r="DF289" s="115"/>
      <c r="DG289" s="115"/>
      <c r="DH289" s="115"/>
      <c r="DI289" s="115"/>
      <c r="DJ289" s="115"/>
      <c r="DK289" s="115"/>
      <c r="DL289" s="115"/>
      <c r="DM289" s="115"/>
      <c r="DN289" s="115"/>
      <c r="DO289" s="115"/>
      <c r="DP289" s="115"/>
      <c r="DQ289" s="115"/>
      <c r="DR289" s="115"/>
      <c r="DS289" s="115"/>
      <c r="DT289" s="115"/>
      <c r="DU289" s="115"/>
      <c r="DV289" s="115"/>
      <c r="DW289" s="115"/>
      <c r="DX289" s="115"/>
      <c r="DY289" s="115"/>
      <c r="DZ289" s="115"/>
      <c r="EA289" s="115"/>
      <c r="EB289" s="115"/>
      <c r="EC289" s="115"/>
      <c r="ED289" s="115"/>
      <c r="EE289" s="115"/>
      <c r="EF289" s="115"/>
      <c r="EG289" s="115"/>
      <c r="EH289" s="116"/>
    </row>
    <row r="290" spans="1:138" ht="12" customHeight="1" outlineLevel="3" x14ac:dyDescent="0.4">
      <c r="A290" s="101"/>
      <c r="B290" s="101"/>
      <c r="C290" s="101">
        <v>4</v>
      </c>
      <c r="D290" s="102" t="s">
        <v>689</v>
      </c>
      <c r="E290" s="103"/>
      <c r="F290" s="103"/>
      <c r="G290" s="103"/>
      <c r="H290" s="103" t="s">
        <v>632</v>
      </c>
      <c r="I290" s="103"/>
      <c r="J290" s="103"/>
      <c r="K290" s="103"/>
      <c r="L290" s="103"/>
      <c r="M290" s="103"/>
      <c r="N290" s="103"/>
      <c r="O290" s="104"/>
      <c r="P290" s="108">
        <v>45017</v>
      </c>
      <c r="Q290" s="108">
        <v>45046</v>
      </c>
      <c r="R290" s="106"/>
      <c r="S290" s="107">
        <v>30</v>
      </c>
      <c r="T290" s="107">
        <v>0</v>
      </c>
      <c r="U290" s="107">
        <v>30</v>
      </c>
      <c r="V290" s="107">
        <v>0</v>
      </c>
      <c r="W290" s="108"/>
      <c r="X290" s="108"/>
      <c r="Y290" s="109"/>
      <c r="Z290" s="110">
        <v>0</v>
      </c>
      <c r="AA290" s="107"/>
      <c r="AB290" s="111"/>
      <c r="AC290" s="112"/>
      <c r="AD290" s="113">
        <v>0</v>
      </c>
      <c r="AE290" s="134">
        <v>0</v>
      </c>
      <c r="AF290" s="115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/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5"/>
      <c r="CR290" s="115"/>
      <c r="CS290" s="115" t="str">
        <f>"      " &amp; TEXT(AE290,"#0.00%") &amp; " "</f>
        <v xml:space="preserve">      0.00% </v>
      </c>
      <c r="CT290" s="115"/>
      <c r="CU290" s="115"/>
      <c r="CV290" s="115"/>
      <c r="CW290" s="115"/>
      <c r="CX290" s="115" t="str">
        <f>" " &amp; "정위치 및 LEVELING" &amp; " " &amp; IF(P290="","",TEXT(P290,"M/D-")) &amp; IF(Q290="","",TEXT(Q290,"M/D")) &amp; " "</f>
        <v xml:space="preserve"> 정위치 및 LEVELING 4/1-4/30 </v>
      </c>
      <c r="CY290" s="115"/>
      <c r="CZ290" s="115"/>
      <c r="DA290" s="115"/>
      <c r="DB290" s="115"/>
      <c r="DC290" s="115"/>
      <c r="DD290" s="115"/>
      <c r="DE290" s="115"/>
      <c r="DF290" s="115"/>
      <c r="DG290" s="115"/>
      <c r="DH290" s="115"/>
      <c r="DI290" s="115"/>
      <c r="DJ290" s="115"/>
      <c r="DK290" s="115"/>
      <c r="DL290" s="115"/>
      <c r="DM290" s="115"/>
      <c r="DN290" s="115"/>
      <c r="DO290" s="115"/>
      <c r="DP290" s="115"/>
      <c r="DQ290" s="115"/>
      <c r="DR290" s="115"/>
      <c r="DS290" s="115"/>
      <c r="DT290" s="115"/>
      <c r="DU290" s="115"/>
      <c r="DV290" s="115"/>
      <c r="DW290" s="115"/>
      <c r="DX290" s="115"/>
      <c r="DY290" s="115"/>
      <c r="DZ290" s="115"/>
      <c r="EA290" s="115"/>
      <c r="EB290" s="115"/>
      <c r="EC290" s="115"/>
      <c r="ED290" s="115"/>
      <c r="EE290" s="115"/>
      <c r="EF290" s="115"/>
      <c r="EG290" s="115"/>
      <c r="EH290" s="116"/>
    </row>
    <row r="291" spans="1:138" ht="12" customHeight="1" outlineLevel="2" x14ac:dyDescent="0.4">
      <c r="A291" s="101"/>
      <c r="B291" s="101" t="s">
        <v>325</v>
      </c>
      <c r="C291" s="101">
        <v>3</v>
      </c>
      <c r="D291" s="102" t="s">
        <v>690</v>
      </c>
      <c r="E291" s="103"/>
      <c r="F291" s="103"/>
      <c r="G291" s="103" t="s">
        <v>605</v>
      </c>
      <c r="H291" s="120"/>
      <c r="I291" s="103"/>
      <c r="J291" s="103"/>
      <c r="K291" s="103"/>
      <c r="L291" s="103"/>
      <c r="M291" s="103"/>
      <c r="N291" s="103"/>
      <c r="O291" s="104"/>
      <c r="P291" s="108">
        <v>45047</v>
      </c>
      <c r="Q291" s="108">
        <v>45077</v>
      </c>
      <c r="R291" s="106"/>
      <c r="S291" s="107">
        <v>43</v>
      </c>
      <c r="T291" s="107">
        <v>0</v>
      </c>
      <c r="U291" s="107">
        <v>31</v>
      </c>
      <c r="V291" s="107">
        <v>0</v>
      </c>
      <c r="W291" s="108"/>
      <c r="X291" s="108"/>
      <c r="Y291" s="109">
        <v>0</v>
      </c>
      <c r="Z291" s="110">
        <v>0</v>
      </c>
      <c r="AA291" s="107"/>
      <c r="AB291" s="111"/>
      <c r="AC291" s="112"/>
      <c r="AD291" s="113">
        <v>0</v>
      </c>
      <c r="AE291" s="137">
        <v>0</v>
      </c>
      <c r="AF291" s="115"/>
      <c r="AG291" s="115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15"/>
      <c r="BR291" s="115"/>
      <c r="BS291" s="115"/>
      <c r="BT291" s="115"/>
      <c r="BU291" s="115"/>
      <c r="BV291" s="115"/>
      <c r="BW291" s="115"/>
      <c r="BX291" s="115"/>
      <c r="BY291" s="115"/>
      <c r="BZ291" s="115"/>
      <c r="CA291" s="115"/>
      <c r="CB291" s="115"/>
      <c r="CC291" s="115"/>
      <c r="CD291" s="115"/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5"/>
      <c r="CR291" s="115"/>
      <c r="CS291" s="115"/>
      <c r="CT291" s="115"/>
      <c r="CU291" s="115"/>
      <c r="CV291" s="115"/>
      <c r="CW291" s="115"/>
      <c r="CX291" s="115" t="str">
        <f>" " &amp; TEXT(AE291,"#0.00%") &amp; " "</f>
        <v xml:space="preserve"> 0.00% </v>
      </c>
      <c r="CY291" s="115"/>
      <c r="CZ291" s="115"/>
      <c r="DA291" s="115"/>
      <c r="DB291" s="115" t="str">
        <f>"    " &amp; "전장" &amp; " " &amp; IF(P291="","",TEXT(P291,"M/D-")) &amp; IF(Q291="","",TEXT(Q291,"M/D")) &amp; " "</f>
        <v xml:space="preserve">    전장 5/1-5/31 </v>
      </c>
      <c r="DC291" s="115"/>
      <c r="DD291" s="115"/>
      <c r="DE291" s="115"/>
      <c r="DF291" s="115"/>
      <c r="DG291" s="115"/>
      <c r="DH291" s="115"/>
      <c r="DI291" s="115"/>
      <c r="DJ291" s="115"/>
      <c r="DK291" s="115"/>
      <c r="DL291" s="115"/>
      <c r="DM291" s="115"/>
      <c r="DN291" s="115"/>
      <c r="DO291" s="115"/>
      <c r="DP291" s="115"/>
      <c r="DQ291" s="115"/>
      <c r="DR291" s="115"/>
      <c r="DS291" s="115"/>
      <c r="DT291" s="115"/>
      <c r="DU291" s="115"/>
      <c r="DV291" s="115"/>
      <c r="DW291" s="115"/>
      <c r="DX291" s="115"/>
      <c r="DY291" s="115"/>
      <c r="DZ291" s="115"/>
      <c r="EA291" s="115"/>
      <c r="EB291" s="115"/>
      <c r="EC291" s="115"/>
      <c r="ED291" s="115"/>
      <c r="EE291" s="115"/>
      <c r="EF291" s="115"/>
      <c r="EG291" s="115"/>
      <c r="EH291" s="116"/>
    </row>
    <row r="292" spans="1:138" ht="12" customHeight="1" outlineLevel="3" x14ac:dyDescent="0.4">
      <c r="A292" s="101"/>
      <c r="B292" s="101"/>
      <c r="C292" s="101">
        <v>4</v>
      </c>
      <c r="D292" s="102" t="s">
        <v>691</v>
      </c>
      <c r="E292" s="103"/>
      <c r="F292" s="103"/>
      <c r="G292" s="103"/>
      <c r="H292" s="103" t="s">
        <v>624</v>
      </c>
      <c r="I292" s="103"/>
      <c r="J292" s="103"/>
      <c r="K292" s="103"/>
      <c r="L292" s="103"/>
      <c r="M292" s="103"/>
      <c r="N292" s="103"/>
      <c r="O292" s="104"/>
      <c r="P292" s="108">
        <v>45047</v>
      </c>
      <c r="Q292" s="108">
        <v>45077</v>
      </c>
      <c r="R292" s="106"/>
      <c r="S292" s="107">
        <v>31</v>
      </c>
      <c r="T292" s="107">
        <v>0</v>
      </c>
      <c r="U292" s="107">
        <v>31</v>
      </c>
      <c r="V292" s="107">
        <v>0</v>
      </c>
      <c r="W292" s="108"/>
      <c r="X292" s="108"/>
      <c r="Y292" s="109"/>
      <c r="Z292" s="110">
        <v>0</v>
      </c>
      <c r="AA292" s="107"/>
      <c r="AB292" s="111"/>
      <c r="AC292" s="112"/>
      <c r="AD292" s="113">
        <v>0</v>
      </c>
      <c r="AE292" s="134">
        <v>0</v>
      </c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15"/>
      <c r="BR292" s="115"/>
      <c r="BS292" s="115"/>
      <c r="BT292" s="115"/>
      <c r="BU292" s="115"/>
      <c r="BV292" s="115"/>
      <c r="BW292" s="115"/>
      <c r="BX292" s="115"/>
      <c r="BY292" s="115"/>
      <c r="BZ292" s="115"/>
      <c r="CA292" s="115"/>
      <c r="CB292" s="115"/>
      <c r="CC292" s="115"/>
      <c r="CD292" s="115"/>
      <c r="CE292" s="115"/>
      <c r="CF292" s="115"/>
      <c r="CG292" s="115"/>
      <c r="CH292" s="115"/>
      <c r="CI292" s="115"/>
      <c r="CJ292" s="115"/>
      <c r="CK292" s="115"/>
      <c r="CL292" s="115"/>
      <c r="CM292" s="115"/>
      <c r="CN292" s="115"/>
      <c r="CO292" s="115"/>
      <c r="CP292" s="115"/>
      <c r="CQ292" s="115"/>
      <c r="CR292" s="115"/>
      <c r="CS292" s="115"/>
      <c r="CT292" s="115"/>
      <c r="CU292" s="115"/>
      <c r="CV292" s="115"/>
      <c r="CW292" s="115"/>
      <c r="CX292" s="115" t="str">
        <f>" " &amp; TEXT(AE292,"#0.00%") &amp; " "</f>
        <v xml:space="preserve"> 0.00% </v>
      </c>
      <c r="CY292" s="115"/>
      <c r="CZ292" s="115"/>
      <c r="DA292" s="115"/>
      <c r="DB292" s="115" t="str">
        <f>"    " &amp; "전장 배선 " &amp; " " &amp; IF(P292="","",TEXT(P292,"M/D-")) &amp; IF(Q292="","",TEXT(Q292,"M/D")) &amp; " "</f>
        <v xml:space="preserve">    전장 배선  5/1-5/31 </v>
      </c>
      <c r="DC292" s="115"/>
      <c r="DD292" s="115"/>
      <c r="DE292" s="115"/>
      <c r="DF292" s="115"/>
      <c r="DG292" s="115"/>
      <c r="DH292" s="115"/>
      <c r="DI292" s="115"/>
      <c r="DJ292" s="115"/>
      <c r="DK292" s="115"/>
      <c r="DL292" s="115"/>
      <c r="DM292" s="115"/>
      <c r="DN292" s="115"/>
      <c r="DO292" s="115"/>
      <c r="DP292" s="115"/>
      <c r="DQ292" s="115"/>
      <c r="DR292" s="115"/>
      <c r="DS292" s="115"/>
      <c r="DT292" s="115"/>
      <c r="DU292" s="115"/>
      <c r="DV292" s="115"/>
      <c r="DW292" s="115"/>
      <c r="DX292" s="115"/>
      <c r="DY292" s="115"/>
      <c r="DZ292" s="115"/>
      <c r="EA292" s="115"/>
      <c r="EB292" s="115"/>
      <c r="EC292" s="115"/>
      <c r="ED292" s="115"/>
      <c r="EE292" s="115"/>
      <c r="EF292" s="115"/>
      <c r="EG292" s="115"/>
      <c r="EH292" s="116"/>
    </row>
    <row r="293" spans="1:138" ht="12" customHeight="1" outlineLevel="3" x14ac:dyDescent="0.4">
      <c r="A293" s="101"/>
      <c r="B293" s="101"/>
      <c r="C293" s="101">
        <v>4</v>
      </c>
      <c r="D293" s="102" t="s">
        <v>692</v>
      </c>
      <c r="E293" s="103"/>
      <c r="F293" s="103"/>
      <c r="G293" s="103"/>
      <c r="H293" s="103" t="s">
        <v>609</v>
      </c>
      <c r="I293" s="103"/>
      <c r="J293" s="103"/>
      <c r="K293" s="103"/>
      <c r="L293" s="103"/>
      <c r="M293" s="103"/>
      <c r="N293" s="103"/>
      <c r="O293" s="104"/>
      <c r="P293" s="108">
        <v>45066</v>
      </c>
      <c r="Q293" s="108">
        <v>45077</v>
      </c>
      <c r="R293" s="106"/>
      <c r="S293" s="107">
        <v>12</v>
      </c>
      <c r="T293" s="107">
        <v>0</v>
      </c>
      <c r="U293" s="107">
        <v>12</v>
      </c>
      <c r="V293" s="107">
        <v>0</v>
      </c>
      <c r="W293" s="108"/>
      <c r="X293" s="108"/>
      <c r="Y293" s="109"/>
      <c r="Z293" s="110">
        <v>0</v>
      </c>
      <c r="AA293" s="107"/>
      <c r="AB293" s="111"/>
      <c r="AC293" s="112"/>
      <c r="AD293" s="113">
        <v>0</v>
      </c>
      <c r="AE293" s="134">
        <v>0</v>
      </c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 t="str">
        <f>"      " &amp; TEXT(AE293,"#0.00%") &amp; " " &amp; "UT Hook up/Turn on" &amp; " " &amp; IF(P293="","",TEXT(P293,"M/D-")) &amp; IF(Q293="","",TEXT(Q293,"M/D")) &amp; " "</f>
        <v xml:space="preserve">      0.00% UT Hook up/Turn on 5/20-5/31 </v>
      </c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6"/>
    </row>
    <row r="294" spans="1:138" ht="12" customHeight="1" outlineLevel="2" x14ac:dyDescent="0.4">
      <c r="A294" s="101"/>
      <c r="B294" s="101" t="s">
        <v>325</v>
      </c>
      <c r="C294" s="101">
        <v>3</v>
      </c>
      <c r="D294" s="102" t="s">
        <v>693</v>
      </c>
      <c r="E294" s="103"/>
      <c r="F294" s="103"/>
      <c r="G294" s="103" t="s">
        <v>611</v>
      </c>
      <c r="H294" s="103"/>
      <c r="I294" s="103"/>
      <c r="J294" s="103"/>
      <c r="K294" s="103"/>
      <c r="L294" s="103"/>
      <c r="M294" s="103"/>
      <c r="N294" s="103"/>
      <c r="O294" s="104"/>
      <c r="P294" s="108">
        <v>45078</v>
      </c>
      <c r="Q294" s="108">
        <v>45138</v>
      </c>
      <c r="R294" s="106"/>
      <c r="S294" s="107">
        <v>61</v>
      </c>
      <c r="T294" s="107">
        <v>0</v>
      </c>
      <c r="U294" s="107">
        <v>61</v>
      </c>
      <c r="V294" s="107">
        <v>0</v>
      </c>
      <c r="W294" s="108"/>
      <c r="X294" s="108"/>
      <c r="Y294" s="109">
        <v>0</v>
      </c>
      <c r="Z294" s="110">
        <v>0</v>
      </c>
      <c r="AA294" s="107"/>
      <c r="AB294" s="111"/>
      <c r="AC294" s="112"/>
      <c r="AD294" s="113">
        <v>0</v>
      </c>
      <c r="AE294" s="137">
        <v>0</v>
      </c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15"/>
      <c r="CU294" s="115"/>
      <c r="CV294" s="115"/>
      <c r="CW294" s="115"/>
      <c r="CX294" s="115"/>
      <c r="CY294" s="115"/>
      <c r="CZ294" s="115"/>
      <c r="DA294" s="115"/>
      <c r="DB294" s="115" t="str">
        <f>"    " &amp; TEXT(AE294,"#0.00%") &amp; " "</f>
        <v xml:space="preserve">    0.00% </v>
      </c>
      <c r="DC294" s="115"/>
      <c r="DD294" s="115"/>
      <c r="DE294" s="115"/>
      <c r="DF294" s="115"/>
      <c r="DG294" s="115"/>
      <c r="DH294" s="115"/>
      <c r="DI294" s="115"/>
      <c r="DJ294" s="115"/>
      <c r="DK294" s="115" t="str">
        <f>"  " &amp; "제어" &amp; " " &amp; IF(P294="","",TEXT(P294,"M/D-")) &amp; IF(Q294="","",TEXT(Q294,"M/D")) &amp; " "</f>
        <v xml:space="preserve">  제어 6/1-7/31 </v>
      </c>
      <c r="DL294" s="115"/>
      <c r="DM294" s="115"/>
      <c r="DN294" s="115"/>
      <c r="DO294" s="115"/>
      <c r="DP294" s="115"/>
      <c r="DQ294" s="115"/>
      <c r="DR294" s="115"/>
      <c r="DS294" s="115"/>
      <c r="DT294" s="115"/>
      <c r="DU294" s="115"/>
      <c r="DV294" s="115"/>
      <c r="DW294" s="115"/>
      <c r="DX294" s="115"/>
      <c r="DY294" s="115"/>
      <c r="DZ294" s="115"/>
      <c r="EA294" s="115"/>
      <c r="EB294" s="115"/>
      <c r="EC294" s="115"/>
      <c r="ED294" s="115"/>
      <c r="EE294" s="115"/>
      <c r="EF294" s="115"/>
      <c r="EG294" s="115"/>
      <c r="EH294" s="116"/>
    </row>
    <row r="295" spans="1:138" ht="12" customHeight="1" outlineLevel="3" x14ac:dyDescent="0.4">
      <c r="A295" s="101"/>
      <c r="B295" s="101"/>
      <c r="C295" s="101">
        <v>4</v>
      </c>
      <c r="D295" s="102" t="s">
        <v>694</v>
      </c>
      <c r="E295" s="103"/>
      <c r="F295" s="103"/>
      <c r="G295" s="103"/>
      <c r="H295" s="103" t="s">
        <v>613</v>
      </c>
      <c r="I295" s="103"/>
      <c r="J295" s="103"/>
      <c r="K295" s="103"/>
      <c r="L295" s="103"/>
      <c r="M295" s="103"/>
      <c r="N295" s="103"/>
      <c r="O295" s="104"/>
      <c r="P295" s="108">
        <v>45078</v>
      </c>
      <c r="Q295" s="108">
        <v>45107</v>
      </c>
      <c r="R295" s="106"/>
      <c r="S295" s="107">
        <v>30</v>
      </c>
      <c r="T295" s="107">
        <v>0</v>
      </c>
      <c r="U295" s="107">
        <v>30</v>
      </c>
      <c r="V295" s="107">
        <v>0</v>
      </c>
      <c r="W295" s="108"/>
      <c r="X295" s="108"/>
      <c r="Y295" s="109"/>
      <c r="Z295" s="110">
        <v>0</v>
      </c>
      <c r="AA295" s="107"/>
      <c r="AB295" s="111"/>
      <c r="AC295" s="112"/>
      <c r="AD295" s="113">
        <v>0</v>
      </c>
      <c r="AE295" s="134">
        <v>0</v>
      </c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5"/>
      <c r="CR295" s="115"/>
      <c r="CS295" s="115"/>
      <c r="CT295" s="115"/>
      <c r="CU295" s="115"/>
      <c r="CV295" s="115"/>
      <c r="CW295" s="115"/>
      <c r="CX295" s="115"/>
      <c r="CY295" s="115"/>
      <c r="CZ295" s="115"/>
      <c r="DA295" s="115"/>
      <c r="DB295" s="115" t="str">
        <f>"    " &amp; TEXT(AE295,"#0.00%") &amp; " "</f>
        <v xml:space="preserve">    0.00% </v>
      </c>
      <c r="DC295" s="115"/>
      <c r="DD295" s="115"/>
      <c r="DE295" s="115"/>
      <c r="DF295" s="115" t="str">
        <f>"      " &amp; "I/O CHECK" &amp; " " &amp; IF(P295="","",TEXT(P295,"M/D-")) &amp; IF(Q295="","",TEXT(Q295,"M/D")) &amp; " "</f>
        <v xml:space="preserve">      I/O CHECK 6/1-6/30 </v>
      </c>
      <c r="DG295" s="115"/>
      <c r="DH295" s="115"/>
      <c r="DI295" s="115"/>
      <c r="DJ295" s="115"/>
      <c r="DK295" s="115"/>
      <c r="DL295" s="115"/>
      <c r="DM295" s="115"/>
      <c r="DN295" s="115"/>
      <c r="DO295" s="115"/>
      <c r="DP295" s="115"/>
      <c r="DQ295" s="115"/>
      <c r="DR295" s="115"/>
      <c r="DS295" s="115"/>
      <c r="DT295" s="115"/>
      <c r="DU295" s="115"/>
      <c r="DV295" s="115"/>
      <c r="DW295" s="115"/>
      <c r="DX295" s="115"/>
      <c r="DY295" s="115"/>
      <c r="DZ295" s="115"/>
      <c r="EA295" s="115"/>
      <c r="EB295" s="115"/>
      <c r="EC295" s="115"/>
      <c r="ED295" s="115"/>
      <c r="EE295" s="115"/>
      <c r="EF295" s="115"/>
      <c r="EG295" s="115"/>
      <c r="EH295" s="116"/>
    </row>
    <row r="296" spans="1:138" ht="12" customHeight="1" outlineLevel="3" x14ac:dyDescent="0.4">
      <c r="A296" s="101"/>
      <c r="B296" s="101"/>
      <c r="C296" s="101">
        <v>4</v>
      </c>
      <c r="D296" s="102" t="s">
        <v>695</v>
      </c>
      <c r="E296" s="103"/>
      <c r="F296" s="103"/>
      <c r="G296" s="103"/>
      <c r="H296" s="103" t="s">
        <v>433</v>
      </c>
      <c r="I296" s="103"/>
      <c r="J296" s="103"/>
      <c r="K296" s="103"/>
      <c r="L296" s="103"/>
      <c r="M296" s="103"/>
      <c r="N296" s="103"/>
      <c r="O296" s="104"/>
      <c r="P296" s="108">
        <v>45108</v>
      </c>
      <c r="Q296" s="108">
        <v>45138</v>
      </c>
      <c r="R296" s="106"/>
      <c r="S296" s="107">
        <v>31</v>
      </c>
      <c r="T296" s="107">
        <v>0</v>
      </c>
      <c r="U296" s="107">
        <v>31</v>
      </c>
      <c r="V296" s="107">
        <v>0</v>
      </c>
      <c r="W296" s="108"/>
      <c r="X296" s="108"/>
      <c r="Y296" s="109"/>
      <c r="Z296" s="110">
        <v>0</v>
      </c>
      <c r="AA296" s="107"/>
      <c r="AB296" s="111"/>
      <c r="AC296" s="112"/>
      <c r="AD296" s="113">
        <v>0</v>
      </c>
      <c r="AE296" s="134">
        <v>0</v>
      </c>
      <c r="AF296" s="115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5"/>
      <c r="CR296" s="115"/>
      <c r="CS296" s="115"/>
      <c r="CT296" s="115"/>
      <c r="CU296" s="115"/>
      <c r="CV296" s="115"/>
      <c r="CW296" s="115"/>
      <c r="CX296" s="115"/>
      <c r="CY296" s="115"/>
      <c r="CZ296" s="115"/>
      <c r="DA296" s="115"/>
      <c r="DB296" s="115"/>
      <c r="DC296" s="115"/>
      <c r="DD296" s="115"/>
      <c r="DE296" s="115"/>
      <c r="DF296" s="115" t="str">
        <f>"      " &amp; TEXT(AE296,"#0.00%") &amp; " "</f>
        <v xml:space="preserve">      0.00% </v>
      </c>
      <c r="DG296" s="115"/>
      <c r="DH296" s="115"/>
      <c r="DI296" s="115"/>
      <c r="DJ296" s="115"/>
      <c r="DK296" s="115" t="str">
        <f>"  " &amp; "단동 TEST" &amp; " " &amp; IF(P296="","",TEXT(P296,"M/D-")) &amp; IF(Q296="","",TEXT(Q296,"M/D")) &amp; " "</f>
        <v xml:space="preserve">  단동 TEST 7/1-7/31 </v>
      </c>
      <c r="DL296" s="115"/>
      <c r="DM296" s="115"/>
      <c r="DN296" s="115"/>
      <c r="DO296" s="115"/>
      <c r="DP296" s="115"/>
      <c r="DQ296" s="115"/>
      <c r="DR296" s="115"/>
      <c r="DS296" s="115"/>
      <c r="DT296" s="115"/>
      <c r="DU296" s="115"/>
      <c r="DV296" s="115"/>
      <c r="DW296" s="115"/>
      <c r="DX296" s="115"/>
      <c r="DY296" s="115"/>
      <c r="DZ296" s="115"/>
      <c r="EA296" s="115"/>
      <c r="EB296" s="115"/>
      <c r="EC296" s="115"/>
      <c r="ED296" s="115"/>
      <c r="EE296" s="115"/>
      <c r="EF296" s="115"/>
      <c r="EG296" s="115"/>
      <c r="EH296" s="116"/>
    </row>
    <row r="297" spans="1:138" ht="12" customHeight="1" outlineLevel="1" x14ac:dyDescent="0.4">
      <c r="A297" s="101"/>
      <c r="B297" s="101" t="s">
        <v>325</v>
      </c>
      <c r="C297" s="101">
        <v>2</v>
      </c>
      <c r="D297" s="102" t="s">
        <v>696</v>
      </c>
      <c r="E297" s="103"/>
      <c r="F297" s="103" t="s">
        <v>396</v>
      </c>
      <c r="G297" s="103"/>
      <c r="H297" s="103"/>
      <c r="I297" s="103"/>
      <c r="J297" s="103"/>
      <c r="K297" s="103"/>
      <c r="L297" s="103"/>
      <c r="M297" s="103"/>
      <c r="N297" s="103"/>
      <c r="O297" s="104" t="s">
        <v>345</v>
      </c>
      <c r="P297" s="108">
        <v>45051</v>
      </c>
      <c r="Q297" s="108">
        <v>45148</v>
      </c>
      <c r="R297" s="106"/>
      <c r="S297" s="107">
        <v>119</v>
      </c>
      <c r="T297" s="107">
        <v>0</v>
      </c>
      <c r="U297" s="107">
        <v>98</v>
      </c>
      <c r="V297" s="107">
        <v>0</v>
      </c>
      <c r="W297" s="108"/>
      <c r="X297" s="108"/>
      <c r="Y297" s="109">
        <v>0</v>
      </c>
      <c r="Z297" s="110">
        <v>0</v>
      </c>
      <c r="AA297" s="107"/>
      <c r="AB297" s="111"/>
      <c r="AC297" s="112"/>
      <c r="AD297" s="113">
        <v>0</v>
      </c>
      <c r="AE297" s="137">
        <v>0</v>
      </c>
      <c r="AF297" s="115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  <c r="BN297" s="115"/>
      <c r="BO297" s="115"/>
      <c r="BP297" s="115"/>
      <c r="BQ297" s="115"/>
      <c r="BR297" s="115"/>
      <c r="BS297" s="115"/>
      <c r="BT297" s="115"/>
      <c r="BU297" s="115"/>
      <c r="BV297" s="115"/>
      <c r="BW297" s="115"/>
      <c r="BX297" s="115"/>
      <c r="BY297" s="115"/>
      <c r="BZ297" s="115"/>
      <c r="CA297" s="115"/>
      <c r="CB297" s="115"/>
      <c r="CC297" s="115"/>
      <c r="CD297" s="115"/>
      <c r="CE297" s="115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5"/>
      <c r="CR297" s="115"/>
      <c r="CS297" s="115"/>
      <c r="CT297" s="115"/>
      <c r="CU297" s="115"/>
      <c r="CV297" s="115"/>
      <c r="CW297" s="115"/>
      <c r="CX297" s="115" t="str">
        <f>"     " &amp; TEXT(AE297,"#0.00%") &amp; " "</f>
        <v xml:space="preserve">     0.00% </v>
      </c>
      <c r="CY297" s="115"/>
      <c r="CZ297" s="115"/>
      <c r="DA297" s="115"/>
      <c r="DB297" s="115"/>
      <c r="DC297" s="115"/>
      <c r="DD297" s="115"/>
      <c r="DE297" s="115"/>
      <c r="DF297" s="115"/>
      <c r="DG297" s="115"/>
      <c r="DH297" s="115"/>
      <c r="DI297" s="115"/>
      <c r="DJ297" s="115"/>
      <c r="DK297" s="115"/>
      <c r="DL297" s="115" t="str">
        <f>"     " &amp; "CCS 포장물류" &amp; " " &amp; IF(P297="","",TEXT(P297,"M/D-")) &amp; IF(Q297="","",TEXT(Q297,"M/D")) &amp; " "</f>
        <v xml:space="preserve">     CCS 포장물류 5/5-8/10 </v>
      </c>
      <c r="DM297" s="115"/>
      <c r="DN297" s="115"/>
      <c r="DO297" s="115"/>
      <c r="DP297" s="115"/>
      <c r="DQ297" s="115"/>
      <c r="DR297" s="115"/>
      <c r="DS297" s="115"/>
      <c r="DT297" s="115"/>
      <c r="DU297" s="115"/>
      <c r="DV297" s="115"/>
      <c r="DW297" s="115"/>
      <c r="DX297" s="115"/>
      <c r="DY297" s="115"/>
      <c r="DZ297" s="115"/>
      <c r="EA297" s="115"/>
      <c r="EB297" s="115"/>
      <c r="EC297" s="115"/>
      <c r="ED297" s="115"/>
      <c r="EE297" s="115"/>
      <c r="EF297" s="115"/>
      <c r="EG297" s="115"/>
      <c r="EH297" s="116"/>
    </row>
    <row r="298" spans="1:138" ht="12" customHeight="1" outlineLevel="2" x14ac:dyDescent="0.4">
      <c r="A298" s="101"/>
      <c r="B298" s="101" t="s">
        <v>325</v>
      </c>
      <c r="C298" s="101">
        <v>3</v>
      </c>
      <c r="D298" s="102" t="s">
        <v>697</v>
      </c>
      <c r="E298" s="103"/>
      <c r="F298" s="103"/>
      <c r="G298" s="103" t="s">
        <v>597</v>
      </c>
      <c r="H298" s="103"/>
      <c r="I298" s="103"/>
      <c r="J298" s="103"/>
      <c r="K298" s="103"/>
      <c r="L298" s="103"/>
      <c r="M298" s="103"/>
      <c r="N298" s="103"/>
      <c r="O298" s="104"/>
      <c r="P298" s="108">
        <v>45051</v>
      </c>
      <c r="Q298" s="108">
        <v>45066</v>
      </c>
      <c r="R298" s="106"/>
      <c r="S298" s="107">
        <v>16</v>
      </c>
      <c r="T298" s="107">
        <v>0</v>
      </c>
      <c r="U298" s="107">
        <v>16</v>
      </c>
      <c r="V298" s="107">
        <v>0</v>
      </c>
      <c r="W298" s="108"/>
      <c r="X298" s="108"/>
      <c r="Y298" s="109">
        <v>0</v>
      </c>
      <c r="Z298" s="110">
        <v>0</v>
      </c>
      <c r="AA298" s="107"/>
      <c r="AB298" s="111"/>
      <c r="AC298" s="112"/>
      <c r="AD298" s="113">
        <v>0</v>
      </c>
      <c r="AE298" s="137">
        <v>0</v>
      </c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/>
      <c r="BT298" s="115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5"/>
      <c r="CR298" s="115"/>
      <c r="CS298" s="115"/>
      <c r="CT298" s="115"/>
      <c r="CU298" s="115"/>
      <c r="CV298" s="115"/>
      <c r="CW298" s="115"/>
      <c r="CX298" s="115" t="str">
        <f>"     " &amp; TEXT(AE298,"#0.00%") &amp; " " &amp; "기구" &amp; " " &amp; IF(P298="","",TEXT(P298,"M/D-")) &amp; IF(Q298="","",TEXT(Q298,"M/D")) &amp; " "</f>
        <v xml:space="preserve">     0.00% 기구 5/5-5/20 </v>
      </c>
      <c r="CY298" s="115"/>
      <c r="CZ298" s="115"/>
      <c r="DA298" s="115"/>
      <c r="DB298" s="115"/>
      <c r="DC298" s="115"/>
      <c r="DD298" s="115"/>
      <c r="DE298" s="115"/>
      <c r="DF298" s="115"/>
      <c r="DG298" s="115"/>
      <c r="DH298" s="115"/>
      <c r="DI298" s="115"/>
      <c r="DJ298" s="115"/>
      <c r="DK298" s="115"/>
      <c r="DL298" s="115"/>
      <c r="DM298" s="115"/>
      <c r="DN298" s="115"/>
      <c r="DO298" s="115"/>
      <c r="DP298" s="115"/>
      <c r="DQ298" s="115"/>
      <c r="DR298" s="115"/>
      <c r="DS298" s="115"/>
      <c r="DT298" s="115"/>
      <c r="DU298" s="115"/>
      <c r="DV298" s="115"/>
      <c r="DW298" s="115"/>
      <c r="DX298" s="115"/>
      <c r="DY298" s="115"/>
      <c r="DZ298" s="115"/>
      <c r="EA298" s="115"/>
      <c r="EB298" s="115"/>
      <c r="EC298" s="115"/>
      <c r="ED298" s="115"/>
      <c r="EE298" s="115"/>
      <c r="EF298" s="115"/>
      <c r="EG298" s="115"/>
      <c r="EH298" s="116"/>
    </row>
    <row r="299" spans="1:138" ht="12" customHeight="1" outlineLevel="3" x14ac:dyDescent="0.4">
      <c r="A299" s="101"/>
      <c r="B299" s="101"/>
      <c r="C299" s="101">
        <v>4</v>
      </c>
      <c r="D299" s="102" t="s">
        <v>698</v>
      </c>
      <c r="E299" s="103"/>
      <c r="F299" s="103"/>
      <c r="G299" s="103"/>
      <c r="H299" s="103" t="s">
        <v>632</v>
      </c>
      <c r="I299" s="103"/>
      <c r="J299" s="103"/>
      <c r="K299" s="103"/>
      <c r="L299" s="103"/>
      <c r="M299" s="103"/>
      <c r="N299" s="103"/>
      <c r="O299" s="104"/>
      <c r="P299" s="108">
        <v>45051</v>
      </c>
      <c r="Q299" s="108">
        <v>45066</v>
      </c>
      <c r="R299" s="106"/>
      <c r="S299" s="107">
        <v>16</v>
      </c>
      <c r="T299" s="107">
        <v>0</v>
      </c>
      <c r="U299" s="107">
        <v>16</v>
      </c>
      <c r="V299" s="107">
        <v>0</v>
      </c>
      <c r="W299" s="108"/>
      <c r="X299" s="108"/>
      <c r="Y299" s="109"/>
      <c r="Z299" s="110">
        <v>0</v>
      </c>
      <c r="AA299" s="107"/>
      <c r="AB299" s="111"/>
      <c r="AC299" s="112"/>
      <c r="AD299" s="113">
        <v>0</v>
      </c>
      <c r="AE299" s="134">
        <v>0</v>
      </c>
      <c r="AF299" s="115"/>
      <c r="AG299" s="115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5"/>
      <c r="CT299" s="115"/>
      <c r="CU299" s="115"/>
      <c r="CV299" s="115"/>
      <c r="CW299" s="115"/>
      <c r="CX299" s="115" t="str">
        <f>"     " &amp; TEXT(AE299,"#0.00%") &amp; " " &amp; "정위치 및 LEVELING" &amp; " " &amp; IF(P299="","",TEXT(P299,"M/D-")) &amp; IF(Q299="","",TEXT(Q299,"M/D")) &amp; " "</f>
        <v xml:space="preserve">     0.00% 정위치 및 LEVELING 5/5-5/20 </v>
      </c>
      <c r="CY299" s="115"/>
      <c r="CZ299" s="115"/>
      <c r="DA299" s="115"/>
      <c r="DB299" s="115"/>
      <c r="DC299" s="115"/>
      <c r="DD299" s="115"/>
      <c r="DE299" s="115"/>
      <c r="DF299" s="115"/>
      <c r="DG299" s="115"/>
      <c r="DH299" s="115"/>
      <c r="DI299" s="115"/>
      <c r="DJ299" s="115"/>
      <c r="DK299" s="115"/>
      <c r="DL299" s="115"/>
      <c r="DM299" s="115"/>
      <c r="DN299" s="115"/>
      <c r="DO299" s="115"/>
      <c r="DP299" s="115"/>
      <c r="DQ299" s="115"/>
      <c r="DR299" s="115"/>
      <c r="DS299" s="115"/>
      <c r="DT299" s="115"/>
      <c r="DU299" s="115"/>
      <c r="DV299" s="115"/>
      <c r="DW299" s="115"/>
      <c r="DX299" s="115"/>
      <c r="DY299" s="115"/>
      <c r="DZ299" s="115"/>
      <c r="EA299" s="115"/>
      <c r="EB299" s="115"/>
      <c r="EC299" s="115"/>
      <c r="ED299" s="115"/>
      <c r="EE299" s="115"/>
      <c r="EF299" s="115"/>
      <c r="EG299" s="115"/>
      <c r="EH299" s="116"/>
    </row>
    <row r="300" spans="1:138" ht="12" customHeight="1" outlineLevel="2" x14ac:dyDescent="0.4">
      <c r="A300" s="101"/>
      <c r="B300" s="101" t="s">
        <v>325</v>
      </c>
      <c r="C300" s="101">
        <v>3</v>
      </c>
      <c r="D300" s="102" t="s">
        <v>699</v>
      </c>
      <c r="E300" s="103"/>
      <c r="F300" s="103"/>
      <c r="G300" s="103" t="s">
        <v>605</v>
      </c>
      <c r="H300" s="120"/>
      <c r="I300" s="103"/>
      <c r="J300" s="103"/>
      <c r="K300" s="103"/>
      <c r="L300" s="103"/>
      <c r="M300" s="103"/>
      <c r="N300" s="103"/>
      <c r="O300" s="104"/>
      <c r="P300" s="108">
        <v>45056</v>
      </c>
      <c r="Q300" s="108">
        <v>45087</v>
      </c>
      <c r="R300" s="106"/>
      <c r="S300" s="107">
        <v>42</v>
      </c>
      <c r="T300" s="107">
        <v>0</v>
      </c>
      <c r="U300" s="107">
        <v>32</v>
      </c>
      <c r="V300" s="107">
        <v>0</v>
      </c>
      <c r="W300" s="108"/>
      <c r="X300" s="108"/>
      <c r="Y300" s="109">
        <v>0</v>
      </c>
      <c r="Z300" s="110">
        <v>0</v>
      </c>
      <c r="AA300" s="107"/>
      <c r="AB300" s="111"/>
      <c r="AC300" s="112"/>
      <c r="AD300" s="113">
        <v>0</v>
      </c>
      <c r="AE300" s="137">
        <v>0</v>
      </c>
      <c r="AF300" s="115"/>
      <c r="AG300" s="115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15"/>
      <c r="CA300" s="115"/>
      <c r="CB300" s="115"/>
      <c r="CC300" s="115"/>
      <c r="CD300" s="115"/>
      <c r="CE300" s="115"/>
      <c r="CF300" s="115"/>
      <c r="CG300" s="115"/>
      <c r="CH300" s="115"/>
      <c r="CI300" s="115"/>
      <c r="CJ300" s="115"/>
      <c r="CK300" s="115"/>
      <c r="CL300" s="115"/>
      <c r="CM300" s="115"/>
      <c r="CN300" s="115"/>
      <c r="CO300" s="115"/>
      <c r="CP300" s="115"/>
      <c r="CQ300" s="115"/>
      <c r="CR300" s="115"/>
      <c r="CS300" s="115"/>
      <c r="CT300" s="115"/>
      <c r="CU300" s="115"/>
      <c r="CV300" s="115"/>
      <c r="CW300" s="115"/>
      <c r="CX300" s="115"/>
      <c r="CY300" s="115" t="str">
        <f>"   " &amp; TEXT(AE300,"#0.00%") &amp; " "</f>
        <v xml:space="preserve">   0.00% </v>
      </c>
      <c r="CZ300" s="115"/>
      <c r="DA300" s="115"/>
      <c r="DB300" s="115"/>
      <c r="DC300" s="115"/>
      <c r="DD300" s="115" t="str">
        <f>"" &amp; "전장" &amp; " " &amp; IF(P300="","",TEXT(P300,"M/D-")) &amp; IF(Q300="","",TEXT(Q300,"M/D")) &amp; " "</f>
        <v xml:space="preserve">전장 5/10-6/10 </v>
      </c>
      <c r="DE300" s="115"/>
      <c r="DF300" s="115"/>
      <c r="DG300" s="115"/>
      <c r="DH300" s="115"/>
      <c r="DI300" s="115"/>
      <c r="DJ300" s="115"/>
      <c r="DK300" s="115"/>
      <c r="DL300" s="115"/>
      <c r="DM300" s="115"/>
      <c r="DN300" s="115"/>
      <c r="DO300" s="115"/>
      <c r="DP300" s="115"/>
      <c r="DQ300" s="115"/>
      <c r="DR300" s="115"/>
      <c r="DS300" s="115"/>
      <c r="DT300" s="115"/>
      <c r="DU300" s="115"/>
      <c r="DV300" s="115"/>
      <c r="DW300" s="115"/>
      <c r="DX300" s="115"/>
      <c r="DY300" s="115"/>
      <c r="DZ300" s="115"/>
      <c r="EA300" s="115"/>
      <c r="EB300" s="115"/>
      <c r="EC300" s="115"/>
      <c r="ED300" s="115"/>
      <c r="EE300" s="115"/>
      <c r="EF300" s="115"/>
      <c r="EG300" s="115"/>
      <c r="EH300" s="116"/>
    </row>
    <row r="301" spans="1:138" ht="12" customHeight="1" outlineLevel="3" x14ac:dyDescent="0.4">
      <c r="A301" s="101"/>
      <c r="B301" s="101"/>
      <c r="C301" s="101">
        <v>4</v>
      </c>
      <c r="D301" s="102" t="s">
        <v>700</v>
      </c>
      <c r="E301" s="103"/>
      <c r="F301" s="103"/>
      <c r="G301" s="103"/>
      <c r="H301" s="103" t="s">
        <v>624</v>
      </c>
      <c r="I301" s="103"/>
      <c r="J301" s="103"/>
      <c r="K301" s="103"/>
      <c r="L301" s="103"/>
      <c r="M301" s="103"/>
      <c r="N301" s="103"/>
      <c r="O301" s="104"/>
      <c r="P301" s="108">
        <v>45056</v>
      </c>
      <c r="Q301" s="108">
        <v>45087</v>
      </c>
      <c r="R301" s="106"/>
      <c r="S301" s="107">
        <v>32</v>
      </c>
      <c r="T301" s="107">
        <v>0</v>
      </c>
      <c r="U301" s="107">
        <v>32</v>
      </c>
      <c r="V301" s="107">
        <v>0</v>
      </c>
      <c r="W301" s="108"/>
      <c r="X301" s="108"/>
      <c r="Y301" s="109"/>
      <c r="Z301" s="110">
        <v>0</v>
      </c>
      <c r="AA301" s="107"/>
      <c r="AB301" s="111"/>
      <c r="AC301" s="112"/>
      <c r="AD301" s="113">
        <v>0</v>
      </c>
      <c r="AE301" s="134">
        <v>0</v>
      </c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 t="str">
        <f>"   " &amp; TEXT(AE301,"#0.00%") &amp; " "</f>
        <v xml:space="preserve">   0.00% </v>
      </c>
      <c r="CZ301" s="115"/>
      <c r="DA301" s="115"/>
      <c r="DB301" s="115"/>
      <c r="DC301" s="115"/>
      <c r="DD301" s="115" t="str">
        <f>"" &amp; "전장 배선 " &amp; " " &amp; IF(P301="","",TEXT(P301,"M/D-")) &amp; IF(Q301="","",TEXT(Q301,"M/D")) &amp; " "</f>
        <v xml:space="preserve">전장 배선  5/10-6/10 </v>
      </c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6"/>
    </row>
    <row r="302" spans="1:138" ht="12" customHeight="1" outlineLevel="3" x14ac:dyDescent="0.4">
      <c r="A302" s="101"/>
      <c r="B302" s="101"/>
      <c r="C302" s="101">
        <v>4</v>
      </c>
      <c r="D302" s="102" t="s">
        <v>701</v>
      </c>
      <c r="E302" s="103"/>
      <c r="F302" s="103"/>
      <c r="G302" s="103"/>
      <c r="H302" s="103" t="s">
        <v>609</v>
      </c>
      <c r="I302" s="103"/>
      <c r="J302" s="103"/>
      <c r="K302" s="103"/>
      <c r="L302" s="103"/>
      <c r="M302" s="103"/>
      <c r="N302" s="103"/>
      <c r="O302" s="104"/>
      <c r="P302" s="108">
        <v>45078</v>
      </c>
      <c r="Q302" s="108">
        <v>45087</v>
      </c>
      <c r="R302" s="106"/>
      <c r="S302" s="107">
        <v>10</v>
      </c>
      <c r="T302" s="107">
        <v>0</v>
      </c>
      <c r="U302" s="107">
        <v>10</v>
      </c>
      <c r="V302" s="107">
        <v>0</v>
      </c>
      <c r="W302" s="108"/>
      <c r="X302" s="108"/>
      <c r="Y302" s="109"/>
      <c r="Z302" s="110">
        <v>0</v>
      </c>
      <c r="AA302" s="107"/>
      <c r="AB302" s="111"/>
      <c r="AC302" s="112"/>
      <c r="AD302" s="113">
        <v>0</v>
      </c>
      <c r="AE302" s="134">
        <v>0</v>
      </c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 t="str">
        <f>"    " &amp; TEXT(AE302,"#0.00%") &amp; " " &amp; "UT Hook up/Turn on" &amp; " " &amp; IF(P302="","",TEXT(P302,"M/D-")) &amp; IF(Q302="","",TEXT(Q302,"M/D")) &amp; " "</f>
        <v xml:space="preserve">    0.00% UT Hook up/Turn on 6/1-6/10 </v>
      </c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6"/>
    </row>
    <row r="303" spans="1:138" ht="12" customHeight="1" outlineLevel="2" x14ac:dyDescent="0.4">
      <c r="A303" s="101"/>
      <c r="B303" s="101" t="s">
        <v>325</v>
      </c>
      <c r="C303" s="101">
        <v>3</v>
      </c>
      <c r="D303" s="102" t="s">
        <v>702</v>
      </c>
      <c r="E303" s="103"/>
      <c r="F303" s="103"/>
      <c r="G303" s="103" t="s">
        <v>611</v>
      </c>
      <c r="H303" s="103"/>
      <c r="I303" s="103"/>
      <c r="J303" s="103"/>
      <c r="K303" s="103"/>
      <c r="L303" s="103"/>
      <c r="M303" s="103"/>
      <c r="N303" s="103"/>
      <c r="O303" s="104"/>
      <c r="P303" s="108">
        <v>45088</v>
      </c>
      <c r="Q303" s="108">
        <v>45148</v>
      </c>
      <c r="R303" s="106"/>
      <c r="S303" s="107">
        <v>61</v>
      </c>
      <c r="T303" s="107">
        <v>0</v>
      </c>
      <c r="U303" s="107">
        <v>61</v>
      </c>
      <c r="V303" s="107">
        <v>0</v>
      </c>
      <c r="W303" s="108"/>
      <c r="X303" s="108"/>
      <c r="Y303" s="109">
        <v>0</v>
      </c>
      <c r="Z303" s="110">
        <v>0</v>
      </c>
      <c r="AA303" s="107"/>
      <c r="AB303" s="111"/>
      <c r="AC303" s="112"/>
      <c r="AD303" s="113">
        <v>0</v>
      </c>
      <c r="AE303" s="137">
        <v>0</v>
      </c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15"/>
      <c r="CU303" s="115"/>
      <c r="CV303" s="115"/>
      <c r="CW303" s="115"/>
      <c r="CX303" s="115"/>
      <c r="CY303" s="115"/>
      <c r="CZ303" s="115"/>
      <c r="DA303" s="115"/>
      <c r="DB303" s="115"/>
      <c r="DC303" s="115"/>
      <c r="DD303" s="115" t="str">
        <f>"" &amp; TEXT(AE303,"#0.00%") &amp; " "</f>
        <v xml:space="preserve">0.00% </v>
      </c>
      <c r="DE303" s="115"/>
      <c r="DF303" s="115"/>
      <c r="DG303" s="115"/>
      <c r="DH303" s="115"/>
      <c r="DI303" s="115"/>
      <c r="DJ303" s="115"/>
      <c r="DK303" s="115"/>
      <c r="DL303" s="115" t="str">
        <f>"     " &amp; "제어" &amp; " " &amp; IF(P303="","",TEXT(P303,"M/D-")) &amp; IF(Q303="","",TEXT(Q303,"M/D")) &amp; " "</f>
        <v xml:space="preserve">     제어 6/11-8/10 </v>
      </c>
      <c r="DM303" s="115"/>
      <c r="DN303" s="115"/>
      <c r="DO303" s="115"/>
      <c r="DP303" s="115"/>
      <c r="DQ303" s="115"/>
      <c r="DR303" s="115"/>
      <c r="DS303" s="115"/>
      <c r="DT303" s="115"/>
      <c r="DU303" s="115"/>
      <c r="DV303" s="115"/>
      <c r="DW303" s="115"/>
      <c r="DX303" s="115"/>
      <c r="DY303" s="115"/>
      <c r="DZ303" s="115"/>
      <c r="EA303" s="115"/>
      <c r="EB303" s="115"/>
      <c r="EC303" s="115"/>
      <c r="ED303" s="115"/>
      <c r="EE303" s="115"/>
      <c r="EF303" s="115"/>
      <c r="EG303" s="115"/>
      <c r="EH303" s="116"/>
    </row>
    <row r="304" spans="1:138" ht="12" customHeight="1" outlineLevel="3" x14ac:dyDescent="0.4">
      <c r="A304" s="101"/>
      <c r="B304" s="101"/>
      <c r="C304" s="101">
        <v>4</v>
      </c>
      <c r="D304" s="102" t="s">
        <v>703</v>
      </c>
      <c r="E304" s="103"/>
      <c r="F304" s="103"/>
      <c r="G304" s="103"/>
      <c r="H304" s="103" t="s">
        <v>613</v>
      </c>
      <c r="I304" s="103"/>
      <c r="J304" s="103"/>
      <c r="K304" s="103"/>
      <c r="L304" s="103"/>
      <c r="M304" s="103"/>
      <c r="N304" s="103"/>
      <c r="O304" s="104"/>
      <c r="P304" s="108">
        <v>45088</v>
      </c>
      <c r="Q304" s="108">
        <v>45117</v>
      </c>
      <c r="R304" s="106"/>
      <c r="S304" s="107">
        <v>30</v>
      </c>
      <c r="T304" s="107">
        <v>0</v>
      </c>
      <c r="U304" s="107">
        <v>30</v>
      </c>
      <c r="V304" s="107">
        <v>0</v>
      </c>
      <c r="W304" s="108"/>
      <c r="X304" s="108"/>
      <c r="Y304" s="109"/>
      <c r="Z304" s="110">
        <v>0</v>
      </c>
      <c r="AA304" s="107"/>
      <c r="AB304" s="111"/>
      <c r="AC304" s="112"/>
      <c r="AD304" s="113">
        <v>0</v>
      </c>
      <c r="AE304" s="134">
        <v>0</v>
      </c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5"/>
      <c r="CR304" s="115"/>
      <c r="CS304" s="115"/>
      <c r="CT304" s="115"/>
      <c r="CU304" s="115"/>
      <c r="CV304" s="115"/>
      <c r="CW304" s="115"/>
      <c r="CX304" s="115"/>
      <c r="CY304" s="115"/>
      <c r="CZ304" s="115"/>
      <c r="DA304" s="115"/>
      <c r="DB304" s="115"/>
      <c r="DC304" s="115"/>
      <c r="DD304" s="115" t="str">
        <f>"" &amp; TEXT(AE304,"#0.00%") &amp; " "</f>
        <v xml:space="preserve">0.00% </v>
      </c>
      <c r="DE304" s="115"/>
      <c r="DF304" s="115"/>
      <c r="DG304" s="115"/>
      <c r="DH304" s="115" t="str">
        <f>"  " &amp; "I/O CHECK" &amp; " " &amp; IF(P304="","",TEXT(P304,"M/D-")) &amp; IF(Q304="","",TEXT(Q304,"M/D")) &amp; " "</f>
        <v xml:space="preserve">  I/O CHECK 6/11-7/10 </v>
      </c>
      <c r="DI304" s="115"/>
      <c r="DJ304" s="115"/>
      <c r="DK304" s="115"/>
      <c r="DL304" s="115"/>
      <c r="DM304" s="115"/>
      <c r="DN304" s="115"/>
      <c r="DO304" s="115"/>
      <c r="DP304" s="115"/>
      <c r="DQ304" s="115"/>
      <c r="DR304" s="115"/>
      <c r="DS304" s="115"/>
      <c r="DT304" s="115"/>
      <c r="DU304" s="115"/>
      <c r="DV304" s="115"/>
      <c r="DW304" s="115"/>
      <c r="DX304" s="115"/>
      <c r="DY304" s="115"/>
      <c r="DZ304" s="115"/>
      <c r="EA304" s="115"/>
      <c r="EB304" s="115"/>
      <c r="EC304" s="115"/>
      <c r="ED304" s="115"/>
      <c r="EE304" s="115"/>
      <c r="EF304" s="115"/>
      <c r="EG304" s="115"/>
      <c r="EH304" s="116"/>
    </row>
    <row r="305" spans="1:138" ht="12" customHeight="1" outlineLevel="3" x14ac:dyDescent="0.4">
      <c r="A305" s="101"/>
      <c r="B305" s="101"/>
      <c r="C305" s="101">
        <v>4</v>
      </c>
      <c r="D305" s="102" t="s">
        <v>704</v>
      </c>
      <c r="E305" s="103"/>
      <c r="F305" s="103"/>
      <c r="G305" s="103"/>
      <c r="H305" s="103" t="s">
        <v>433</v>
      </c>
      <c r="I305" s="103"/>
      <c r="J305" s="103"/>
      <c r="K305" s="103"/>
      <c r="L305" s="103"/>
      <c r="M305" s="103"/>
      <c r="N305" s="103"/>
      <c r="O305" s="104"/>
      <c r="P305" s="108">
        <v>45118</v>
      </c>
      <c r="Q305" s="108">
        <v>45148</v>
      </c>
      <c r="R305" s="106"/>
      <c r="S305" s="107">
        <v>31</v>
      </c>
      <c r="T305" s="107">
        <v>0</v>
      </c>
      <c r="U305" s="107">
        <v>31</v>
      </c>
      <c r="V305" s="107">
        <v>0</v>
      </c>
      <c r="W305" s="108"/>
      <c r="X305" s="108"/>
      <c r="Y305" s="109"/>
      <c r="Z305" s="110">
        <v>0</v>
      </c>
      <c r="AA305" s="107"/>
      <c r="AB305" s="111"/>
      <c r="AC305" s="112"/>
      <c r="AD305" s="113">
        <v>0</v>
      </c>
      <c r="AE305" s="134">
        <v>0</v>
      </c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5"/>
      <c r="CR305" s="115"/>
      <c r="CS305" s="115"/>
      <c r="CT305" s="115"/>
      <c r="CU305" s="115"/>
      <c r="CV305" s="115"/>
      <c r="CW305" s="115"/>
      <c r="CX305" s="115"/>
      <c r="CY305" s="115"/>
      <c r="CZ305" s="115"/>
      <c r="DA305" s="115"/>
      <c r="DB305" s="115"/>
      <c r="DC305" s="115"/>
      <c r="DD305" s="115"/>
      <c r="DE305" s="115"/>
      <c r="DF305" s="115"/>
      <c r="DG305" s="115"/>
      <c r="DH305" s="115" t="str">
        <f>"  " &amp; TEXT(AE305,"#0.00%") &amp; " "</f>
        <v xml:space="preserve">  0.00% </v>
      </c>
      <c r="DI305" s="115"/>
      <c r="DJ305" s="115"/>
      <c r="DK305" s="115"/>
      <c r="DL305" s="115" t="str">
        <f>"     " &amp; "단동 TEST" &amp; " " &amp; IF(P305="","",TEXT(P305,"M/D-")) &amp; IF(Q305="","",TEXT(Q305,"M/D")) &amp; " "</f>
        <v xml:space="preserve">     단동 TEST 7/11-8/10 </v>
      </c>
      <c r="DM305" s="115"/>
      <c r="DN305" s="115"/>
      <c r="DO305" s="115"/>
      <c r="DP305" s="115"/>
      <c r="DQ305" s="115"/>
      <c r="DR305" s="115"/>
      <c r="DS305" s="115"/>
      <c r="DT305" s="115"/>
      <c r="DU305" s="115"/>
      <c r="DV305" s="115"/>
      <c r="DW305" s="115"/>
      <c r="DX305" s="115"/>
      <c r="DY305" s="115"/>
      <c r="DZ305" s="115"/>
      <c r="EA305" s="115"/>
      <c r="EB305" s="115"/>
      <c r="EC305" s="115"/>
      <c r="ED305" s="115"/>
      <c r="EE305" s="115"/>
      <c r="EF305" s="115"/>
      <c r="EG305" s="115"/>
      <c r="EH305" s="116"/>
    </row>
    <row r="306" spans="1:138" ht="12" customHeight="1" outlineLevel="1" x14ac:dyDescent="0.4">
      <c r="A306" s="101"/>
      <c r="B306" s="101" t="s">
        <v>325</v>
      </c>
      <c r="C306" s="101">
        <v>2</v>
      </c>
      <c r="D306" s="102" t="s">
        <v>705</v>
      </c>
      <c r="E306" s="103"/>
      <c r="F306" s="103" t="s">
        <v>404</v>
      </c>
      <c r="G306" s="103"/>
      <c r="H306" s="103"/>
      <c r="I306" s="103"/>
      <c r="J306" s="103"/>
      <c r="K306" s="103"/>
      <c r="L306" s="103"/>
      <c r="M306" s="103"/>
      <c r="N306" s="103"/>
      <c r="O306" s="104" t="s">
        <v>330</v>
      </c>
      <c r="P306" s="108">
        <v>44998</v>
      </c>
      <c r="Q306" s="108">
        <v>45108</v>
      </c>
      <c r="R306" s="106"/>
      <c r="S306" s="107">
        <v>227</v>
      </c>
      <c r="T306" s="107">
        <v>0</v>
      </c>
      <c r="U306" s="107">
        <v>111</v>
      </c>
      <c r="V306" s="107">
        <v>0</v>
      </c>
      <c r="W306" s="108"/>
      <c r="X306" s="108"/>
      <c r="Y306" s="109">
        <v>0</v>
      </c>
      <c r="Z306" s="110">
        <v>0</v>
      </c>
      <c r="AA306" s="107"/>
      <c r="AB306" s="111"/>
      <c r="AC306" s="112"/>
      <c r="AD306" s="113">
        <v>0</v>
      </c>
      <c r="AE306" s="137">
        <v>0</v>
      </c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 t="str">
        <f>" " &amp; TEXT(AE306,"#0.00%") &amp; " "</f>
        <v xml:space="preserve"> 0.00% </v>
      </c>
      <c r="CR306" s="115"/>
      <c r="CS306" s="115"/>
      <c r="CT306" s="115"/>
      <c r="CU306" s="115"/>
      <c r="CV306" s="115"/>
      <c r="CW306" s="115"/>
      <c r="CX306" s="115"/>
      <c r="CY306" s="115"/>
      <c r="CZ306" s="115"/>
      <c r="DA306" s="115"/>
      <c r="DB306" s="115"/>
      <c r="DC306" s="115"/>
      <c r="DD306" s="115"/>
      <c r="DE306" s="115"/>
      <c r="DF306" s="115"/>
      <c r="DG306" s="115" t="str">
        <f>"" &amp; "완제품 창고" &amp; " " &amp; IF(P306="","",TEXT(P306,"M/D-")) &amp; IF(Q306="","",TEXT(Q306,"M/D")) &amp; " "</f>
        <v xml:space="preserve">완제품 창고 3/13-7/1 </v>
      </c>
      <c r="DH306" s="115"/>
      <c r="DI306" s="115"/>
      <c r="DJ306" s="115"/>
      <c r="DK306" s="115"/>
      <c r="DL306" s="115"/>
      <c r="DM306" s="115"/>
      <c r="DN306" s="115"/>
      <c r="DO306" s="115"/>
      <c r="DP306" s="115"/>
      <c r="DQ306" s="115"/>
      <c r="DR306" s="115"/>
      <c r="DS306" s="115"/>
      <c r="DT306" s="115"/>
      <c r="DU306" s="115"/>
      <c r="DV306" s="115"/>
      <c r="DW306" s="115"/>
      <c r="DX306" s="115"/>
      <c r="DY306" s="115"/>
      <c r="DZ306" s="115"/>
      <c r="EA306" s="115"/>
      <c r="EB306" s="115"/>
      <c r="EC306" s="115"/>
      <c r="ED306" s="115"/>
      <c r="EE306" s="115"/>
      <c r="EF306" s="115"/>
      <c r="EG306" s="115"/>
      <c r="EH306" s="116"/>
    </row>
    <row r="307" spans="1:138" ht="12" customHeight="1" outlineLevel="2" x14ac:dyDescent="0.4">
      <c r="A307" s="101"/>
      <c r="B307" s="101" t="s">
        <v>325</v>
      </c>
      <c r="C307" s="101">
        <v>3</v>
      </c>
      <c r="D307" s="102" t="s">
        <v>706</v>
      </c>
      <c r="E307" s="103"/>
      <c r="F307" s="103"/>
      <c r="G307" s="103" t="s">
        <v>597</v>
      </c>
      <c r="H307" s="103"/>
      <c r="I307" s="103"/>
      <c r="J307" s="103"/>
      <c r="K307" s="103"/>
      <c r="L307" s="103"/>
      <c r="M307" s="103"/>
      <c r="N307" s="103"/>
      <c r="O307" s="104"/>
      <c r="P307" s="108">
        <v>44998</v>
      </c>
      <c r="Q307" s="108">
        <v>45067</v>
      </c>
      <c r="R307" s="106"/>
      <c r="S307" s="107">
        <v>138</v>
      </c>
      <c r="T307" s="107">
        <v>0</v>
      </c>
      <c r="U307" s="107">
        <v>70</v>
      </c>
      <c r="V307" s="107">
        <v>0</v>
      </c>
      <c r="W307" s="108"/>
      <c r="X307" s="108"/>
      <c r="Y307" s="109">
        <v>0</v>
      </c>
      <c r="Z307" s="110">
        <v>0</v>
      </c>
      <c r="AA307" s="107"/>
      <c r="AB307" s="111"/>
      <c r="AC307" s="112"/>
      <c r="AD307" s="113">
        <v>0</v>
      </c>
      <c r="AE307" s="137">
        <v>0</v>
      </c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 t="str">
        <f>" " &amp; TEXT(AE307,"#0.00%") &amp; " "</f>
        <v xml:space="preserve"> 0.00% </v>
      </c>
      <c r="CR307" s="115"/>
      <c r="CS307" s="115"/>
      <c r="CT307" s="115"/>
      <c r="CU307" s="115"/>
      <c r="CV307" s="115"/>
      <c r="CW307" s="115"/>
      <c r="CX307" s="115"/>
      <c r="CY307" s="115"/>
      <c r="CZ307" s="115"/>
      <c r="DA307" s="115" t="str">
        <f>" " &amp; "기구" &amp; " " &amp; IF(P307="","",TEXT(P307,"M/D-")) &amp; IF(Q307="","",TEXT(Q307,"M/D")) &amp; " "</f>
        <v xml:space="preserve"> 기구 3/13-5/21 </v>
      </c>
      <c r="DB307" s="115"/>
      <c r="DC307" s="115"/>
      <c r="DD307" s="115"/>
      <c r="DE307" s="115"/>
      <c r="DF307" s="115"/>
      <c r="DG307" s="115"/>
      <c r="DH307" s="115"/>
      <c r="DI307" s="115"/>
      <c r="DJ307" s="115"/>
      <c r="DK307" s="115"/>
      <c r="DL307" s="115"/>
      <c r="DM307" s="115"/>
      <c r="DN307" s="115"/>
      <c r="DO307" s="115"/>
      <c r="DP307" s="115"/>
      <c r="DQ307" s="115"/>
      <c r="DR307" s="115"/>
      <c r="DS307" s="115"/>
      <c r="DT307" s="115"/>
      <c r="DU307" s="115"/>
      <c r="DV307" s="115"/>
      <c r="DW307" s="115"/>
      <c r="DX307" s="115"/>
      <c r="DY307" s="115"/>
      <c r="DZ307" s="115"/>
      <c r="EA307" s="115"/>
      <c r="EB307" s="115"/>
      <c r="EC307" s="115"/>
      <c r="ED307" s="115"/>
      <c r="EE307" s="115"/>
      <c r="EF307" s="115"/>
      <c r="EG307" s="115"/>
      <c r="EH307" s="116"/>
    </row>
    <row r="308" spans="1:138" ht="12" customHeight="1" outlineLevel="3" x14ac:dyDescent="0.4">
      <c r="A308" s="101"/>
      <c r="B308" s="101"/>
      <c r="C308" s="101">
        <v>4</v>
      </c>
      <c r="D308" s="102" t="s">
        <v>707</v>
      </c>
      <c r="E308" s="103"/>
      <c r="F308" s="103"/>
      <c r="G308" s="103"/>
      <c r="H308" s="103" t="s">
        <v>708</v>
      </c>
      <c r="I308" s="103"/>
      <c r="J308" s="103"/>
      <c r="K308" s="103"/>
      <c r="L308" s="103"/>
      <c r="M308" s="103"/>
      <c r="N308" s="103"/>
      <c r="O308" s="104"/>
      <c r="P308" s="108">
        <v>44998</v>
      </c>
      <c r="Q308" s="108">
        <v>45046</v>
      </c>
      <c r="R308" s="106"/>
      <c r="S308" s="107">
        <v>49</v>
      </c>
      <c r="T308" s="107">
        <v>0</v>
      </c>
      <c r="U308" s="107">
        <v>49</v>
      </c>
      <c r="V308" s="107">
        <v>0</v>
      </c>
      <c r="W308" s="108"/>
      <c r="X308" s="108"/>
      <c r="Y308" s="109"/>
      <c r="Z308" s="110">
        <v>0</v>
      </c>
      <c r="AA308" s="107"/>
      <c r="AB308" s="111"/>
      <c r="AC308" s="112"/>
      <c r="AD308" s="113">
        <v>0</v>
      </c>
      <c r="AE308" s="134">
        <v>0</v>
      </c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 t="str">
        <f>" " &amp; TEXT(AE308,"#0.00%") &amp; " "</f>
        <v xml:space="preserve"> 0.00% </v>
      </c>
      <c r="CR308" s="115"/>
      <c r="CS308" s="115"/>
      <c r="CT308" s="115"/>
      <c r="CU308" s="115"/>
      <c r="CV308" s="115"/>
      <c r="CW308" s="115"/>
      <c r="CX308" s="115" t="str">
        <f>" " &amp; "RACK 설치(S/C01-02)" &amp; " " &amp; IF(P308="","",TEXT(P308,"M/D-")) &amp; IF(Q308="","",TEXT(Q308,"M/D")) &amp; " "</f>
        <v xml:space="preserve"> RACK 설치(S/C01-02) 3/13-4/30 </v>
      </c>
      <c r="CY308" s="115"/>
      <c r="CZ308" s="115"/>
      <c r="DA308" s="115"/>
      <c r="DB308" s="115"/>
      <c r="DC308" s="115"/>
      <c r="DD308" s="115"/>
      <c r="DE308" s="115"/>
      <c r="DF308" s="115"/>
      <c r="DG308" s="115"/>
      <c r="DH308" s="115"/>
      <c r="DI308" s="115"/>
      <c r="DJ308" s="115"/>
      <c r="DK308" s="115"/>
      <c r="DL308" s="115"/>
      <c r="DM308" s="115"/>
      <c r="DN308" s="115"/>
      <c r="DO308" s="115"/>
      <c r="DP308" s="115"/>
      <c r="DQ308" s="115"/>
      <c r="DR308" s="115"/>
      <c r="DS308" s="115"/>
      <c r="DT308" s="115"/>
      <c r="DU308" s="115"/>
      <c r="DV308" s="115"/>
      <c r="DW308" s="115"/>
      <c r="DX308" s="115"/>
      <c r="DY308" s="115"/>
      <c r="DZ308" s="115"/>
      <c r="EA308" s="115"/>
      <c r="EB308" s="115"/>
      <c r="EC308" s="115"/>
      <c r="ED308" s="115"/>
      <c r="EE308" s="115"/>
      <c r="EF308" s="115"/>
      <c r="EG308" s="115"/>
      <c r="EH308" s="116"/>
    </row>
    <row r="309" spans="1:138" ht="12" customHeight="1" outlineLevel="3" x14ac:dyDescent="0.4">
      <c r="A309" s="101"/>
      <c r="B309" s="101"/>
      <c r="C309" s="101">
        <v>4</v>
      </c>
      <c r="D309" s="102" t="s">
        <v>709</v>
      </c>
      <c r="E309" s="103"/>
      <c r="F309" s="103"/>
      <c r="G309" s="103"/>
      <c r="H309" s="103" t="s">
        <v>710</v>
      </c>
      <c r="I309" s="103"/>
      <c r="J309" s="103"/>
      <c r="K309" s="103"/>
      <c r="L309" s="103"/>
      <c r="M309" s="103"/>
      <c r="N309" s="103"/>
      <c r="O309" s="104"/>
      <c r="P309" s="108">
        <v>45007</v>
      </c>
      <c r="Q309" s="108">
        <v>45055</v>
      </c>
      <c r="R309" s="106"/>
      <c r="S309" s="107">
        <v>49</v>
      </c>
      <c r="T309" s="107">
        <v>0</v>
      </c>
      <c r="U309" s="107">
        <v>49</v>
      </c>
      <c r="V309" s="107">
        <v>0</v>
      </c>
      <c r="W309" s="108"/>
      <c r="X309" s="108"/>
      <c r="Y309" s="109"/>
      <c r="Z309" s="110">
        <v>0</v>
      </c>
      <c r="AA309" s="107"/>
      <c r="AB309" s="111"/>
      <c r="AC309" s="112"/>
      <c r="AD309" s="113">
        <v>0</v>
      </c>
      <c r="AE309" s="134">
        <v>0</v>
      </c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 t="str">
        <f>"   " &amp; TEXT(AE309,"#0.00%") &amp; " "</f>
        <v xml:space="preserve">   0.00% </v>
      </c>
      <c r="CS309" s="115"/>
      <c r="CT309" s="115"/>
      <c r="CU309" s="115"/>
      <c r="CV309" s="115"/>
      <c r="CW309" s="115"/>
      <c r="CX309" s="115"/>
      <c r="CY309" s="115" t="str">
        <f>"   " &amp; "RACK 설치(S/C03-05)" &amp; " " &amp; IF(P309="","",TEXT(P309,"M/D-")) &amp; IF(Q309="","",TEXT(Q309,"M/D")) &amp; " "</f>
        <v xml:space="preserve">   RACK 설치(S/C03-05) 3/22-5/9 </v>
      </c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6"/>
    </row>
    <row r="310" spans="1:138" ht="12" customHeight="1" outlineLevel="3" x14ac:dyDescent="0.4">
      <c r="A310" s="101"/>
      <c r="B310" s="101"/>
      <c r="C310" s="101">
        <v>4</v>
      </c>
      <c r="D310" s="102" t="s">
        <v>711</v>
      </c>
      <c r="E310" s="103"/>
      <c r="F310" s="103"/>
      <c r="G310" s="103"/>
      <c r="H310" s="103" t="s">
        <v>712</v>
      </c>
      <c r="I310" s="103"/>
      <c r="J310" s="103"/>
      <c r="K310" s="103"/>
      <c r="L310" s="103"/>
      <c r="M310" s="103"/>
      <c r="N310" s="103"/>
      <c r="O310" s="104"/>
      <c r="P310" s="108">
        <v>45047</v>
      </c>
      <c r="Q310" s="108">
        <v>45058</v>
      </c>
      <c r="R310" s="106"/>
      <c r="S310" s="107">
        <v>12</v>
      </c>
      <c r="T310" s="107">
        <v>0</v>
      </c>
      <c r="U310" s="107">
        <v>12</v>
      </c>
      <c r="V310" s="107">
        <v>0</v>
      </c>
      <c r="W310" s="108"/>
      <c r="X310" s="108"/>
      <c r="Y310" s="109"/>
      <c r="Z310" s="110">
        <v>0</v>
      </c>
      <c r="AA310" s="107"/>
      <c r="AB310" s="111"/>
      <c r="AC310" s="112"/>
      <c r="AD310" s="113">
        <v>0</v>
      </c>
      <c r="AE310" s="134">
        <v>0</v>
      </c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 t="str">
        <f>" " &amp; TEXT(AE310,"#0.00%") &amp; " " &amp; "sprinkler 설치(S/C01-02)" &amp; " " &amp; IF(P310="","",TEXT(P310,"M/D-")) &amp; IF(Q310="","",TEXT(Q310,"M/D")) &amp; " "</f>
        <v xml:space="preserve"> 0.00% sprinkler 설치(S/C01-02) 5/1-5/12 </v>
      </c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6"/>
    </row>
    <row r="311" spans="1:138" ht="12" customHeight="1" outlineLevel="3" x14ac:dyDescent="0.4">
      <c r="A311" s="101"/>
      <c r="B311" s="101"/>
      <c r="C311" s="101">
        <v>4</v>
      </c>
      <c r="D311" s="102" t="s">
        <v>713</v>
      </c>
      <c r="E311" s="103"/>
      <c r="F311" s="103"/>
      <c r="G311" s="103"/>
      <c r="H311" s="103" t="s">
        <v>714</v>
      </c>
      <c r="I311" s="103"/>
      <c r="J311" s="103"/>
      <c r="K311" s="103"/>
      <c r="L311" s="103"/>
      <c r="M311" s="103"/>
      <c r="N311" s="103"/>
      <c r="O311" s="104"/>
      <c r="P311" s="108">
        <v>45056</v>
      </c>
      <c r="Q311" s="108">
        <v>45067</v>
      </c>
      <c r="R311" s="106"/>
      <c r="S311" s="107">
        <v>12</v>
      </c>
      <c r="T311" s="107">
        <v>0</v>
      </c>
      <c r="U311" s="107">
        <v>12</v>
      </c>
      <c r="V311" s="107">
        <v>0</v>
      </c>
      <c r="W311" s="108"/>
      <c r="X311" s="108"/>
      <c r="Y311" s="109"/>
      <c r="Z311" s="110">
        <v>0</v>
      </c>
      <c r="AA311" s="107"/>
      <c r="AB311" s="111"/>
      <c r="AC311" s="112"/>
      <c r="AD311" s="113">
        <v>0</v>
      </c>
      <c r="AE311" s="134">
        <v>0</v>
      </c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 t="str">
        <f>"   " &amp; TEXT(AE311,"#0.00%") &amp; " " &amp; "sprinkler 설치(S/C03-05)" &amp; " " &amp; IF(P311="","",TEXT(P311,"M/D-")) &amp; IF(Q311="","",TEXT(Q311,"M/D")) &amp; " "</f>
        <v xml:space="preserve">   0.00% sprinkler 설치(S/C03-05) 5/10-5/21 </v>
      </c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6"/>
    </row>
    <row r="312" spans="1:138" ht="12" customHeight="1" outlineLevel="3" x14ac:dyDescent="0.4">
      <c r="A312" s="101"/>
      <c r="B312" s="101"/>
      <c r="C312" s="101">
        <v>4</v>
      </c>
      <c r="D312" s="102" t="s">
        <v>715</v>
      </c>
      <c r="E312" s="103"/>
      <c r="F312" s="103"/>
      <c r="G312" s="103"/>
      <c r="H312" s="103" t="s">
        <v>716</v>
      </c>
      <c r="I312" s="103"/>
      <c r="J312" s="103"/>
      <c r="K312" s="103"/>
      <c r="L312" s="103"/>
      <c r="M312" s="103"/>
      <c r="N312" s="103"/>
      <c r="O312" s="104"/>
      <c r="P312" s="108">
        <v>45033</v>
      </c>
      <c r="Q312" s="108">
        <v>45048</v>
      </c>
      <c r="R312" s="106"/>
      <c r="S312" s="107">
        <v>16</v>
      </c>
      <c r="T312" s="107">
        <v>0</v>
      </c>
      <c r="U312" s="107">
        <v>16</v>
      </c>
      <c r="V312" s="107">
        <v>0</v>
      </c>
      <c r="W312" s="108"/>
      <c r="X312" s="108"/>
      <c r="Y312" s="109"/>
      <c r="Z312" s="110">
        <v>0</v>
      </c>
      <c r="AA312" s="107"/>
      <c r="AB312" s="111"/>
      <c r="AC312" s="112"/>
      <c r="AD312" s="113">
        <v>0</v>
      </c>
      <c r="AE312" s="134">
        <v>0</v>
      </c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 t="str">
        <f>" " &amp; TEXT(AE312,"#0.00%") &amp; " " &amp; "S/C 설치" &amp; " " &amp; IF(P312="","",TEXT(P312,"M/D-")) &amp; IF(Q312="","",TEXT(Q312,"M/D")) &amp; " "</f>
        <v xml:space="preserve"> 0.00% S/C 설치 4/17-5/2 </v>
      </c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6"/>
    </row>
    <row r="313" spans="1:138" ht="12" customHeight="1" outlineLevel="2" x14ac:dyDescent="0.4">
      <c r="A313" s="101"/>
      <c r="B313" s="101" t="s">
        <v>325</v>
      </c>
      <c r="C313" s="101">
        <v>3</v>
      </c>
      <c r="D313" s="102" t="s">
        <v>717</v>
      </c>
      <c r="E313" s="103"/>
      <c r="F313" s="103"/>
      <c r="G313" s="103" t="s">
        <v>605</v>
      </c>
      <c r="H313" s="103"/>
      <c r="I313" s="103"/>
      <c r="J313" s="103"/>
      <c r="K313" s="103"/>
      <c r="L313" s="103"/>
      <c r="M313" s="103"/>
      <c r="N313" s="103"/>
      <c r="O313" s="104"/>
      <c r="P313" s="108">
        <v>45059</v>
      </c>
      <c r="Q313" s="108">
        <v>45087</v>
      </c>
      <c r="R313" s="106"/>
      <c r="S313" s="107">
        <v>41</v>
      </c>
      <c r="T313" s="107">
        <v>0</v>
      </c>
      <c r="U313" s="107">
        <v>29</v>
      </c>
      <c r="V313" s="107">
        <v>0</v>
      </c>
      <c r="W313" s="108"/>
      <c r="X313" s="108"/>
      <c r="Y313" s="109">
        <v>0</v>
      </c>
      <c r="Z313" s="110">
        <v>0</v>
      </c>
      <c r="AA313" s="107"/>
      <c r="AB313" s="111"/>
      <c r="AC313" s="112"/>
      <c r="AD313" s="113">
        <v>0</v>
      </c>
      <c r="AE313" s="137">
        <v>0</v>
      </c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 t="str">
        <f>"      " &amp; TEXT(AE313,"#0.00%") &amp; " "</f>
        <v xml:space="preserve">      0.00% </v>
      </c>
      <c r="CZ313" s="115"/>
      <c r="DA313" s="115"/>
      <c r="DB313" s="115"/>
      <c r="DC313" s="115"/>
      <c r="DD313" s="115" t="str">
        <f>"" &amp; "전장" &amp; " " &amp; IF(P313="","",TEXT(P313,"M/D-")) &amp; IF(Q313="","",TEXT(Q313,"M/D")) &amp; " "</f>
        <v xml:space="preserve">전장 5/13-6/10 </v>
      </c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6"/>
    </row>
    <row r="314" spans="1:138" ht="12" customHeight="1" outlineLevel="3" x14ac:dyDescent="0.4">
      <c r="A314" s="101"/>
      <c r="B314" s="101"/>
      <c r="C314" s="101">
        <v>4</v>
      </c>
      <c r="D314" s="102" t="s">
        <v>718</v>
      </c>
      <c r="E314" s="103"/>
      <c r="F314" s="103"/>
      <c r="G314" s="103"/>
      <c r="H314" s="103" t="s">
        <v>653</v>
      </c>
      <c r="I314" s="103"/>
      <c r="J314" s="103"/>
      <c r="K314" s="103"/>
      <c r="L314" s="103"/>
      <c r="M314" s="103"/>
      <c r="N314" s="103"/>
      <c r="O314" s="104"/>
      <c r="P314" s="108">
        <v>45059</v>
      </c>
      <c r="Q314" s="108">
        <v>45087</v>
      </c>
      <c r="R314" s="106"/>
      <c r="S314" s="107">
        <v>29</v>
      </c>
      <c r="T314" s="107">
        <v>0</v>
      </c>
      <c r="U314" s="107">
        <v>29</v>
      </c>
      <c r="V314" s="107">
        <v>0</v>
      </c>
      <c r="W314" s="108"/>
      <c r="X314" s="108"/>
      <c r="Y314" s="109"/>
      <c r="Z314" s="110">
        <v>0</v>
      </c>
      <c r="AA314" s="107"/>
      <c r="AB314" s="111"/>
      <c r="AC314" s="112"/>
      <c r="AD314" s="113">
        <v>0</v>
      </c>
      <c r="AE314" s="134">
        <v>0</v>
      </c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 t="str">
        <f>"      " &amp; TEXT(AE314,"#0.00%") &amp; " "</f>
        <v xml:space="preserve">      0.00% </v>
      </c>
      <c r="CZ314" s="115"/>
      <c r="DA314" s="115"/>
      <c r="DB314" s="115"/>
      <c r="DC314" s="115"/>
      <c r="DD314" s="115" t="str">
        <f>"" &amp; "CPS 설치" &amp; " " &amp; IF(P314="","",TEXT(P314,"M/D-")) &amp; IF(Q314="","",TEXT(Q314,"M/D")) &amp; " "</f>
        <v xml:space="preserve">CPS 설치 5/13-6/10 </v>
      </c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6"/>
    </row>
    <row r="315" spans="1:138" ht="12" customHeight="1" outlineLevel="3" x14ac:dyDescent="0.4">
      <c r="A315" s="101"/>
      <c r="B315" s="101"/>
      <c r="C315" s="101">
        <v>4</v>
      </c>
      <c r="D315" s="102" t="s">
        <v>719</v>
      </c>
      <c r="E315" s="103"/>
      <c r="F315" s="103"/>
      <c r="G315" s="103"/>
      <c r="H315" s="103" t="s">
        <v>609</v>
      </c>
      <c r="I315" s="103"/>
      <c r="J315" s="103"/>
      <c r="K315" s="103"/>
      <c r="L315" s="103"/>
      <c r="M315" s="103"/>
      <c r="N315" s="103"/>
      <c r="O315" s="104"/>
      <c r="P315" s="108">
        <v>45071</v>
      </c>
      <c r="Q315" s="108">
        <v>45082</v>
      </c>
      <c r="R315" s="106"/>
      <c r="S315" s="107">
        <v>12</v>
      </c>
      <c r="T315" s="107">
        <v>0</v>
      </c>
      <c r="U315" s="107">
        <v>12</v>
      </c>
      <c r="V315" s="107">
        <v>0</v>
      </c>
      <c r="W315" s="108"/>
      <c r="X315" s="108"/>
      <c r="Y315" s="109"/>
      <c r="Z315" s="110">
        <v>0</v>
      </c>
      <c r="AA315" s="107"/>
      <c r="AB315" s="111"/>
      <c r="AC315" s="112"/>
      <c r="AD315" s="113">
        <v>0</v>
      </c>
      <c r="AE315" s="134">
        <v>0</v>
      </c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 t="str">
        <f>"    " &amp; TEXT(AE315,"#0.00%") &amp; " " &amp; "UT Hook up/Turn on" &amp; " " &amp; IF(P315="","",TEXT(P315,"M/D-")) &amp; IF(Q315="","",TEXT(Q315,"M/D")) &amp; " "</f>
        <v xml:space="preserve">    0.00% UT Hook up/Turn on 5/25-6/5 </v>
      </c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6"/>
    </row>
    <row r="316" spans="1:138" ht="12" customHeight="1" outlineLevel="2" x14ac:dyDescent="0.4">
      <c r="A316" s="101"/>
      <c r="B316" s="101" t="s">
        <v>325</v>
      </c>
      <c r="C316" s="101">
        <v>3</v>
      </c>
      <c r="D316" s="102" t="s">
        <v>720</v>
      </c>
      <c r="E316" s="103"/>
      <c r="F316" s="103"/>
      <c r="G316" s="103" t="s">
        <v>611</v>
      </c>
      <c r="H316" s="103"/>
      <c r="I316" s="103"/>
      <c r="J316" s="103"/>
      <c r="K316" s="103"/>
      <c r="L316" s="103"/>
      <c r="M316" s="103"/>
      <c r="N316" s="103"/>
      <c r="O316" s="104"/>
      <c r="P316" s="108">
        <v>45079</v>
      </c>
      <c r="Q316" s="108">
        <v>45108</v>
      </c>
      <c r="R316" s="106"/>
      <c r="S316" s="107">
        <v>48</v>
      </c>
      <c r="T316" s="107">
        <v>0</v>
      </c>
      <c r="U316" s="107">
        <v>30</v>
      </c>
      <c r="V316" s="107">
        <v>0</v>
      </c>
      <c r="W316" s="108"/>
      <c r="X316" s="108"/>
      <c r="Y316" s="109">
        <v>0</v>
      </c>
      <c r="Z316" s="110">
        <v>0</v>
      </c>
      <c r="AA316" s="107"/>
      <c r="AB316" s="111"/>
      <c r="AC316" s="112"/>
      <c r="AD316" s="113">
        <v>0</v>
      </c>
      <c r="AE316" s="137">
        <v>0</v>
      </c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 t="str">
        <f>"     " &amp; TEXT(AE316,"#0.00%") &amp; " "</f>
        <v xml:space="preserve">     0.00% </v>
      </c>
      <c r="DC316" s="115"/>
      <c r="DD316" s="115"/>
      <c r="DE316" s="115"/>
      <c r="DF316" s="115"/>
      <c r="DG316" s="115" t="str">
        <f>"" &amp; "제어" &amp; " " &amp; IF(P316="","",TEXT(P316,"M/D-")) &amp; IF(Q316="","",TEXT(Q316,"M/D")) &amp; " "</f>
        <v xml:space="preserve">제어 6/2-7/1 </v>
      </c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6"/>
    </row>
    <row r="317" spans="1:138" ht="12" customHeight="1" outlineLevel="3" x14ac:dyDescent="0.4">
      <c r="A317" s="101"/>
      <c r="B317" s="101"/>
      <c r="C317" s="101">
        <v>4</v>
      </c>
      <c r="D317" s="102" t="s">
        <v>721</v>
      </c>
      <c r="E317" s="103"/>
      <c r="F317" s="103"/>
      <c r="G317" s="103"/>
      <c r="H317" s="103" t="s">
        <v>657</v>
      </c>
      <c r="I317" s="103"/>
      <c r="J317" s="103"/>
      <c r="K317" s="103"/>
      <c r="L317" s="103"/>
      <c r="M317" s="103"/>
      <c r="N317" s="103"/>
      <c r="O317" s="104"/>
      <c r="P317" s="108">
        <v>45079</v>
      </c>
      <c r="Q317" s="108">
        <v>45089</v>
      </c>
      <c r="R317" s="106"/>
      <c r="S317" s="107">
        <v>11</v>
      </c>
      <c r="T317" s="107">
        <v>0</v>
      </c>
      <c r="U317" s="107">
        <v>11</v>
      </c>
      <c r="V317" s="107">
        <v>0</v>
      </c>
      <c r="W317" s="108"/>
      <c r="X317" s="108"/>
      <c r="Y317" s="109"/>
      <c r="Z317" s="110">
        <v>0</v>
      </c>
      <c r="AA317" s="107"/>
      <c r="AB317" s="111"/>
      <c r="AC317" s="112"/>
      <c r="AD317" s="113">
        <v>0</v>
      </c>
      <c r="AE317" s="134">
        <v>0</v>
      </c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15"/>
      <c r="CU317" s="115"/>
      <c r="CV317" s="115"/>
      <c r="CW317" s="115"/>
      <c r="CX317" s="115"/>
      <c r="CY317" s="115"/>
      <c r="CZ317" s="115"/>
      <c r="DA317" s="115"/>
      <c r="DB317" s="115" t="str">
        <f>"     " &amp; TEXT(AE317,"#0.00%") &amp; " " &amp; "IO 체크" &amp; " " &amp; IF(P317="","",TEXT(P317,"M/D-")) &amp; IF(Q317="","",TEXT(Q317,"M/D")) &amp; " "</f>
        <v xml:space="preserve">     0.00% IO 체크 6/2-6/12 </v>
      </c>
      <c r="DC317" s="115"/>
      <c r="DD317" s="115"/>
      <c r="DE317" s="115"/>
      <c r="DF317" s="115"/>
      <c r="DG317" s="115"/>
      <c r="DH317" s="115"/>
      <c r="DI317" s="115"/>
      <c r="DJ317" s="115"/>
      <c r="DK317" s="115"/>
      <c r="DL317" s="115"/>
      <c r="DM317" s="115"/>
      <c r="DN317" s="115"/>
      <c r="DO317" s="115"/>
      <c r="DP317" s="115"/>
      <c r="DQ317" s="115"/>
      <c r="DR317" s="115"/>
      <c r="DS317" s="115"/>
      <c r="DT317" s="115"/>
      <c r="DU317" s="115"/>
      <c r="DV317" s="115"/>
      <c r="DW317" s="115"/>
      <c r="DX317" s="115"/>
      <c r="DY317" s="115"/>
      <c r="DZ317" s="115"/>
      <c r="EA317" s="115"/>
      <c r="EB317" s="115"/>
      <c r="EC317" s="115"/>
      <c r="ED317" s="115"/>
      <c r="EE317" s="115"/>
      <c r="EF317" s="115"/>
      <c r="EG317" s="115"/>
      <c r="EH317" s="116"/>
    </row>
    <row r="318" spans="1:138" ht="12" customHeight="1" outlineLevel="3" x14ac:dyDescent="0.4">
      <c r="A318" s="101"/>
      <c r="B318" s="101"/>
      <c r="C318" s="101">
        <v>4</v>
      </c>
      <c r="D318" s="102" t="s">
        <v>722</v>
      </c>
      <c r="E318" s="103"/>
      <c r="F318" s="103"/>
      <c r="G318" s="103"/>
      <c r="H318" s="103" t="s">
        <v>659</v>
      </c>
      <c r="I318" s="103"/>
      <c r="J318" s="103"/>
      <c r="K318" s="103"/>
      <c r="L318" s="103"/>
      <c r="M318" s="103"/>
      <c r="N318" s="103"/>
      <c r="O318" s="104"/>
      <c r="P318" s="108">
        <v>45081</v>
      </c>
      <c r="Q318" s="108">
        <v>45094</v>
      </c>
      <c r="R318" s="106"/>
      <c r="S318" s="107">
        <v>14</v>
      </c>
      <c r="T318" s="107">
        <v>0</v>
      </c>
      <c r="U318" s="107">
        <v>14</v>
      </c>
      <c r="V318" s="107">
        <v>0</v>
      </c>
      <c r="W318" s="108"/>
      <c r="X318" s="108"/>
      <c r="Y318" s="109"/>
      <c r="Z318" s="110">
        <v>0</v>
      </c>
      <c r="AA318" s="107"/>
      <c r="AB318" s="111"/>
      <c r="AC318" s="112"/>
      <c r="AD318" s="113">
        <v>0</v>
      </c>
      <c r="AE318" s="134">
        <v>0</v>
      </c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15"/>
      <c r="CU318" s="115"/>
      <c r="CV318" s="115"/>
      <c r="CW318" s="115"/>
      <c r="CX318" s="115"/>
      <c r="CY318" s="115"/>
      <c r="CZ318" s="115"/>
      <c r="DA318" s="115"/>
      <c r="DB318" s="115"/>
      <c r="DC318" s="115" t="str">
        <f>"" &amp; TEXT(AE318,"#0.00%") &amp; " " &amp; "단동 테스트" &amp; " " &amp; IF(P318="","",TEXT(P318,"M/D-")) &amp; IF(Q318="","",TEXT(Q318,"M/D")) &amp; " "</f>
        <v xml:space="preserve">0.00% 단동 테스트 6/4-6/17 </v>
      </c>
      <c r="DD318" s="115"/>
      <c r="DE318" s="115"/>
      <c r="DF318" s="115"/>
      <c r="DG318" s="115"/>
      <c r="DH318" s="115"/>
      <c r="DI318" s="115"/>
      <c r="DJ318" s="115"/>
      <c r="DK318" s="115"/>
      <c r="DL318" s="115"/>
      <c r="DM318" s="115"/>
      <c r="DN318" s="115"/>
      <c r="DO318" s="115"/>
      <c r="DP318" s="115"/>
      <c r="DQ318" s="115"/>
      <c r="DR318" s="115"/>
      <c r="DS318" s="115"/>
      <c r="DT318" s="115"/>
      <c r="DU318" s="115"/>
      <c r="DV318" s="115"/>
      <c r="DW318" s="115"/>
      <c r="DX318" s="115"/>
      <c r="DY318" s="115"/>
      <c r="DZ318" s="115"/>
      <c r="EA318" s="115"/>
      <c r="EB318" s="115"/>
      <c r="EC318" s="115"/>
      <c r="ED318" s="115"/>
      <c r="EE318" s="115"/>
      <c r="EF318" s="115"/>
      <c r="EG318" s="115"/>
      <c r="EH318" s="116"/>
    </row>
    <row r="319" spans="1:138" ht="12" customHeight="1" outlineLevel="3" x14ac:dyDescent="0.4">
      <c r="A319" s="101"/>
      <c r="B319" s="101"/>
      <c r="C319" s="101">
        <v>4</v>
      </c>
      <c r="D319" s="102" t="s">
        <v>723</v>
      </c>
      <c r="E319" s="103"/>
      <c r="F319" s="103"/>
      <c r="G319" s="103"/>
      <c r="H319" s="103" t="s">
        <v>686</v>
      </c>
      <c r="I319" s="103"/>
      <c r="J319" s="103"/>
      <c r="K319" s="103"/>
      <c r="L319" s="103"/>
      <c r="M319" s="103"/>
      <c r="N319" s="103"/>
      <c r="O319" s="104"/>
      <c r="P319" s="108">
        <v>45086</v>
      </c>
      <c r="Q319" s="108">
        <v>45108</v>
      </c>
      <c r="R319" s="106"/>
      <c r="S319" s="107">
        <v>23</v>
      </c>
      <c r="T319" s="107">
        <v>0</v>
      </c>
      <c r="U319" s="107">
        <v>23</v>
      </c>
      <c r="V319" s="107">
        <v>0</v>
      </c>
      <c r="W319" s="108"/>
      <c r="X319" s="108"/>
      <c r="Y319" s="109"/>
      <c r="Z319" s="110">
        <v>0</v>
      </c>
      <c r="AA319" s="107"/>
      <c r="AB319" s="111"/>
      <c r="AC319" s="112"/>
      <c r="AD319" s="113">
        <v>0</v>
      </c>
      <c r="AE319" s="134">
        <v>0</v>
      </c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5"/>
      <c r="CT319" s="115"/>
      <c r="CU319" s="115"/>
      <c r="CV319" s="115"/>
      <c r="CW319" s="115"/>
      <c r="CX319" s="115"/>
      <c r="CY319" s="115"/>
      <c r="CZ319" s="115"/>
      <c r="DA319" s="115"/>
      <c r="DB319" s="115"/>
      <c r="DC319" s="115" t="str">
        <f>"     " &amp; TEXT(AE319,"#0.00%") &amp; " "</f>
        <v xml:space="preserve">     0.00% </v>
      </c>
      <c r="DD319" s="115"/>
      <c r="DE319" s="115"/>
      <c r="DF319" s="115"/>
      <c r="DG319" s="115" t="str">
        <f>"" &amp; "STK 티칭" &amp; " " &amp; IF(P319="","",TEXT(P319,"M/D-")) &amp; IF(Q319="","",TEXT(Q319,"M/D")) &amp; " "</f>
        <v xml:space="preserve">STK 티칭 6/9-7/1 </v>
      </c>
      <c r="DH319" s="115"/>
      <c r="DI319" s="115"/>
      <c r="DJ319" s="115"/>
      <c r="DK319" s="115"/>
      <c r="DL319" s="115"/>
      <c r="DM319" s="115"/>
      <c r="DN319" s="115"/>
      <c r="DO319" s="115"/>
      <c r="DP319" s="115"/>
      <c r="DQ319" s="115"/>
      <c r="DR319" s="115"/>
      <c r="DS319" s="115"/>
      <c r="DT319" s="115"/>
      <c r="DU319" s="115"/>
      <c r="DV319" s="115"/>
      <c r="DW319" s="115"/>
      <c r="DX319" s="115"/>
      <c r="DY319" s="115"/>
      <c r="DZ319" s="115"/>
      <c r="EA319" s="115"/>
      <c r="EB319" s="115"/>
      <c r="EC319" s="115"/>
      <c r="ED319" s="115"/>
      <c r="EE319" s="115"/>
      <c r="EF319" s="115"/>
      <c r="EG319" s="115"/>
      <c r="EH319" s="116"/>
    </row>
    <row r="320" spans="1:138" ht="12" customHeight="1" outlineLevel="1" x14ac:dyDescent="0.4">
      <c r="A320" s="101"/>
      <c r="B320" s="101" t="s">
        <v>325</v>
      </c>
      <c r="C320" s="101">
        <v>2</v>
      </c>
      <c r="D320" s="102" t="s">
        <v>724</v>
      </c>
      <c r="E320" s="103"/>
      <c r="F320" s="123" t="s">
        <v>412</v>
      </c>
      <c r="G320" s="103"/>
      <c r="H320" s="103"/>
      <c r="I320" s="103"/>
      <c r="J320" s="103"/>
      <c r="K320" s="103"/>
      <c r="L320" s="103"/>
      <c r="M320" s="103"/>
      <c r="N320" s="103"/>
      <c r="O320" s="104" t="s">
        <v>345</v>
      </c>
      <c r="P320" s="108">
        <v>45047</v>
      </c>
      <c r="Q320" s="108">
        <v>45153</v>
      </c>
      <c r="R320" s="106"/>
      <c r="S320" s="107">
        <v>130</v>
      </c>
      <c r="T320" s="107">
        <v>0</v>
      </c>
      <c r="U320" s="107">
        <v>107</v>
      </c>
      <c r="V320" s="107">
        <v>0</v>
      </c>
      <c r="W320" s="108"/>
      <c r="X320" s="108"/>
      <c r="Y320" s="109">
        <v>0</v>
      </c>
      <c r="Z320" s="110">
        <v>0</v>
      </c>
      <c r="AA320" s="107"/>
      <c r="AB320" s="111"/>
      <c r="AC320" s="112"/>
      <c r="AD320" s="113">
        <v>0</v>
      </c>
      <c r="AE320" s="137">
        <v>0</v>
      </c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 t="str">
        <f>" " &amp; TEXT(AE320,"#0.00%") &amp; " "</f>
        <v xml:space="preserve"> 0.00% </v>
      </c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 t="str">
        <f>"   " &amp; "완제품 창고 연결물류" &amp; " " &amp; IF(P320="","",TEXT(P320,"M/D-")) &amp; IF(Q320="","",TEXT(Q320,"M/D")) &amp; " "</f>
        <v xml:space="preserve">   완제품 창고 연결물류 5/1-8/15 </v>
      </c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6"/>
    </row>
    <row r="321" spans="1:138" ht="12" customHeight="1" outlineLevel="2" x14ac:dyDescent="0.4">
      <c r="A321" s="101"/>
      <c r="B321" s="101" t="s">
        <v>325</v>
      </c>
      <c r="C321" s="101">
        <v>3</v>
      </c>
      <c r="D321" s="102" t="s">
        <v>725</v>
      </c>
      <c r="E321" s="103"/>
      <c r="F321" s="103"/>
      <c r="G321" s="103" t="s">
        <v>597</v>
      </c>
      <c r="H321" s="103"/>
      <c r="I321" s="103"/>
      <c r="J321" s="103"/>
      <c r="K321" s="103"/>
      <c r="L321" s="103"/>
      <c r="M321" s="103"/>
      <c r="N321" s="103"/>
      <c r="O321" s="104"/>
      <c r="P321" s="108">
        <v>45047</v>
      </c>
      <c r="Q321" s="108">
        <v>45077</v>
      </c>
      <c r="R321" s="106"/>
      <c r="S321" s="107">
        <v>31</v>
      </c>
      <c r="T321" s="107">
        <v>0</v>
      </c>
      <c r="U321" s="107">
        <v>31</v>
      </c>
      <c r="V321" s="107">
        <v>0</v>
      </c>
      <c r="W321" s="108"/>
      <c r="X321" s="108"/>
      <c r="Y321" s="109">
        <v>0</v>
      </c>
      <c r="Z321" s="110">
        <v>0</v>
      </c>
      <c r="AA321" s="107"/>
      <c r="AB321" s="111"/>
      <c r="AC321" s="112"/>
      <c r="AD321" s="113">
        <v>0</v>
      </c>
      <c r="AE321" s="137">
        <v>0</v>
      </c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 t="str">
        <f>" " &amp; TEXT(AE321,"#0.00%") &amp; " "</f>
        <v xml:space="preserve"> 0.00% </v>
      </c>
      <c r="CY321" s="115"/>
      <c r="CZ321" s="115"/>
      <c r="DA321" s="115"/>
      <c r="DB321" s="115" t="str">
        <f>"    " &amp; "기구" &amp; " " &amp; IF(P321="","",TEXT(P321,"M/D-")) &amp; IF(Q321="","",TEXT(Q321,"M/D")) &amp; " "</f>
        <v xml:space="preserve">    기구 5/1-5/31 </v>
      </c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6"/>
    </row>
    <row r="322" spans="1:138" ht="12" customHeight="1" outlineLevel="3" x14ac:dyDescent="0.4">
      <c r="A322" s="101"/>
      <c r="B322" s="101"/>
      <c r="C322" s="101">
        <v>4</v>
      </c>
      <c r="D322" s="102" t="s">
        <v>726</v>
      </c>
      <c r="E322" s="103"/>
      <c r="F322" s="103"/>
      <c r="G322" s="103"/>
      <c r="H322" s="103" t="s">
        <v>632</v>
      </c>
      <c r="I322" s="103"/>
      <c r="J322" s="103"/>
      <c r="K322" s="103"/>
      <c r="L322" s="103"/>
      <c r="M322" s="103"/>
      <c r="N322" s="103"/>
      <c r="O322" s="104"/>
      <c r="P322" s="108">
        <v>45047</v>
      </c>
      <c r="Q322" s="108">
        <v>45077</v>
      </c>
      <c r="R322" s="106"/>
      <c r="S322" s="107">
        <v>31</v>
      </c>
      <c r="T322" s="107">
        <v>0</v>
      </c>
      <c r="U322" s="107">
        <v>31</v>
      </c>
      <c r="V322" s="107">
        <v>0</v>
      </c>
      <c r="W322" s="108"/>
      <c r="X322" s="108"/>
      <c r="Y322" s="109"/>
      <c r="Z322" s="110">
        <v>0</v>
      </c>
      <c r="AA322" s="107"/>
      <c r="AB322" s="111"/>
      <c r="AC322" s="112"/>
      <c r="AD322" s="113">
        <v>0</v>
      </c>
      <c r="AE322" s="134">
        <v>0</v>
      </c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 t="str">
        <f>" " &amp; TEXT(AE322,"#0.00%") &amp; " "</f>
        <v xml:space="preserve"> 0.00% </v>
      </c>
      <c r="CY322" s="115"/>
      <c r="CZ322" s="115"/>
      <c r="DA322" s="115"/>
      <c r="DB322" s="115" t="str">
        <f>"    " &amp; "정위치 및 LEVELING" &amp; " " &amp; IF(P322="","",TEXT(P322,"M/D-")) &amp; IF(Q322="","",TEXT(Q322,"M/D")) &amp; " "</f>
        <v xml:space="preserve">    정위치 및 LEVELING 5/1-5/31 </v>
      </c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6"/>
    </row>
    <row r="323" spans="1:138" ht="12" customHeight="1" outlineLevel="2" x14ac:dyDescent="0.4">
      <c r="A323" s="101"/>
      <c r="B323" s="101" t="s">
        <v>325</v>
      </c>
      <c r="C323" s="101">
        <v>3</v>
      </c>
      <c r="D323" s="102" t="s">
        <v>727</v>
      </c>
      <c r="E323" s="103"/>
      <c r="F323" s="103"/>
      <c r="G323" s="103" t="s">
        <v>605</v>
      </c>
      <c r="H323" s="120"/>
      <c r="I323" s="103"/>
      <c r="J323" s="103"/>
      <c r="K323" s="103"/>
      <c r="L323" s="103"/>
      <c r="M323" s="103"/>
      <c r="N323" s="103"/>
      <c r="O323" s="104"/>
      <c r="P323" s="105">
        <v>45066</v>
      </c>
      <c r="Q323" s="105">
        <v>45097</v>
      </c>
      <c r="R323" s="106"/>
      <c r="S323" s="107">
        <v>43</v>
      </c>
      <c r="T323" s="107">
        <v>0</v>
      </c>
      <c r="U323" s="107">
        <v>32</v>
      </c>
      <c r="V323" s="107">
        <v>0</v>
      </c>
      <c r="W323" s="108"/>
      <c r="X323" s="108"/>
      <c r="Y323" s="109">
        <v>0</v>
      </c>
      <c r="Z323" s="110">
        <v>0</v>
      </c>
      <c r="AA323" s="107"/>
      <c r="AB323" s="111"/>
      <c r="AC323" s="112"/>
      <c r="AD323" s="113">
        <v>0</v>
      </c>
      <c r="AE323" s="137">
        <v>0</v>
      </c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 t="str">
        <f>"      " &amp; TEXT(AE323,"#0.00%") &amp; " "</f>
        <v xml:space="preserve">      0.00% </v>
      </c>
      <c r="DA323" s="115"/>
      <c r="DB323" s="115"/>
      <c r="DC323" s="115"/>
      <c r="DD323" s="115"/>
      <c r="DE323" s="115" t="str">
        <f>"   " &amp; "전장" &amp; " " &amp; IF(P323="","",TEXT(P323,"M/D-")) &amp; IF(Q323="","",TEXT(Q323,"M/D")) &amp; " "</f>
        <v xml:space="preserve">   전장 5/20-6/20 </v>
      </c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6"/>
    </row>
    <row r="324" spans="1:138" ht="12" customHeight="1" outlineLevel="3" x14ac:dyDescent="0.4">
      <c r="A324" s="101"/>
      <c r="B324" s="101"/>
      <c r="C324" s="101">
        <v>4</v>
      </c>
      <c r="D324" s="102" t="s">
        <v>728</v>
      </c>
      <c r="E324" s="103"/>
      <c r="F324" s="103"/>
      <c r="G324" s="103"/>
      <c r="H324" s="103" t="s">
        <v>624</v>
      </c>
      <c r="I324" s="103"/>
      <c r="J324" s="103"/>
      <c r="K324" s="103"/>
      <c r="L324" s="103"/>
      <c r="M324" s="103"/>
      <c r="N324" s="103"/>
      <c r="O324" s="104"/>
      <c r="P324" s="105">
        <v>45066</v>
      </c>
      <c r="Q324" s="105">
        <v>45097</v>
      </c>
      <c r="R324" s="106"/>
      <c r="S324" s="107">
        <v>32</v>
      </c>
      <c r="T324" s="107">
        <v>0</v>
      </c>
      <c r="U324" s="107">
        <v>32</v>
      </c>
      <c r="V324" s="107">
        <v>0</v>
      </c>
      <c r="W324" s="108"/>
      <c r="X324" s="108"/>
      <c r="Y324" s="109"/>
      <c r="Z324" s="110">
        <v>0</v>
      </c>
      <c r="AA324" s="107"/>
      <c r="AB324" s="111"/>
      <c r="AC324" s="112"/>
      <c r="AD324" s="113">
        <v>0</v>
      </c>
      <c r="AE324" s="134">
        <v>0</v>
      </c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 t="str">
        <f>"      " &amp; TEXT(AE324,"#0.00%") &amp; " "</f>
        <v xml:space="preserve">      0.00% </v>
      </c>
      <c r="DA324" s="115"/>
      <c r="DB324" s="115"/>
      <c r="DC324" s="115"/>
      <c r="DD324" s="115"/>
      <c r="DE324" s="115" t="str">
        <f>"   " &amp; "전장 배선 " &amp; " " &amp; IF(P324="","",TEXT(P324,"M/D-")) &amp; IF(Q324="","",TEXT(Q324,"M/D")) &amp; " "</f>
        <v xml:space="preserve">   전장 배선  5/20-6/20 </v>
      </c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6"/>
    </row>
    <row r="325" spans="1:138" ht="12" customHeight="1" outlineLevel="3" x14ac:dyDescent="0.4">
      <c r="A325" s="101"/>
      <c r="B325" s="101"/>
      <c r="C325" s="101">
        <v>4</v>
      </c>
      <c r="D325" s="102" t="s">
        <v>729</v>
      </c>
      <c r="E325" s="103"/>
      <c r="F325" s="103"/>
      <c r="G325" s="103"/>
      <c r="H325" s="103" t="s">
        <v>609</v>
      </c>
      <c r="I325" s="103"/>
      <c r="J325" s="103"/>
      <c r="K325" s="103"/>
      <c r="L325" s="103"/>
      <c r="M325" s="103"/>
      <c r="N325" s="103"/>
      <c r="O325" s="104"/>
      <c r="P325" s="105">
        <v>45087</v>
      </c>
      <c r="Q325" s="105">
        <v>45097</v>
      </c>
      <c r="R325" s="106"/>
      <c r="S325" s="107">
        <v>11</v>
      </c>
      <c r="T325" s="107">
        <v>0</v>
      </c>
      <c r="U325" s="107">
        <v>11</v>
      </c>
      <c r="V325" s="107">
        <v>0</v>
      </c>
      <c r="W325" s="108"/>
      <c r="X325" s="108"/>
      <c r="Y325" s="109"/>
      <c r="Z325" s="110">
        <v>0</v>
      </c>
      <c r="AA325" s="107"/>
      <c r="AB325" s="111"/>
      <c r="AC325" s="112"/>
      <c r="AD325" s="113">
        <v>0</v>
      </c>
      <c r="AE325" s="134">
        <v>0</v>
      </c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 t="str">
        <f>"      " &amp; TEXT(AE325,"#0.00%") &amp; " " &amp; "UT Hook up/Turn on" &amp; " " &amp; IF(P325="","",TEXT(P325,"M/D-")) &amp; IF(Q325="","",TEXT(Q325,"M/D")) &amp; " "</f>
        <v xml:space="preserve">      0.00% UT Hook up/Turn on 6/10-6/20 </v>
      </c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6"/>
    </row>
    <row r="326" spans="1:138" ht="12" customHeight="1" outlineLevel="2" x14ac:dyDescent="0.4">
      <c r="A326" s="101"/>
      <c r="B326" s="101" t="s">
        <v>325</v>
      </c>
      <c r="C326" s="101">
        <v>3</v>
      </c>
      <c r="D326" s="102" t="s">
        <v>730</v>
      </c>
      <c r="E326" s="103"/>
      <c r="F326" s="103"/>
      <c r="G326" s="103" t="s">
        <v>611</v>
      </c>
      <c r="H326" s="103"/>
      <c r="I326" s="103"/>
      <c r="J326" s="103"/>
      <c r="K326" s="103"/>
      <c r="L326" s="103"/>
      <c r="M326" s="103"/>
      <c r="N326" s="103"/>
      <c r="O326" s="104"/>
      <c r="P326" s="105">
        <v>45098</v>
      </c>
      <c r="Q326" s="105">
        <v>45153</v>
      </c>
      <c r="R326" s="106"/>
      <c r="S326" s="107">
        <v>56</v>
      </c>
      <c r="T326" s="107">
        <v>0</v>
      </c>
      <c r="U326" s="107">
        <v>56</v>
      </c>
      <c r="V326" s="107">
        <v>0</v>
      </c>
      <c r="W326" s="108"/>
      <c r="X326" s="108"/>
      <c r="Y326" s="109">
        <v>0</v>
      </c>
      <c r="Z326" s="110">
        <v>0</v>
      </c>
      <c r="AA326" s="107"/>
      <c r="AB326" s="111"/>
      <c r="AC326" s="112"/>
      <c r="AD326" s="113">
        <v>0</v>
      </c>
      <c r="AE326" s="137">
        <v>0</v>
      </c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 t="str">
        <f>"   " &amp; TEXT(AE326,"#0.00%") &amp; " "</f>
        <v xml:space="preserve">   0.00% </v>
      </c>
      <c r="DF326" s="115"/>
      <c r="DG326" s="115"/>
      <c r="DH326" s="115"/>
      <c r="DI326" s="115"/>
      <c r="DJ326" s="115"/>
      <c r="DK326" s="115"/>
      <c r="DL326" s="115"/>
      <c r="DM326" s="115" t="str">
        <f>"   " &amp; "제어" &amp; " " &amp; IF(P326="","",TEXT(P326,"M/D-")) &amp; IF(Q326="","",TEXT(Q326,"M/D")) &amp; " "</f>
        <v xml:space="preserve">   제어 6/21-8/15 </v>
      </c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6"/>
    </row>
    <row r="327" spans="1:138" ht="12" customHeight="1" outlineLevel="3" x14ac:dyDescent="0.4">
      <c r="A327" s="101"/>
      <c r="B327" s="101"/>
      <c r="C327" s="101">
        <v>4</v>
      </c>
      <c r="D327" s="102" t="s">
        <v>731</v>
      </c>
      <c r="E327" s="103"/>
      <c r="F327" s="103"/>
      <c r="G327" s="103"/>
      <c r="H327" s="103" t="s">
        <v>613</v>
      </c>
      <c r="I327" s="103"/>
      <c r="J327" s="103"/>
      <c r="K327" s="103"/>
      <c r="L327" s="103"/>
      <c r="M327" s="103"/>
      <c r="N327" s="103"/>
      <c r="O327" s="104"/>
      <c r="P327" s="105">
        <v>45098</v>
      </c>
      <c r="Q327" s="105">
        <v>45127</v>
      </c>
      <c r="R327" s="106"/>
      <c r="S327" s="107">
        <v>30</v>
      </c>
      <c r="T327" s="107">
        <v>0</v>
      </c>
      <c r="U327" s="107">
        <v>30</v>
      </c>
      <c r="V327" s="107">
        <v>0</v>
      </c>
      <c r="W327" s="108"/>
      <c r="X327" s="108"/>
      <c r="Y327" s="109"/>
      <c r="Z327" s="110">
        <v>0</v>
      </c>
      <c r="AA327" s="107"/>
      <c r="AB327" s="111"/>
      <c r="AC327" s="112"/>
      <c r="AD327" s="113">
        <v>0</v>
      </c>
      <c r="AE327" s="134">
        <v>0</v>
      </c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 t="str">
        <f>"   " &amp; TEXT(AE327,"#0.00%") &amp; " "</f>
        <v xml:space="preserve">   0.00% </v>
      </c>
      <c r="DF327" s="115"/>
      <c r="DG327" s="115"/>
      <c r="DH327" s="115"/>
      <c r="DI327" s="115" t="str">
        <f>"     " &amp; "I/O CHECK" &amp; " " &amp; IF(P327="","",TEXT(P327,"M/D-")) &amp; IF(Q327="","",TEXT(Q327,"M/D")) &amp; " "</f>
        <v xml:space="preserve">     I/O CHECK 6/21-7/20 </v>
      </c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6"/>
    </row>
    <row r="328" spans="1:138" ht="12" customHeight="1" outlineLevel="3" x14ac:dyDescent="0.4">
      <c r="A328" s="101"/>
      <c r="B328" s="101"/>
      <c r="C328" s="101">
        <v>4</v>
      </c>
      <c r="D328" s="102" t="s">
        <v>732</v>
      </c>
      <c r="E328" s="103"/>
      <c r="F328" s="103"/>
      <c r="G328" s="103"/>
      <c r="H328" s="103" t="s">
        <v>433</v>
      </c>
      <c r="I328" s="103"/>
      <c r="J328" s="103"/>
      <c r="K328" s="103"/>
      <c r="L328" s="103"/>
      <c r="M328" s="103"/>
      <c r="N328" s="103"/>
      <c r="O328" s="104"/>
      <c r="P328" s="105">
        <v>45128</v>
      </c>
      <c r="Q328" s="105">
        <v>45153</v>
      </c>
      <c r="R328" s="106"/>
      <c r="S328" s="107">
        <v>26</v>
      </c>
      <c r="T328" s="107">
        <v>0</v>
      </c>
      <c r="U328" s="107">
        <v>26</v>
      </c>
      <c r="V328" s="107">
        <v>0</v>
      </c>
      <c r="W328" s="108"/>
      <c r="X328" s="108"/>
      <c r="Y328" s="109"/>
      <c r="Z328" s="110">
        <v>0</v>
      </c>
      <c r="AA328" s="107"/>
      <c r="AB328" s="111"/>
      <c r="AC328" s="112"/>
      <c r="AD328" s="113">
        <v>0</v>
      </c>
      <c r="AE328" s="134">
        <v>0</v>
      </c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 t="str">
        <f>"     " &amp; TEXT(AE328,"#0.00%") &amp; " "</f>
        <v xml:space="preserve">     0.00% </v>
      </c>
      <c r="DJ328" s="115"/>
      <c r="DK328" s="115"/>
      <c r="DL328" s="115"/>
      <c r="DM328" s="115" t="str">
        <f>"   " &amp; "단동 TEST" &amp; " " &amp; IF(P328="","",TEXT(P328,"M/D-")) &amp; IF(Q328="","",TEXT(Q328,"M/D")) &amp; " "</f>
        <v xml:space="preserve">   단동 TEST 7/21-8/15 </v>
      </c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6"/>
    </row>
    <row r="329" spans="1:138" ht="12" customHeight="1" x14ac:dyDescent="0.4">
      <c r="A329" s="101"/>
      <c r="B329" s="101" t="s">
        <v>325</v>
      </c>
      <c r="C329" s="101">
        <v>1</v>
      </c>
      <c r="D329" s="102" t="s">
        <v>733</v>
      </c>
      <c r="E329" s="103" t="s">
        <v>734</v>
      </c>
      <c r="F329" s="103"/>
      <c r="G329" s="103"/>
      <c r="H329" s="103"/>
      <c r="I329" s="103"/>
      <c r="J329" s="103"/>
      <c r="K329" s="103"/>
      <c r="L329" s="103"/>
      <c r="M329" s="103"/>
      <c r="N329" s="103"/>
      <c r="O329" s="104"/>
      <c r="P329" s="105">
        <v>45108</v>
      </c>
      <c r="Q329" s="105">
        <v>45214</v>
      </c>
      <c r="R329" s="106"/>
      <c r="S329" s="107">
        <v>640</v>
      </c>
      <c r="T329" s="107">
        <v>0</v>
      </c>
      <c r="U329" s="107">
        <v>107</v>
      </c>
      <c r="V329" s="107">
        <v>0</v>
      </c>
      <c r="W329" s="108"/>
      <c r="X329" s="108"/>
      <c r="Y329" s="109">
        <v>0</v>
      </c>
      <c r="Z329" s="110">
        <v>0</v>
      </c>
      <c r="AA329" s="107"/>
      <c r="AB329" s="111"/>
      <c r="AC329" s="112"/>
      <c r="AD329" s="113">
        <v>0</v>
      </c>
      <c r="AE329" s="137">
        <v>0</v>
      </c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 t="str">
        <f>"      " &amp; TEXT(AE329,"#0.00%") &amp; " "</f>
        <v xml:space="preserve">      0.00% </v>
      </c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 t="str">
        <f>" " &amp; "연동TEST" &amp; " " &amp; IF(P329="","",TEXT(P329,"M/D-")) &amp; IF(Q329="","",TEXT(Q329,"M/D")) &amp; " "</f>
        <v xml:space="preserve"> 연동TEST 7/1-10/15 </v>
      </c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6"/>
    </row>
    <row r="330" spans="1:138" ht="12" customHeight="1" outlineLevel="1" x14ac:dyDescent="0.4">
      <c r="A330" s="101"/>
      <c r="B330" s="101" t="s">
        <v>325</v>
      </c>
      <c r="C330" s="101">
        <v>2</v>
      </c>
      <c r="D330" s="102" t="s">
        <v>735</v>
      </c>
      <c r="E330" s="103"/>
      <c r="F330" s="103" t="s">
        <v>329</v>
      </c>
      <c r="G330" s="103"/>
      <c r="H330" s="103"/>
      <c r="I330" s="103"/>
      <c r="J330" s="103"/>
      <c r="K330" s="103"/>
      <c r="L330" s="103"/>
      <c r="M330" s="103"/>
      <c r="N330" s="103"/>
      <c r="O330" s="104" t="s">
        <v>330</v>
      </c>
      <c r="P330" s="105">
        <v>45108</v>
      </c>
      <c r="Q330" s="105">
        <v>45214</v>
      </c>
      <c r="R330" s="106"/>
      <c r="S330" s="107">
        <v>107</v>
      </c>
      <c r="T330" s="107">
        <v>0</v>
      </c>
      <c r="U330" s="107">
        <v>107</v>
      </c>
      <c r="V330" s="107">
        <v>0</v>
      </c>
      <c r="W330" s="108"/>
      <c r="X330" s="108"/>
      <c r="Y330" s="109">
        <v>0</v>
      </c>
      <c r="Z330" s="110">
        <v>0</v>
      </c>
      <c r="AA330" s="107"/>
      <c r="AB330" s="111"/>
      <c r="AC330" s="112"/>
      <c r="AD330" s="113">
        <v>0</v>
      </c>
      <c r="AE330" s="137">
        <v>0</v>
      </c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5"/>
      <c r="CT330" s="115"/>
      <c r="CU330" s="115"/>
      <c r="CV330" s="115"/>
      <c r="CW330" s="115"/>
      <c r="CX330" s="115"/>
      <c r="CY330" s="115"/>
      <c r="CZ330" s="115"/>
      <c r="DA330" s="115"/>
      <c r="DB330" s="115"/>
      <c r="DC330" s="115"/>
      <c r="DD330" s="115"/>
      <c r="DE330" s="115"/>
      <c r="DF330" s="115" t="str">
        <f>"      " &amp; TEXT(AE330,"#0.00%") &amp; " "</f>
        <v xml:space="preserve">      0.00% </v>
      </c>
      <c r="DG330" s="115"/>
      <c r="DH330" s="115"/>
      <c r="DI330" s="115"/>
      <c r="DJ330" s="115"/>
      <c r="DK330" s="115"/>
      <c r="DL330" s="115"/>
      <c r="DM330" s="115"/>
      <c r="DN330" s="115"/>
      <c r="DO330" s="115"/>
      <c r="DP330" s="115"/>
      <c r="DQ330" s="115"/>
      <c r="DR330" s="115"/>
      <c r="DS330" s="115"/>
      <c r="DT330" s="115"/>
      <c r="DU330" s="115"/>
      <c r="DV330" s="115" t="str">
        <f>" " &amp; "BUFFER STK" &amp; " " &amp; IF(P330="","",TEXT(P330,"M/D-")) &amp; IF(Q330="","",TEXT(Q330,"M/D")) &amp; " "</f>
        <v xml:space="preserve"> BUFFER STK 7/1-10/15 </v>
      </c>
      <c r="DW330" s="115"/>
      <c r="DX330" s="115"/>
      <c r="DY330" s="115"/>
      <c r="DZ330" s="115"/>
      <c r="EA330" s="115"/>
      <c r="EB330" s="115"/>
      <c r="EC330" s="115"/>
      <c r="ED330" s="115"/>
      <c r="EE330" s="115"/>
      <c r="EF330" s="115"/>
      <c r="EG330" s="115"/>
      <c r="EH330" s="116"/>
    </row>
    <row r="331" spans="1:138" ht="12" customHeight="1" outlineLevel="2" x14ac:dyDescent="0.4">
      <c r="A331" s="101"/>
      <c r="B331" s="101"/>
      <c r="C331" s="101">
        <v>3</v>
      </c>
      <c r="D331" s="102" t="s">
        <v>736</v>
      </c>
      <c r="E331" s="103"/>
      <c r="F331" s="103"/>
      <c r="G331" s="103" t="s">
        <v>737</v>
      </c>
      <c r="H331" s="103"/>
      <c r="I331" s="103"/>
      <c r="J331" s="103"/>
      <c r="K331" s="103"/>
      <c r="L331" s="103"/>
      <c r="M331" s="103"/>
      <c r="N331" s="103"/>
      <c r="O331" s="104"/>
      <c r="P331" s="105">
        <v>45108</v>
      </c>
      <c r="Q331" s="105">
        <v>45153</v>
      </c>
      <c r="R331" s="106"/>
      <c r="S331" s="107">
        <v>46</v>
      </c>
      <c r="T331" s="107">
        <v>0</v>
      </c>
      <c r="U331" s="107">
        <v>46</v>
      </c>
      <c r="V331" s="107">
        <v>0</v>
      </c>
      <c r="W331" s="108"/>
      <c r="X331" s="108"/>
      <c r="Y331" s="109"/>
      <c r="Z331" s="110">
        <v>0</v>
      </c>
      <c r="AA331" s="107"/>
      <c r="AB331" s="111"/>
      <c r="AC331" s="112"/>
      <c r="AD331" s="113">
        <v>0</v>
      </c>
      <c r="AE331" s="134">
        <v>0</v>
      </c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15"/>
      <c r="CU331" s="115"/>
      <c r="CV331" s="115"/>
      <c r="CW331" s="115"/>
      <c r="CX331" s="115"/>
      <c r="CY331" s="115"/>
      <c r="CZ331" s="115"/>
      <c r="DA331" s="115"/>
      <c r="DB331" s="115"/>
      <c r="DC331" s="115"/>
      <c r="DD331" s="115"/>
      <c r="DE331" s="115"/>
      <c r="DF331" s="115" t="str">
        <f>"      " &amp; TEXT(AE331,"#0.00%") &amp; " "</f>
        <v xml:space="preserve">      0.00% </v>
      </c>
      <c r="DG331" s="115"/>
      <c r="DH331" s="115"/>
      <c r="DI331" s="115"/>
      <c r="DJ331" s="115"/>
      <c r="DK331" s="115"/>
      <c r="DL331" s="115"/>
      <c r="DM331" s="115" t="str">
        <f>"   " &amp; "SCS Test" &amp; " " &amp; IF(P331="","",TEXT(P331,"M/D-")) &amp; IF(Q331="","",TEXT(Q331,"M/D")) &amp; " "</f>
        <v xml:space="preserve">   SCS Test 7/1-8/15 </v>
      </c>
      <c r="DN331" s="115"/>
      <c r="DO331" s="115"/>
      <c r="DP331" s="115"/>
      <c r="DQ331" s="115"/>
      <c r="DR331" s="115"/>
      <c r="DS331" s="115"/>
      <c r="DT331" s="115"/>
      <c r="DU331" s="115"/>
      <c r="DV331" s="115"/>
      <c r="DW331" s="115"/>
      <c r="DX331" s="115"/>
      <c r="DY331" s="115"/>
      <c r="DZ331" s="115"/>
      <c r="EA331" s="115"/>
      <c r="EB331" s="115"/>
      <c r="EC331" s="115"/>
      <c r="ED331" s="115"/>
      <c r="EE331" s="115"/>
      <c r="EF331" s="115"/>
      <c r="EG331" s="115"/>
      <c r="EH331" s="116"/>
    </row>
    <row r="332" spans="1:138" ht="12" customHeight="1" outlineLevel="2" x14ac:dyDescent="0.4">
      <c r="A332" s="101"/>
      <c r="B332" s="101"/>
      <c r="C332" s="101">
        <v>3</v>
      </c>
      <c r="D332" s="102" t="s">
        <v>738</v>
      </c>
      <c r="E332" s="103"/>
      <c r="F332" s="103"/>
      <c r="G332" s="103" t="s">
        <v>739</v>
      </c>
      <c r="H332" s="103"/>
      <c r="I332" s="103"/>
      <c r="J332" s="103"/>
      <c r="K332" s="103"/>
      <c r="L332" s="103"/>
      <c r="M332" s="103"/>
      <c r="N332" s="103"/>
      <c r="O332" s="104"/>
      <c r="P332" s="105">
        <v>45154</v>
      </c>
      <c r="Q332" s="105">
        <v>45214</v>
      </c>
      <c r="R332" s="106"/>
      <c r="S332" s="107">
        <v>61</v>
      </c>
      <c r="T332" s="107">
        <v>0</v>
      </c>
      <c r="U332" s="107">
        <v>61</v>
      </c>
      <c r="V332" s="107">
        <v>0</v>
      </c>
      <c r="W332" s="108"/>
      <c r="X332" s="108"/>
      <c r="Y332" s="109"/>
      <c r="Z332" s="110">
        <v>0</v>
      </c>
      <c r="AA332" s="107"/>
      <c r="AB332" s="111"/>
      <c r="AC332" s="112"/>
      <c r="AD332" s="113">
        <v>0</v>
      </c>
      <c r="AE332" s="134">
        <v>0</v>
      </c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  <c r="CP332" s="115"/>
      <c r="CQ332" s="115"/>
      <c r="CR332" s="115"/>
      <c r="CS332" s="115"/>
      <c r="CT332" s="115"/>
      <c r="CU332" s="115"/>
      <c r="CV332" s="115"/>
      <c r="CW332" s="115"/>
      <c r="CX332" s="115"/>
      <c r="CY332" s="115"/>
      <c r="CZ332" s="115"/>
      <c r="DA332" s="115"/>
      <c r="DB332" s="115"/>
      <c r="DC332" s="115"/>
      <c r="DD332" s="115"/>
      <c r="DE332" s="115"/>
      <c r="DF332" s="115"/>
      <c r="DG332" s="115"/>
      <c r="DH332" s="115"/>
      <c r="DI332" s="115"/>
      <c r="DJ332" s="115"/>
      <c r="DK332" s="115"/>
      <c r="DL332" s="115"/>
      <c r="DM332" s="115" t="str">
        <f>"   " &amp; TEXT(AE332,"#0.00%") &amp; " "</f>
        <v xml:space="preserve">   0.00% </v>
      </c>
      <c r="DN332" s="115"/>
      <c r="DO332" s="115"/>
      <c r="DP332" s="115"/>
      <c r="DQ332" s="115"/>
      <c r="DR332" s="115"/>
      <c r="DS332" s="115"/>
      <c r="DT332" s="115"/>
      <c r="DU332" s="115"/>
      <c r="DV332" s="115" t="str">
        <f>" " &amp; "WMS Test" &amp; " " &amp; IF(P332="","",TEXT(P332,"M/D-")) &amp; IF(Q332="","",TEXT(Q332,"M/D")) &amp; " "</f>
        <v xml:space="preserve"> WMS Test 8/16-10/15 </v>
      </c>
      <c r="DW332" s="115"/>
      <c r="DX332" s="115"/>
      <c r="DY332" s="115"/>
      <c r="DZ332" s="115"/>
      <c r="EA332" s="115"/>
      <c r="EB332" s="115"/>
      <c r="EC332" s="115"/>
      <c r="ED332" s="115"/>
      <c r="EE332" s="115"/>
      <c r="EF332" s="115"/>
      <c r="EG332" s="115"/>
      <c r="EH332" s="116"/>
    </row>
    <row r="333" spans="1:138" ht="12" customHeight="1" outlineLevel="1" x14ac:dyDescent="0.4">
      <c r="A333" s="101"/>
      <c r="B333" s="101" t="s">
        <v>325</v>
      </c>
      <c r="C333" s="101">
        <v>2</v>
      </c>
      <c r="D333" s="102" t="s">
        <v>740</v>
      </c>
      <c r="E333" s="103"/>
      <c r="F333" s="103" t="s">
        <v>344</v>
      </c>
      <c r="G333" s="103"/>
      <c r="H333" s="103"/>
      <c r="I333" s="103"/>
      <c r="J333" s="103"/>
      <c r="K333" s="103"/>
      <c r="L333" s="103"/>
      <c r="M333" s="103"/>
      <c r="N333" s="103"/>
      <c r="O333" s="104" t="s">
        <v>345</v>
      </c>
      <c r="P333" s="105">
        <v>45139</v>
      </c>
      <c r="Q333" s="105">
        <v>45199</v>
      </c>
      <c r="R333" s="106"/>
      <c r="S333" s="107">
        <v>61</v>
      </c>
      <c r="T333" s="107">
        <v>0</v>
      </c>
      <c r="U333" s="107">
        <v>61</v>
      </c>
      <c r="V333" s="107">
        <v>0</v>
      </c>
      <c r="W333" s="108"/>
      <c r="X333" s="108"/>
      <c r="Y333" s="109">
        <v>0</v>
      </c>
      <c r="Z333" s="110">
        <v>0</v>
      </c>
      <c r="AA333" s="107"/>
      <c r="AB333" s="111"/>
      <c r="AC333" s="112"/>
      <c r="AD333" s="113">
        <v>0</v>
      </c>
      <c r="AE333" s="137">
        <v>0</v>
      </c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5"/>
      <c r="CR333" s="115"/>
      <c r="CS333" s="115"/>
      <c r="CT333" s="115"/>
      <c r="CU333" s="115"/>
      <c r="CV333" s="115"/>
      <c r="CW333" s="115"/>
      <c r="CX333" s="115"/>
      <c r="CY333" s="115"/>
      <c r="CZ333" s="115"/>
      <c r="DA333" s="115"/>
      <c r="DB333" s="115"/>
      <c r="DC333" s="115"/>
      <c r="DD333" s="115"/>
      <c r="DE333" s="115"/>
      <c r="DF333" s="115"/>
      <c r="DG333" s="115"/>
      <c r="DH333" s="115"/>
      <c r="DI333" s="115"/>
      <c r="DJ333" s="115"/>
      <c r="DK333" s="115" t="str">
        <f>"  " &amp; TEXT(AE333,"#0.00%") &amp; " "</f>
        <v xml:space="preserve">  0.00% </v>
      </c>
      <c r="DL333" s="115"/>
      <c r="DM333" s="115"/>
      <c r="DN333" s="115"/>
      <c r="DO333" s="115"/>
      <c r="DP333" s="115"/>
      <c r="DQ333" s="115"/>
      <c r="DR333" s="115"/>
      <c r="DS333" s="115"/>
      <c r="DT333" s="115" t="str">
        <f>"" &amp; "BUFFER 입출고 물류" &amp; " " &amp; IF(P333="","",TEXT(P333,"M/D-")) &amp; IF(Q333="","",TEXT(Q333,"M/D")) &amp; " "</f>
        <v xml:space="preserve">BUFFER 입출고 물류 8/1-9/30 </v>
      </c>
      <c r="DU333" s="115"/>
      <c r="DV333" s="115"/>
      <c r="DW333" s="115"/>
      <c r="DX333" s="115"/>
      <c r="DY333" s="115"/>
      <c r="DZ333" s="115"/>
      <c r="EA333" s="115"/>
      <c r="EB333" s="115"/>
      <c r="EC333" s="115"/>
      <c r="ED333" s="115"/>
      <c r="EE333" s="115"/>
      <c r="EF333" s="115"/>
      <c r="EG333" s="115"/>
      <c r="EH333" s="116"/>
    </row>
    <row r="334" spans="1:138" ht="12" customHeight="1" outlineLevel="2" x14ac:dyDescent="0.4">
      <c r="A334" s="101"/>
      <c r="B334" s="101"/>
      <c r="C334" s="101">
        <v>3</v>
      </c>
      <c r="D334" s="102" t="s">
        <v>741</v>
      </c>
      <c r="E334" s="103"/>
      <c r="F334" s="103"/>
      <c r="G334" s="103" t="s">
        <v>737</v>
      </c>
      <c r="H334" s="103"/>
      <c r="I334" s="103"/>
      <c r="J334" s="103"/>
      <c r="K334" s="103"/>
      <c r="L334" s="103"/>
      <c r="M334" s="103"/>
      <c r="N334" s="103"/>
      <c r="O334" s="104"/>
      <c r="P334" s="105">
        <v>45139</v>
      </c>
      <c r="Q334" s="105">
        <v>45169</v>
      </c>
      <c r="R334" s="106"/>
      <c r="S334" s="107">
        <v>31</v>
      </c>
      <c r="T334" s="107">
        <v>0</v>
      </c>
      <c r="U334" s="107">
        <v>31</v>
      </c>
      <c r="V334" s="107">
        <v>0</v>
      </c>
      <c r="W334" s="108"/>
      <c r="X334" s="108"/>
      <c r="Y334" s="109"/>
      <c r="Z334" s="110">
        <v>0</v>
      </c>
      <c r="AA334" s="107"/>
      <c r="AB334" s="111"/>
      <c r="AC334" s="112"/>
      <c r="AD334" s="113">
        <v>0</v>
      </c>
      <c r="AE334" s="134">
        <v>0</v>
      </c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  <c r="CP334" s="115"/>
      <c r="CQ334" s="115"/>
      <c r="CR334" s="115"/>
      <c r="CS334" s="115"/>
      <c r="CT334" s="115"/>
      <c r="CU334" s="115"/>
      <c r="CV334" s="115"/>
      <c r="CW334" s="115"/>
      <c r="CX334" s="115"/>
      <c r="CY334" s="115"/>
      <c r="CZ334" s="115"/>
      <c r="DA334" s="115"/>
      <c r="DB334" s="115"/>
      <c r="DC334" s="115"/>
      <c r="DD334" s="115"/>
      <c r="DE334" s="115"/>
      <c r="DF334" s="115"/>
      <c r="DG334" s="115"/>
      <c r="DH334" s="115"/>
      <c r="DI334" s="115"/>
      <c r="DJ334" s="115"/>
      <c r="DK334" s="115" t="str">
        <f>"  " &amp; TEXT(AE334,"#0.00%") &amp; " "</f>
        <v xml:space="preserve">  0.00% </v>
      </c>
      <c r="DL334" s="115"/>
      <c r="DM334" s="115"/>
      <c r="DN334" s="115"/>
      <c r="DO334" s="115" t="str">
        <f>"     " &amp; "SCS Test" &amp; " " &amp; IF(P334="","",TEXT(P334,"M/D-")) &amp; IF(Q334="","",TEXT(Q334,"M/D")) &amp; " "</f>
        <v xml:space="preserve">     SCS Test 8/1-8/31 </v>
      </c>
      <c r="DP334" s="115"/>
      <c r="DQ334" s="115"/>
      <c r="DR334" s="115"/>
      <c r="DS334" s="115"/>
      <c r="DT334" s="115"/>
      <c r="DU334" s="115"/>
      <c r="DV334" s="115"/>
      <c r="DW334" s="115"/>
      <c r="DX334" s="115"/>
      <c r="DY334" s="115"/>
      <c r="DZ334" s="115"/>
      <c r="EA334" s="115"/>
      <c r="EB334" s="115"/>
      <c r="EC334" s="115"/>
      <c r="ED334" s="115"/>
      <c r="EE334" s="115"/>
      <c r="EF334" s="115"/>
      <c r="EG334" s="115"/>
      <c r="EH334" s="116"/>
    </row>
    <row r="335" spans="1:138" ht="12" customHeight="1" outlineLevel="2" x14ac:dyDescent="0.4">
      <c r="A335" s="101"/>
      <c r="B335" s="101"/>
      <c r="C335" s="101">
        <v>3</v>
      </c>
      <c r="D335" s="102" t="s">
        <v>742</v>
      </c>
      <c r="E335" s="103"/>
      <c r="F335" s="103"/>
      <c r="G335" s="103" t="s">
        <v>739</v>
      </c>
      <c r="H335" s="103"/>
      <c r="I335" s="103"/>
      <c r="J335" s="103"/>
      <c r="K335" s="103"/>
      <c r="L335" s="103"/>
      <c r="M335" s="103"/>
      <c r="N335" s="103"/>
      <c r="O335" s="104"/>
      <c r="P335" s="105">
        <v>45170</v>
      </c>
      <c r="Q335" s="105">
        <v>45199</v>
      </c>
      <c r="R335" s="106"/>
      <c r="S335" s="107">
        <v>30</v>
      </c>
      <c r="T335" s="107">
        <v>0</v>
      </c>
      <c r="U335" s="107">
        <v>30</v>
      </c>
      <c r="V335" s="107">
        <v>0</v>
      </c>
      <c r="W335" s="108"/>
      <c r="X335" s="108"/>
      <c r="Y335" s="109"/>
      <c r="Z335" s="110">
        <v>0</v>
      </c>
      <c r="AA335" s="107"/>
      <c r="AB335" s="111"/>
      <c r="AC335" s="112"/>
      <c r="AD335" s="113">
        <v>0</v>
      </c>
      <c r="AE335" s="134">
        <v>0</v>
      </c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  <c r="CP335" s="115"/>
      <c r="CQ335" s="115"/>
      <c r="CR335" s="115"/>
      <c r="CS335" s="115"/>
      <c r="CT335" s="115"/>
      <c r="CU335" s="115"/>
      <c r="CV335" s="115"/>
      <c r="CW335" s="115"/>
      <c r="CX335" s="115"/>
      <c r="CY335" s="115"/>
      <c r="CZ335" s="115"/>
      <c r="DA335" s="115"/>
      <c r="DB335" s="115"/>
      <c r="DC335" s="115"/>
      <c r="DD335" s="115"/>
      <c r="DE335" s="115"/>
      <c r="DF335" s="115"/>
      <c r="DG335" s="115"/>
      <c r="DH335" s="115"/>
      <c r="DI335" s="115"/>
      <c r="DJ335" s="115"/>
      <c r="DK335" s="115"/>
      <c r="DL335" s="115"/>
      <c r="DM335" s="115"/>
      <c r="DN335" s="115"/>
      <c r="DO335" s="115" t="str">
        <f>"     " &amp; TEXT(AE335,"#0.00%") &amp; " "</f>
        <v xml:space="preserve">     0.00% </v>
      </c>
      <c r="DP335" s="115"/>
      <c r="DQ335" s="115"/>
      <c r="DR335" s="115"/>
      <c r="DS335" s="115"/>
      <c r="DT335" s="115" t="str">
        <f>"" &amp; "WMS Test" &amp; " " &amp; IF(P335="","",TEXT(P335,"M/D-")) &amp; IF(Q335="","",TEXT(Q335,"M/D")) &amp; " "</f>
        <v xml:space="preserve">WMS Test 9/1-9/30 </v>
      </c>
      <c r="DU335" s="115"/>
      <c r="DV335" s="115"/>
      <c r="DW335" s="115"/>
      <c r="DX335" s="115"/>
      <c r="DY335" s="115"/>
      <c r="DZ335" s="115"/>
      <c r="EA335" s="115"/>
      <c r="EB335" s="115"/>
      <c r="EC335" s="115"/>
      <c r="ED335" s="115"/>
      <c r="EE335" s="115"/>
      <c r="EF335" s="115"/>
      <c r="EG335" s="115"/>
      <c r="EH335" s="116"/>
    </row>
    <row r="336" spans="1:138" ht="12" customHeight="1" outlineLevel="1" x14ac:dyDescent="0.4">
      <c r="A336" s="101"/>
      <c r="B336" s="101" t="s">
        <v>325</v>
      </c>
      <c r="C336" s="101">
        <v>2</v>
      </c>
      <c r="D336" s="102" t="s">
        <v>743</v>
      </c>
      <c r="E336" s="103"/>
      <c r="F336" s="103" t="s">
        <v>353</v>
      </c>
      <c r="G336" s="136"/>
      <c r="H336" s="103"/>
      <c r="I336" s="103"/>
      <c r="J336" s="103"/>
      <c r="K336" s="103"/>
      <c r="L336" s="103"/>
      <c r="M336" s="103"/>
      <c r="N336" s="103"/>
      <c r="O336" s="104" t="s">
        <v>345</v>
      </c>
      <c r="P336" s="105">
        <v>45139</v>
      </c>
      <c r="Q336" s="105">
        <v>45199</v>
      </c>
      <c r="R336" s="106"/>
      <c r="S336" s="107">
        <v>61</v>
      </c>
      <c r="T336" s="107">
        <v>0</v>
      </c>
      <c r="U336" s="107">
        <v>61</v>
      </c>
      <c r="V336" s="107">
        <v>0</v>
      </c>
      <c r="W336" s="108"/>
      <c r="X336" s="108"/>
      <c r="Y336" s="109">
        <v>0</v>
      </c>
      <c r="Z336" s="110">
        <v>0</v>
      </c>
      <c r="AA336" s="107"/>
      <c r="AB336" s="111"/>
      <c r="AC336" s="112"/>
      <c r="AD336" s="113">
        <v>0</v>
      </c>
      <c r="AE336" s="137">
        <v>0</v>
      </c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5"/>
      <c r="CR336" s="115"/>
      <c r="CS336" s="115"/>
      <c r="CT336" s="115"/>
      <c r="CU336" s="115"/>
      <c r="CV336" s="115"/>
      <c r="CW336" s="115"/>
      <c r="CX336" s="115"/>
      <c r="CY336" s="115"/>
      <c r="CZ336" s="115"/>
      <c r="DA336" s="115"/>
      <c r="DB336" s="115"/>
      <c r="DC336" s="115"/>
      <c r="DD336" s="115"/>
      <c r="DE336" s="115"/>
      <c r="DF336" s="115"/>
      <c r="DG336" s="115"/>
      <c r="DH336" s="115"/>
      <c r="DI336" s="115"/>
      <c r="DJ336" s="115"/>
      <c r="DK336" s="115" t="str">
        <f>"  " &amp; TEXT(AE336,"#0.00%") &amp; " "</f>
        <v xml:space="preserve">  0.00% </v>
      </c>
      <c r="DL336" s="115"/>
      <c r="DM336" s="115"/>
      <c r="DN336" s="115"/>
      <c r="DO336" s="115"/>
      <c r="DP336" s="115"/>
      <c r="DQ336" s="115"/>
      <c r="DR336" s="115"/>
      <c r="DS336" s="115"/>
      <c r="DT336" s="115" t="str">
        <f>"" &amp; "외관검사기 물류" &amp; " " &amp; IF(P336="","",TEXT(P336,"M/D-")) &amp; IF(Q336="","",TEXT(Q336,"M/D")) &amp; " "</f>
        <v xml:space="preserve">외관검사기 물류 8/1-9/30 </v>
      </c>
      <c r="DU336" s="115"/>
      <c r="DV336" s="115"/>
      <c r="DW336" s="115"/>
      <c r="DX336" s="115"/>
      <c r="DY336" s="115"/>
      <c r="DZ336" s="115"/>
      <c r="EA336" s="115"/>
      <c r="EB336" s="115"/>
      <c r="EC336" s="115"/>
      <c r="ED336" s="115"/>
      <c r="EE336" s="115"/>
      <c r="EF336" s="115"/>
      <c r="EG336" s="115"/>
      <c r="EH336" s="116"/>
    </row>
    <row r="337" spans="1:138" ht="12" customHeight="1" outlineLevel="2" x14ac:dyDescent="0.4">
      <c r="A337" s="101"/>
      <c r="B337" s="101"/>
      <c r="C337" s="101">
        <v>3</v>
      </c>
      <c r="D337" s="102" t="s">
        <v>744</v>
      </c>
      <c r="E337" s="103"/>
      <c r="F337" s="103"/>
      <c r="G337" s="103" t="s">
        <v>737</v>
      </c>
      <c r="H337" s="136"/>
      <c r="I337" s="103"/>
      <c r="J337" s="103"/>
      <c r="K337" s="103"/>
      <c r="L337" s="103"/>
      <c r="M337" s="103"/>
      <c r="N337" s="103"/>
      <c r="O337" s="104"/>
      <c r="P337" s="105">
        <v>45139</v>
      </c>
      <c r="Q337" s="105">
        <v>45169</v>
      </c>
      <c r="R337" s="106"/>
      <c r="S337" s="107">
        <v>31</v>
      </c>
      <c r="T337" s="107">
        <v>0</v>
      </c>
      <c r="U337" s="107">
        <v>31</v>
      </c>
      <c r="V337" s="107">
        <v>0</v>
      </c>
      <c r="W337" s="108"/>
      <c r="X337" s="108"/>
      <c r="Y337" s="109"/>
      <c r="Z337" s="110">
        <v>0</v>
      </c>
      <c r="AA337" s="107"/>
      <c r="AB337" s="111"/>
      <c r="AC337" s="112"/>
      <c r="AD337" s="113">
        <v>0</v>
      </c>
      <c r="AE337" s="134">
        <v>0</v>
      </c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5"/>
      <c r="CT337" s="115"/>
      <c r="CU337" s="115"/>
      <c r="CV337" s="115"/>
      <c r="CW337" s="115"/>
      <c r="CX337" s="115"/>
      <c r="CY337" s="115"/>
      <c r="CZ337" s="115"/>
      <c r="DA337" s="115"/>
      <c r="DB337" s="115"/>
      <c r="DC337" s="115"/>
      <c r="DD337" s="115"/>
      <c r="DE337" s="115"/>
      <c r="DF337" s="115"/>
      <c r="DG337" s="115"/>
      <c r="DH337" s="115"/>
      <c r="DI337" s="115"/>
      <c r="DJ337" s="115"/>
      <c r="DK337" s="115" t="str">
        <f>"  " &amp; TEXT(AE337,"#0.00%") &amp; " "</f>
        <v xml:space="preserve">  0.00% </v>
      </c>
      <c r="DL337" s="115"/>
      <c r="DM337" s="115"/>
      <c r="DN337" s="115"/>
      <c r="DO337" s="115" t="str">
        <f>"     " &amp; "SCS Test" &amp; " " &amp; IF(P337="","",TEXT(P337,"M/D-")) &amp; IF(Q337="","",TEXT(Q337,"M/D")) &amp; " "</f>
        <v xml:space="preserve">     SCS Test 8/1-8/31 </v>
      </c>
      <c r="DP337" s="115"/>
      <c r="DQ337" s="115"/>
      <c r="DR337" s="115"/>
      <c r="DS337" s="115"/>
      <c r="DT337" s="115"/>
      <c r="DU337" s="115"/>
      <c r="DV337" s="115"/>
      <c r="DW337" s="115"/>
      <c r="DX337" s="115"/>
      <c r="DY337" s="115"/>
      <c r="DZ337" s="115"/>
      <c r="EA337" s="115"/>
      <c r="EB337" s="115"/>
      <c r="EC337" s="115"/>
      <c r="ED337" s="115"/>
      <c r="EE337" s="115"/>
      <c r="EF337" s="115"/>
      <c r="EG337" s="115"/>
      <c r="EH337" s="116"/>
    </row>
    <row r="338" spans="1:138" ht="12" customHeight="1" outlineLevel="2" x14ac:dyDescent="0.4">
      <c r="A338" s="101"/>
      <c r="B338" s="101"/>
      <c r="C338" s="101">
        <v>3</v>
      </c>
      <c r="D338" s="102" t="s">
        <v>745</v>
      </c>
      <c r="E338" s="103"/>
      <c r="F338" s="103"/>
      <c r="G338" s="103" t="s">
        <v>739</v>
      </c>
      <c r="H338" s="103"/>
      <c r="I338" s="103"/>
      <c r="J338" s="103"/>
      <c r="K338" s="103"/>
      <c r="L338" s="103"/>
      <c r="M338" s="103"/>
      <c r="N338" s="103"/>
      <c r="O338" s="104"/>
      <c r="P338" s="105">
        <v>45170</v>
      </c>
      <c r="Q338" s="105">
        <v>45199</v>
      </c>
      <c r="R338" s="106"/>
      <c r="S338" s="107">
        <v>30</v>
      </c>
      <c r="T338" s="107">
        <v>0</v>
      </c>
      <c r="U338" s="107">
        <v>30</v>
      </c>
      <c r="V338" s="107">
        <v>0</v>
      </c>
      <c r="W338" s="108"/>
      <c r="X338" s="108"/>
      <c r="Y338" s="109"/>
      <c r="Z338" s="110">
        <v>0</v>
      </c>
      <c r="AA338" s="107"/>
      <c r="AB338" s="111"/>
      <c r="AC338" s="112"/>
      <c r="AD338" s="113">
        <v>0</v>
      </c>
      <c r="AE338" s="134">
        <v>0</v>
      </c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15"/>
      <c r="CU338" s="115"/>
      <c r="CV338" s="115"/>
      <c r="CW338" s="115"/>
      <c r="CX338" s="115"/>
      <c r="CY338" s="115"/>
      <c r="CZ338" s="115"/>
      <c r="DA338" s="115"/>
      <c r="DB338" s="115"/>
      <c r="DC338" s="115"/>
      <c r="DD338" s="115"/>
      <c r="DE338" s="115"/>
      <c r="DF338" s="115"/>
      <c r="DG338" s="115"/>
      <c r="DH338" s="115"/>
      <c r="DI338" s="115"/>
      <c r="DJ338" s="115"/>
      <c r="DK338" s="115"/>
      <c r="DL338" s="115"/>
      <c r="DM338" s="115"/>
      <c r="DN338" s="115"/>
      <c r="DO338" s="115" t="str">
        <f>"     " &amp; TEXT(AE338,"#0.00%") &amp; " "</f>
        <v xml:space="preserve">     0.00% </v>
      </c>
      <c r="DP338" s="115"/>
      <c r="DQ338" s="115"/>
      <c r="DR338" s="115"/>
      <c r="DS338" s="115"/>
      <c r="DT338" s="115" t="str">
        <f>"" &amp; "WMS Test" &amp; " " &amp; IF(P338="","",TEXT(P338,"M/D-")) &amp; IF(Q338="","",TEXT(Q338,"M/D")) &amp; " "</f>
        <v xml:space="preserve">WMS Test 9/1-9/30 </v>
      </c>
      <c r="DU338" s="115"/>
      <c r="DV338" s="115"/>
      <c r="DW338" s="115"/>
      <c r="DX338" s="115"/>
      <c r="DY338" s="115"/>
      <c r="DZ338" s="115"/>
      <c r="EA338" s="115"/>
      <c r="EB338" s="115"/>
      <c r="EC338" s="115"/>
      <c r="ED338" s="115"/>
      <c r="EE338" s="115"/>
      <c r="EF338" s="115"/>
      <c r="EG338" s="115"/>
      <c r="EH338" s="116"/>
    </row>
    <row r="339" spans="1:138" ht="12" customHeight="1" outlineLevel="1" x14ac:dyDescent="0.4">
      <c r="A339" s="101"/>
      <c r="B339" s="101" t="s">
        <v>325</v>
      </c>
      <c r="C339" s="101">
        <v>2</v>
      </c>
      <c r="D339" s="102" t="s">
        <v>746</v>
      </c>
      <c r="E339" s="103"/>
      <c r="F339" s="103" t="s">
        <v>361</v>
      </c>
      <c r="G339" s="103"/>
      <c r="H339" s="103"/>
      <c r="I339" s="103"/>
      <c r="J339" s="103"/>
      <c r="K339" s="103"/>
      <c r="L339" s="103"/>
      <c r="M339" s="103"/>
      <c r="N339" s="103"/>
      <c r="O339" s="104" t="s">
        <v>345</v>
      </c>
      <c r="P339" s="105">
        <v>45154</v>
      </c>
      <c r="Q339" s="105">
        <v>45199</v>
      </c>
      <c r="R339" s="106"/>
      <c r="S339" s="107">
        <v>46</v>
      </c>
      <c r="T339" s="107">
        <v>0</v>
      </c>
      <c r="U339" s="107">
        <v>46</v>
      </c>
      <c r="V339" s="107">
        <v>0</v>
      </c>
      <c r="W339" s="108"/>
      <c r="X339" s="108"/>
      <c r="Y339" s="109">
        <v>0</v>
      </c>
      <c r="Z339" s="110">
        <v>0</v>
      </c>
      <c r="AA339" s="107"/>
      <c r="AB339" s="111"/>
      <c r="AC339" s="112"/>
      <c r="AD339" s="113">
        <v>0</v>
      </c>
      <c r="AE339" s="137">
        <v>0</v>
      </c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5"/>
      <c r="CT339" s="115"/>
      <c r="CU339" s="115"/>
      <c r="CV339" s="115"/>
      <c r="CW339" s="115"/>
      <c r="CX339" s="115"/>
      <c r="CY339" s="115"/>
      <c r="CZ339" s="115"/>
      <c r="DA339" s="115"/>
      <c r="DB339" s="115"/>
      <c r="DC339" s="115"/>
      <c r="DD339" s="115"/>
      <c r="DE339" s="115"/>
      <c r="DF339" s="115"/>
      <c r="DG339" s="115"/>
      <c r="DH339" s="115"/>
      <c r="DI339" s="115"/>
      <c r="DJ339" s="115"/>
      <c r="DK339" s="115"/>
      <c r="DL339" s="115"/>
      <c r="DM339" s="115" t="str">
        <f>"   " &amp; TEXT(AE339,"#0.00%") &amp; " "</f>
        <v xml:space="preserve">   0.00% </v>
      </c>
      <c r="DN339" s="115"/>
      <c r="DO339" s="115"/>
      <c r="DP339" s="115"/>
      <c r="DQ339" s="115"/>
      <c r="DR339" s="115"/>
      <c r="DS339" s="115"/>
      <c r="DT339" s="115" t="str">
        <f>"" &amp; "OHT" &amp; " " &amp; IF(P339="","",TEXT(P339,"M/D-")) &amp; IF(Q339="","",TEXT(Q339,"M/D")) &amp; " "</f>
        <v xml:space="preserve">OHT 8/16-9/30 </v>
      </c>
      <c r="DU339" s="115"/>
      <c r="DV339" s="115"/>
      <c r="DW339" s="115"/>
      <c r="DX339" s="115"/>
      <c r="DY339" s="115"/>
      <c r="DZ339" s="115"/>
      <c r="EA339" s="115"/>
      <c r="EB339" s="115"/>
      <c r="EC339" s="115"/>
      <c r="ED339" s="115"/>
      <c r="EE339" s="115"/>
      <c r="EF339" s="115"/>
      <c r="EG339" s="115"/>
      <c r="EH339" s="116"/>
    </row>
    <row r="340" spans="1:138" ht="12" customHeight="1" outlineLevel="2" x14ac:dyDescent="0.4">
      <c r="A340" s="101"/>
      <c r="B340" s="101"/>
      <c r="C340" s="101">
        <v>3</v>
      </c>
      <c r="D340" s="102" t="s">
        <v>747</v>
      </c>
      <c r="E340" s="103"/>
      <c r="F340" s="103"/>
      <c r="G340" s="103" t="s">
        <v>748</v>
      </c>
      <c r="H340" s="103"/>
      <c r="I340" s="103"/>
      <c r="J340" s="103"/>
      <c r="K340" s="103"/>
      <c r="L340" s="103"/>
      <c r="M340" s="103"/>
      <c r="N340" s="103"/>
      <c r="O340" s="104"/>
      <c r="P340" s="105">
        <v>45154</v>
      </c>
      <c r="Q340" s="105">
        <v>45169</v>
      </c>
      <c r="R340" s="106"/>
      <c r="S340" s="107">
        <v>16</v>
      </c>
      <c r="T340" s="107">
        <v>0</v>
      </c>
      <c r="U340" s="107">
        <v>16</v>
      </c>
      <c r="V340" s="107">
        <v>0</v>
      </c>
      <c r="W340" s="108"/>
      <c r="X340" s="108"/>
      <c r="Y340" s="109"/>
      <c r="Z340" s="110">
        <v>0</v>
      </c>
      <c r="AA340" s="107"/>
      <c r="AB340" s="111"/>
      <c r="AC340" s="112"/>
      <c r="AD340" s="113">
        <v>0</v>
      </c>
      <c r="AE340" s="134">
        <v>0</v>
      </c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15"/>
      <c r="CU340" s="115"/>
      <c r="CV340" s="115"/>
      <c r="CW340" s="115"/>
      <c r="CX340" s="115"/>
      <c r="CY340" s="115"/>
      <c r="CZ340" s="115"/>
      <c r="DA340" s="115"/>
      <c r="DB340" s="115"/>
      <c r="DC340" s="115"/>
      <c r="DD340" s="115"/>
      <c r="DE340" s="115"/>
      <c r="DF340" s="115"/>
      <c r="DG340" s="115"/>
      <c r="DH340" s="115"/>
      <c r="DI340" s="115"/>
      <c r="DJ340" s="115"/>
      <c r="DK340" s="115"/>
      <c r="DL340" s="115"/>
      <c r="DM340" s="115" t="str">
        <f>"   " &amp; TEXT(AE340,"#0.00%") &amp; " " &amp; "OCS Test" &amp; " " &amp; IF(P340="","",TEXT(P340,"M/D-")) &amp; IF(Q340="","",TEXT(Q340,"M/D")) &amp; " "</f>
        <v xml:space="preserve">   0.00% OCS Test 8/16-8/31 </v>
      </c>
      <c r="DN340" s="115"/>
      <c r="DO340" s="115"/>
      <c r="DP340" s="115"/>
      <c r="DQ340" s="115"/>
      <c r="DR340" s="115"/>
      <c r="DS340" s="115"/>
      <c r="DT340" s="115"/>
      <c r="DU340" s="115"/>
      <c r="DV340" s="115"/>
      <c r="DW340" s="115"/>
      <c r="DX340" s="115"/>
      <c r="DY340" s="115"/>
      <c r="DZ340" s="115"/>
      <c r="EA340" s="115"/>
      <c r="EB340" s="115"/>
      <c r="EC340" s="115"/>
      <c r="ED340" s="115"/>
      <c r="EE340" s="115"/>
      <c r="EF340" s="115"/>
      <c r="EG340" s="115"/>
      <c r="EH340" s="116"/>
    </row>
    <row r="341" spans="1:138" ht="12" customHeight="1" outlineLevel="2" x14ac:dyDescent="0.4">
      <c r="A341" s="101"/>
      <c r="B341" s="101"/>
      <c r="C341" s="101">
        <v>3</v>
      </c>
      <c r="D341" s="102" t="s">
        <v>749</v>
      </c>
      <c r="E341" s="103"/>
      <c r="F341" s="103"/>
      <c r="G341" s="103" t="s">
        <v>739</v>
      </c>
      <c r="H341" s="136"/>
      <c r="I341" s="103"/>
      <c r="J341" s="103"/>
      <c r="K341" s="103"/>
      <c r="L341" s="103"/>
      <c r="M341" s="103"/>
      <c r="N341" s="103"/>
      <c r="O341" s="104"/>
      <c r="P341" s="105">
        <v>45170</v>
      </c>
      <c r="Q341" s="105">
        <v>45199</v>
      </c>
      <c r="R341" s="106"/>
      <c r="S341" s="107">
        <v>30</v>
      </c>
      <c r="T341" s="107">
        <v>0</v>
      </c>
      <c r="U341" s="107">
        <v>30</v>
      </c>
      <c r="V341" s="107">
        <v>0</v>
      </c>
      <c r="W341" s="108"/>
      <c r="X341" s="108"/>
      <c r="Y341" s="109"/>
      <c r="Z341" s="110">
        <v>0</v>
      </c>
      <c r="AA341" s="107"/>
      <c r="AB341" s="111"/>
      <c r="AC341" s="112"/>
      <c r="AD341" s="113">
        <v>0</v>
      </c>
      <c r="AE341" s="134">
        <v>0</v>
      </c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5"/>
      <c r="CR341" s="115"/>
      <c r="CS341" s="115"/>
      <c r="CT341" s="115"/>
      <c r="CU341" s="115"/>
      <c r="CV341" s="115"/>
      <c r="CW341" s="115"/>
      <c r="CX341" s="115"/>
      <c r="CY341" s="115"/>
      <c r="CZ341" s="115"/>
      <c r="DA341" s="115"/>
      <c r="DB341" s="115"/>
      <c r="DC341" s="115"/>
      <c r="DD341" s="115"/>
      <c r="DE341" s="115"/>
      <c r="DF341" s="115"/>
      <c r="DG341" s="115"/>
      <c r="DH341" s="115"/>
      <c r="DI341" s="115"/>
      <c r="DJ341" s="115"/>
      <c r="DK341" s="115"/>
      <c r="DL341" s="115"/>
      <c r="DM341" s="115"/>
      <c r="DN341" s="115"/>
      <c r="DO341" s="115" t="str">
        <f>"     " &amp; TEXT(AE341,"#0.00%") &amp; " "</f>
        <v xml:space="preserve">     0.00% </v>
      </c>
      <c r="DP341" s="115"/>
      <c r="DQ341" s="115"/>
      <c r="DR341" s="115"/>
      <c r="DS341" s="115"/>
      <c r="DT341" s="115" t="str">
        <f>"" &amp; "WMS Test" &amp; " " &amp; IF(P341="","",TEXT(P341,"M/D-")) &amp; IF(Q341="","",TEXT(Q341,"M/D")) &amp; " "</f>
        <v xml:space="preserve">WMS Test 9/1-9/30 </v>
      </c>
      <c r="DU341" s="115"/>
      <c r="DV341" s="115"/>
      <c r="DW341" s="115"/>
      <c r="DX341" s="115"/>
      <c r="DY341" s="115"/>
      <c r="DZ341" s="115"/>
      <c r="EA341" s="115"/>
      <c r="EB341" s="115"/>
      <c r="EC341" s="115"/>
      <c r="ED341" s="115"/>
      <c r="EE341" s="115"/>
      <c r="EF341" s="115"/>
      <c r="EG341" s="115"/>
      <c r="EH341" s="116"/>
    </row>
    <row r="342" spans="1:138" ht="12" customHeight="1" outlineLevel="1" x14ac:dyDescent="0.4">
      <c r="A342" s="101"/>
      <c r="B342" s="101" t="s">
        <v>325</v>
      </c>
      <c r="C342" s="101">
        <v>2</v>
      </c>
      <c r="D342" s="102" t="s">
        <v>750</v>
      </c>
      <c r="E342" s="103"/>
      <c r="F342" s="103" t="s">
        <v>372</v>
      </c>
      <c r="G342" s="103"/>
      <c r="H342" s="103"/>
      <c r="I342" s="103"/>
      <c r="J342" s="103"/>
      <c r="K342" s="103"/>
      <c r="L342" s="103"/>
      <c r="M342" s="103"/>
      <c r="N342" s="103"/>
      <c r="O342" s="104" t="s">
        <v>345</v>
      </c>
      <c r="P342" s="105">
        <v>45154</v>
      </c>
      <c r="Q342" s="105">
        <v>45199</v>
      </c>
      <c r="R342" s="106"/>
      <c r="S342" s="107">
        <v>45</v>
      </c>
      <c r="T342" s="107">
        <v>0</v>
      </c>
      <c r="U342" s="107">
        <v>46</v>
      </c>
      <c r="V342" s="107">
        <v>0</v>
      </c>
      <c r="W342" s="108"/>
      <c r="X342" s="108"/>
      <c r="Y342" s="109">
        <v>0</v>
      </c>
      <c r="Z342" s="110">
        <v>0</v>
      </c>
      <c r="AA342" s="107"/>
      <c r="AB342" s="111"/>
      <c r="AC342" s="112"/>
      <c r="AD342" s="113">
        <v>0</v>
      </c>
      <c r="AE342" s="137">
        <v>0</v>
      </c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5"/>
      <c r="CR342" s="115"/>
      <c r="CS342" s="115"/>
      <c r="CT342" s="115"/>
      <c r="CU342" s="115"/>
      <c r="CV342" s="115"/>
      <c r="CW342" s="115"/>
      <c r="CX342" s="115"/>
      <c r="CY342" s="115"/>
      <c r="CZ342" s="115"/>
      <c r="DA342" s="115"/>
      <c r="DB342" s="115"/>
      <c r="DC342" s="115"/>
      <c r="DD342" s="115"/>
      <c r="DE342" s="115"/>
      <c r="DF342" s="115"/>
      <c r="DG342" s="115"/>
      <c r="DH342" s="115"/>
      <c r="DI342" s="115"/>
      <c r="DJ342" s="115"/>
      <c r="DK342" s="115"/>
      <c r="DL342" s="115"/>
      <c r="DM342" s="115" t="str">
        <f>"   " &amp; TEXT(AE342,"#0.00%") &amp; " "</f>
        <v xml:space="preserve">   0.00% </v>
      </c>
      <c r="DN342" s="115"/>
      <c r="DO342" s="115"/>
      <c r="DP342" s="115"/>
      <c r="DQ342" s="115"/>
      <c r="DR342" s="115"/>
      <c r="DS342" s="115"/>
      <c r="DT342" s="115" t="str">
        <f>"" &amp; "CCS 물류" &amp; " " &amp; IF(P342="","",TEXT(P342,"M/D-")) &amp; IF(Q342="","",TEXT(Q342,"M/D")) &amp; " "</f>
        <v xml:space="preserve">CCS 물류 8/16-9/30 </v>
      </c>
      <c r="DU342" s="115"/>
      <c r="DV342" s="115"/>
      <c r="DW342" s="115"/>
      <c r="DX342" s="115"/>
      <c r="DY342" s="115"/>
      <c r="DZ342" s="115"/>
      <c r="EA342" s="115"/>
      <c r="EB342" s="115"/>
      <c r="EC342" s="115"/>
      <c r="ED342" s="115"/>
      <c r="EE342" s="115"/>
      <c r="EF342" s="115"/>
      <c r="EG342" s="115"/>
      <c r="EH342" s="116"/>
    </row>
    <row r="343" spans="1:138" ht="12" customHeight="1" outlineLevel="2" x14ac:dyDescent="0.4">
      <c r="A343" s="101"/>
      <c r="B343" s="101"/>
      <c r="C343" s="101">
        <v>3</v>
      </c>
      <c r="D343" s="102" t="s">
        <v>751</v>
      </c>
      <c r="E343" s="103"/>
      <c r="F343" s="103"/>
      <c r="G343" s="103" t="s">
        <v>737</v>
      </c>
      <c r="H343" s="103"/>
      <c r="I343" s="103"/>
      <c r="J343" s="103"/>
      <c r="K343" s="103"/>
      <c r="L343" s="103"/>
      <c r="M343" s="103"/>
      <c r="N343" s="103"/>
      <c r="O343" s="104"/>
      <c r="P343" s="105">
        <v>45154</v>
      </c>
      <c r="Q343" s="105">
        <v>45168</v>
      </c>
      <c r="R343" s="106"/>
      <c r="S343" s="107">
        <v>15</v>
      </c>
      <c r="T343" s="107">
        <v>0</v>
      </c>
      <c r="U343" s="107">
        <v>15</v>
      </c>
      <c r="V343" s="107">
        <v>0</v>
      </c>
      <c r="W343" s="108"/>
      <c r="X343" s="108"/>
      <c r="Y343" s="109"/>
      <c r="Z343" s="110">
        <v>0</v>
      </c>
      <c r="AA343" s="107"/>
      <c r="AB343" s="111"/>
      <c r="AC343" s="112"/>
      <c r="AD343" s="113">
        <v>0</v>
      </c>
      <c r="AE343" s="134">
        <v>0</v>
      </c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5"/>
      <c r="CR343" s="115"/>
      <c r="CS343" s="115"/>
      <c r="CT343" s="115"/>
      <c r="CU343" s="115"/>
      <c r="CV343" s="115"/>
      <c r="CW343" s="115"/>
      <c r="CX343" s="115"/>
      <c r="CY343" s="115"/>
      <c r="CZ343" s="115"/>
      <c r="DA343" s="115"/>
      <c r="DB343" s="115"/>
      <c r="DC343" s="115"/>
      <c r="DD343" s="115"/>
      <c r="DE343" s="115"/>
      <c r="DF343" s="115"/>
      <c r="DG343" s="115"/>
      <c r="DH343" s="115"/>
      <c r="DI343" s="115"/>
      <c r="DJ343" s="115"/>
      <c r="DK343" s="115"/>
      <c r="DL343" s="115"/>
      <c r="DM343" s="115" t="str">
        <f>"   " &amp; TEXT(AE343,"#0.00%") &amp; " " &amp; "SCS Test" &amp; " " &amp; IF(P343="","",TEXT(P343,"M/D-")) &amp; IF(Q343="","",TEXT(Q343,"M/D")) &amp; " "</f>
        <v xml:space="preserve">   0.00% SCS Test 8/16-8/30 </v>
      </c>
      <c r="DN343" s="115"/>
      <c r="DO343" s="115"/>
      <c r="DP343" s="115"/>
      <c r="DQ343" s="115"/>
      <c r="DR343" s="115"/>
      <c r="DS343" s="115"/>
      <c r="DT343" s="115"/>
      <c r="DU343" s="115"/>
      <c r="DV343" s="115"/>
      <c r="DW343" s="115"/>
      <c r="DX343" s="115"/>
      <c r="DY343" s="115"/>
      <c r="DZ343" s="115"/>
      <c r="EA343" s="115"/>
      <c r="EB343" s="115"/>
      <c r="EC343" s="115"/>
      <c r="ED343" s="115"/>
      <c r="EE343" s="115"/>
      <c r="EF343" s="115"/>
      <c r="EG343" s="115"/>
      <c r="EH343" s="116"/>
    </row>
    <row r="344" spans="1:138" ht="12" customHeight="1" outlineLevel="2" x14ac:dyDescent="0.4">
      <c r="A344" s="101"/>
      <c r="B344" s="101"/>
      <c r="C344" s="101">
        <v>3</v>
      </c>
      <c r="D344" s="102" t="s">
        <v>752</v>
      </c>
      <c r="E344" s="103"/>
      <c r="F344" s="103"/>
      <c r="G344" s="103" t="s">
        <v>739</v>
      </c>
      <c r="H344" s="103"/>
      <c r="I344" s="103"/>
      <c r="J344" s="103"/>
      <c r="K344" s="103"/>
      <c r="L344" s="103"/>
      <c r="M344" s="103"/>
      <c r="N344" s="103"/>
      <c r="O344" s="104"/>
      <c r="P344" s="105">
        <v>45170</v>
      </c>
      <c r="Q344" s="105">
        <v>45199</v>
      </c>
      <c r="R344" s="106"/>
      <c r="S344" s="107">
        <v>30</v>
      </c>
      <c r="T344" s="107">
        <v>0</v>
      </c>
      <c r="U344" s="107">
        <v>30</v>
      </c>
      <c r="V344" s="107">
        <v>0</v>
      </c>
      <c r="W344" s="108"/>
      <c r="X344" s="108"/>
      <c r="Y344" s="109"/>
      <c r="Z344" s="110">
        <v>0</v>
      </c>
      <c r="AA344" s="107"/>
      <c r="AB344" s="111"/>
      <c r="AC344" s="112"/>
      <c r="AD344" s="113">
        <v>0</v>
      </c>
      <c r="AE344" s="134">
        <v>0</v>
      </c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5"/>
      <c r="CR344" s="115"/>
      <c r="CS344" s="115"/>
      <c r="CT344" s="115"/>
      <c r="CU344" s="115"/>
      <c r="CV344" s="115"/>
      <c r="CW344" s="115"/>
      <c r="CX344" s="115"/>
      <c r="CY344" s="115"/>
      <c r="CZ344" s="115"/>
      <c r="DA344" s="115"/>
      <c r="DB344" s="115"/>
      <c r="DC344" s="115"/>
      <c r="DD344" s="115"/>
      <c r="DE344" s="115"/>
      <c r="DF344" s="115"/>
      <c r="DG344" s="115"/>
      <c r="DH344" s="115"/>
      <c r="DI344" s="115"/>
      <c r="DJ344" s="115"/>
      <c r="DK344" s="115"/>
      <c r="DL344" s="115"/>
      <c r="DM344" s="115"/>
      <c r="DN344" s="115"/>
      <c r="DO344" s="115" t="str">
        <f>"     " &amp; TEXT(AE344,"#0.00%") &amp; " "</f>
        <v xml:space="preserve">     0.00% </v>
      </c>
      <c r="DP344" s="115"/>
      <c r="DQ344" s="115"/>
      <c r="DR344" s="115"/>
      <c r="DS344" s="115"/>
      <c r="DT344" s="115" t="str">
        <f>"" &amp; "WMS Test" &amp; " " &amp; IF(P344="","",TEXT(P344,"M/D-")) &amp; IF(Q344="","",TEXT(Q344,"M/D")) &amp; " "</f>
        <v xml:space="preserve">WMS Test 9/1-9/30 </v>
      </c>
      <c r="DU344" s="115"/>
      <c r="DV344" s="115"/>
      <c r="DW344" s="115"/>
      <c r="DX344" s="115"/>
      <c r="DY344" s="115"/>
      <c r="DZ344" s="115"/>
      <c r="EA344" s="115"/>
      <c r="EB344" s="115"/>
      <c r="EC344" s="115"/>
      <c r="ED344" s="115"/>
      <c r="EE344" s="115"/>
      <c r="EF344" s="115"/>
      <c r="EG344" s="115"/>
      <c r="EH344" s="116"/>
    </row>
    <row r="345" spans="1:138" ht="12" customHeight="1" outlineLevel="1" x14ac:dyDescent="0.4">
      <c r="A345" s="101"/>
      <c r="B345" s="101" t="s">
        <v>325</v>
      </c>
      <c r="C345" s="101">
        <v>2</v>
      </c>
      <c r="D345" s="102" t="s">
        <v>753</v>
      </c>
      <c r="E345" s="103"/>
      <c r="F345" s="103" t="s">
        <v>380</v>
      </c>
      <c r="G345" s="103"/>
      <c r="H345" s="146"/>
      <c r="I345" s="103"/>
      <c r="J345" s="103"/>
      <c r="K345" s="103"/>
      <c r="L345" s="103"/>
      <c r="M345" s="103"/>
      <c r="N345" s="103"/>
      <c r="O345" s="104" t="s">
        <v>330</v>
      </c>
      <c r="P345" s="105">
        <v>45114</v>
      </c>
      <c r="Q345" s="105">
        <v>45214</v>
      </c>
      <c r="R345" s="106"/>
      <c r="S345" s="107">
        <v>101</v>
      </c>
      <c r="T345" s="107">
        <v>0</v>
      </c>
      <c r="U345" s="107">
        <v>101</v>
      </c>
      <c r="V345" s="107">
        <v>0</v>
      </c>
      <c r="W345" s="108"/>
      <c r="X345" s="108"/>
      <c r="Y345" s="109">
        <v>0</v>
      </c>
      <c r="Z345" s="110">
        <v>0</v>
      </c>
      <c r="AA345" s="107"/>
      <c r="AB345" s="111"/>
      <c r="AC345" s="112"/>
      <c r="AD345" s="113">
        <v>0</v>
      </c>
      <c r="AE345" s="137">
        <v>0</v>
      </c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5"/>
      <c r="CR345" s="115"/>
      <c r="CS345" s="115"/>
      <c r="CT345" s="115"/>
      <c r="CU345" s="115"/>
      <c r="CV345" s="115"/>
      <c r="CW345" s="115"/>
      <c r="CX345" s="115"/>
      <c r="CY345" s="115"/>
      <c r="CZ345" s="115"/>
      <c r="DA345" s="115"/>
      <c r="DB345" s="115"/>
      <c r="DC345" s="115"/>
      <c r="DD345" s="115"/>
      <c r="DE345" s="115"/>
      <c r="DF345" s="115"/>
      <c r="DG345" s="115" t="str">
        <f>"     " &amp; TEXT(AE345,"#0.00%") &amp; " "</f>
        <v xml:space="preserve">     0.00% </v>
      </c>
      <c r="DH345" s="115"/>
      <c r="DI345" s="115"/>
      <c r="DJ345" s="115"/>
      <c r="DK345" s="115"/>
      <c r="DL345" s="115"/>
      <c r="DM345" s="115"/>
      <c r="DN345" s="115"/>
      <c r="DO345" s="115"/>
      <c r="DP345" s="115"/>
      <c r="DQ345" s="115"/>
      <c r="DR345" s="115"/>
      <c r="DS345" s="115"/>
      <c r="DT345" s="115"/>
      <c r="DU345" s="115"/>
      <c r="DV345" s="115" t="str">
        <f>" " &amp; "OVEN &amp; OVEN STK" &amp; " " &amp; IF(P345="","",TEXT(P345,"M/D-")) &amp; IF(Q345="","",TEXT(Q345,"M/D")) &amp; " "</f>
        <v xml:space="preserve"> OVEN &amp; OVEN STK 7/7-10/15 </v>
      </c>
      <c r="DW345" s="115"/>
      <c r="DX345" s="115"/>
      <c r="DY345" s="115"/>
      <c r="DZ345" s="115"/>
      <c r="EA345" s="115"/>
      <c r="EB345" s="115"/>
      <c r="EC345" s="115"/>
      <c r="ED345" s="115"/>
      <c r="EE345" s="115"/>
      <c r="EF345" s="115"/>
      <c r="EG345" s="115"/>
      <c r="EH345" s="116"/>
    </row>
    <row r="346" spans="1:138" ht="12" customHeight="1" outlineLevel="2" x14ac:dyDescent="0.4">
      <c r="A346" s="101"/>
      <c r="B346" s="101"/>
      <c r="C346" s="101">
        <v>3</v>
      </c>
      <c r="D346" s="102" t="s">
        <v>754</v>
      </c>
      <c r="E346" s="103"/>
      <c r="F346" s="103"/>
      <c r="G346" s="103" t="s">
        <v>737</v>
      </c>
      <c r="H346" s="103"/>
      <c r="I346" s="103"/>
      <c r="J346" s="103"/>
      <c r="K346" s="103"/>
      <c r="L346" s="103"/>
      <c r="M346" s="103"/>
      <c r="N346" s="103"/>
      <c r="O346" s="104"/>
      <c r="P346" s="105">
        <v>45114</v>
      </c>
      <c r="Q346" s="105">
        <v>45153</v>
      </c>
      <c r="R346" s="106"/>
      <c r="S346" s="107">
        <v>40</v>
      </c>
      <c r="T346" s="107">
        <v>0</v>
      </c>
      <c r="U346" s="107">
        <v>40</v>
      </c>
      <c r="V346" s="107">
        <v>0</v>
      </c>
      <c r="W346" s="108"/>
      <c r="X346" s="108"/>
      <c r="Y346" s="109"/>
      <c r="Z346" s="110">
        <v>0</v>
      </c>
      <c r="AA346" s="107"/>
      <c r="AB346" s="111"/>
      <c r="AC346" s="112"/>
      <c r="AD346" s="113">
        <v>0</v>
      </c>
      <c r="AE346" s="134">
        <v>0</v>
      </c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5"/>
      <c r="CR346" s="115"/>
      <c r="CS346" s="115"/>
      <c r="CT346" s="115"/>
      <c r="CU346" s="115"/>
      <c r="CV346" s="115"/>
      <c r="CW346" s="115"/>
      <c r="CX346" s="115"/>
      <c r="CY346" s="115"/>
      <c r="CZ346" s="115"/>
      <c r="DA346" s="115"/>
      <c r="DB346" s="115"/>
      <c r="DC346" s="115"/>
      <c r="DD346" s="115"/>
      <c r="DE346" s="115"/>
      <c r="DF346" s="115"/>
      <c r="DG346" s="115" t="str">
        <f>"     " &amp; TEXT(AE346,"#0.00%") &amp; " "</f>
        <v xml:space="preserve">     0.00% </v>
      </c>
      <c r="DH346" s="115"/>
      <c r="DI346" s="115"/>
      <c r="DJ346" s="115"/>
      <c r="DK346" s="115"/>
      <c r="DL346" s="115"/>
      <c r="DM346" s="115" t="str">
        <f>"   " &amp; "SCS Test" &amp; " " &amp; IF(P346="","",TEXT(P346,"M/D-")) &amp; IF(Q346="","",TEXT(Q346,"M/D")) &amp; " "</f>
        <v xml:space="preserve">   SCS Test 7/7-8/15 </v>
      </c>
      <c r="DN346" s="115"/>
      <c r="DO346" s="115"/>
      <c r="DP346" s="115"/>
      <c r="DQ346" s="115"/>
      <c r="DR346" s="115"/>
      <c r="DS346" s="115"/>
      <c r="DT346" s="115"/>
      <c r="DU346" s="115"/>
      <c r="DV346" s="115"/>
      <c r="DW346" s="115"/>
      <c r="DX346" s="115"/>
      <c r="DY346" s="115"/>
      <c r="DZ346" s="115"/>
      <c r="EA346" s="115"/>
      <c r="EB346" s="115"/>
      <c r="EC346" s="115"/>
      <c r="ED346" s="115"/>
      <c r="EE346" s="115"/>
      <c r="EF346" s="115"/>
      <c r="EG346" s="115"/>
      <c r="EH346" s="116"/>
    </row>
    <row r="347" spans="1:138" ht="12" customHeight="1" outlineLevel="2" x14ac:dyDescent="0.4">
      <c r="A347" s="101"/>
      <c r="B347" s="101"/>
      <c r="C347" s="101">
        <v>3</v>
      </c>
      <c r="D347" s="102" t="s">
        <v>755</v>
      </c>
      <c r="E347" s="103"/>
      <c r="F347" s="103"/>
      <c r="G347" s="103" t="s">
        <v>739</v>
      </c>
      <c r="H347" s="103"/>
      <c r="I347" s="103"/>
      <c r="J347" s="103"/>
      <c r="K347" s="103"/>
      <c r="L347" s="103"/>
      <c r="M347" s="103"/>
      <c r="N347" s="103"/>
      <c r="O347" s="104"/>
      <c r="P347" s="105">
        <v>45154</v>
      </c>
      <c r="Q347" s="105">
        <v>45214</v>
      </c>
      <c r="R347" s="106"/>
      <c r="S347" s="107">
        <v>61</v>
      </c>
      <c r="T347" s="107">
        <v>0</v>
      </c>
      <c r="U347" s="107">
        <v>61</v>
      </c>
      <c r="V347" s="107">
        <v>0</v>
      </c>
      <c r="W347" s="108"/>
      <c r="X347" s="108"/>
      <c r="Y347" s="109"/>
      <c r="Z347" s="110">
        <v>0</v>
      </c>
      <c r="AA347" s="107"/>
      <c r="AB347" s="111"/>
      <c r="AC347" s="112"/>
      <c r="AD347" s="113">
        <v>0</v>
      </c>
      <c r="AE347" s="134">
        <v>0</v>
      </c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5"/>
      <c r="CR347" s="115"/>
      <c r="CS347" s="115"/>
      <c r="CT347" s="115"/>
      <c r="CU347" s="115"/>
      <c r="CV347" s="115"/>
      <c r="CW347" s="115"/>
      <c r="CX347" s="115"/>
      <c r="CY347" s="115"/>
      <c r="CZ347" s="115"/>
      <c r="DA347" s="115"/>
      <c r="DB347" s="115"/>
      <c r="DC347" s="115"/>
      <c r="DD347" s="115"/>
      <c r="DE347" s="115"/>
      <c r="DF347" s="115"/>
      <c r="DG347" s="115"/>
      <c r="DH347" s="115"/>
      <c r="DI347" s="115"/>
      <c r="DJ347" s="115"/>
      <c r="DK347" s="115"/>
      <c r="DL347" s="115"/>
      <c r="DM347" s="115" t="str">
        <f>"   " &amp; TEXT(AE347,"#0.00%") &amp; " "</f>
        <v xml:space="preserve">   0.00% </v>
      </c>
      <c r="DN347" s="115"/>
      <c r="DO347" s="115"/>
      <c r="DP347" s="115"/>
      <c r="DQ347" s="115"/>
      <c r="DR347" s="115"/>
      <c r="DS347" s="115"/>
      <c r="DT347" s="115"/>
      <c r="DU347" s="115"/>
      <c r="DV347" s="115" t="str">
        <f>" " &amp; "WMS Test" &amp; " " &amp; IF(P347="","",TEXT(P347,"M/D-")) &amp; IF(Q347="","",TEXT(Q347,"M/D")) &amp; " "</f>
        <v xml:space="preserve"> WMS Test 8/16-10/15 </v>
      </c>
      <c r="DW347" s="115"/>
      <c r="DX347" s="115"/>
      <c r="DY347" s="115"/>
      <c r="DZ347" s="115"/>
      <c r="EA347" s="115"/>
      <c r="EB347" s="115"/>
      <c r="EC347" s="115"/>
      <c r="ED347" s="115"/>
      <c r="EE347" s="115"/>
      <c r="EF347" s="115"/>
      <c r="EG347" s="115"/>
      <c r="EH347" s="116"/>
    </row>
    <row r="348" spans="1:138" ht="12" customHeight="1" outlineLevel="1" x14ac:dyDescent="0.4">
      <c r="A348" s="101"/>
      <c r="B348" s="101" t="s">
        <v>325</v>
      </c>
      <c r="C348" s="101">
        <v>2</v>
      </c>
      <c r="D348" s="102" t="s">
        <v>756</v>
      </c>
      <c r="E348" s="103"/>
      <c r="F348" s="103" t="s">
        <v>388</v>
      </c>
      <c r="G348" s="103"/>
      <c r="H348" s="103"/>
      <c r="I348" s="103"/>
      <c r="J348" s="103"/>
      <c r="K348" s="103"/>
      <c r="L348" s="103"/>
      <c r="M348" s="103"/>
      <c r="N348" s="103"/>
      <c r="O348" s="104" t="s">
        <v>345</v>
      </c>
      <c r="P348" s="105">
        <v>45139</v>
      </c>
      <c r="Q348" s="105">
        <v>45199</v>
      </c>
      <c r="R348" s="106"/>
      <c r="S348" s="107">
        <v>61</v>
      </c>
      <c r="T348" s="107">
        <v>0</v>
      </c>
      <c r="U348" s="107">
        <v>61</v>
      </c>
      <c r="V348" s="107">
        <v>0</v>
      </c>
      <c r="W348" s="108"/>
      <c r="X348" s="108"/>
      <c r="Y348" s="109">
        <v>0</v>
      </c>
      <c r="Z348" s="110">
        <v>0</v>
      </c>
      <c r="AA348" s="107"/>
      <c r="AB348" s="111"/>
      <c r="AC348" s="112"/>
      <c r="AD348" s="113">
        <v>0</v>
      </c>
      <c r="AE348" s="137">
        <v>0</v>
      </c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5"/>
      <c r="CR348" s="115"/>
      <c r="CS348" s="115"/>
      <c r="CT348" s="115"/>
      <c r="CU348" s="115"/>
      <c r="CV348" s="115"/>
      <c r="CW348" s="115"/>
      <c r="CX348" s="115"/>
      <c r="CY348" s="115"/>
      <c r="CZ348" s="115"/>
      <c r="DA348" s="115"/>
      <c r="DB348" s="115"/>
      <c r="DC348" s="115"/>
      <c r="DD348" s="115"/>
      <c r="DE348" s="115"/>
      <c r="DF348" s="115"/>
      <c r="DG348" s="115"/>
      <c r="DH348" s="115"/>
      <c r="DI348" s="115"/>
      <c r="DJ348" s="115"/>
      <c r="DK348" s="115" t="str">
        <f>"  " &amp; TEXT(AE348,"#0.00%") &amp; " "</f>
        <v xml:space="preserve">  0.00% </v>
      </c>
      <c r="DL348" s="115"/>
      <c r="DM348" s="115"/>
      <c r="DN348" s="115"/>
      <c r="DO348" s="115"/>
      <c r="DP348" s="115"/>
      <c r="DQ348" s="115"/>
      <c r="DR348" s="115"/>
      <c r="DS348" s="115"/>
      <c r="DT348" s="115" t="str">
        <f>"" &amp; "OVEN 연결물류 " &amp; " " &amp; IF(P348="","",TEXT(P348,"M/D-")) &amp; IF(Q348="","",TEXT(Q348,"M/D")) &amp; " "</f>
        <v xml:space="preserve">OVEN 연결물류  8/1-9/30 </v>
      </c>
      <c r="DU348" s="115"/>
      <c r="DV348" s="115"/>
      <c r="DW348" s="115"/>
      <c r="DX348" s="115"/>
      <c r="DY348" s="115"/>
      <c r="DZ348" s="115"/>
      <c r="EA348" s="115"/>
      <c r="EB348" s="115"/>
      <c r="EC348" s="115"/>
      <c r="ED348" s="115"/>
      <c r="EE348" s="115"/>
      <c r="EF348" s="115"/>
      <c r="EG348" s="115"/>
      <c r="EH348" s="116"/>
    </row>
    <row r="349" spans="1:138" ht="12" customHeight="1" outlineLevel="2" x14ac:dyDescent="0.4">
      <c r="A349" s="101"/>
      <c r="B349" s="101"/>
      <c r="C349" s="101">
        <v>3</v>
      </c>
      <c r="D349" s="102" t="s">
        <v>757</v>
      </c>
      <c r="E349" s="103"/>
      <c r="F349" s="123"/>
      <c r="G349" s="103" t="s">
        <v>737</v>
      </c>
      <c r="H349" s="123"/>
      <c r="I349" s="123"/>
      <c r="J349" s="123"/>
      <c r="K349" s="103"/>
      <c r="L349" s="103"/>
      <c r="M349" s="103"/>
      <c r="N349" s="103"/>
      <c r="O349" s="104"/>
      <c r="P349" s="105">
        <v>45139</v>
      </c>
      <c r="Q349" s="105">
        <v>45169</v>
      </c>
      <c r="R349" s="106"/>
      <c r="S349" s="107">
        <v>31</v>
      </c>
      <c r="T349" s="107">
        <v>0</v>
      </c>
      <c r="U349" s="107">
        <v>31</v>
      </c>
      <c r="V349" s="107">
        <v>0</v>
      </c>
      <c r="W349" s="108"/>
      <c r="X349" s="108"/>
      <c r="Y349" s="109"/>
      <c r="Z349" s="110">
        <v>0</v>
      </c>
      <c r="AA349" s="107"/>
      <c r="AB349" s="111"/>
      <c r="AC349" s="112"/>
      <c r="AD349" s="113">
        <v>0</v>
      </c>
      <c r="AE349" s="134">
        <v>0</v>
      </c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5"/>
      <c r="CT349" s="115"/>
      <c r="CU349" s="115"/>
      <c r="CV349" s="115"/>
      <c r="CW349" s="115"/>
      <c r="CX349" s="115"/>
      <c r="CY349" s="115"/>
      <c r="CZ349" s="115"/>
      <c r="DA349" s="115"/>
      <c r="DB349" s="115"/>
      <c r="DC349" s="115"/>
      <c r="DD349" s="115"/>
      <c r="DE349" s="115"/>
      <c r="DF349" s="115"/>
      <c r="DG349" s="115"/>
      <c r="DH349" s="115"/>
      <c r="DI349" s="115"/>
      <c r="DJ349" s="115"/>
      <c r="DK349" s="115" t="str">
        <f>"  " &amp; TEXT(AE349,"#0.00%") &amp; " "</f>
        <v xml:space="preserve">  0.00% </v>
      </c>
      <c r="DL349" s="115"/>
      <c r="DM349" s="115"/>
      <c r="DN349" s="115"/>
      <c r="DO349" s="115" t="str">
        <f>"     " &amp; "SCS Test" &amp; " " &amp; IF(P349="","",TEXT(P349,"M/D-")) &amp; IF(Q349="","",TEXT(Q349,"M/D")) &amp; " "</f>
        <v xml:space="preserve">     SCS Test 8/1-8/31 </v>
      </c>
      <c r="DP349" s="115"/>
      <c r="DQ349" s="115"/>
      <c r="DR349" s="115"/>
      <c r="DS349" s="115"/>
      <c r="DT349" s="115"/>
      <c r="DU349" s="115"/>
      <c r="DV349" s="115"/>
      <c r="DW349" s="115"/>
      <c r="DX349" s="115"/>
      <c r="DY349" s="115"/>
      <c r="DZ349" s="115"/>
      <c r="EA349" s="115"/>
      <c r="EB349" s="115"/>
      <c r="EC349" s="115"/>
      <c r="ED349" s="115"/>
      <c r="EE349" s="115"/>
      <c r="EF349" s="115"/>
      <c r="EG349" s="115"/>
      <c r="EH349" s="116"/>
    </row>
    <row r="350" spans="1:138" ht="12" customHeight="1" outlineLevel="2" x14ac:dyDescent="0.4">
      <c r="A350" s="101"/>
      <c r="B350" s="101"/>
      <c r="C350" s="101">
        <v>3</v>
      </c>
      <c r="D350" s="102" t="s">
        <v>758</v>
      </c>
      <c r="E350" s="103"/>
      <c r="F350" s="103"/>
      <c r="G350" s="103" t="s">
        <v>739</v>
      </c>
      <c r="H350" s="103"/>
      <c r="I350" s="103"/>
      <c r="J350" s="103"/>
      <c r="K350" s="103"/>
      <c r="L350" s="103"/>
      <c r="M350" s="103"/>
      <c r="N350" s="103"/>
      <c r="O350" s="104"/>
      <c r="P350" s="105">
        <v>45170</v>
      </c>
      <c r="Q350" s="105">
        <v>45199</v>
      </c>
      <c r="R350" s="106"/>
      <c r="S350" s="107">
        <v>30</v>
      </c>
      <c r="T350" s="107">
        <v>0</v>
      </c>
      <c r="U350" s="107">
        <v>30</v>
      </c>
      <c r="V350" s="107">
        <v>0</v>
      </c>
      <c r="W350" s="108"/>
      <c r="X350" s="108"/>
      <c r="Y350" s="109"/>
      <c r="Z350" s="110">
        <v>0</v>
      </c>
      <c r="AA350" s="107"/>
      <c r="AB350" s="111"/>
      <c r="AC350" s="112"/>
      <c r="AD350" s="113">
        <v>0</v>
      </c>
      <c r="AE350" s="134">
        <v>0</v>
      </c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5"/>
      <c r="CR350" s="115"/>
      <c r="CS350" s="115"/>
      <c r="CT350" s="115"/>
      <c r="CU350" s="115"/>
      <c r="CV350" s="115"/>
      <c r="CW350" s="115"/>
      <c r="CX350" s="115"/>
      <c r="CY350" s="115"/>
      <c r="CZ350" s="115"/>
      <c r="DA350" s="115"/>
      <c r="DB350" s="115"/>
      <c r="DC350" s="115"/>
      <c r="DD350" s="115"/>
      <c r="DE350" s="115"/>
      <c r="DF350" s="115"/>
      <c r="DG350" s="115"/>
      <c r="DH350" s="115"/>
      <c r="DI350" s="115"/>
      <c r="DJ350" s="115"/>
      <c r="DK350" s="115"/>
      <c r="DL350" s="115"/>
      <c r="DM350" s="115"/>
      <c r="DN350" s="115"/>
      <c r="DO350" s="115" t="str">
        <f>"     " &amp; TEXT(AE350,"#0.00%") &amp; " "</f>
        <v xml:space="preserve">     0.00% </v>
      </c>
      <c r="DP350" s="115"/>
      <c r="DQ350" s="115"/>
      <c r="DR350" s="115"/>
      <c r="DS350" s="115"/>
      <c r="DT350" s="115" t="str">
        <f>"" &amp; "WMS Test" &amp; " " &amp; IF(P350="","",TEXT(P350,"M/D-")) &amp; IF(Q350="","",TEXT(Q350,"M/D")) &amp; " "</f>
        <v xml:space="preserve">WMS Test 9/1-9/30 </v>
      </c>
      <c r="DU350" s="115"/>
      <c r="DV350" s="115"/>
      <c r="DW350" s="115"/>
      <c r="DX350" s="115"/>
      <c r="DY350" s="115"/>
      <c r="DZ350" s="115"/>
      <c r="EA350" s="115"/>
      <c r="EB350" s="115"/>
      <c r="EC350" s="115"/>
      <c r="ED350" s="115"/>
      <c r="EE350" s="115"/>
      <c r="EF350" s="115"/>
      <c r="EG350" s="115"/>
      <c r="EH350" s="116"/>
    </row>
    <row r="351" spans="1:138" ht="12" customHeight="1" outlineLevel="1" x14ac:dyDescent="0.4">
      <c r="A351" s="101"/>
      <c r="B351" s="101" t="s">
        <v>325</v>
      </c>
      <c r="C351" s="101">
        <v>2</v>
      </c>
      <c r="D351" s="102" t="s">
        <v>759</v>
      </c>
      <c r="E351" s="103"/>
      <c r="F351" s="103" t="s">
        <v>396</v>
      </c>
      <c r="G351" s="120"/>
      <c r="H351" s="103"/>
      <c r="I351" s="103"/>
      <c r="J351" s="103"/>
      <c r="K351" s="103"/>
      <c r="L351" s="103"/>
      <c r="M351" s="103"/>
      <c r="N351" s="103"/>
      <c r="O351" s="104" t="s">
        <v>345</v>
      </c>
      <c r="P351" s="105">
        <v>45149</v>
      </c>
      <c r="Q351" s="105">
        <v>45199</v>
      </c>
      <c r="R351" s="106"/>
      <c r="S351" s="107">
        <v>51</v>
      </c>
      <c r="T351" s="107">
        <v>0</v>
      </c>
      <c r="U351" s="107">
        <v>51</v>
      </c>
      <c r="V351" s="107">
        <v>0</v>
      </c>
      <c r="W351" s="108"/>
      <c r="X351" s="108"/>
      <c r="Y351" s="109">
        <v>0</v>
      </c>
      <c r="Z351" s="110">
        <v>0</v>
      </c>
      <c r="AA351" s="107"/>
      <c r="AB351" s="111"/>
      <c r="AC351" s="112"/>
      <c r="AD351" s="113">
        <v>0</v>
      </c>
      <c r="AE351" s="137">
        <v>0</v>
      </c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5"/>
      <c r="CR351" s="115"/>
      <c r="CS351" s="115"/>
      <c r="CT351" s="115"/>
      <c r="CU351" s="115"/>
      <c r="CV351" s="115"/>
      <c r="CW351" s="115"/>
      <c r="CX351" s="115"/>
      <c r="CY351" s="115"/>
      <c r="CZ351" s="115"/>
      <c r="DA351" s="115"/>
      <c r="DB351" s="115"/>
      <c r="DC351" s="115"/>
      <c r="DD351" s="115"/>
      <c r="DE351" s="115"/>
      <c r="DF351" s="115"/>
      <c r="DG351" s="115"/>
      <c r="DH351" s="115"/>
      <c r="DI351" s="115"/>
      <c r="DJ351" s="115"/>
      <c r="DK351" s="115"/>
      <c r="DL351" s="115" t="str">
        <f>"     " &amp; TEXT(AE351,"#0.00%") &amp; " "</f>
        <v xml:space="preserve">     0.00% </v>
      </c>
      <c r="DM351" s="115"/>
      <c r="DN351" s="115"/>
      <c r="DO351" s="115"/>
      <c r="DP351" s="115"/>
      <c r="DQ351" s="115"/>
      <c r="DR351" s="115"/>
      <c r="DS351" s="115"/>
      <c r="DT351" s="115" t="str">
        <f>"" &amp; "CCS 포장물류" &amp; " " &amp; IF(P351="","",TEXT(P351,"M/D-")) &amp; IF(Q351="","",TEXT(Q351,"M/D")) &amp; " "</f>
        <v xml:space="preserve">CCS 포장물류 8/11-9/30 </v>
      </c>
      <c r="DU351" s="115"/>
      <c r="DV351" s="115"/>
      <c r="DW351" s="115"/>
      <c r="DX351" s="115"/>
      <c r="DY351" s="115"/>
      <c r="DZ351" s="115"/>
      <c r="EA351" s="115"/>
      <c r="EB351" s="115"/>
      <c r="EC351" s="115"/>
      <c r="ED351" s="115"/>
      <c r="EE351" s="115"/>
      <c r="EF351" s="115"/>
      <c r="EG351" s="115"/>
      <c r="EH351" s="116"/>
    </row>
    <row r="352" spans="1:138" ht="12" customHeight="1" outlineLevel="2" x14ac:dyDescent="0.4">
      <c r="A352" s="101"/>
      <c r="B352" s="101"/>
      <c r="C352" s="101">
        <v>3</v>
      </c>
      <c r="D352" s="102" t="s">
        <v>760</v>
      </c>
      <c r="E352" s="103"/>
      <c r="F352" s="103"/>
      <c r="G352" s="103" t="s">
        <v>761</v>
      </c>
      <c r="H352" s="120"/>
      <c r="I352" s="103"/>
      <c r="J352" s="103"/>
      <c r="K352" s="103"/>
      <c r="L352" s="103"/>
      <c r="M352" s="103"/>
      <c r="N352" s="103"/>
      <c r="O352" s="104"/>
      <c r="P352" s="105">
        <v>45149</v>
      </c>
      <c r="Q352" s="105">
        <v>45169</v>
      </c>
      <c r="R352" s="106"/>
      <c r="S352" s="107">
        <v>21</v>
      </c>
      <c r="T352" s="107">
        <v>0</v>
      </c>
      <c r="U352" s="107">
        <v>21</v>
      </c>
      <c r="V352" s="107">
        <v>0</v>
      </c>
      <c r="W352" s="108"/>
      <c r="X352" s="108"/>
      <c r="Y352" s="109"/>
      <c r="Z352" s="110">
        <v>0</v>
      </c>
      <c r="AA352" s="107"/>
      <c r="AB352" s="111"/>
      <c r="AC352" s="112"/>
      <c r="AD352" s="113">
        <v>0</v>
      </c>
      <c r="AE352" s="134">
        <v>0</v>
      </c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5"/>
      <c r="CR352" s="115"/>
      <c r="CS352" s="115"/>
      <c r="CT352" s="115"/>
      <c r="CU352" s="115"/>
      <c r="CV352" s="115"/>
      <c r="CW352" s="115"/>
      <c r="CX352" s="115"/>
      <c r="CY352" s="115"/>
      <c r="CZ352" s="115"/>
      <c r="DA352" s="115"/>
      <c r="DB352" s="115"/>
      <c r="DC352" s="115"/>
      <c r="DD352" s="115"/>
      <c r="DE352" s="115"/>
      <c r="DF352" s="115"/>
      <c r="DG352" s="115"/>
      <c r="DH352" s="115"/>
      <c r="DI352" s="115"/>
      <c r="DJ352" s="115"/>
      <c r="DK352" s="115"/>
      <c r="DL352" s="115" t="str">
        <f>"     " &amp; TEXT(AE352,"#0.00%") &amp; " " &amp; "WCS Test" &amp; " " &amp; IF(P352="","",TEXT(P352,"M/D-")) &amp; IF(Q352="","",TEXT(Q352,"M/D")) &amp; " "</f>
        <v xml:space="preserve">     0.00% WCS Test 8/11-8/31 </v>
      </c>
      <c r="DM352" s="115"/>
      <c r="DN352" s="115"/>
      <c r="DO352" s="115"/>
      <c r="DP352" s="115"/>
      <c r="DQ352" s="115"/>
      <c r="DR352" s="115"/>
      <c r="DS352" s="115"/>
      <c r="DT352" s="115"/>
      <c r="DU352" s="115"/>
      <c r="DV352" s="115"/>
      <c r="DW352" s="115"/>
      <c r="DX352" s="115"/>
      <c r="DY352" s="115"/>
      <c r="DZ352" s="115"/>
      <c r="EA352" s="115"/>
      <c r="EB352" s="115"/>
      <c r="EC352" s="115"/>
      <c r="ED352" s="115"/>
      <c r="EE352" s="115"/>
      <c r="EF352" s="115"/>
      <c r="EG352" s="115"/>
      <c r="EH352" s="116"/>
    </row>
    <row r="353" spans="1:138" ht="12" customHeight="1" outlineLevel="2" x14ac:dyDescent="0.4">
      <c r="A353" s="101"/>
      <c r="B353" s="101"/>
      <c r="C353" s="101">
        <v>3</v>
      </c>
      <c r="D353" s="102" t="s">
        <v>762</v>
      </c>
      <c r="E353" s="103"/>
      <c r="F353" s="103"/>
      <c r="G353" s="103" t="s">
        <v>739</v>
      </c>
      <c r="H353" s="103"/>
      <c r="I353" s="103"/>
      <c r="J353" s="103"/>
      <c r="K353" s="103"/>
      <c r="L353" s="103"/>
      <c r="M353" s="103"/>
      <c r="N353" s="152"/>
      <c r="O353" s="104"/>
      <c r="P353" s="105">
        <v>45170</v>
      </c>
      <c r="Q353" s="105">
        <v>45199</v>
      </c>
      <c r="R353" s="106"/>
      <c r="S353" s="107">
        <v>30</v>
      </c>
      <c r="T353" s="107">
        <v>0</v>
      </c>
      <c r="U353" s="107">
        <v>30</v>
      </c>
      <c r="V353" s="107">
        <v>0</v>
      </c>
      <c r="W353" s="108"/>
      <c r="X353" s="108"/>
      <c r="Y353" s="109"/>
      <c r="Z353" s="110">
        <v>0</v>
      </c>
      <c r="AA353" s="107"/>
      <c r="AB353" s="111"/>
      <c r="AC353" s="112"/>
      <c r="AD353" s="113">
        <v>0</v>
      </c>
      <c r="AE353" s="134">
        <v>0</v>
      </c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5"/>
      <c r="CR353" s="115"/>
      <c r="CS353" s="115"/>
      <c r="CT353" s="115"/>
      <c r="CU353" s="115"/>
      <c r="CV353" s="115"/>
      <c r="CW353" s="115"/>
      <c r="CX353" s="115"/>
      <c r="CY353" s="115"/>
      <c r="CZ353" s="115"/>
      <c r="DA353" s="115"/>
      <c r="DB353" s="115"/>
      <c r="DC353" s="115"/>
      <c r="DD353" s="115"/>
      <c r="DE353" s="115"/>
      <c r="DF353" s="115"/>
      <c r="DG353" s="115"/>
      <c r="DH353" s="115"/>
      <c r="DI353" s="115"/>
      <c r="DJ353" s="115"/>
      <c r="DK353" s="115"/>
      <c r="DL353" s="115"/>
      <c r="DM353" s="115"/>
      <c r="DN353" s="115"/>
      <c r="DO353" s="115" t="str">
        <f>"     " &amp; TEXT(AE353,"#0.00%") &amp; " "</f>
        <v xml:space="preserve">     0.00% </v>
      </c>
      <c r="DP353" s="115"/>
      <c r="DQ353" s="115"/>
      <c r="DR353" s="115"/>
      <c r="DS353" s="115"/>
      <c r="DT353" s="115" t="str">
        <f>"" &amp; "WMS Test" &amp; " " &amp; IF(P353="","",TEXT(P353,"M/D-")) &amp; IF(Q353="","",TEXT(Q353,"M/D")) &amp; " "</f>
        <v xml:space="preserve">WMS Test 9/1-9/30 </v>
      </c>
      <c r="DU353" s="115"/>
      <c r="DV353" s="115"/>
      <c r="DW353" s="115"/>
      <c r="DX353" s="115"/>
      <c r="DY353" s="115"/>
      <c r="DZ353" s="115"/>
      <c r="EA353" s="115"/>
      <c r="EB353" s="115"/>
      <c r="EC353" s="115"/>
      <c r="ED353" s="115"/>
      <c r="EE353" s="115"/>
      <c r="EF353" s="115"/>
      <c r="EG353" s="115"/>
      <c r="EH353" s="116"/>
    </row>
    <row r="354" spans="1:138" ht="12" customHeight="1" outlineLevel="1" x14ac:dyDescent="0.4">
      <c r="A354" s="101"/>
      <c r="B354" s="101" t="s">
        <v>325</v>
      </c>
      <c r="C354" s="101">
        <v>2</v>
      </c>
      <c r="D354" s="102" t="s">
        <v>763</v>
      </c>
      <c r="E354" s="103"/>
      <c r="F354" s="103" t="s">
        <v>404</v>
      </c>
      <c r="G354" s="103"/>
      <c r="H354" s="103"/>
      <c r="I354" s="103"/>
      <c r="J354" s="103"/>
      <c r="K354" s="103"/>
      <c r="L354" s="103"/>
      <c r="M354" s="103"/>
      <c r="N354" s="103"/>
      <c r="O354" s="104" t="s">
        <v>330</v>
      </c>
      <c r="P354" s="105">
        <v>45154</v>
      </c>
      <c r="Q354" s="105">
        <v>45214</v>
      </c>
      <c r="R354" s="106"/>
      <c r="S354" s="107">
        <v>61</v>
      </c>
      <c r="T354" s="107">
        <v>0</v>
      </c>
      <c r="U354" s="107">
        <v>61</v>
      </c>
      <c r="V354" s="107">
        <v>0</v>
      </c>
      <c r="W354" s="108"/>
      <c r="X354" s="108"/>
      <c r="Y354" s="109">
        <v>0</v>
      </c>
      <c r="Z354" s="110">
        <v>0</v>
      </c>
      <c r="AA354" s="107"/>
      <c r="AB354" s="111"/>
      <c r="AC354" s="112"/>
      <c r="AD354" s="113">
        <v>0</v>
      </c>
      <c r="AE354" s="137">
        <v>0</v>
      </c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5"/>
      <c r="CR354" s="115"/>
      <c r="CS354" s="115"/>
      <c r="CT354" s="115"/>
      <c r="CU354" s="115"/>
      <c r="CV354" s="115"/>
      <c r="CW354" s="115"/>
      <c r="CX354" s="115"/>
      <c r="CY354" s="115"/>
      <c r="CZ354" s="115"/>
      <c r="DA354" s="115"/>
      <c r="DB354" s="115"/>
      <c r="DC354" s="115"/>
      <c r="DD354" s="115"/>
      <c r="DE354" s="115"/>
      <c r="DF354" s="115"/>
      <c r="DG354" s="115"/>
      <c r="DH354" s="115"/>
      <c r="DI354" s="115"/>
      <c r="DJ354" s="115"/>
      <c r="DK354" s="115"/>
      <c r="DL354" s="115"/>
      <c r="DM354" s="115" t="str">
        <f>"   " &amp; TEXT(AE354,"#0.00%") &amp; " "</f>
        <v xml:space="preserve">   0.00% </v>
      </c>
      <c r="DN354" s="115"/>
      <c r="DO354" s="115"/>
      <c r="DP354" s="115"/>
      <c r="DQ354" s="115"/>
      <c r="DR354" s="115"/>
      <c r="DS354" s="115"/>
      <c r="DT354" s="115"/>
      <c r="DU354" s="115"/>
      <c r="DV354" s="115" t="str">
        <f>" " &amp; "완제품 창고" &amp; " " &amp; IF(P354="","",TEXT(P354,"M/D-")) &amp; IF(Q354="","",TEXT(Q354,"M/D")) &amp; " "</f>
        <v xml:space="preserve"> 완제품 창고 8/16-10/15 </v>
      </c>
      <c r="DW354" s="115"/>
      <c r="DX354" s="115"/>
      <c r="DY354" s="115"/>
      <c r="DZ354" s="115"/>
      <c r="EA354" s="115"/>
      <c r="EB354" s="115"/>
      <c r="EC354" s="115"/>
      <c r="ED354" s="115"/>
      <c r="EE354" s="115"/>
      <c r="EF354" s="115"/>
      <c r="EG354" s="115"/>
      <c r="EH354" s="116"/>
    </row>
    <row r="355" spans="1:138" ht="12" customHeight="1" outlineLevel="2" x14ac:dyDescent="0.4">
      <c r="A355" s="101"/>
      <c r="B355" s="101"/>
      <c r="C355" s="101">
        <v>3</v>
      </c>
      <c r="D355" s="102" t="s">
        <v>764</v>
      </c>
      <c r="E355" s="103"/>
      <c r="F355" s="103"/>
      <c r="G355" s="103" t="s">
        <v>761</v>
      </c>
      <c r="H355" s="103"/>
      <c r="I355" s="103"/>
      <c r="J355" s="103"/>
      <c r="K355" s="103"/>
      <c r="L355" s="103"/>
      <c r="M355" s="103"/>
      <c r="N355" s="103"/>
      <c r="O355" s="104"/>
      <c r="P355" s="105">
        <v>45154</v>
      </c>
      <c r="Q355" s="105">
        <v>45184</v>
      </c>
      <c r="R355" s="106"/>
      <c r="S355" s="107">
        <v>31</v>
      </c>
      <c r="T355" s="107">
        <v>0</v>
      </c>
      <c r="U355" s="107">
        <v>31</v>
      </c>
      <c r="V355" s="107">
        <v>0</v>
      </c>
      <c r="W355" s="108"/>
      <c r="X355" s="108"/>
      <c r="Y355" s="109"/>
      <c r="Z355" s="110">
        <v>0</v>
      </c>
      <c r="AA355" s="107"/>
      <c r="AB355" s="111"/>
      <c r="AC355" s="112"/>
      <c r="AD355" s="113">
        <v>0</v>
      </c>
      <c r="AE355" s="134">
        <v>0</v>
      </c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5"/>
      <c r="CR355" s="115"/>
      <c r="CS355" s="115"/>
      <c r="CT355" s="115"/>
      <c r="CU355" s="115"/>
      <c r="CV355" s="115"/>
      <c r="CW355" s="115"/>
      <c r="CX355" s="115"/>
      <c r="CY355" s="115"/>
      <c r="CZ355" s="115"/>
      <c r="DA355" s="115"/>
      <c r="DB355" s="115"/>
      <c r="DC355" s="115"/>
      <c r="DD355" s="115"/>
      <c r="DE355" s="115"/>
      <c r="DF355" s="115"/>
      <c r="DG355" s="115"/>
      <c r="DH355" s="115"/>
      <c r="DI355" s="115"/>
      <c r="DJ355" s="115"/>
      <c r="DK355" s="115"/>
      <c r="DL355" s="115"/>
      <c r="DM355" s="115" t="str">
        <f>"   " &amp; TEXT(AE355,"#0.00%") &amp; " "</f>
        <v xml:space="preserve">   0.00% </v>
      </c>
      <c r="DN355" s="115"/>
      <c r="DO355" s="115"/>
      <c r="DP355" s="115"/>
      <c r="DQ355" s="115" t="str">
        <f>"      " &amp; "WCS Test" &amp; " " &amp; IF(P355="","",TEXT(P355,"M/D-")) &amp; IF(Q355="","",TEXT(Q355,"M/D")) &amp; " "</f>
        <v xml:space="preserve">      WCS Test 8/16-9/15 </v>
      </c>
      <c r="DR355" s="115"/>
      <c r="DS355" s="115"/>
      <c r="DT355" s="115"/>
      <c r="DU355" s="115"/>
      <c r="DV355" s="115"/>
      <c r="DW355" s="115"/>
      <c r="DX355" s="115"/>
      <c r="DY355" s="115"/>
      <c r="DZ355" s="115"/>
      <c r="EA355" s="115"/>
      <c r="EB355" s="115"/>
      <c r="EC355" s="115"/>
      <c r="ED355" s="115"/>
      <c r="EE355" s="115"/>
      <c r="EF355" s="115"/>
      <c r="EG355" s="115"/>
      <c r="EH355" s="116"/>
    </row>
    <row r="356" spans="1:138" ht="12" customHeight="1" outlineLevel="2" x14ac:dyDescent="0.4">
      <c r="A356" s="101"/>
      <c r="B356" s="101"/>
      <c r="C356" s="101">
        <v>3</v>
      </c>
      <c r="D356" s="102" t="s">
        <v>765</v>
      </c>
      <c r="E356" s="103"/>
      <c r="F356" s="103"/>
      <c r="G356" s="103" t="s">
        <v>739</v>
      </c>
      <c r="H356" s="120"/>
      <c r="I356" s="103"/>
      <c r="J356" s="103"/>
      <c r="K356" s="103"/>
      <c r="L356" s="103"/>
      <c r="M356" s="103"/>
      <c r="N356" s="152"/>
      <c r="O356" s="104"/>
      <c r="P356" s="105">
        <v>45185</v>
      </c>
      <c r="Q356" s="105">
        <v>45214</v>
      </c>
      <c r="R356" s="108">
        <v>44620</v>
      </c>
      <c r="S356" s="107">
        <v>30</v>
      </c>
      <c r="T356" s="107">
        <v>0</v>
      </c>
      <c r="U356" s="107">
        <v>30</v>
      </c>
      <c r="V356" s="107">
        <v>0</v>
      </c>
      <c r="W356" s="108"/>
      <c r="X356" s="108"/>
      <c r="Y356" s="109"/>
      <c r="Z356" s="110">
        <v>0</v>
      </c>
      <c r="AA356" s="107"/>
      <c r="AB356" s="111"/>
      <c r="AC356" s="112"/>
      <c r="AD356" s="113">
        <v>0</v>
      </c>
      <c r="AE356" s="134">
        <v>0</v>
      </c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  <c r="CP356" s="115"/>
      <c r="CQ356" s="115"/>
      <c r="CR356" s="115"/>
      <c r="CS356" s="115"/>
      <c r="CT356" s="115"/>
      <c r="CU356" s="115"/>
      <c r="CV356" s="115"/>
      <c r="CW356" s="115"/>
      <c r="CX356" s="115"/>
      <c r="CY356" s="115"/>
      <c r="CZ356" s="115"/>
      <c r="DA356" s="115"/>
      <c r="DB356" s="115"/>
      <c r="DC356" s="115"/>
      <c r="DD356" s="115"/>
      <c r="DE356" s="115"/>
      <c r="DF356" s="115"/>
      <c r="DG356" s="115"/>
      <c r="DH356" s="115"/>
      <c r="DI356" s="115"/>
      <c r="DJ356" s="115"/>
      <c r="DK356" s="115"/>
      <c r="DL356" s="115"/>
      <c r="DM356" s="115"/>
      <c r="DN356" s="115"/>
      <c r="DO356" s="115"/>
      <c r="DP356" s="115"/>
      <c r="DQ356" s="115" t="str">
        <f>"      " &amp; TEXT(AE356,"#0.00%") &amp; " "</f>
        <v xml:space="preserve">      0.00% </v>
      </c>
      <c r="DR356" s="115"/>
      <c r="DS356" s="115"/>
      <c r="DT356" s="115"/>
      <c r="DU356" s="115"/>
      <c r="DV356" s="115" t="str">
        <f>" " &amp; "WMS Test" &amp; " " &amp; IF(P356="","",TEXT(P356,"M/D-")) &amp; IF(Q356="","",TEXT(Q356,"M/D")) &amp; " "</f>
        <v xml:space="preserve"> WMS Test 9/16-10/15 </v>
      </c>
      <c r="DW356" s="115"/>
      <c r="DX356" s="115"/>
      <c r="DY356" s="115"/>
      <c r="DZ356" s="115"/>
      <c r="EA356" s="115"/>
      <c r="EB356" s="115"/>
      <c r="EC356" s="115"/>
      <c r="ED356" s="115"/>
      <c r="EE356" s="115"/>
      <c r="EF356" s="115"/>
      <c r="EG356" s="115"/>
      <c r="EH356" s="116"/>
    </row>
    <row r="357" spans="1:138" ht="12" customHeight="1" outlineLevel="1" x14ac:dyDescent="0.4">
      <c r="A357" s="101"/>
      <c r="B357" s="101" t="s">
        <v>325</v>
      </c>
      <c r="C357" s="101">
        <v>2</v>
      </c>
      <c r="D357" s="102" t="s">
        <v>766</v>
      </c>
      <c r="E357" s="103"/>
      <c r="F357" s="123" t="s">
        <v>412</v>
      </c>
      <c r="G357" s="103"/>
      <c r="H357" s="103"/>
      <c r="I357" s="103"/>
      <c r="J357" s="103"/>
      <c r="K357" s="103"/>
      <c r="L357" s="103"/>
      <c r="M357" s="103"/>
      <c r="N357" s="103"/>
      <c r="O357" s="104" t="s">
        <v>345</v>
      </c>
      <c r="P357" s="105">
        <v>45154</v>
      </c>
      <c r="Q357" s="105">
        <v>45199</v>
      </c>
      <c r="R357" s="108">
        <v>44627</v>
      </c>
      <c r="S357" s="107">
        <v>46</v>
      </c>
      <c r="T357" s="107">
        <v>0</v>
      </c>
      <c r="U357" s="107">
        <v>46</v>
      </c>
      <c r="V357" s="107">
        <v>0</v>
      </c>
      <c r="W357" s="108"/>
      <c r="X357" s="108"/>
      <c r="Y357" s="109">
        <v>0</v>
      </c>
      <c r="Z357" s="110">
        <v>0</v>
      </c>
      <c r="AA357" s="107"/>
      <c r="AB357" s="111"/>
      <c r="AC357" s="112"/>
      <c r="AD357" s="113">
        <v>0</v>
      </c>
      <c r="AE357" s="137">
        <v>0</v>
      </c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  <c r="CP357" s="115"/>
      <c r="CQ357" s="115"/>
      <c r="CR357" s="115"/>
      <c r="CS357" s="115"/>
      <c r="CT357" s="115"/>
      <c r="CU357" s="115"/>
      <c r="CV357" s="115"/>
      <c r="CW357" s="115"/>
      <c r="CX357" s="115"/>
      <c r="CY357" s="115"/>
      <c r="CZ357" s="115"/>
      <c r="DA357" s="115"/>
      <c r="DB357" s="115"/>
      <c r="DC357" s="115"/>
      <c r="DD357" s="115"/>
      <c r="DE357" s="115"/>
      <c r="DF357" s="115"/>
      <c r="DG357" s="115"/>
      <c r="DH357" s="115"/>
      <c r="DI357" s="115"/>
      <c r="DJ357" s="115"/>
      <c r="DK357" s="115"/>
      <c r="DL357" s="115"/>
      <c r="DM357" s="115" t="str">
        <f>"   " &amp; TEXT(AE357,"#0.00%") &amp; " "</f>
        <v xml:space="preserve">   0.00% </v>
      </c>
      <c r="DN357" s="115"/>
      <c r="DO357" s="115"/>
      <c r="DP357" s="115"/>
      <c r="DQ357" s="115"/>
      <c r="DR357" s="115"/>
      <c r="DS357" s="115"/>
      <c r="DT357" s="115" t="str">
        <f>"" &amp; "완제품 창고 연결물류" &amp; " " &amp; IF(P357="","",TEXT(P357,"M/D-")) &amp; IF(Q357="","",TEXT(Q357,"M/D")) &amp; " "</f>
        <v xml:space="preserve">완제품 창고 연결물류 8/16-9/30 </v>
      </c>
      <c r="DU357" s="115"/>
      <c r="DV357" s="115"/>
      <c r="DW357" s="115"/>
      <c r="DX357" s="115"/>
      <c r="DY357" s="115"/>
      <c r="DZ357" s="115"/>
      <c r="EA357" s="115"/>
      <c r="EB357" s="115"/>
      <c r="EC357" s="115"/>
      <c r="ED357" s="115"/>
      <c r="EE357" s="115"/>
      <c r="EF357" s="115"/>
      <c r="EG357" s="115"/>
      <c r="EH357" s="116"/>
    </row>
    <row r="358" spans="1:138" ht="12" customHeight="1" outlineLevel="2" x14ac:dyDescent="0.4">
      <c r="A358" s="101"/>
      <c r="B358" s="101"/>
      <c r="C358" s="101">
        <v>3</v>
      </c>
      <c r="D358" s="102" t="s">
        <v>767</v>
      </c>
      <c r="E358" s="103"/>
      <c r="F358" s="103"/>
      <c r="G358" s="103" t="s">
        <v>761</v>
      </c>
      <c r="H358" s="103"/>
      <c r="I358" s="103"/>
      <c r="J358" s="103"/>
      <c r="K358" s="103"/>
      <c r="L358" s="103"/>
      <c r="M358" s="103"/>
      <c r="N358" s="103"/>
      <c r="O358" s="104"/>
      <c r="P358" s="105">
        <v>45154</v>
      </c>
      <c r="Q358" s="105">
        <v>45169</v>
      </c>
      <c r="R358" s="108"/>
      <c r="S358" s="107">
        <v>16</v>
      </c>
      <c r="T358" s="107">
        <v>0</v>
      </c>
      <c r="U358" s="107">
        <v>16</v>
      </c>
      <c r="V358" s="107">
        <v>0</v>
      </c>
      <c r="W358" s="108"/>
      <c r="X358" s="108"/>
      <c r="Y358" s="109"/>
      <c r="Z358" s="110">
        <v>0</v>
      </c>
      <c r="AA358" s="107"/>
      <c r="AB358" s="111"/>
      <c r="AC358" s="112"/>
      <c r="AD358" s="113">
        <v>0</v>
      </c>
      <c r="AE358" s="134">
        <v>0</v>
      </c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  <c r="CP358" s="115"/>
      <c r="CQ358" s="115"/>
      <c r="CR358" s="115"/>
      <c r="CS358" s="115"/>
      <c r="CT358" s="115"/>
      <c r="CU358" s="115"/>
      <c r="CV358" s="115"/>
      <c r="CW358" s="115"/>
      <c r="CX358" s="115"/>
      <c r="CY358" s="115"/>
      <c r="CZ358" s="115"/>
      <c r="DA358" s="115"/>
      <c r="DB358" s="115"/>
      <c r="DC358" s="115"/>
      <c r="DD358" s="115"/>
      <c r="DE358" s="115"/>
      <c r="DF358" s="115"/>
      <c r="DG358" s="115"/>
      <c r="DH358" s="115"/>
      <c r="DI358" s="115"/>
      <c r="DJ358" s="115"/>
      <c r="DK358" s="115"/>
      <c r="DL358" s="115"/>
      <c r="DM358" s="115" t="str">
        <f>"   " &amp; TEXT(AE358,"#0.00%") &amp; " " &amp; "WCS Test" &amp; " " &amp; IF(P358="","",TEXT(P358,"M/D-")) &amp; IF(Q358="","",TEXT(Q358,"M/D")) &amp; " "</f>
        <v xml:space="preserve">   0.00% WCS Test 8/16-8/31 </v>
      </c>
      <c r="DN358" s="115"/>
      <c r="DO358" s="115"/>
      <c r="DP358" s="115"/>
      <c r="DQ358" s="115"/>
      <c r="DR358" s="115"/>
      <c r="DS358" s="115"/>
      <c r="DT358" s="115"/>
      <c r="DU358" s="115"/>
      <c r="DV358" s="115"/>
      <c r="DW358" s="115"/>
      <c r="DX358" s="115"/>
      <c r="DY358" s="115"/>
      <c r="DZ358" s="115"/>
      <c r="EA358" s="115"/>
      <c r="EB358" s="115"/>
      <c r="EC358" s="115"/>
      <c r="ED358" s="115"/>
      <c r="EE358" s="115"/>
      <c r="EF358" s="115"/>
      <c r="EG358" s="115"/>
      <c r="EH358" s="116"/>
    </row>
    <row r="359" spans="1:138" ht="12" customHeight="1" outlineLevel="2" x14ac:dyDescent="0.4">
      <c r="A359" s="101"/>
      <c r="B359" s="101"/>
      <c r="C359" s="101">
        <v>3</v>
      </c>
      <c r="D359" s="102" t="s">
        <v>768</v>
      </c>
      <c r="E359" s="103"/>
      <c r="F359" s="103"/>
      <c r="G359" s="103" t="s">
        <v>739</v>
      </c>
      <c r="H359" s="103"/>
      <c r="I359" s="103"/>
      <c r="J359" s="103"/>
      <c r="K359" s="103"/>
      <c r="L359" s="103"/>
      <c r="M359" s="103"/>
      <c r="N359" s="103"/>
      <c r="O359" s="104"/>
      <c r="P359" s="105">
        <v>45170</v>
      </c>
      <c r="Q359" s="105">
        <v>45199</v>
      </c>
      <c r="R359" s="106"/>
      <c r="S359" s="107">
        <v>30</v>
      </c>
      <c r="T359" s="107">
        <v>0</v>
      </c>
      <c r="U359" s="107">
        <v>30</v>
      </c>
      <c r="V359" s="107">
        <v>0</v>
      </c>
      <c r="W359" s="108"/>
      <c r="X359" s="108"/>
      <c r="Y359" s="109"/>
      <c r="Z359" s="110">
        <v>0</v>
      </c>
      <c r="AA359" s="107"/>
      <c r="AB359" s="111"/>
      <c r="AC359" s="112"/>
      <c r="AD359" s="113">
        <v>0</v>
      </c>
      <c r="AE359" s="134">
        <v>0</v>
      </c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5"/>
      <c r="CR359" s="115"/>
      <c r="CS359" s="115"/>
      <c r="CT359" s="115"/>
      <c r="CU359" s="115"/>
      <c r="CV359" s="115"/>
      <c r="CW359" s="115"/>
      <c r="CX359" s="115"/>
      <c r="CY359" s="115"/>
      <c r="CZ359" s="115"/>
      <c r="DA359" s="115"/>
      <c r="DB359" s="115"/>
      <c r="DC359" s="115"/>
      <c r="DD359" s="115"/>
      <c r="DE359" s="115"/>
      <c r="DF359" s="115"/>
      <c r="DG359" s="115"/>
      <c r="DH359" s="115"/>
      <c r="DI359" s="115"/>
      <c r="DJ359" s="115"/>
      <c r="DK359" s="115"/>
      <c r="DL359" s="115"/>
      <c r="DM359" s="115"/>
      <c r="DN359" s="115"/>
      <c r="DO359" s="115" t="str">
        <f>"     " &amp; TEXT(AE359,"#0.00%") &amp; " "</f>
        <v xml:space="preserve">     0.00% </v>
      </c>
      <c r="DP359" s="115"/>
      <c r="DQ359" s="115"/>
      <c r="DR359" s="115"/>
      <c r="DS359" s="115"/>
      <c r="DT359" s="115" t="str">
        <f>"" &amp; "WMS Test" &amp; " " &amp; IF(P359="","",TEXT(P359,"M/D-")) &amp; IF(Q359="","",TEXT(Q359,"M/D")) &amp; " "</f>
        <v xml:space="preserve">WMS Test 9/1-9/30 </v>
      </c>
      <c r="DU359" s="115"/>
      <c r="DV359" s="115"/>
      <c r="DW359" s="115"/>
      <c r="DX359" s="115"/>
      <c r="DY359" s="115"/>
      <c r="DZ359" s="115"/>
      <c r="EA359" s="115"/>
      <c r="EB359" s="115"/>
      <c r="EC359" s="115"/>
      <c r="ED359" s="115"/>
      <c r="EE359" s="115"/>
      <c r="EF359" s="115"/>
      <c r="EG359" s="115"/>
      <c r="EH359" s="116"/>
    </row>
    <row r="360" spans="1:138" ht="12" customHeight="1" x14ac:dyDescent="0.4">
      <c r="A360" s="153"/>
      <c r="B360" s="153"/>
      <c r="C360" s="153">
        <f t="shared" ref="C360:C400" si="0">IF(NOT(E360=""),1,IF(NOT(F360=""),2,IF(NOT(G360=""),3,IF(NOT(H360=""),4,IF(NOT(I360=""),5,IF(NOT(J360=""),6,IF(NOT(K360=""),7,IF(NOT(L360=""),8,IF(NOT(M360=""),9,IF(NOT(N360=""),10,0))))))))))</f>
        <v>0</v>
      </c>
      <c r="D360" s="154"/>
      <c r="E360" s="155"/>
      <c r="F360" s="155"/>
      <c r="G360" s="155"/>
      <c r="H360" s="156"/>
      <c r="I360" s="155"/>
      <c r="J360" s="155"/>
      <c r="K360" s="155"/>
      <c r="L360" s="155"/>
      <c r="M360" s="155"/>
      <c r="N360" s="157"/>
      <c r="O360" s="158"/>
      <c r="P360" s="159"/>
      <c r="Q360" s="159"/>
      <c r="R360" s="160"/>
      <c r="S360" s="161">
        <v>41</v>
      </c>
      <c r="T360" s="161">
        <v>0</v>
      </c>
      <c r="U360" s="161">
        <v>41</v>
      </c>
      <c r="V360" s="161">
        <v>0</v>
      </c>
      <c r="W360" s="162"/>
      <c r="X360" s="162"/>
      <c r="Y360" s="163"/>
      <c r="Z360" s="164">
        <v>0</v>
      </c>
      <c r="AA360" s="161"/>
      <c r="AB360" s="165"/>
      <c r="AC360" s="166"/>
      <c r="AD360" s="167"/>
      <c r="AE360" s="168"/>
      <c r="AF360" s="117"/>
      <c r="AG360" s="117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  <c r="AV360" s="117"/>
      <c r="AW360" s="117"/>
      <c r="AX360" s="117"/>
      <c r="AY360" s="117"/>
      <c r="AZ360" s="117"/>
      <c r="BA360" s="117"/>
      <c r="BB360" s="117"/>
      <c r="BC360" s="117"/>
      <c r="BD360" s="117"/>
      <c r="BE360" s="117"/>
      <c r="BF360" s="117"/>
      <c r="BG360" s="117"/>
      <c r="BH360" s="117"/>
      <c r="BI360" s="117"/>
      <c r="BJ360" s="117"/>
      <c r="BK360" s="117"/>
      <c r="BL360" s="117"/>
      <c r="BM360" s="117"/>
      <c r="BN360" s="117"/>
      <c r="BO360" s="117"/>
      <c r="BP360" s="117"/>
      <c r="BQ360" s="117"/>
      <c r="BR360" s="117"/>
      <c r="BS360" s="117"/>
      <c r="BT360" s="117"/>
      <c r="BU360" s="117"/>
      <c r="BV360" s="117"/>
      <c r="BW360" s="117"/>
      <c r="BX360" s="117"/>
      <c r="BY360" s="117"/>
      <c r="BZ360" s="117"/>
      <c r="CA360" s="117"/>
      <c r="CB360" s="117"/>
      <c r="CC360" s="117"/>
      <c r="CD360" s="117"/>
      <c r="CE360" s="117"/>
      <c r="CF360" s="117"/>
      <c r="CG360" s="117"/>
      <c r="CH360" s="117"/>
      <c r="CI360" s="117"/>
      <c r="CJ360" s="117"/>
      <c r="CK360" s="117"/>
      <c r="CL360" s="117"/>
      <c r="CM360" s="117"/>
      <c r="CN360" s="117"/>
      <c r="CO360" s="117"/>
      <c r="CP360" s="117"/>
      <c r="CQ360" s="117"/>
      <c r="CR360" s="117"/>
      <c r="CS360" s="117"/>
      <c r="CT360" s="117"/>
      <c r="CU360" s="117"/>
      <c r="CV360" s="117"/>
      <c r="CW360" s="117"/>
      <c r="CX360" s="117"/>
      <c r="CY360" s="117"/>
      <c r="CZ360" s="117"/>
      <c r="DA360" s="117"/>
      <c r="DB360" s="117"/>
      <c r="DC360" s="117"/>
      <c r="DD360" s="117"/>
      <c r="DE360" s="117"/>
      <c r="DF360" s="117"/>
      <c r="DG360" s="117"/>
      <c r="DH360" s="117"/>
      <c r="DI360" s="117"/>
      <c r="DJ360" s="117"/>
      <c r="DK360" s="117"/>
      <c r="DL360" s="117"/>
      <c r="DM360" s="117"/>
      <c r="DN360" s="117"/>
      <c r="DO360" s="117"/>
      <c r="DP360" s="117"/>
      <c r="DQ360" s="117"/>
      <c r="DR360" s="117"/>
      <c r="DS360" s="117"/>
      <c r="DT360" s="117"/>
      <c r="DU360" s="117"/>
      <c r="DV360" s="117"/>
      <c r="DW360" s="117"/>
      <c r="DX360" s="117"/>
      <c r="DY360" s="117"/>
      <c r="DZ360" s="117"/>
      <c r="EA360" s="117"/>
      <c r="EB360" s="117"/>
      <c r="EC360" s="117"/>
      <c r="ED360" s="117"/>
      <c r="EE360" s="117"/>
      <c r="EF360" s="117"/>
      <c r="EG360" s="117"/>
      <c r="EH360" s="117"/>
    </row>
    <row r="361" spans="1:138" ht="12" customHeight="1" x14ac:dyDescent="0.4">
      <c r="A361" s="101"/>
      <c r="B361" s="101"/>
      <c r="C361" s="101">
        <f t="shared" si="0"/>
        <v>0</v>
      </c>
      <c r="D361" s="102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4"/>
      <c r="P361" s="105"/>
      <c r="Q361" s="105"/>
      <c r="R361" s="106"/>
      <c r="S361" s="107">
        <v>8</v>
      </c>
      <c r="T361" s="107">
        <v>0</v>
      </c>
      <c r="U361" s="107">
        <v>8</v>
      </c>
      <c r="V361" s="107">
        <v>0</v>
      </c>
      <c r="W361" s="108"/>
      <c r="X361" s="108"/>
      <c r="Y361" s="109"/>
      <c r="Z361" s="110">
        <v>0</v>
      </c>
      <c r="AA361" s="107"/>
      <c r="AB361" s="111"/>
      <c r="AC361" s="112"/>
      <c r="AD361" s="113"/>
      <c r="AE361" s="134"/>
    </row>
    <row r="362" spans="1:138" ht="12" customHeight="1" x14ac:dyDescent="0.4">
      <c r="A362" s="101"/>
      <c r="B362" s="101"/>
      <c r="C362" s="101">
        <f t="shared" si="0"/>
        <v>0</v>
      </c>
      <c r="D362" s="102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4"/>
      <c r="P362" s="105"/>
      <c r="Q362" s="105"/>
      <c r="R362" s="106"/>
      <c r="S362" s="107">
        <v>11</v>
      </c>
      <c r="T362" s="107">
        <v>0</v>
      </c>
      <c r="U362" s="107">
        <v>11</v>
      </c>
      <c r="V362" s="107">
        <v>0</v>
      </c>
      <c r="W362" s="108"/>
      <c r="X362" s="108"/>
      <c r="Y362" s="109"/>
      <c r="Z362" s="110">
        <v>0</v>
      </c>
      <c r="AA362" s="107"/>
      <c r="AB362" s="111"/>
      <c r="AC362" s="112"/>
      <c r="AD362" s="113"/>
      <c r="AE362" s="134"/>
    </row>
    <row r="363" spans="1:138" ht="12" customHeight="1" x14ac:dyDescent="0.4">
      <c r="A363" s="101"/>
      <c r="B363" s="101"/>
      <c r="C363" s="101">
        <f t="shared" si="0"/>
        <v>0</v>
      </c>
      <c r="D363" s="102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4"/>
      <c r="P363" s="105"/>
      <c r="Q363" s="105"/>
      <c r="R363" s="106"/>
      <c r="S363" s="107">
        <v>22</v>
      </c>
      <c r="T363" s="107">
        <v>0</v>
      </c>
      <c r="U363" s="107">
        <v>22</v>
      </c>
      <c r="V363" s="107">
        <v>0</v>
      </c>
      <c r="W363" s="108"/>
      <c r="X363" s="108"/>
      <c r="Y363" s="109"/>
      <c r="Z363" s="110">
        <v>0</v>
      </c>
      <c r="AA363" s="107"/>
      <c r="AB363" s="111"/>
      <c r="AC363" s="112"/>
      <c r="AD363" s="113"/>
      <c r="AE363" s="134"/>
    </row>
    <row r="364" spans="1:138" ht="12" customHeight="1" x14ac:dyDescent="0.4">
      <c r="A364" s="101"/>
      <c r="B364" s="101"/>
      <c r="C364" s="101">
        <f t="shared" si="0"/>
        <v>0</v>
      </c>
      <c r="D364" s="102"/>
      <c r="E364" s="103"/>
      <c r="F364" s="103"/>
      <c r="G364" s="103"/>
      <c r="H364" s="120"/>
      <c r="I364" s="103"/>
      <c r="J364" s="103"/>
      <c r="K364" s="103"/>
      <c r="L364" s="103"/>
      <c r="M364" s="103"/>
      <c r="N364" s="152"/>
      <c r="O364" s="104"/>
      <c r="P364" s="105"/>
      <c r="Q364" s="105"/>
      <c r="R364" s="106"/>
      <c r="S364" s="107">
        <v>41</v>
      </c>
      <c r="T364" s="107">
        <v>0</v>
      </c>
      <c r="U364" s="107">
        <v>41</v>
      </c>
      <c r="V364" s="107">
        <v>0</v>
      </c>
      <c r="W364" s="108"/>
      <c r="X364" s="108"/>
      <c r="Y364" s="109"/>
      <c r="Z364" s="110">
        <v>0</v>
      </c>
      <c r="AA364" s="107"/>
      <c r="AB364" s="111"/>
      <c r="AC364" s="112"/>
      <c r="AD364" s="113"/>
      <c r="AE364" s="137"/>
    </row>
    <row r="365" spans="1:138" ht="12" customHeight="1" x14ac:dyDescent="0.4">
      <c r="A365" s="101"/>
      <c r="B365" s="101"/>
      <c r="C365" s="101">
        <f t="shared" si="0"/>
        <v>0</v>
      </c>
      <c r="D365" s="102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4"/>
      <c r="P365" s="105"/>
      <c r="Q365" s="105"/>
      <c r="R365" s="106"/>
      <c r="S365" s="107">
        <v>8</v>
      </c>
      <c r="T365" s="107">
        <v>0</v>
      </c>
      <c r="U365" s="107">
        <v>8</v>
      </c>
      <c r="V365" s="107">
        <v>0</v>
      </c>
      <c r="W365" s="108"/>
      <c r="X365" s="108"/>
      <c r="Y365" s="109"/>
      <c r="Z365" s="110">
        <v>0</v>
      </c>
      <c r="AA365" s="107"/>
      <c r="AB365" s="111"/>
      <c r="AC365" s="112"/>
      <c r="AD365" s="113"/>
      <c r="AE365" s="134"/>
    </row>
    <row r="366" spans="1:138" ht="12" customHeight="1" x14ac:dyDescent="0.4">
      <c r="A366" s="101"/>
      <c r="B366" s="101"/>
      <c r="C366" s="101">
        <f t="shared" si="0"/>
        <v>0</v>
      </c>
      <c r="D366" s="102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4"/>
      <c r="P366" s="105"/>
      <c r="Q366" s="105"/>
      <c r="R366" s="106"/>
      <c r="S366" s="107">
        <v>11</v>
      </c>
      <c r="T366" s="107">
        <v>0</v>
      </c>
      <c r="U366" s="107">
        <v>11</v>
      </c>
      <c r="V366" s="107">
        <v>0</v>
      </c>
      <c r="W366" s="108"/>
      <c r="X366" s="108"/>
      <c r="Y366" s="109"/>
      <c r="Z366" s="110">
        <v>0</v>
      </c>
      <c r="AA366" s="107"/>
      <c r="AB366" s="111"/>
      <c r="AC366" s="112"/>
      <c r="AD366" s="113"/>
      <c r="AE366" s="134"/>
    </row>
    <row r="367" spans="1:138" ht="12" customHeight="1" x14ac:dyDescent="0.4">
      <c r="A367" s="101"/>
      <c r="B367" s="101"/>
      <c r="C367" s="101">
        <f t="shared" si="0"/>
        <v>0</v>
      </c>
      <c r="D367" s="102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4"/>
      <c r="P367" s="105"/>
      <c r="Q367" s="105"/>
      <c r="R367" s="106"/>
      <c r="S367" s="107">
        <v>22</v>
      </c>
      <c r="T367" s="107">
        <v>0</v>
      </c>
      <c r="U367" s="107">
        <v>22</v>
      </c>
      <c r="V367" s="107">
        <v>0</v>
      </c>
      <c r="W367" s="108"/>
      <c r="X367" s="108"/>
      <c r="Y367" s="109"/>
      <c r="Z367" s="110">
        <v>0</v>
      </c>
      <c r="AA367" s="107"/>
      <c r="AB367" s="111"/>
      <c r="AC367" s="112"/>
      <c r="AD367" s="113"/>
      <c r="AE367" s="134"/>
    </row>
    <row r="368" spans="1:138" ht="12" customHeight="1" x14ac:dyDescent="0.4">
      <c r="A368" s="101"/>
      <c r="B368" s="101"/>
      <c r="C368" s="101">
        <f t="shared" si="0"/>
        <v>0</v>
      </c>
      <c r="D368" s="102"/>
      <c r="E368" s="103"/>
      <c r="F368" s="103"/>
      <c r="G368" s="103"/>
      <c r="H368" s="120"/>
      <c r="I368" s="103"/>
      <c r="J368" s="103"/>
      <c r="K368" s="103"/>
      <c r="L368" s="103"/>
      <c r="M368" s="103"/>
      <c r="N368" s="152"/>
      <c r="O368" s="104"/>
      <c r="P368" s="105"/>
      <c r="Q368" s="105"/>
      <c r="R368" s="106"/>
      <c r="S368" s="107">
        <v>35</v>
      </c>
      <c r="T368" s="107">
        <v>0</v>
      </c>
      <c r="U368" s="107">
        <v>35</v>
      </c>
      <c r="V368" s="107">
        <v>0</v>
      </c>
      <c r="W368" s="108"/>
      <c r="X368" s="108"/>
      <c r="Y368" s="109"/>
      <c r="Z368" s="110">
        <v>0</v>
      </c>
      <c r="AA368" s="107"/>
      <c r="AB368" s="111"/>
      <c r="AC368" s="112"/>
      <c r="AD368" s="113"/>
      <c r="AE368" s="137"/>
    </row>
    <row r="369" spans="1:31" ht="12" customHeight="1" x14ac:dyDescent="0.4">
      <c r="A369" s="101"/>
      <c r="B369" s="101"/>
      <c r="C369" s="101">
        <f t="shared" si="0"/>
        <v>0</v>
      </c>
      <c r="D369" s="102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4"/>
      <c r="P369" s="105"/>
      <c r="Q369" s="105"/>
      <c r="R369" s="106"/>
      <c r="S369" s="107">
        <v>8</v>
      </c>
      <c r="T369" s="107">
        <v>0</v>
      </c>
      <c r="U369" s="107">
        <v>8</v>
      </c>
      <c r="V369" s="107">
        <v>0</v>
      </c>
      <c r="W369" s="108"/>
      <c r="X369" s="108"/>
      <c r="Y369" s="109"/>
      <c r="Z369" s="110">
        <v>0</v>
      </c>
      <c r="AA369" s="107"/>
      <c r="AB369" s="111"/>
      <c r="AC369" s="112"/>
      <c r="AD369" s="113"/>
      <c r="AE369" s="134"/>
    </row>
    <row r="370" spans="1:31" ht="12" customHeight="1" x14ac:dyDescent="0.4">
      <c r="A370" s="101"/>
      <c r="B370" s="101"/>
      <c r="C370" s="101">
        <f t="shared" si="0"/>
        <v>0</v>
      </c>
      <c r="D370" s="102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4"/>
      <c r="P370" s="105"/>
      <c r="Q370" s="105"/>
      <c r="R370" s="106"/>
      <c r="S370" s="107">
        <v>11</v>
      </c>
      <c r="T370" s="107">
        <v>0</v>
      </c>
      <c r="U370" s="107">
        <v>11</v>
      </c>
      <c r="V370" s="107">
        <v>0</v>
      </c>
      <c r="W370" s="108"/>
      <c r="X370" s="108"/>
      <c r="Y370" s="109"/>
      <c r="Z370" s="110">
        <v>0</v>
      </c>
      <c r="AA370" s="107"/>
      <c r="AB370" s="111"/>
      <c r="AC370" s="112"/>
      <c r="AD370" s="113"/>
      <c r="AE370" s="134"/>
    </row>
    <row r="371" spans="1:31" ht="12" customHeight="1" x14ac:dyDescent="0.4">
      <c r="A371" s="101"/>
      <c r="B371" s="101"/>
      <c r="C371" s="101">
        <f t="shared" si="0"/>
        <v>0</v>
      </c>
      <c r="D371" s="102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4"/>
      <c r="P371" s="105"/>
      <c r="Q371" s="105"/>
      <c r="R371" s="106"/>
      <c r="S371" s="107">
        <v>16</v>
      </c>
      <c r="T371" s="107">
        <v>0</v>
      </c>
      <c r="U371" s="107">
        <v>16</v>
      </c>
      <c r="V371" s="107">
        <v>0</v>
      </c>
      <c r="W371" s="108"/>
      <c r="X371" s="108"/>
      <c r="Y371" s="109"/>
      <c r="Z371" s="110">
        <v>0</v>
      </c>
      <c r="AA371" s="107"/>
      <c r="AB371" s="111"/>
      <c r="AC371" s="112"/>
      <c r="AD371" s="113"/>
      <c r="AE371" s="134"/>
    </row>
    <row r="372" spans="1:31" ht="12" customHeight="1" x14ac:dyDescent="0.4">
      <c r="A372" s="101"/>
      <c r="B372" s="101"/>
      <c r="C372" s="101">
        <f t="shared" si="0"/>
        <v>0</v>
      </c>
      <c r="D372" s="102"/>
      <c r="E372" s="103"/>
      <c r="F372" s="103"/>
      <c r="G372" s="103"/>
      <c r="H372" s="120"/>
      <c r="I372" s="103"/>
      <c r="J372" s="103"/>
      <c r="K372" s="103"/>
      <c r="L372" s="103"/>
      <c r="M372" s="103"/>
      <c r="N372" s="152"/>
      <c r="O372" s="104"/>
      <c r="P372" s="105"/>
      <c r="Q372" s="105"/>
      <c r="R372" s="106"/>
      <c r="S372" s="107">
        <v>35</v>
      </c>
      <c r="T372" s="107">
        <v>0</v>
      </c>
      <c r="U372" s="107">
        <v>35</v>
      </c>
      <c r="V372" s="107">
        <v>0</v>
      </c>
      <c r="W372" s="108"/>
      <c r="X372" s="108"/>
      <c r="Y372" s="109"/>
      <c r="Z372" s="110">
        <v>0</v>
      </c>
      <c r="AA372" s="107"/>
      <c r="AB372" s="111"/>
      <c r="AC372" s="112"/>
      <c r="AD372" s="113"/>
      <c r="AE372" s="137"/>
    </row>
    <row r="373" spans="1:31" ht="12" customHeight="1" x14ac:dyDescent="0.4">
      <c r="A373" s="101"/>
      <c r="B373" s="101"/>
      <c r="C373" s="101">
        <f t="shared" si="0"/>
        <v>0</v>
      </c>
      <c r="D373" s="102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4"/>
      <c r="P373" s="105"/>
      <c r="Q373" s="105"/>
      <c r="R373" s="106"/>
      <c r="S373" s="107">
        <v>8</v>
      </c>
      <c r="T373" s="107">
        <v>0</v>
      </c>
      <c r="U373" s="107">
        <v>8</v>
      </c>
      <c r="V373" s="107">
        <v>0</v>
      </c>
      <c r="W373" s="108"/>
      <c r="X373" s="108"/>
      <c r="Y373" s="109"/>
      <c r="Z373" s="110">
        <v>0</v>
      </c>
      <c r="AA373" s="107"/>
      <c r="AB373" s="111"/>
      <c r="AC373" s="112"/>
      <c r="AD373" s="113"/>
      <c r="AE373" s="134"/>
    </row>
    <row r="374" spans="1:31" ht="12" customHeight="1" x14ac:dyDescent="0.4">
      <c r="A374" s="101"/>
      <c r="B374" s="101"/>
      <c r="C374" s="101">
        <f t="shared" si="0"/>
        <v>0</v>
      </c>
      <c r="D374" s="102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4"/>
      <c r="P374" s="105"/>
      <c r="Q374" s="105"/>
      <c r="R374" s="106"/>
      <c r="S374" s="107">
        <v>11</v>
      </c>
      <c r="T374" s="107">
        <v>0</v>
      </c>
      <c r="U374" s="107">
        <v>11</v>
      </c>
      <c r="V374" s="107">
        <v>0</v>
      </c>
      <c r="W374" s="108"/>
      <c r="X374" s="108"/>
      <c r="Y374" s="109"/>
      <c r="Z374" s="110">
        <v>0</v>
      </c>
      <c r="AA374" s="107"/>
      <c r="AB374" s="111"/>
      <c r="AC374" s="112"/>
      <c r="AD374" s="113"/>
      <c r="AE374" s="134"/>
    </row>
    <row r="375" spans="1:31" ht="12" customHeight="1" x14ac:dyDescent="0.4">
      <c r="A375" s="101"/>
      <c r="B375" s="101"/>
      <c r="C375" s="101">
        <f t="shared" si="0"/>
        <v>0</v>
      </c>
      <c r="D375" s="102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4"/>
      <c r="P375" s="105"/>
      <c r="Q375" s="105"/>
      <c r="R375" s="106"/>
      <c r="S375" s="107">
        <v>16</v>
      </c>
      <c r="T375" s="107">
        <v>0</v>
      </c>
      <c r="U375" s="107">
        <v>16</v>
      </c>
      <c r="V375" s="107">
        <v>0</v>
      </c>
      <c r="W375" s="108"/>
      <c r="X375" s="108"/>
      <c r="Y375" s="109"/>
      <c r="Z375" s="110">
        <v>0</v>
      </c>
      <c r="AA375" s="107"/>
      <c r="AB375" s="111"/>
      <c r="AC375" s="112"/>
      <c r="AD375" s="113"/>
      <c r="AE375" s="134"/>
    </row>
    <row r="376" spans="1:31" ht="12" customHeight="1" x14ac:dyDescent="0.4">
      <c r="A376" s="101"/>
      <c r="B376" s="101"/>
      <c r="C376" s="101">
        <f t="shared" si="0"/>
        <v>0</v>
      </c>
      <c r="D376" s="102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4"/>
      <c r="P376" s="105"/>
      <c r="Q376" s="105"/>
      <c r="R376" s="106"/>
      <c r="S376" s="107">
        <v>33</v>
      </c>
      <c r="T376" s="107">
        <v>0</v>
      </c>
      <c r="U376" s="107">
        <v>33</v>
      </c>
      <c r="V376" s="107">
        <v>0</v>
      </c>
      <c r="W376" s="108"/>
      <c r="X376" s="108"/>
      <c r="Y376" s="109"/>
      <c r="Z376" s="110">
        <v>0</v>
      </c>
      <c r="AA376" s="107"/>
      <c r="AB376" s="111"/>
      <c r="AC376" s="112"/>
      <c r="AD376" s="113"/>
      <c r="AE376" s="137"/>
    </row>
    <row r="377" spans="1:31" ht="12" customHeight="1" x14ac:dyDescent="0.4">
      <c r="A377" s="101"/>
      <c r="B377" s="101"/>
      <c r="C377" s="101">
        <f t="shared" si="0"/>
        <v>0</v>
      </c>
      <c r="D377" s="102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4"/>
      <c r="P377" s="105"/>
      <c r="Q377" s="105"/>
      <c r="R377" s="106"/>
      <c r="S377" s="107">
        <v>33</v>
      </c>
      <c r="T377" s="107">
        <v>0</v>
      </c>
      <c r="U377" s="107">
        <v>33</v>
      </c>
      <c r="V377" s="107">
        <v>0</v>
      </c>
      <c r="W377" s="108"/>
      <c r="X377" s="108"/>
      <c r="Y377" s="109"/>
      <c r="Z377" s="110">
        <v>0</v>
      </c>
      <c r="AA377" s="107"/>
      <c r="AB377" s="111"/>
      <c r="AC377" s="112"/>
      <c r="AD377" s="113"/>
      <c r="AE377" s="137"/>
    </row>
    <row r="378" spans="1:31" ht="12" customHeight="1" x14ac:dyDescent="0.4">
      <c r="A378" s="101"/>
      <c r="B378" s="101"/>
      <c r="C378" s="101">
        <f t="shared" si="0"/>
        <v>0</v>
      </c>
      <c r="D378" s="102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4"/>
      <c r="P378" s="105"/>
      <c r="Q378" s="105"/>
      <c r="R378" s="106"/>
      <c r="S378" s="107">
        <v>11</v>
      </c>
      <c r="T378" s="107">
        <v>0</v>
      </c>
      <c r="U378" s="107">
        <v>11</v>
      </c>
      <c r="V378" s="107">
        <v>0</v>
      </c>
      <c r="W378" s="108"/>
      <c r="X378" s="108"/>
      <c r="Y378" s="109"/>
      <c r="Z378" s="110">
        <v>0</v>
      </c>
      <c r="AA378" s="107"/>
      <c r="AB378" s="111"/>
      <c r="AC378" s="112"/>
      <c r="AD378" s="113"/>
      <c r="AE378" s="134"/>
    </row>
    <row r="379" spans="1:31" ht="12" customHeight="1" x14ac:dyDescent="0.4">
      <c r="A379" s="101"/>
      <c r="B379" s="101"/>
      <c r="C379" s="101">
        <f t="shared" si="0"/>
        <v>0</v>
      </c>
      <c r="D379" s="102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4"/>
      <c r="P379" s="105"/>
      <c r="Q379" s="105"/>
      <c r="R379" s="106"/>
      <c r="S379" s="107">
        <v>11</v>
      </c>
      <c r="T379" s="107">
        <v>0</v>
      </c>
      <c r="U379" s="107">
        <v>11</v>
      </c>
      <c r="V379" s="107">
        <v>0</v>
      </c>
      <c r="W379" s="108"/>
      <c r="X379" s="108"/>
      <c r="Y379" s="109"/>
      <c r="Z379" s="110">
        <v>0</v>
      </c>
      <c r="AA379" s="107"/>
      <c r="AB379" s="111"/>
      <c r="AC379" s="112"/>
      <c r="AD379" s="113"/>
      <c r="AE379" s="134"/>
    </row>
    <row r="380" spans="1:31" ht="12" customHeight="1" x14ac:dyDescent="0.4">
      <c r="A380" s="101"/>
      <c r="B380" s="101"/>
      <c r="C380" s="101">
        <f t="shared" si="0"/>
        <v>0</v>
      </c>
      <c r="D380" s="102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4"/>
      <c r="P380" s="105"/>
      <c r="Q380" s="105"/>
      <c r="R380" s="106"/>
      <c r="S380" s="107">
        <v>11</v>
      </c>
      <c r="T380" s="107">
        <v>0</v>
      </c>
      <c r="U380" s="107">
        <v>11</v>
      </c>
      <c r="V380" s="107">
        <v>0</v>
      </c>
      <c r="W380" s="108"/>
      <c r="X380" s="108"/>
      <c r="Y380" s="109"/>
      <c r="Z380" s="110">
        <v>0</v>
      </c>
      <c r="AA380" s="107"/>
      <c r="AB380" s="111"/>
      <c r="AC380" s="112"/>
      <c r="AD380" s="113"/>
      <c r="AE380" s="134"/>
    </row>
    <row r="381" spans="1:31" ht="12" customHeight="1" x14ac:dyDescent="0.4">
      <c r="A381" s="101"/>
      <c r="B381" s="101"/>
      <c r="C381" s="101">
        <f t="shared" si="0"/>
        <v>0</v>
      </c>
      <c r="D381" s="102"/>
      <c r="E381" s="103"/>
      <c r="F381" s="103"/>
      <c r="G381" s="136"/>
      <c r="H381" s="103"/>
      <c r="I381" s="103"/>
      <c r="J381" s="103"/>
      <c r="K381" s="103"/>
      <c r="L381" s="103"/>
      <c r="M381" s="103"/>
      <c r="N381" s="103"/>
      <c r="O381" s="104"/>
      <c r="P381" s="105"/>
      <c r="Q381" s="105"/>
      <c r="R381" s="106"/>
      <c r="S381" s="107">
        <v>58</v>
      </c>
      <c r="T381" s="107">
        <v>0</v>
      </c>
      <c r="U381" s="107">
        <v>58</v>
      </c>
      <c r="V381" s="107">
        <v>0</v>
      </c>
      <c r="W381" s="108"/>
      <c r="X381" s="108"/>
      <c r="Y381" s="109"/>
      <c r="Z381" s="110">
        <v>0</v>
      </c>
      <c r="AA381" s="107"/>
      <c r="AB381" s="111"/>
      <c r="AC381" s="112"/>
      <c r="AD381" s="113"/>
      <c r="AE381" s="137"/>
    </row>
    <row r="382" spans="1:31" ht="12" customHeight="1" x14ac:dyDescent="0.4">
      <c r="A382" s="101"/>
      <c r="B382" s="101"/>
      <c r="C382" s="101">
        <f t="shared" si="0"/>
        <v>0</v>
      </c>
      <c r="D382" s="102"/>
      <c r="E382" s="103"/>
      <c r="F382" s="103"/>
      <c r="G382" s="103"/>
      <c r="H382" s="136"/>
      <c r="I382" s="103"/>
      <c r="J382" s="103"/>
      <c r="K382" s="103"/>
      <c r="L382" s="103"/>
      <c r="M382" s="103"/>
      <c r="N382" s="103"/>
      <c r="O382" s="104"/>
      <c r="P382" s="105"/>
      <c r="Q382" s="105"/>
      <c r="R382" s="106"/>
      <c r="S382" s="107">
        <v>58</v>
      </c>
      <c r="T382" s="107">
        <v>0</v>
      </c>
      <c r="U382" s="107">
        <v>58</v>
      </c>
      <c r="V382" s="107">
        <v>0</v>
      </c>
      <c r="W382" s="108"/>
      <c r="X382" s="108"/>
      <c r="Y382" s="109"/>
      <c r="Z382" s="110">
        <v>0</v>
      </c>
      <c r="AA382" s="107"/>
      <c r="AB382" s="111"/>
      <c r="AC382" s="112"/>
      <c r="AD382" s="113"/>
      <c r="AE382" s="137"/>
    </row>
    <row r="383" spans="1:31" ht="12" customHeight="1" x14ac:dyDescent="0.4">
      <c r="A383" s="101"/>
      <c r="B383" s="101"/>
      <c r="C383" s="101">
        <f t="shared" si="0"/>
        <v>0</v>
      </c>
      <c r="D383" s="102"/>
      <c r="E383" s="103"/>
      <c r="F383" s="103"/>
      <c r="G383" s="103"/>
      <c r="H383" s="103"/>
      <c r="I383" s="103"/>
      <c r="J383" s="103"/>
      <c r="K383" s="103"/>
      <c r="L383" s="103"/>
      <c r="M383" s="103"/>
      <c r="N383" s="152"/>
      <c r="O383" s="104"/>
      <c r="P383" s="105"/>
      <c r="Q383" s="105"/>
      <c r="R383" s="106"/>
      <c r="S383" s="107">
        <v>8</v>
      </c>
      <c r="T383" s="107">
        <v>0</v>
      </c>
      <c r="U383" s="107">
        <v>8</v>
      </c>
      <c r="V383" s="107">
        <v>0</v>
      </c>
      <c r="W383" s="108"/>
      <c r="X383" s="108"/>
      <c r="Y383" s="109"/>
      <c r="Z383" s="110">
        <v>0</v>
      </c>
      <c r="AA383" s="107"/>
      <c r="AB383" s="111"/>
      <c r="AC383" s="112"/>
      <c r="AD383" s="113"/>
      <c r="AE383" s="134"/>
    </row>
    <row r="384" spans="1:31" ht="12" customHeight="1" x14ac:dyDescent="0.4">
      <c r="A384" s="101"/>
      <c r="B384" s="101"/>
      <c r="C384" s="101">
        <f t="shared" si="0"/>
        <v>0</v>
      </c>
      <c r="D384" s="102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4"/>
      <c r="P384" s="105"/>
      <c r="Q384" s="105"/>
      <c r="R384" s="106"/>
      <c r="S384" s="107">
        <v>15</v>
      </c>
      <c r="T384" s="107">
        <v>0</v>
      </c>
      <c r="U384" s="107">
        <v>15</v>
      </c>
      <c r="V384" s="107">
        <v>0</v>
      </c>
      <c r="W384" s="108"/>
      <c r="X384" s="108"/>
      <c r="Y384" s="109"/>
      <c r="Z384" s="110">
        <v>0</v>
      </c>
      <c r="AA384" s="107"/>
      <c r="AB384" s="111"/>
      <c r="AC384" s="112"/>
      <c r="AD384" s="113"/>
      <c r="AE384" s="134"/>
    </row>
    <row r="385" spans="1:31" ht="12" customHeight="1" x14ac:dyDescent="0.4">
      <c r="A385" s="101"/>
      <c r="B385" s="101"/>
      <c r="C385" s="101">
        <f t="shared" si="0"/>
        <v>0</v>
      </c>
      <c r="D385" s="102"/>
      <c r="E385" s="103"/>
      <c r="F385" s="103"/>
      <c r="G385" s="103"/>
      <c r="H385" s="103"/>
      <c r="I385" s="103"/>
      <c r="J385" s="103"/>
      <c r="K385" s="103"/>
      <c r="L385" s="103"/>
      <c r="M385" s="103"/>
      <c r="N385" s="152"/>
      <c r="O385" s="104"/>
      <c r="P385" s="169"/>
      <c r="Q385" s="105"/>
      <c r="R385" s="106"/>
      <c r="S385" s="107">
        <v>16</v>
      </c>
      <c r="T385" s="107">
        <v>0</v>
      </c>
      <c r="U385" s="107">
        <v>16</v>
      </c>
      <c r="V385" s="107">
        <v>0</v>
      </c>
      <c r="W385" s="108"/>
      <c r="X385" s="108"/>
      <c r="Y385" s="109"/>
      <c r="Z385" s="110">
        <v>0</v>
      </c>
      <c r="AA385" s="107"/>
      <c r="AB385" s="111"/>
      <c r="AC385" s="112"/>
      <c r="AD385" s="113"/>
      <c r="AE385" s="134"/>
    </row>
    <row r="386" spans="1:31" ht="12" customHeight="1" x14ac:dyDescent="0.4">
      <c r="A386" s="101"/>
      <c r="B386" s="101"/>
      <c r="C386" s="101">
        <f t="shared" si="0"/>
        <v>0</v>
      </c>
      <c r="D386" s="102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4"/>
      <c r="P386" s="105"/>
      <c r="Q386" s="105"/>
      <c r="R386" s="106"/>
      <c r="S386" s="107">
        <v>8</v>
      </c>
      <c r="T386" s="107">
        <v>0</v>
      </c>
      <c r="U386" s="107">
        <v>8</v>
      </c>
      <c r="V386" s="107">
        <v>0</v>
      </c>
      <c r="W386" s="108"/>
      <c r="X386" s="108"/>
      <c r="Y386" s="109"/>
      <c r="Z386" s="110">
        <v>0</v>
      </c>
      <c r="AA386" s="107"/>
      <c r="AB386" s="111"/>
      <c r="AC386" s="112"/>
      <c r="AD386" s="113"/>
      <c r="AE386" s="134"/>
    </row>
    <row r="387" spans="1:31" ht="12" customHeight="1" x14ac:dyDescent="0.4">
      <c r="A387" s="101"/>
      <c r="B387" s="101"/>
      <c r="C387" s="101">
        <f t="shared" si="0"/>
        <v>0</v>
      </c>
      <c r="D387" s="102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4"/>
      <c r="P387" s="105"/>
      <c r="Q387" s="105"/>
      <c r="R387" s="106"/>
      <c r="S387" s="107">
        <v>11</v>
      </c>
      <c r="T387" s="107">
        <v>0</v>
      </c>
      <c r="U387" s="107">
        <v>11</v>
      </c>
      <c r="V387" s="107">
        <v>0</v>
      </c>
      <c r="W387" s="108"/>
      <c r="X387" s="108"/>
      <c r="Y387" s="109"/>
      <c r="Z387" s="110">
        <v>0</v>
      </c>
      <c r="AA387" s="107"/>
      <c r="AB387" s="111"/>
      <c r="AC387" s="112"/>
      <c r="AD387" s="113"/>
      <c r="AE387" s="134"/>
    </row>
    <row r="388" spans="1:31" ht="12" customHeight="1" x14ac:dyDescent="0.4">
      <c r="A388" s="101"/>
      <c r="B388" s="101"/>
      <c r="C388" s="101">
        <f t="shared" si="0"/>
        <v>0</v>
      </c>
      <c r="D388" s="102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4"/>
      <c r="P388" s="105"/>
      <c r="Q388" s="105"/>
      <c r="R388" s="106"/>
      <c r="S388" s="107">
        <v>132</v>
      </c>
      <c r="T388" s="107">
        <v>0</v>
      </c>
      <c r="U388" s="107">
        <v>132</v>
      </c>
      <c r="V388" s="107">
        <v>0</v>
      </c>
      <c r="W388" s="108"/>
      <c r="X388" s="108"/>
      <c r="Y388" s="109"/>
      <c r="Z388" s="110">
        <v>0</v>
      </c>
      <c r="AA388" s="107"/>
      <c r="AB388" s="111"/>
      <c r="AC388" s="112"/>
      <c r="AD388" s="113"/>
      <c r="AE388" s="137"/>
    </row>
    <row r="389" spans="1:31" ht="12" customHeight="1" x14ac:dyDescent="0.4">
      <c r="A389" s="101"/>
      <c r="B389" s="101"/>
      <c r="C389" s="101">
        <f t="shared" si="0"/>
        <v>0</v>
      </c>
      <c r="D389" s="102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4"/>
      <c r="P389" s="105"/>
      <c r="Q389" s="105"/>
      <c r="R389" s="106"/>
      <c r="S389" s="107">
        <v>66</v>
      </c>
      <c r="T389" s="107">
        <v>0</v>
      </c>
      <c r="U389" s="107">
        <v>66</v>
      </c>
      <c r="V389" s="107">
        <v>0</v>
      </c>
      <c r="W389" s="108"/>
      <c r="X389" s="108"/>
      <c r="Y389" s="109"/>
      <c r="Z389" s="110">
        <v>0</v>
      </c>
      <c r="AA389" s="107"/>
      <c r="AB389" s="111"/>
      <c r="AC389" s="112"/>
      <c r="AD389" s="113"/>
      <c r="AE389" s="137"/>
    </row>
    <row r="390" spans="1:31" ht="12" customHeight="1" x14ac:dyDescent="0.4">
      <c r="A390" s="101"/>
      <c r="B390" s="101"/>
      <c r="C390" s="101">
        <f t="shared" si="0"/>
        <v>0</v>
      </c>
      <c r="D390" s="102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4"/>
      <c r="P390" s="105"/>
      <c r="Q390" s="105"/>
      <c r="R390" s="106"/>
      <c r="S390" s="107">
        <v>23</v>
      </c>
      <c r="T390" s="107">
        <v>0</v>
      </c>
      <c r="U390" s="107">
        <v>23</v>
      </c>
      <c r="V390" s="107">
        <v>0</v>
      </c>
      <c r="W390" s="108"/>
      <c r="X390" s="108"/>
      <c r="Y390" s="109"/>
      <c r="Z390" s="110">
        <v>0</v>
      </c>
      <c r="AA390" s="107"/>
      <c r="AB390" s="111"/>
      <c r="AC390" s="112"/>
      <c r="AD390" s="113"/>
      <c r="AE390" s="137"/>
    </row>
    <row r="391" spans="1:31" ht="12" customHeight="1" x14ac:dyDescent="0.4">
      <c r="A391" s="101"/>
      <c r="B391" s="101"/>
      <c r="C391" s="101">
        <f t="shared" si="0"/>
        <v>0</v>
      </c>
      <c r="D391" s="102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4"/>
      <c r="P391" s="105"/>
      <c r="Q391" s="105"/>
      <c r="R391" s="106"/>
      <c r="S391" s="107">
        <v>15</v>
      </c>
      <c r="T391" s="107">
        <v>0</v>
      </c>
      <c r="U391" s="107">
        <v>15</v>
      </c>
      <c r="V391" s="107">
        <v>0</v>
      </c>
      <c r="W391" s="108"/>
      <c r="X391" s="108"/>
      <c r="Y391" s="109"/>
      <c r="Z391" s="110">
        <v>0</v>
      </c>
      <c r="AA391" s="107"/>
      <c r="AB391" s="111"/>
      <c r="AC391" s="112"/>
      <c r="AD391" s="113"/>
      <c r="AE391" s="134"/>
    </row>
    <row r="392" spans="1:31" ht="12" customHeight="1" x14ac:dyDescent="0.4">
      <c r="A392" s="101"/>
      <c r="B392" s="101"/>
      <c r="C392" s="101">
        <f t="shared" si="0"/>
        <v>0</v>
      </c>
      <c r="D392" s="102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4"/>
      <c r="P392" s="105"/>
      <c r="Q392" s="105"/>
      <c r="R392" s="106"/>
      <c r="S392" s="107">
        <v>8</v>
      </c>
      <c r="T392" s="107">
        <v>0</v>
      </c>
      <c r="U392" s="107">
        <v>8</v>
      </c>
      <c r="V392" s="107">
        <v>0</v>
      </c>
      <c r="W392" s="108"/>
      <c r="X392" s="108"/>
      <c r="Y392" s="109"/>
      <c r="Z392" s="110">
        <v>0</v>
      </c>
      <c r="AA392" s="107"/>
      <c r="AB392" s="111"/>
      <c r="AC392" s="112"/>
      <c r="AD392" s="113"/>
      <c r="AE392" s="134"/>
    </row>
    <row r="393" spans="1:31" ht="12" customHeight="1" x14ac:dyDescent="0.4">
      <c r="A393" s="101"/>
      <c r="B393" s="101"/>
      <c r="C393" s="101">
        <f t="shared" si="0"/>
        <v>0</v>
      </c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4"/>
      <c r="P393" s="105"/>
      <c r="Q393" s="105"/>
      <c r="R393" s="108">
        <v>44620</v>
      </c>
      <c r="S393" s="107">
        <v>23</v>
      </c>
      <c r="T393" s="107">
        <v>0</v>
      </c>
      <c r="U393" s="107">
        <v>23</v>
      </c>
      <c r="V393" s="107">
        <v>0</v>
      </c>
      <c r="W393" s="108"/>
      <c r="X393" s="108"/>
      <c r="Y393" s="109"/>
      <c r="Z393" s="110">
        <v>0</v>
      </c>
      <c r="AA393" s="107"/>
      <c r="AB393" s="111"/>
      <c r="AC393" s="112"/>
      <c r="AD393" s="113"/>
      <c r="AE393" s="137"/>
    </row>
    <row r="394" spans="1:31" ht="12" customHeight="1" x14ac:dyDescent="0.4">
      <c r="A394" s="101"/>
      <c r="B394" s="101"/>
      <c r="C394" s="101">
        <f t="shared" si="0"/>
        <v>0</v>
      </c>
      <c r="D394" s="102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4"/>
      <c r="P394" s="105"/>
      <c r="Q394" s="105"/>
      <c r="R394" s="108">
        <v>44627</v>
      </c>
      <c r="S394" s="107">
        <v>15</v>
      </c>
      <c r="T394" s="107">
        <v>0</v>
      </c>
      <c r="U394" s="107">
        <v>15</v>
      </c>
      <c r="V394" s="107">
        <v>0</v>
      </c>
      <c r="W394" s="108"/>
      <c r="X394" s="108"/>
      <c r="Y394" s="109"/>
      <c r="Z394" s="110">
        <v>0</v>
      </c>
      <c r="AA394" s="107"/>
      <c r="AB394" s="111"/>
      <c r="AC394" s="112"/>
      <c r="AD394" s="113"/>
      <c r="AE394" s="134"/>
    </row>
    <row r="395" spans="1:31" ht="12" customHeight="1" x14ac:dyDescent="0.4">
      <c r="A395" s="101"/>
      <c r="B395" s="101"/>
      <c r="C395" s="101">
        <f t="shared" si="0"/>
        <v>0</v>
      </c>
      <c r="D395" s="102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4"/>
      <c r="P395" s="105"/>
      <c r="Q395" s="105"/>
      <c r="R395" s="106"/>
      <c r="S395" s="107">
        <v>8</v>
      </c>
      <c r="T395" s="107">
        <v>0</v>
      </c>
      <c r="U395" s="107">
        <v>8</v>
      </c>
      <c r="V395" s="107">
        <v>0</v>
      </c>
      <c r="W395" s="108"/>
      <c r="X395" s="108"/>
      <c r="Y395" s="109"/>
      <c r="Z395" s="110">
        <v>0</v>
      </c>
      <c r="AA395" s="107"/>
      <c r="AB395" s="111"/>
      <c r="AC395" s="112"/>
      <c r="AD395" s="113"/>
      <c r="AE395" s="134"/>
    </row>
    <row r="396" spans="1:31" ht="12" customHeight="1" x14ac:dyDescent="0.4">
      <c r="A396" s="101"/>
      <c r="B396" s="101"/>
      <c r="C396" s="101">
        <f t="shared" si="0"/>
        <v>0</v>
      </c>
      <c r="D396" s="102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4"/>
      <c r="P396" s="105"/>
      <c r="Q396" s="105"/>
      <c r="R396" s="106"/>
      <c r="S396" s="107">
        <v>19</v>
      </c>
      <c r="T396" s="107">
        <v>0</v>
      </c>
      <c r="U396" s="107">
        <v>19</v>
      </c>
      <c r="V396" s="107">
        <v>0</v>
      </c>
      <c r="W396" s="108"/>
      <c r="X396" s="108"/>
      <c r="Y396" s="109"/>
      <c r="Z396" s="110">
        <v>0</v>
      </c>
      <c r="AA396" s="107"/>
      <c r="AB396" s="111"/>
      <c r="AC396" s="112"/>
      <c r="AD396" s="113"/>
      <c r="AE396" s="137"/>
    </row>
    <row r="397" spans="1:31" ht="12" customHeight="1" x14ac:dyDescent="0.4">
      <c r="A397" s="101"/>
      <c r="B397" s="101"/>
      <c r="C397" s="101">
        <f t="shared" si="0"/>
        <v>0</v>
      </c>
      <c r="D397" s="102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4"/>
      <c r="P397" s="105"/>
      <c r="Q397" s="105"/>
      <c r="R397" s="106"/>
      <c r="S397" s="107">
        <v>11</v>
      </c>
      <c r="T397" s="107">
        <v>0</v>
      </c>
      <c r="U397" s="107">
        <v>11</v>
      </c>
      <c r="V397" s="107">
        <v>0</v>
      </c>
      <c r="W397" s="108"/>
      <c r="X397" s="108"/>
      <c r="Y397" s="109"/>
      <c r="Z397" s="110">
        <v>0</v>
      </c>
      <c r="AA397" s="107"/>
      <c r="AB397" s="111"/>
      <c r="AC397" s="112"/>
      <c r="AD397" s="113"/>
      <c r="AE397" s="134"/>
    </row>
    <row r="398" spans="1:31" ht="12" customHeight="1" x14ac:dyDescent="0.4">
      <c r="A398" s="101"/>
      <c r="B398" s="101"/>
      <c r="C398" s="101">
        <f t="shared" si="0"/>
        <v>0</v>
      </c>
      <c r="D398" s="102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4"/>
      <c r="P398" s="105"/>
      <c r="Q398" s="105"/>
      <c r="R398" s="106"/>
      <c r="S398" s="107">
        <v>8</v>
      </c>
      <c r="T398" s="107">
        <v>0</v>
      </c>
      <c r="U398" s="107">
        <v>8</v>
      </c>
      <c r="V398" s="107">
        <v>0</v>
      </c>
      <c r="W398" s="108"/>
      <c r="X398" s="108"/>
      <c r="Y398" s="109"/>
      <c r="Z398" s="110">
        <v>0</v>
      </c>
      <c r="AA398" s="107"/>
      <c r="AB398" s="111"/>
      <c r="AC398" s="112"/>
      <c r="AD398" s="113"/>
      <c r="AE398" s="134"/>
    </row>
    <row r="399" spans="1:31" ht="12" customHeight="1" x14ac:dyDescent="0.4">
      <c r="A399" s="101"/>
      <c r="B399" s="101"/>
      <c r="C399" s="101">
        <f t="shared" si="0"/>
        <v>0</v>
      </c>
      <c r="D399" s="102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4"/>
      <c r="P399" s="105"/>
      <c r="Q399" s="105"/>
      <c r="R399" s="106"/>
      <c r="S399" s="107">
        <v>19</v>
      </c>
      <c r="T399" s="107">
        <v>0</v>
      </c>
      <c r="U399" s="107">
        <v>19</v>
      </c>
      <c r="V399" s="107">
        <v>0</v>
      </c>
      <c r="W399" s="108"/>
      <c r="X399" s="108"/>
      <c r="Y399" s="109"/>
      <c r="Z399" s="110">
        <v>0</v>
      </c>
      <c r="AA399" s="107"/>
      <c r="AB399" s="111"/>
      <c r="AC399" s="112"/>
      <c r="AD399" s="113"/>
      <c r="AE399" s="137"/>
    </row>
    <row r="400" spans="1:31" ht="12" customHeight="1" x14ac:dyDescent="0.4">
      <c r="A400" s="101"/>
      <c r="B400" s="101"/>
      <c r="C400" s="101">
        <f t="shared" si="0"/>
        <v>0</v>
      </c>
      <c r="D400" s="102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4"/>
      <c r="P400" s="105"/>
      <c r="Q400" s="105"/>
      <c r="R400" s="106"/>
      <c r="S400" s="107">
        <v>11</v>
      </c>
      <c r="T400" s="107">
        <v>0</v>
      </c>
      <c r="U400" s="107">
        <v>11</v>
      </c>
      <c r="V400" s="107">
        <v>0</v>
      </c>
      <c r="W400" s="108"/>
      <c r="X400" s="108"/>
      <c r="Y400" s="109"/>
      <c r="Z400" s="110">
        <v>0</v>
      </c>
      <c r="AA400" s="107"/>
      <c r="AB400" s="111"/>
      <c r="AC400" s="112"/>
      <c r="AD400" s="113"/>
      <c r="AE400" s="134"/>
    </row>
    <row r="401" spans="1:31" ht="12" customHeight="1" x14ac:dyDescent="0.4">
      <c r="A401" s="170"/>
      <c r="B401" s="170"/>
      <c r="C401" s="170"/>
      <c r="D401" s="170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2"/>
      <c r="P401" s="173"/>
      <c r="Q401" s="173"/>
      <c r="R401" s="174"/>
      <c r="S401" s="175"/>
      <c r="T401" s="175"/>
      <c r="U401" s="175"/>
      <c r="V401" s="175"/>
      <c r="W401" s="173"/>
      <c r="X401" s="173"/>
      <c r="Y401" s="176"/>
      <c r="Z401" s="177"/>
      <c r="AA401" s="175"/>
      <c r="AB401" s="178"/>
      <c r="AC401" s="179"/>
      <c r="AD401" s="180"/>
      <c r="AE401" s="181"/>
    </row>
  </sheetData>
  <sheetProtection formatCells="0" formatColumns="0" formatRows="0" insertColumns="0" insertRows="0" insertHyperlinks="0" deleteColumns="0" deleteRows="0" sort="0" autoFilter="0" pivotTables="0"/>
  <dataConsolidate/>
  <mergeCells count="77">
    <mergeCell ref="AV2:AY2"/>
    <mergeCell ref="D2:F2"/>
    <mergeCell ref="AF2:AI2"/>
    <mergeCell ref="AJ2:AM2"/>
    <mergeCell ref="AN2:AQ2"/>
    <mergeCell ref="AR2:AU2"/>
    <mergeCell ref="CR2:CU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DT2:DW2"/>
    <mergeCell ref="DX2:EA2"/>
    <mergeCell ref="EB2:EE2"/>
    <mergeCell ref="EF2:EI2"/>
    <mergeCell ref="A3:A4"/>
    <mergeCell ref="B3:B4"/>
    <mergeCell ref="C3:C4"/>
    <mergeCell ref="D3:D4"/>
    <mergeCell ref="E3:N4"/>
    <mergeCell ref="O3:O4"/>
    <mergeCell ref="CV2:CY2"/>
    <mergeCell ref="CZ2:DC2"/>
    <mergeCell ref="DD2:DG2"/>
    <mergeCell ref="DH2:DK2"/>
    <mergeCell ref="DL2:DO2"/>
    <mergeCell ref="DP2:DS2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BH3:BK3"/>
    <mergeCell ref="AB3:AB4"/>
    <mergeCell ref="AC3:AC4"/>
    <mergeCell ref="AD3:AD4"/>
    <mergeCell ref="AE3:AE4"/>
    <mergeCell ref="AF3:AI3"/>
    <mergeCell ref="AJ3:AM3"/>
    <mergeCell ref="AN3:AQ3"/>
    <mergeCell ref="AR3:AU3"/>
    <mergeCell ref="AV3:AY3"/>
    <mergeCell ref="AZ3:BC3"/>
    <mergeCell ref="BD3:BG3"/>
    <mergeCell ref="DD3:DG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EF3:EI3"/>
    <mergeCell ref="DH3:DK3"/>
    <mergeCell ref="DL3:DO3"/>
    <mergeCell ref="DP3:DS3"/>
    <mergeCell ref="DT3:DW3"/>
    <mergeCell ref="DX3:EA3"/>
    <mergeCell ref="EB3:EE3"/>
  </mergeCells>
  <phoneticPr fontId="1" type="noConversion"/>
  <hyperlinks>
    <hyperlink ref="AF1:BJ1" r:id="rId1" display="https://xlworks.net/xlgantt-project-scheduler/"/>
  </hyperlinks>
  <pageMargins left="0.19685039370078741" right="0.23622047244094491" top="0.43307086614173229" bottom="0.23622047244094491" header="0.23622047244094491" footer="0.19685039370078741"/>
  <pageSetup paperSize="9" scale="13" orientation="landscape" r:id="rId2"/>
  <headerFooter alignWithMargins="0">
    <oddFooter>&amp;L&amp;"-,보통"&amp;9XLGantt ©http://xlworks.net&amp;C&amp;"-,보통"&amp;9&amp;P/&amp;N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3"/>
  <sheetViews>
    <sheetView showGridLines="0" zoomScale="70" zoomScaleNormal="70" zoomScaleSheetLayoutView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" sqref="A3:A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6.5" style="1" customWidth="1"/>
    <col min="4" max="4" width="16.09765625" style="1" bestFit="1" customWidth="1"/>
    <col min="5" max="5" width="10.69921875" style="1" customWidth="1"/>
    <col min="6" max="6" width="5.3984375" style="58" customWidth="1"/>
    <col min="7" max="7" width="28.5" style="1" bestFit="1" customWidth="1"/>
    <col min="8" max="8" width="41" style="1" customWidth="1"/>
    <col min="9" max="9" width="24.39843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60" t="s">
        <v>245</v>
      </c>
      <c r="B1" s="361"/>
      <c r="C1" s="362"/>
      <c r="D1" s="363" t="s">
        <v>200</v>
      </c>
      <c r="E1" s="364"/>
      <c r="F1" s="364"/>
      <c r="G1" s="364"/>
      <c r="H1" s="364"/>
      <c r="I1" s="364"/>
      <c r="J1" s="364"/>
      <c r="K1" s="364"/>
      <c r="L1" s="364"/>
      <c r="M1" s="365"/>
      <c r="N1" s="351" t="s">
        <v>12</v>
      </c>
      <c r="O1" s="351"/>
      <c r="P1" s="351"/>
      <c r="Q1" s="59" t="s">
        <v>195</v>
      </c>
      <c r="R1" s="59" t="s">
        <v>123</v>
      </c>
      <c r="S1" s="59" t="s">
        <v>124</v>
      </c>
    </row>
    <row r="2" spans="1:19" ht="33" customHeight="1" x14ac:dyDescent="0.4">
      <c r="A2" s="360" t="s">
        <v>11</v>
      </c>
      <c r="B2" s="369"/>
      <c r="C2" s="370"/>
      <c r="D2" s="366"/>
      <c r="E2" s="367"/>
      <c r="F2" s="367"/>
      <c r="G2" s="367"/>
      <c r="H2" s="367"/>
      <c r="I2" s="367"/>
      <c r="J2" s="367"/>
      <c r="K2" s="367"/>
      <c r="L2" s="367"/>
      <c r="M2" s="368"/>
      <c r="N2" s="351" t="s">
        <v>848</v>
      </c>
      <c r="O2" s="351"/>
      <c r="P2" s="351"/>
      <c r="Q2" s="52" t="s">
        <v>232</v>
      </c>
      <c r="R2" s="52" t="s">
        <v>196</v>
      </c>
      <c r="S2" s="52" t="s">
        <v>197</v>
      </c>
    </row>
    <row r="3" spans="1:19" ht="33" customHeight="1" x14ac:dyDescent="0.4">
      <c r="A3" s="371" t="s">
        <v>4</v>
      </c>
      <c r="B3" s="373" t="s">
        <v>16</v>
      </c>
      <c r="C3" s="351" t="s">
        <v>0</v>
      </c>
      <c r="D3" s="356" t="s">
        <v>182</v>
      </c>
      <c r="E3" s="356" t="s">
        <v>183</v>
      </c>
      <c r="F3" s="354" t="s">
        <v>202</v>
      </c>
      <c r="G3" s="355"/>
      <c r="H3" s="355"/>
      <c r="I3" s="356" t="s">
        <v>14</v>
      </c>
      <c r="J3" s="358" t="s">
        <v>8</v>
      </c>
      <c r="K3" s="358"/>
      <c r="L3" s="358"/>
      <c r="M3" s="356" t="s">
        <v>203</v>
      </c>
      <c r="N3" s="355" t="s">
        <v>10</v>
      </c>
      <c r="O3" s="355"/>
      <c r="P3" s="359"/>
      <c r="Q3" s="352" t="s">
        <v>2</v>
      </c>
      <c r="R3" s="351" t="s">
        <v>1</v>
      </c>
      <c r="S3" s="352" t="s">
        <v>13</v>
      </c>
    </row>
    <row r="4" spans="1:19" ht="33" customHeight="1" x14ac:dyDescent="0.4">
      <c r="A4" s="372"/>
      <c r="B4" s="374"/>
      <c r="C4" s="351"/>
      <c r="D4" s="375"/>
      <c r="E4" s="375"/>
      <c r="F4" s="60" t="s">
        <v>15</v>
      </c>
      <c r="G4" s="62" t="s">
        <v>7</v>
      </c>
      <c r="H4" s="63" t="s">
        <v>3</v>
      </c>
      <c r="I4" s="357"/>
      <c r="J4" s="61" t="s">
        <v>5</v>
      </c>
      <c r="K4" s="61" t="s">
        <v>6</v>
      </c>
      <c r="L4" s="61" t="s">
        <v>9</v>
      </c>
      <c r="M4" s="357"/>
      <c r="N4" s="64" t="s">
        <v>5</v>
      </c>
      <c r="O4" s="60" t="s">
        <v>6</v>
      </c>
      <c r="P4" s="60" t="s">
        <v>9</v>
      </c>
      <c r="Q4" s="353"/>
      <c r="R4" s="351"/>
      <c r="S4" s="353"/>
    </row>
    <row r="5" spans="1:19" ht="52.95" hidden="1" customHeight="1" x14ac:dyDescent="0.4">
      <c r="A5" s="65">
        <v>1</v>
      </c>
      <c r="B5" s="39"/>
      <c r="C5" s="40" t="s">
        <v>175</v>
      </c>
      <c r="D5" s="42" t="s">
        <v>184</v>
      </c>
      <c r="E5" s="42"/>
      <c r="F5" s="41">
        <v>1.3</v>
      </c>
      <c r="G5" s="40" t="s">
        <v>53</v>
      </c>
      <c r="H5" s="48" t="s">
        <v>179</v>
      </c>
      <c r="I5" s="43" t="s">
        <v>176</v>
      </c>
      <c r="J5" s="44">
        <v>4</v>
      </c>
      <c r="K5" s="44">
        <v>4</v>
      </c>
      <c r="L5" s="41">
        <f>J5*K5</f>
        <v>16</v>
      </c>
      <c r="M5" s="43" t="s">
        <v>177</v>
      </c>
      <c r="N5" s="66">
        <v>2</v>
      </c>
      <c r="O5" s="41">
        <v>4</v>
      </c>
      <c r="P5" s="41">
        <f>N5*O5</f>
        <v>8</v>
      </c>
      <c r="Q5" s="41" t="s">
        <v>180</v>
      </c>
      <c r="R5" s="41" t="s">
        <v>181</v>
      </c>
      <c r="S5" s="43"/>
    </row>
    <row r="6" spans="1:19" ht="28.8" x14ac:dyDescent="0.4">
      <c r="A6" s="209">
        <v>1</v>
      </c>
      <c r="B6" s="334" t="s">
        <v>17</v>
      </c>
      <c r="C6" s="334" t="s">
        <v>208</v>
      </c>
      <c r="D6" s="201" t="s">
        <v>205</v>
      </c>
      <c r="E6" s="201" t="s">
        <v>793</v>
      </c>
      <c r="F6" s="200">
        <v>1.1000000000000001</v>
      </c>
      <c r="G6" s="210" t="s">
        <v>794</v>
      </c>
      <c r="H6" s="211" t="s">
        <v>795</v>
      </c>
      <c r="I6" s="212" t="s">
        <v>868</v>
      </c>
      <c r="J6" s="54">
        <v>2</v>
      </c>
      <c r="K6" s="54">
        <v>2</v>
      </c>
      <c r="L6" s="54">
        <f>J6*K6</f>
        <v>4</v>
      </c>
      <c r="M6" s="212" t="s">
        <v>862</v>
      </c>
      <c r="N6" s="213">
        <v>1</v>
      </c>
      <c r="O6" s="200">
        <v>2</v>
      </c>
      <c r="P6" s="200">
        <f>N6*O6</f>
        <v>2</v>
      </c>
      <c r="Q6" s="202"/>
      <c r="R6" s="54"/>
      <c r="S6" s="202"/>
    </row>
    <row r="7" spans="1:19" ht="28.8" x14ac:dyDescent="0.4">
      <c r="A7" s="209">
        <v>2</v>
      </c>
      <c r="B7" s="335"/>
      <c r="C7" s="335"/>
      <c r="D7" s="201" t="s">
        <v>796</v>
      </c>
      <c r="E7" s="201" t="s">
        <v>191</v>
      </c>
      <c r="F7" s="200">
        <v>1.1000000000000001</v>
      </c>
      <c r="G7" s="210" t="s">
        <v>794</v>
      </c>
      <c r="H7" s="211" t="s">
        <v>797</v>
      </c>
      <c r="I7" s="212" t="s">
        <v>869</v>
      </c>
      <c r="J7" s="54">
        <v>2</v>
      </c>
      <c r="K7" s="54">
        <v>2</v>
      </c>
      <c r="L7" s="54">
        <f>J7*K7</f>
        <v>4</v>
      </c>
      <c r="M7" s="212" t="s">
        <v>863</v>
      </c>
      <c r="N7" s="213">
        <v>1</v>
      </c>
      <c r="O7" s="200">
        <v>2</v>
      </c>
      <c r="P7" s="200">
        <f t="shared" ref="P7:P24" si="0">N7*O7</f>
        <v>2</v>
      </c>
      <c r="Q7" s="202"/>
      <c r="R7" s="54"/>
      <c r="S7" s="202"/>
    </row>
    <row r="8" spans="1:19" ht="28.8" x14ac:dyDescent="0.4">
      <c r="A8" s="209">
        <v>3</v>
      </c>
      <c r="B8" s="336"/>
      <c r="C8" s="336"/>
      <c r="D8" s="201" t="s">
        <v>798</v>
      </c>
      <c r="E8" s="201" t="s">
        <v>191</v>
      </c>
      <c r="F8" s="200">
        <v>1.3</v>
      </c>
      <c r="G8" s="210" t="s">
        <v>799</v>
      </c>
      <c r="H8" s="211" t="s">
        <v>800</v>
      </c>
      <c r="I8" s="212" t="s">
        <v>868</v>
      </c>
      <c r="J8" s="54">
        <v>2</v>
      </c>
      <c r="K8" s="54">
        <v>2</v>
      </c>
      <c r="L8" s="54">
        <f t="shared" ref="L8:L24" si="1">J8*K8</f>
        <v>4</v>
      </c>
      <c r="M8" s="212" t="s">
        <v>864</v>
      </c>
      <c r="N8" s="213">
        <v>1</v>
      </c>
      <c r="O8" s="200">
        <v>2</v>
      </c>
      <c r="P8" s="200">
        <f t="shared" si="0"/>
        <v>2</v>
      </c>
      <c r="Q8" s="202"/>
      <c r="R8" s="54"/>
      <c r="S8" s="202"/>
    </row>
    <row r="9" spans="1:19" ht="57.6" x14ac:dyDescent="0.4">
      <c r="A9" s="209">
        <v>4</v>
      </c>
      <c r="B9" s="201" t="s">
        <v>17</v>
      </c>
      <c r="C9" s="334" t="s">
        <v>194</v>
      </c>
      <c r="D9" s="201" t="s">
        <v>205</v>
      </c>
      <c r="E9" s="201" t="s">
        <v>793</v>
      </c>
      <c r="F9" s="200">
        <v>1.3</v>
      </c>
      <c r="G9" s="210" t="s">
        <v>799</v>
      </c>
      <c r="H9" s="211" t="s">
        <v>801</v>
      </c>
      <c r="I9" s="212" t="s">
        <v>870</v>
      </c>
      <c r="J9" s="54">
        <v>2</v>
      </c>
      <c r="K9" s="54">
        <v>2</v>
      </c>
      <c r="L9" s="54">
        <f t="shared" si="1"/>
        <v>4</v>
      </c>
      <c r="M9" s="212" t="s">
        <v>865</v>
      </c>
      <c r="N9" s="213">
        <v>1</v>
      </c>
      <c r="O9" s="200">
        <v>2</v>
      </c>
      <c r="P9" s="200">
        <f t="shared" si="0"/>
        <v>2</v>
      </c>
      <c r="Q9" s="202"/>
      <c r="R9" s="54"/>
      <c r="S9" s="202"/>
    </row>
    <row r="10" spans="1:19" ht="72" x14ac:dyDescent="0.4">
      <c r="A10" s="209">
        <v>5</v>
      </c>
      <c r="B10" s="201" t="s">
        <v>17</v>
      </c>
      <c r="C10" s="336"/>
      <c r="D10" s="201" t="s">
        <v>798</v>
      </c>
      <c r="E10" s="201" t="s">
        <v>793</v>
      </c>
      <c r="F10" s="200">
        <v>1.3</v>
      </c>
      <c r="G10" s="210" t="s">
        <v>799</v>
      </c>
      <c r="H10" s="211" t="s">
        <v>802</v>
      </c>
      <c r="I10" s="212" t="s">
        <v>871</v>
      </c>
      <c r="J10" s="54">
        <v>2</v>
      </c>
      <c r="K10" s="54">
        <v>2</v>
      </c>
      <c r="L10" s="54">
        <f t="shared" si="1"/>
        <v>4</v>
      </c>
      <c r="M10" s="212" t="s">
        <v>866</v>
      </c>
      <c r="N10" s="213">
        <v>1</v>
      </c>
      <c r="O10" s="200">
        <v>2</v>
      </c>
      <c r="P10" s="200">
        <f t="shared" si="0"/>
        <v>2</v>
      </c>
      <c r="Q10" s="202"/>
      <c r="R10" s="54"/>
      <c r="S10" s="202"/>
    </row>
    <row r="11" spans="1:19" ht="33" customHeight="1" x14ac:dyDescent="0.4">
      <c r="A11" s="209">
        <v>6</v>
      </c>
      <c r="B11" s="201" t="s">
        <v>803</v>
      </c>
      <c r="C11" s="334" t="s">
        <v>804</v>
      </c>
      <c r="D11" s="201" t="s">
        <v>805</v>
      </c>
      <c r="E11" s="201" t="s">
        <v>191</v>
      </c>
      <c r="F11" s="200">
        <v>1.3</v>
      </c>
      <c r="G11" s="210" t="s">
        <v>799</v>
      </c>
      <c r="H11" s="211" t="s">
        <v>806</v>
      </c>
      <c r="I11" s="212" t="s">
        <v>807</v>
      </c>
      <c r="J11" s="54">
        <v>1</v>
      </c>
      <c r="K11" s="54">
        <v>3</v>
      </c>
      <c r="L11" s="54">
        <f t="shared" si="1"/>
        <v>3</v>
      </c>
      <c r="M11" s="212" t="s">
        <v>808</v>
      </c>
      <c r="N11" s="213">
        <v>1</v>
      </c>
      <c r="O11" s="200">
        <v>2</v>
      </c>
      <c r="P11" s="200">
        <f t="shared" si="0"/>
        <v>2</v>
      </c>
      <c r="Q11" s="202"/>
      <c r="R11" s="54"/>
      <c r="S11" s="202"/>
    </row>
    <row r="12" spans="1:19" ht="57.6" x14ac:dyDescent="0.4">
      <c r="A12" s="209">
        <v>7</v>
      </c>
      <c r="B12" s="201" t="s">
        <v>803</v>
      </c>
      <c r="C12" s="335"/>
      <c r="D12" s="201" t="s">
        <v>805</v>
      </c>
      <c r="E12" s="201" t="s">
        <v>793</v>
      </c>
      <c r="F12" s="200">
        <v>1.3</v>
      </c>
      <c r="G12" s="210" t="s">
        <v>799</v>
      </c>
      <c r="H12" s="211" t="s">
        <v>809</v>
      </c>
      <c r="I12" s="212" t="s">
        <v>872</v>
      </c>
      <c r="J12" s="54">
        <v>1</v>
      </c>
      <c r="K12" s="54">
        <v>3</v>
      </c>
      <c r="L12" s="54">
        <f t="shared" si="1"/>
        <v>3</v>
      </c>
      <c r="M12" s="212" t="s">
        <v>810</v>
      </c>
      <c r="N12" s="213">
        <v>1</v>
      </c>
      <c r="O12" s="200">
        <v>2</v>
      </c>
      <c r="P12" s="200">
        <f t="shared" si="0"/>
        <v>2</v>
      </c>
      <c r="Q12" s="202"/>
      <c r="R12" s="54"/>
      <c r="S12" s="202"/>
    </row>
    <row r="13" spans="1:19" ht="48.75" customHeight="1" x14ac:dyDescent="0.4">
      <c r="A13" s="209">
        <v>8</v>
      </c>
      <c r="B13" s="201" t="s">
        <v>803</v>
      </c>
      <c r="C13" s="335"/>
      <c r="D13" s="201" t="s">
        <v>805</v>
      </c>
      <c r="E13" s="201" t="s">
        <v>793</v>
      </c>
      <c r="F13" s="200">
        <v>1.4</v>
      </c>
      <c r="G13" s="210" t="s">
        <v>811</v>
      </c>
      <c r="H13" s="211" t="s">
        <v>812</v>
      </c>
      <c r="I13" s="212" t="s">
        <v>813</v>
      </c>
      <c r="J13" s="54">
        <v>1</v>
      </c>
      <c r="K13" s="54">
        <v>3</v>
      </c>
      <c r="L13" s="54">
        <f t="shared" si="1"/>
        <v>3</v>
      </c>
      <c r="M13" s="212" t="s">
        <v>855</v>
      </c>
      <c r="N13" s="213">
        <v>1</v>
      </c>
      <c r="O13" s="200">
        <v>3</v>
      </c>
      <c r="P13" s="200">
        <f t="shared" si="0"/>
        <v>3</v>
      </c>
      <c r="Q13" s="202"/>
      <c r="R13" s="54"/>
      <c r="S13" s="202"/>
    </row>
    <row r="14" spans="1:19" ht="59.25" customHeight="1" x14ac:dyDescent="0.4">
      <c r="A14" s="209">
        <v>9</v>
      </c>
      <c r="B14" s="201" t="s">
        <v>803</v>
      </c>
      <c r="C14" s="335"/>
      <c r="D14" s="201" t="s">
        <v>205</v>
      </c>
      <c r="E14" s="201" t="s">
        <v>793</v>
      </c>
      <c r="F14" s="200">
        <v>1.4</v>
      </c>
      <c r="G14" s="210" t="s">
        <v>811</v>
      </c>
      <c r="H14" s="211" t="s">
        <v>814</v>
      </c>
      <c r="I14" s="212" t="s">
        <v>815</v>
      </c>
      <c r="J14" s="54">
        <v>2</v>
      </c>
      <c r="K14" s="54">
        <v>2</v>
      </c>
      <c r="L14" s="54">
        <f t="shared" si="1"/>
        <v>4</v>
      </c>
      <c r="M14" s="212" t="s">
        <v>856</v>
      </c>
      <c r="N14" s="213">
        <v>1</v>
      </c>
      <c r="O14" s="200">
        <v>2</v>
      </c>
      <c r="P14" s="200">
        <f t="shared" si="0"/>
        <v>2</v>
      </c>
      <c r="Q14" s="202"/>
      <c r="R14" s="54"/>
      <c r="S14" s="202"/>
    </row>
    <row r="15" spans="1:19" ht="64.5" customHeight="1" x14ac:dyDescent="0.4">
      <c r="A15" s="209">
        <v>10</v>
      </c>
      <c r="B15" s="201" t="s">
        <v>803</v>
      </c>
      <c r="C15" s="335"/>
      <c r="D15" s="201" t="s">
        <v>816</v>
      </c>
      <c r="E15" s="201" t="s">
        <v>191</v>
      </c>
      <c r="F15" s="200">
        <v>1.5</v>
      </c>
      <c r="G15" s="210" t="s">
        <v>817</v>
      </c>
      <c r="H15" s="211" t="s">
        <v>818</v>
      </c>
      <c r="I15" s="212" t="s">
        <v>819</v>
      </c>
      <c r="J15" s="54">
        <v>2</v>
      </c>
      <c r="K15" s="54">
        <v>2</v>
      </c>
      <c r="L15" s="54">
        <f t="shared" si="1"/>
        <v>4</v>
      </c>
      <c r="M15" s="212" t="s">
        <v>857</v>
      </c>
      <c r="N15" s="213">
        <v>1</v>
      </c>
      <c r="O15" s="200">
        <v>2</v>
      </c>
      <c r="P15" s="200">
        <f t="shared" si="0"/>
        <v>2</v>
      </c>
      <c r="Q15" s="202"/>
      <c r="R15" s="54"/>
      <c r="S15" s="202"/>
    </row>
    <row r="16" spans="1:19" ht="57.6" x14ac:dyDescent="0.4">
      <c r="A16" s="209">
        <v>13</v>
      </c>
      <c r="B16" s="201" t="s">
        <v>803</v>
      </c>
      <c r="C16" s="335"/>
      <c r="D16" s="201" t="s">
        <v>854</v>
      </c>
      <c r="E16" s="201" t="s">
        <v>191</v>
      </c>
      <c r="F16" s="200">
        <v>1.6</v>
      </c>
      <c r="G16" s="210" t="s">
        <v>867</v>
      </c>
      <c r="H16" s="211" t="s">
        <v>820</v>
      </c>
      <c r="I16" s="212" t="s">
        <v>821</v>
      </c>
      <c r="J16" s="54">
        <v>1</v>
      </c>
      <c r="K16" s="54">
        <v>3</v>
      </c>
      <c r="L16" s="54">
        <f t="shared" si="1"/>
        <v>3</v>
      </c>
      <c r="M16" s="212" t="s">
        <v>883</v>
      </c>
      <c r="N16" s="213">
        <v>1</v>
      </c>
      <c r="O16" s="200">
        <v>2</v>
      </c>
      <c r="P16" s="200">
        <f t="shared" si="0"/>
        <v>2</v>
      </c>
      <c r="Q16" s="202"/>
      <c r="R16" s="54"/>
      <c r="S16" s="202"/>
    </row>
    <row r="17" spans="1:19" ht="42.75" customHeight="1" x14ac:dyDescent="0.4">
      <c r="A17" s="209">
        <v>11</v>
      </c>
      <c r="B17" s="201" t="s">
        <v>803</v>
      </c>
      <c r="C17" s="335"/>
      <c r="D17" s="201" t="s">
        <v>822</v>
      </c>
      <c r="E17" s="201" t="s">
        <v>793</v>
      </c>
      <c r="F17" s="200">
        <v>1.2</v>
      </c>
      <c r="G17" s="210" t="s">
        <v>823</v>
      </c>
      <c r="H17" s="211" t="s">
        <v>824</v>
      </c>
      <c r="I17" s="212" t="s">
        <v>873</v>
      </c>
      <c r="J17" s="54">
        <v>2</v>
      </c>
      <c r="K17" s="54">
        <v>2</v>
      </c>
      <c r="L17" s="54">
        <f t="shared" si="1"/>
        <v>4</v>
      </c>
      <c r="M17" s="212" t="s">
        <v>858</v>
      </c>
      <c r="N17" s="213">
        <v>1</v>
      </c>
      <c r="O17" s="200">
        <v>2</v>
      </c>
      <c r="P17" s="200">
        <f t="shared" si="0"/>
        <v>2</v>
      </c>
      <c r="Q17" s="202"/>
      <c r="R17" s="54"/>
      <c r="S17" s="202"/>
    </row>
    <row r="18" spans="1:19" ht="43.5" customHeight="1" x14ac:dyDescent="0.4">
      <c r="A18" s="209">
        <v>12</v>
      </c>
      <c r="B18" s="201" t="s">
        <v>803</v>
      </c>
      <c r="C18" s="335"/>
      <c r="D18" s="201" t="s">
        <v>822</v>
      </c>
      <c r="E18" s="201" t="s">
        <v>793</v>
      </c>
      <c r="F18" s="200">
        <v>5.8</v>
      </c>
      <c r="G18" s="210" t="s">
        <v>825</v>
      </c>
      <c r="H18" s="211" t="s">
        <v>826</v>
      </c>
      <c r="I18" s="212" t="s">
        <v>827</v>
      </c>
      <c r="J18" s="54">
        <v>2</v>
      </c>
      <c r="K18" s="54">
        <v>3</v>
      </c>
      <c r="L18" s="55">
        <f t="shared" si="1"/>
        <v>6</v>
      </c>
      <c r="M18" s="212" t="s">
        <v>859</v>
      </c>
      <c r="N18" s="213">
        <v>1</v>
      </c>
      <c r="O18" s="200">
        <v>3</v>
      </c>
      <c r="P18" s="200">
        <f t="shared" si="0"/>
        <v>3</v>
      </c>
      <c r="Q18" s="202"/>
      <c r="R18" s="54"/>
      <c r="S18" s="202"/>
    </row>
    <row r="19" spans="1:19" ht="42" customHeight="1" x14ac:dyDescent="0.4">
      <c r="A19" s="209">
        <v>14</v>
      </c>
      <c r="B19" s="201" t="s">
        <v>803</v>
      </c>
      <c r="C19" s="336"/>
      <c r="D19" s="201" t="s">
        <v>191</v>
      </c>
      <c r="E19" s="201" t="s">
        <v>793</v>
      </c>
      <c r="F19" s="200">
        <v>3.2</v>
      </c>
      <c r="G19" s="210" t="s">
        <v>828</v>
      </c>
      <c r="H19" s="211" t="s">
        <v>829</v>
      </c>
      <c r="I19" s="212" t="s">
        <v>874</v>
      </c>
      <c r="J19" s="54">
        <v>2</v>
      </c>
      <c r="K19" s="54">
        <v>2</v>
      </c>
      <c r="L19" s="54">
        <f t="shared" si="1"/>
        <v>4</v>
      </c>
      <c r="M19" s="212" t="s">
        <v>860</v>
      </c>
      <c r="N19" s="213">
        <v>1</v>
      </c>
      <c r="O19" s="200">
        <v>2</v>
      </c>
      <c r="P19" s="200">
        <f t="shared" si="0"/>
        <v>2</v>
      </c>
      <c r="Q19" s="202"/>
      <c r="R19" s="54"/>
      <c r="S19" s="202"/>
    </row>
    <row r="20" spans="1:19" ht="33" customHeight="1" x14ac:dyDescent="0.4">
      <c r="A20" s="209">
        <v>15</v>
      </c>
      <c r="B20" s="201" t="s">
        <v>803</v>
      </c>
      <c r="C20" s="54" t="s">
        <v>830</v>
      </c>
      <c r="D20" s="201" t="s">
        <v>191</v>
      </c>
      <c r="E20" s="201" t="s">
        <v>191</v>
      </c>
      <c r="F20" s="200">
        <v>4.0999999999999996</v>
      </c>
      <c r="G20" s="210" t="s">
        <v>831</v>
      </c>
      <c r="H20" s="211" t="s">
        <v>832</v>
      </c>
      <c r="I20" s="212" t="s">
        <v>833</v>
      </c>
      <c r="J20" s="54">
        <v>2</v>
      </c>
      <c r="K20" s="54">
        <v>2</v>
      </c>
      <c r="L20" s="54">
        <f t="shared" si="1"/>
        <v>4</v>
      </c>
      <c r="M20" s="212" t="s">
        <v>834</v>
      </c>
      <c r="N20" s="213">
        <v>1</v>
      </c>
      <c r="O20" s="200">
        <v>2</v>
      </c>
      <c r="P20" s="200">
        <f t="shared" si="0"/>
        <v>2</v>
      </c>
      <c r="Q20" s="202"/>
      <c r="R20" s="54"/>
      <c r="S20" s="202"/>
    </row>
    <row r="21" spans="1:19" ht="57.6" x14ac:dyDescent="0.4">
      <c r="A21" s="209">
        <v>16</v>
      </c>
      <c r="B21" s="201" t="s">
        <v>803</v>
      </c>
      <c r="C21" s="334" t="s">
        <v>835</v>
      </c>
      <c r="D21" s="201" t="s">
        <v>191</v>
      </c>
      <c r="E21" s="201" t="s">
        <v>191</v>
      </c>
      <c r="F21" s="200">
        <v>4.4000000000000004</v>
      </c>
      <c r="G21" s="210" t="s">
        <v>836</v>
      </c>
      <c r="H21" s="211" t="s">
        <v>837</v>
      </c>
      <c r="I21" s="212" t="s">
        <v>875</v>
      </c>
      <c r="J21" s="54">
        <v>2</v>
      </c>
      <c r="K21" s="54">
        <v>2</v>
      </c>
      <c r="L21" s="54">
        <f t="shared" si="1"/>
        <v>4</v>
      </c>
      <c r="M21" s="212" t="s">
        <v>861</v>
      </c>
      <c r="N21" s="213">
        <v>1</v>
      </c>
      <c r="O21" s="200">
        <v>2</v>
      </c>
      <c r="P21" s="200">
        <f t="shared" si="0"/>
        <v>2</v>
      </c>
      <c r="Q21" s="202"/>
      <c r="R21" s="54"/>
      <c r="S21" s="202"/>
    </row>
    <row r="22" spans="1:19" ht="63" customHeight="1" x14ac:dyDescent="0.4">
      <c r="A22" s="209">
        <v>17</v>
      </c>
      <c r="B22" s="201" t="s">
        <v>803</v>
      </c>
      <c r="C22" s="336"/>
      <c r="D22" s="201" t="s">
        <v>191</v>
      </c>
      <c r="E22" s="201" t="s">
        <v>191</v>
      </c>
      <c r="F22" s="200">
        <v>7.1</v>
      </c>
      <c r="G22" s="210" t="s">
        <v>838</v>
      </c>
      <c r="H22" s="211" t="s">
        <v>839</v>
      </c>
      <c r="I22" s="212" t="s">
        <v>876</v>
      </c>
      <c r="J22" s="54">
        <v>2</v>
      </c>
      <c r="K22" s="54">
        <v>2</v>
      </c>
      <c r="L22" s="54">
        <f t="shared" si="1"/>
        <v>4</v>
      </c>
      <c r="M22" s="212" t="s">
        <v>840</v>
      </c>
      <c r="N22" s="213">
        <v>1</v>
      </c>
      <c r="O22" s="200">
        <v>2</v>
      </c>
      <c r="P22" s="200">
        <f t="shared" si="0"/>
        <v>2</v>
      </c>
      <c r="Q22" s="202"/>
      <c r="R22" s="54"/>
      <c r="S22" s="202"/>
    </row>
    <row r="23" spans="1:19" ht="43.5" customHeight="1" x14ac:dyDescent="0.4">
      <c r="A23" s="209">
        <v>18</v>
      </c>
      <c r="B23" s="201" t="s">
        <v>192</v>
      </c>
      <c r="C23" s="54" t="s">
        <v>841</v>
      </c>
      <c r="D23" s="201" t="s">
        <v>191</v>
      </c>
      <c r="E23" s="201" t="s">
        <v>191</v>
      </c>
      <c r="F23" s="200">
        <v>1.4</v>
      </c>
      <c r="G23" s="210" t="s">
        <v>54</v>
      </c>
      <c r="H23" s="211" t="s">
        <v>842</v>
      </c>
      <c r="I23" s="53" t="s">
        <v>877</v>
      </c>
      <c r="J23" s="54">
        <v>2</v>
      </c>
      <c r="K23" s="54">
        <v>1</v>
      </c>
      <c r="L23" s="54">
        <f t="shared" si="1"/>
        <v>2</v>
      </c>
      <c r="M23" s="53" t="s">
        <v>878</v>
      </c>
      <c r="N23" s="213">
        <v>1</v>
      </c>
      <c r="O23" s="200">
        <v>1</v>
      </c>
      <c r="P23" s="200">
        <f t="shared" si="0"/>
        <v>1</v>
      </c>
      <c r="Q23" s="202"/>
      <c r="R23" s="54"/>
      <c r="S23" s="202"/>
    </row>
    <row r="24" spans="1:19" ht="47.25" customHeight="1" x14ac:dyDescent="0.4">
      <c r="A24" s="209">
        <v>19</v>
      </c>
      <c r="B24" s="201" t="s">
        <v>843</v>
      </c>
      <c r="C24" s="54" t="s">
        <v>844</v>
      </c>
      <c r="D24" s="201" t="s">
        <v>796</v>
      </c>
      <c r="E24" s="201" t="s">
        <v>191</v>
      </c>
      <c r="F24" s="200">
        <v>2.1</v>
      </c>
      <c r="G24" s="210" t="s">
        <v>845</v>
      </c>
      <c r="H24" s="211" t="s">
        <v>846</v>
      </c>
      <c r="I24" s="212" t="s">
        <v>847</v>
      </c>
      <c r="J24" s="54">
        <v>1</v>
      </c>
      <c r="K24" s="54">
        <v>4</v>
      </c>
      <c r="L24" s="54">
        <f t="shared" si="1"/>
        <v>4</v>
      </c>
      <c r="M24" s="212" t="s">
        <v>879</v>
      </c>
      <c r="N24" s="213">
        <v>1</v>
      </c>
      <c r="O24" s="200">
        <v>3</v>
      </c>
      <c r="P24" s="200">
        <f t="shared" si="0"/>
        <v>3</v>
      </c>
      <c r="Q24" s="202"/>
      <c r="R24" s="54"/>
      <c r="S24" s="202"/>
    </row>
    <row r="25" spans="1:19" ht="33" customHeight="1" x14ac:dyDescent="0.4">
      <c r="A25" s="209">
        <v>20</v>
      </c>
      <c r="B25" s="334" t="s">
        <v>206</v>
      </c>
      <c r="C25" s="57" t="s">
        <v>217</v>
      </c>
      <c r="D25" s="57" t="s">
        <v>207</v>
      </c>
      <c r="E25" s="49" t="s">
        <v>191</v>
      </c>
      <c r="F25" s="57">
        <v>3.4</v>
      </c>
      <c r="G25" s="57" t="s">
        <v>204</v>
      </c>
      <c r="H25" s="57" t="s">
        <v>211</v>
      </c>
      <c r="I25" s="56" t="s">
        <v>220</v>
      </c>
      <c r="J25" s="2">
        <v>2</v>
      </c>
      <c r="K25" s="2">
        <v>1</v>
      </c>
      <c r="L25" s="55">
        <f t="shared" ref="L25:L31" si="2">J25*K25</f>
        <v>2</v>
      </c>
      <c r="M25" s="53" t="s">
        <v>222</v>
      </c>
      <c r="N25" s="2">
        <v>2</v>
      </c>
      <c r="O25" s="2">
        <v>1</v>
      </c>
      <c r="P25" s="55">
        <f t="shared" ref="P25:P31" si="3">N25*O25</f>
        <v>2</v>
      </c>
      <c r="Q25" s="38"/>
      <c r="R25" s="38"/>
      <c r="S25" s="38"/>
    </row>
    <row r="26" spans="1:19" s="204" customFormat="1" ht="43.5" customHeight="1" x14ac:dyDescent="0.4">
      <c r="A26" s="209">
        <v>21</v>
      </c>
      <c r="B26" s="335"/>
      <c r="C26" s="205" t="s">
        <v>784</v>
      </c>
      <c r="D26" s="205" t="s">
        <v>785</v>
      </c>
      <c r="E26" s="206" t="s">
        <v>191</v>
      </c>
      <c r="F26" s="205">
        <v>3.4</v>
      </c>
      <c r="G26" s="205" t="s">
        <v>204</v>
      </c>
      <c r="H26" s="205" t="s">
        <v>786</v>
      </c>
      <c r="I26" s="207" t="s">
        <v>787</v>
      </c>
      <c r="J26" s="206">
        <v>2</v>
      </c>
      <c r="K26" s="206">
        <v>1</v>
      </c>
      <c r="L26" s="55">
        <v>2</v>
      </c>
      <c r="M26" s="208" t="s">
        <v>788</v>
      </c>
      <c r="N26" s="206">
        <v>2</v>
      </c>
      <c r="O26" s="206">
        <v>1</v>
      </c>
      <c r="P26" s="55">
        <v>2</v>
      </c>
      <c r="Q26" s="203"/>
      <c r="R26" s="203"/>
      <c r="S26" s="203"/>
    </row>
    <row r="27" spans="1:19" ht="47.25" customHeight="1" x14ac:dyDescent="0.4">
      <c r="A27" s="209">
        <v>22</v>
      </c>
      <c r="B27" s="335"/>
      <c r="C27" s="205" t="s">
        <v>790</v>
      </c>
      <c r="D27" s="205" t="s">
        <v>207</v>
      </c>
      <c r="E27" s="206" t="s">
        <v>191</v>
      </c>
      <c r="F27" s="205">
        <v>3.4</v>
      </c>
      <c r="G27" s="205" t="s">
        <v>204</v>
      </c>
      <c r="H27" s="205" t="s">
        <v>211</v>
      </c>
      <c r="I27" s="207" t="s">
        <v>220</v>
      </c>
      <c r="J27" s="206">
        <v>2</v>
      </c>
      <c r="K27" s="206">
        <v>1</v>
      </c>
      <c r="L27" s="55">
        <f t="shared" si="2"/>
        <v>2</v>
      </c>
      <c r="M27" s="208" t="s">
        <v>222</v>
      </c>
      <c r="N27" s="206">
        <v>2</v>
      </c>
      <c r="O27" s="206">
        <v>1</v>
      </c>
      <c r="P27" s="55">
        <f t="shared" si="3"/>
        <v>2</v>
      </c>
      <c r="Q27" s="38"/>
      <c r="R27" s="38"/>
      <c r="S27" s="38"/>
    </row>
    <row r="28" spans="1:19" ht="56.25" customHeight="1" x14ac:dyDescent="0.4">
      <c r="A28" s="209">
        <v>23</v>
      </c>
      <c r="B28" s="335"/>
      <c r="C28" s="205" t="s">
        <v>791</v>
      </c>
      <c r="D28" s="205" t="s">
        <v>789</v>
      </c>
      <c r="E28" s="206" t="s">
        <v>191</v>
      </c>
      <c r="F28" s="38">
        <v>1.6</v>
      </c>
      <c r="G28" s="205" t="s">
        <v>244</v>
      </c>
      <c r="H28" s="205" t="s">
        <v>193</v>
      </c>
      <c r="I28" s="207" t="s">
        <v>220</v>
      </c>
      <c r="J28" s="206">
        <v>1</v>
      </c>
      <c r="K28" s="206">
        <v>2</v>
      </c>
      <c r="L28" s="55">
        <v>2</v>
      </c>
      <c r="M28" s="208" t="s">
        <v>882</v>
      </c>
      <c r="N28" s="206">
        <v>1</v>
      </c>
      <c r="O28" s="206">
        <v>2</v>
      </c>
      <c r="P28" s="55">
        <v>2</v>
      </c>
      <c r="Q28" s="38"/>
      <c r="R28" s="38"/>
      <c r="S28" s="38"/>
    </row>
    <row r="29" spans="1:19" ht="57" customHeight="1" x14ac:dyDescent="0.4">
      <c r="A29" s="209">
        <v>24</v>
      </c>
      <c r="B29" s="336"/>
      <c r="C29" s="57" t="s">
        <v>792</v>
      </c>
      <c r="D29" s="57" t="s">
        <v>207</v>
      </c>
      <c r="E29" s="49" t="s">
        <v>191</v>
      </c>
      <c r="F29" s="57">
        <v>2.1</v>
      </c>
      <c r="G29" s="57" t="s">
        <v>210</v>
      </c>
      <c r="H29" s="57" t="s">
        <v>212</v>
      </c>
      <c r="I29" s="56" t="s">
        <v>218</v>
      </c>
      <c r="J29" s="2">
        <v>2</v>
      </c>
      <c r="K29" s="2">
        <v>1</v>
      </c>
      <c r="L29" s="55">
        <f t="shared" si="2"/>
        <v>2</v>
      </c>
      <c r="M29" s="56" t="s">
        <v>221</v>
      </c>
      <c r="N29" s="2">
        <v>2</v>
      </c>
      <c r="O29" s="2">
        <v>1</v>
      </c>
      <c r="P29" s="55">
        <f t="shared" si="3"/>
        <v>2</v>
      </c>
      <c r="Q29" s="38"/>
      <c r="R29" s="38"/>
      <c r="S29" s="38"/>
    </row>
    <row r="30" spans="1:19" ht="33" customHeight="1" x14ac:dyDescent="0.4">
      <c r="A30" s="209">
        <v>25</v>
      </c>
      <c r="B30" s="334" t="s">
        <v>192</v>
      </c>
      <c r="C30" s="57" t="s">
        <v>219</v>
      </c>
      <c r="D30" s="57" t="s">
        <v>207</v>
      </c>
      <c r="E30" s="49" t="s">
        <v>191</v>
      </c>
      <c r="F30" s="57">
        <v>1.4</v>
      </c>
      <c r="G30" s="57" t="s">
        <v>209</v>
      </c>
      <c r="H30" s="57" t="s">
        <v>213</v>
      </c>
      <c r="I30" s="56" t="s">
        <v>881</v>
      </c>
      <c r="J30" s="2">
        <v>2</v>
      </c>
      <c r="K30" s="2">
        <v>1</v>
      </c>
      <c r="L30" s="55">
        <f t="shared" si="2"/>
        <v>2</v>
      </c>
      <c r="M30" s="53" t="s">
        <v>880</v>
      </c>
      <c r="N30" s="2">
        <v>1</v>
      </c>
      <c r="O30" s="2">
        <v>1</v>
      </c>
      <c r="P30" s="55">
        <f t="shared" si="3"/>
        <v>1</v>
      </c>
      <c r="Q30" s="38"/>
      <c r="R30" s="38"/>
      <c r="S30" s="38"/>
    </row>
    <row r="31" spans="1:19" ht="43.5" customHeight="1" x14ac:dyDescent="0.4">
      <c r="A31" s="209">
        <v>26</v>
      </c>
      <c r="B31" s="336"/>
      <c r="C31" s="57" t="s">
        <v>214</v>
      </c>
      <c r="D31" s="57" t="s">
        <v>215</v>
      </c>
      <c r="E31" s="49" t="s">
        <v>191</v>
      </c>
      <c r="F31" s="57">
        <v>1.4</v>
      </c>
      <c r="G31" s="57" t="s">
        <v>209</v>
      </c>
      <c r="H31" s="57" t="s">
        <v>216</v>
      </c>
      <c r="I31" s="56" t="s">
        <v>881</v>
      </c>
      <c r="J31" s="2">
        <v>2</v>
      </c>
      <c r="K31" s="2">
        <v>1</v>
      </c>
      <c r="L31" s="55">
        <f t="shared" si="2"/>
        <v>2</v>
      </c>
      <c r="M31" s="53" t="s">
        <v>880</v>
      </c>
      <c r="N31" s="2">
        <v>1</v>
      </c>
      <c r="O31" s="2">
        <v>1</v>
      </c>
      <c r="P31" s="55">
        <f t="shared" si="3"/>
        <v>1</v>
      </c>
      <c r="Q31" s="38"/>
      <c r="R31" s="38"/>
      <c r="S31" s="38"/>
    </row>
    <row r="32" spans="1:19" ht="48.75" customHeight="1" x14ac:dyDescent="0.4">
      <c r="A32" s="342" t="s">
        <v>185</v>
      </c>
      <c r="B32" s="343"/>
      <c r="C32" s="344"/>
      <c r="D32" s="337" t="s">
        <v>186</v>
      </c>
      <c r="E32" s="338"/>
      <c r="F32" s="339"/>
      <c r="G32" s="340"/>
      <c r="H32" s="340"/>
      <c r="I32" s="340"/>
      <c r="J32" s="340"/>
      <c r="K32" s="340"/>
      <c r="L32" s="340"/>
      <c r="M32" s="341"/>
      <c r="N32" s="45" t="s">
        <v>187</v>
      </c>
      <c r="O32" s="46"/>
      <c r="P32" s="46"/>
      <c r="Q32" s="46"/>
      <c r="R32" s="46"/>
      <c r="S32" s="47"/>
    </row>
    <row r="33" spans="1:19" ht="59.25" customHeight="1" x14ac:dyDescent="0.4">
      <c r="A33" s="345"/>
      <c r="B33" s="346"/>
      <c r="C33" s="347"/>
      <c r="D33" s="337" t="s">
        <v>188</v>
      </c>
      <c r="E33" s="338"/>
      <c r="F33" s="339"/>
      <c r="G33" s="340"/>
      <c r="H33" s="340"/>
      <c r="I33" s="340"/>
      <c r="J33" s="340"/>
      <c r="K33" s="340"/>
      <c r="L33" s="340"/>
      <c r="M33" s="341"/>
      <c r="N33" s="45" t="s">
        <v>187</v>
      </c>
      <c r="O33" s="46"/>
      <c r="P33" s="46"/>
      <c r="Q33" s="46"/>
      <c r="R33" s="46"/>
      <c r="S33" s="47"/>
    </row>
    <row r="34" spans="1:19" ht="64.5" customHeight="1" x14ac:dyDescent="0.4">
      <c r="A34" s="345"/>
      <c r="B34" s="346"/>
      <c r="C34" s="347"/>
      <c r="D34" s="337" t="s">
        <v>130</v>
      </c>
      <c r="E34" s="338"/>
      <c r="F34" s="339"/>
      <c r="G34" s="340"/>
      <c r="H34" s="340"/>
      <c r="I34" s="340"/>
      <c r="J34" s="340"/>
      <c r="K34" s="340"/>
      <c r="L34" s="340"/>
      <c r="M34" s="341"/>
      <c r="N34" s="45" t="s">
        <v>187</v>
      </c>
      <c r="O34" s="46"/>
      <c r="P34" s="46"/>
      <c r="Q34" s="46"/>
      <c r="R34" s="46"/>
      <c r="S34" s="47"/>
    </row>
    <row r="35" spans="1:19" ht="45" customHeight="1" x14ac:dyDescent="0.4">
      <c r="A35" s="345"/>
      <c r="B35" s="346"/>
      <c r="C35" s="347"/>
      <c r="D35" s="337" t="s">
        <v>189</v>
      </c>
      <c r="E35" s="338"/>
      <c r="F35" s="339"/>
      <c r="G35" s="340"/>
      <c r="H35" s="340"/>
      <c r="I35" s="340"/>
      <c r="J35" s="340"/>
      <c r="K35" s="340"/>
      <c r="L35" s="340"/>
      <c r="M35" s="341"/>
      <c r="N35" s="45" t="s">
        <v>187</v>
      </c>
      <c r="O35" s="46"/>
      <c r="P35" s="46"/>
      <c r="Q35" s="46"/>
      <c r="R35" s="46"/>
      <c r="S35" s="47"/>
    </row>
    <row r="36" spans="1:19" ht="42.75" customHeight="1" x14ac:dyDescent="0.4">
      <c r="A36" s="348"/>
      <c r="B36" s="349"/>
      <c r="C36" s="350"/>
      <c r="D36" s="337" t="s">
        <v>190</v>
      </c>
      <c r="E36" s="338"/>
      <c r="F36" s="339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1"/>
    </row>
    <row r="37" spans="1:19" ht="43.5" customHeight="1" x14ac:dyDescent="0.4"/>
    <row r="38" spans="1:19" ht="42" customHeight="1" x14ac:dyDescent="0.4"/>
    <row r="39" spans="1:19" ht="33" customHeight="1" x14ac:dyDescent="0.4"/>
    <row r="40" spans="1:19" ht="49.5" customHeight="1" x14ac:dyDescent="0.4"/>
    <row r="41" spans="1:19" ht="33" customHeight="1" x14ac:dyDescent="0.4"/>
    <row r="42" spans="1:19" ht="43.5" customHeight="1" x14ac:dyDescent="0.4"/>
    <row r="43" spans="1:19" ht="47.25" customHeight="1" x14ac:dyDescent="0.4"/>
  </sheetData>
  <mergeCells count="36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R3:R4"/>
    <mergeCell ref="S3:S4"/>
    <mergeCell ref="F3:H3"/>
    <mergeCell ref="I3:I4"/>
    <mergeCell ref="J3:L3"/>
    <mergeCell ref="M3:M4"/>
    <mergeCell ref="N3:P3"/>
    <mergeCell ref="Q3:Q4"/>
    <mergeCell ref="D36:E36"/>
    <mergeCell ref="F36:S36"/>
    <mergeCell ref="B25:B29"/>
    <mergeCell ref="B30:B31"/>
    <mergeCell ref="A32:C36"/>
    <mergeCell ref="D32:E32"/>
    <mergeCell ref="F32:M32"/>
    <mergeCell ref="D33:E33"/>
    <mergeCell ref="F33:M33"/>
    <mergeCell ref="D34:E34"/>
    <mergeCell ref="F34:M34"/>
    <mergeCell ref="D35:E35"/>
    <mergeCell ref="F35:M35"/>
    <mergeCell ref="B6:B8"/>
    <mergeCell ref="C6:C8"/>
    <mergeCell ref="C9:C10"/>
    <mergeCell ref="C11:C19"/>
    <mergeCell ref="C21:C22"/>
  </mergeCells>
  <phoneticPr fontId="1" type="noConversion"/>
  <conditionalFormatting sqref="P25 P27 P29:P31">
    <cfRule type="cellIs" dxfId="26" priority="32" operator="greaterThan">
      <formula>5</formula>
    </cfRule>
    <cfRule type="cellIs" dxfId="25" priority="33" operator="greaterThan">
      <formula>5</formula>
    </cfRule>
    <cfRule type="cellIs" dxfId="24" priority="34" operator="greaterThan">
      <formula>10</formula>
    </cfRule>
    <cfRule type="cellIs" dxfId="23" priority="35" operator="greaterThan">
      <formula>5</formula>
    </cfRule>
  </conditionalFormatting>
  <conditionalFormatting sqref="L25 L27 L29:L31">
    <cfRule type="cellIs" dxfId="22" priority="28" operator="greaterThan">
      <formula>5</formula>
    </cfRule>
    <cfRule type="cellIs" dxfId="21" priority="29" operator="greaterThan">
      <formula>5</formula>
    </cfRule>
    <cfRule type="cellIs" dxfId="20" priority="30" operator="greaterThan">
      <formula>10</formula>
    </cfRule>
    <cfRule type="cellIs" dxfId="19" priority="31" operator="greaterThan">
      <formula>5</formula>
    </cfRule>
  </conditionalFormatting>
  <conditionalFormatting sqref="L26">
    <cfRule type="cellIs" dxfId="18" priority="16" operator="greaterThan">
      <formula>5</formula>
    </cfRule>
    <cfRule type="cellIs" dxfId="17" priority="17" operator="greaterThan">
      <formula>5</formula>
    </cfRule>
    <cfRule type="cellIs" dxfId="16" priority="18" operator="greaterThan">
      <formula>10</formula>
    </cfRule>
    <cfRule type="cellIs" dxfId="15" priority="19" operator="greaterThan">
      <formula>5</formula>
    </cfRule>
  </conditionalFormatting>
  <conditionalFormatting sqref="P26">
    <cfRule type="cellIs" dxfId="14" priority="12" operator="greaterThan">
      <formula>5</formula>
    </cfRule>
    <cfRule type="cellIs" dxfId="13" priority="13" operator="greaterThan">
      <formula>5</formula>
    </cfRule>
    <cfRule type="cellIs" dxfId="12" priority="14" operator="greaterThan">
      <formula>10</formula>
    </cfRule>
    <cfRule type="cellIs" dxfId="11" priority="15" operator="greaterThan">
      <formula>5</formula>
    </cfRule>
  </conditionalFormatting>
  <conditionalFormatting sqref="P28">
    <cfRule type="cellIs" dxfId="10" priority="8" operator="greaterThan">
      <formula>5</formula>
    </cfRule>
    <cfRule type="cellIs" dxfId="9" priority="9" operator="greaterThan">
      <formula>5</formula>
    </cfRule>
    <cfRule type="cellIs" dxfId="8" priority="10" operator="greaterThan">
      <formula>10</formula>
    </cfRule>
    <cfRule type="cellIs" dxfId="7" priority="11" operator="greaterThan">
      <formula>5</formula>
    </cfRule>
  </conditionalFormatting>
  <conditionalFormatting sqref="L28">
    <cfRule type="cellIs" dxfId="6" priority="4" operator="greaterThan">
      <formula>5</formula>
    </cfRule>
    <cfRule type="cellIs" dxfId="5" priority="5" operator="greaterThan">
      <formula>5</formula>
    </cfRule>
    <cfRule type="cellIs" dxfId="4" priority="6" operator="greaterThan">
      <formula>10</formula>
    </cfRule>
    <cfRule type="cellIs" dxfId="3" priority="7" operator="greaterThan">
      <formula>5</formula>
    </cfRule>
  </conditionalFormatting>
  <conditionalFormatting sqref="L6:L24 P6:P24">
    <cfRule type="cellIs" dxfId="2" priority="1" operator="greaterThan">
      <formula>5</formula>
    </cfRule>
  </conditionalFormatting>
  <conditionalFormatting sqref="L6:L24">
    <cfRule type="cellIs" dxfId="1" priority="3" operator="greaterThan">
      <formula>6</formula>
    </cfRule>
  </conditionalFormatting>
  <conditionalFormatting sqref="P6:P24">
    <cfRule type="cellIs" dxfId="0" priority="2" operator="greaterThan">
      <formula>5</formula>
    </cfRule>
  </conditionalFormatting>
  <dataValidations count="3">
    <dataValidation type="list" allowBlank="1" showInputMessage="1" showErrorMessage="1" sqref="J5:J31 N25:N31">
      <formula1>"1, 2, 3, 4, 5"</formula1>
    </dataValidation>
    <dataValidation type="list" allowBlank="1" showInputMessage="1" showErrorMessage="1" sqref="K5:K31 O25:O31">
      <formula1>"1, 2, 3, 4"</formula1>
    </dataValidation>
    <dataValidation type="list" allowBlank="1" showInputMessage="1" showErrorMessage="1" sqref="B30 B25:B2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99"/>
  </sheetPr>
  <dimension ref="B1:Z65"/>
  <sheetViews>
    <sheetView showGridLines="0" zoomScale="80" zoomScaleNormal="80" workbookViewId="0">
      <selection activeCell="L6" sqref="L6:N6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421" t="s">
        <v>43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2:18" ht="21.6" thickBot="1" x14ac:dyDescent="0.45">
      <c r="B2" s="422" t="s">
        <v>68</v>
      </c>
      <c r="C2" s="422"/>
      <c r="D2" s="422"/>
      <c r="E2" s="422"/>
      <c r="F2" s="422"/>
      <c r="G2" s="422"/>
      <c r="H2" s="422"/>
      <c r="J2" s="422" t="s">
        <v>69</v>
      </c>
      <c r="K2" s="422"/>
      <c r="L2" s="422"/>
      <c r="M2" s="422"/>
      <c r="N2" s="422"/>
      <c r="O2" s="422"/>
      <c r="P2" s="422"/>
      <c r="Q2" s="422"/>
      <c r="R2" s="422"/>
    </row>
    <row r="3" spans="2:18" ht="27" customHeight="1" thickBot="1" x14ac:dyDescent="0.45">
      <c r="B3" s="13" t="s">
        <v>44</v>
      </c>
      <c r="C3" s="14" t="s">
        <v>46</v>
      </c>
      <c r="D3" s="389" t="s">
        <v>47</v>
      </c>
      <c r="E3" s="389"/>
      <c r="F3" s="389"/>
      <c r="G3" s="389"/>
      <c r="H3" s="390"/>
      <c r="J3" s="13" t="s">
        <v>44</v>
      </c>
      <c r="K3" s="14" t="s">
        <v>46</v>
      </c>
      <c r="L3" s="389" t="s">
        <v>47</v>
      </c>
      <c r="M3" s="389"/>
      <c r="N3" s="389"/>
      <c r="O3" s="14" t="s">
        <v>46</v>
      </c>
      <c r="P3" s="389" t="s">
        <v>47</v>
      </c>
      <c r="Q3" s="389"/>
      <c r="R3" s="390"/>
    </row>
    <row r="4" spans="2:18" ht="18" thickTop="1" x14ac:dyDescent="0.4">
      <c r="B4" s="376" t="s">
        <v>45</v>
      </c>
      <c r="C4" s="15">
        <v>1.1000000000000001</v>
      </c>
      <c r="D4" s="391" t="s">
        <v>51</v>
      </c>
      <c r="E4" s="391"/>
      <c r="F4" s="391"/>
      <c r="G4" s="391"/>
      <c r="H4" s="392"/>
      <c r="J4" s="397" t="s">
        <v>70</v>
      </c>
      <c r="K4" s="15">
        <v>5.0999999999999996</v>
      </c>
      <c r="L4" s="391" t="s">
        <v>74</v>
      </c>
      <c r="M4" s="391"/>
      <c r="N4" s="391"/>
      <c r="O4" s="15">
        <v>5.7</v>
      </c>
      <c r="P4" s="391" t="s">
        <v>90</v>
      </c>
      <c r="Q4" s="391"/>
      <c r="R4" s="392"/>
    </row>
    <row r="5" spans="2:18" x14ac:dyDescent="0.4">
      <c r="B5" s="377"/>
      <c r="C5" s="10">
        <v>1.2</v>
      </c>
      <c r="D5" s="224" t="s">
        <v>52</v>
      </c>
      <c r="E5" s="224"/>
      <c r="F5" s="224"/>
      <c r="G5" s="224"/>
      <c r="H5" s="393"/>
      <c r="J5" s="377"/>
      <c r="K5" s="10">
        <v>5.2</v>
      </c>
      <c r="L5" s="224" t="s">
        <v>75</v>
      </c>
      <c r="M5" s="224"/>
      <c r="N5" s="224"/>
      <c r="O5" s="10">
        <v>5.8</v>
      </c>
      <c r="P5" s="224" t="s">
        <v>91</v>
      </c>
      <c r="Q5" s="224"/>
      <c r="R5" s="393"/>
    </row>
    <row r="6" spans="2:18" x14ac:dyDescent="0.4">
      <c r="B6" s="377"/>
      <c r="C6" s="10">
        <v>1.3</v>
      </c>
      <c r="D6" s="381" t="s">
        <v>53</v>
      </c>
      <c r="E6" s="381"/>
      <c r="F6" s="381"/>
      <c r="G6" s="381"/>
      <c r="H6" s="382"/>
      <c r="J6" s="377"/>
      <c r="K6" s="10">
        <v>5.3</v>
      </c>
      <c r="L6" s="381" t="s">
        <v>76</v>
      </c>
      <c r="M6" s="381"/>
      <c r="N6" s="381"/>
      <c r="O6" s="10">
        <v>5.9</v>
      </c>
      <c r="P6" s="381" t="s">
        <v>92</v>
      </c>
      <c r="Q6" s="381"/>
      <c r="R6" s="382"/>
    </row>
    <row r="7" spans="2:18" x14ac:dyDescent="0.4">
      <c r="B7" s="377"/>
      <c r="C7" s="10">
        <v>1.4</v>
      </c>
      <c r="D7" s="381" t="s">
        <v>54</v>
      </c>
      <c r="E7" s="381"/>
      <c r="F7" s="381"/>
      <c r="G7" s="381"/>
      <c r="H7" s="382"/>
      <c r="J7" s="377"/>
      <c r="K7" s="10">
        <v>5.4</v>
      </c>
      <c r="L7" s="381" t="s">
        <v>77</v>
      </c>
      <c r="M7" s="381"/>
      <c r="N7" s="381"/>
      <c r="O7" s="10"/>
      <c r="P7" s="381"/>
      <c r="Q7" s="381"/>
      <c r="R7" s="382"/>
    </row>
    <row r="8" spans="2:18" x14ac:dyDescent="0.4">
      <c r="B8" s="377"/>
      <c r="C8" s="10">
        <v>1.5</v>
      </c>
      <c r="D8" s="381" t="s">
        <v>55</v>
      </c>
      <c r="E8" s="381"/>
      <c r="F8" s="381"/>
      <c r="G8" s="381"/>
      <c r="H8" s="382"/>
      <c r="J8" s="377"/>
      <c r="K8" s="10">
        <v>5.5</v>
      </c>
      <c r="L8" s="381" t="s">
        <v>78</v>
      </c>
      <c r="M8" s="381"/>
      <c r="N8" s="381"/>
      <c r="O8" s="10"/>
      <c r="P8" s="381"/>
      <c r="Q8" s="381"/>
      <c r="R8" s="382"/>
    </row>
    <row r="9" spans="2:18" ht="18" thickBot="1" x14ac:dyDescent="0.45">
      <c r="B9" s="378"/>
      <c r="C9" s="11">
        <v>1.6</v>
      </c>
      <c r="D9" s="385" t="s">
        <v>56</v>
      </c>
      <c r="E9" s="385"/>
      <c r="F9" s="385"/>
      <c r="G9" s="385"/>
      <c r="H9" s="386"/>
      <c r="J9" s="378"/>
      <c r="K9" s="11">
        <v>5.6</v>
      </c>
      <c r="L9" s="385" t="s">
        <v>79</v>
      </c>
      <c r="M9" s="385"/>
      <c r="N9" s="385"/>
      <c r="O9" s="11"/>
      <c r="P9" s="385"/>
      <c r="Q9" s="385"/>
      <c r="R9" s="386"/>
    </row>
    <row r="10" spans="2:18" x14ac:dyDescent="0.4">
      <c r="B10" s="379" t="s">
        <v>48</v>
      </c>
      <c r="C10" s="12">
        <v>2.1</v>
      </c>
      <c r="D10" s="383" t="s">
        <v>57</v>
      </c>
      <c r="E10" s="383"/>
      <c r="F10" s="383"/>
      <c r="G10" s="383"/>
      <c r="H10" s="384"/>
      <c r="J10" s="380" t="s">
        <v>71</v>
      </c>
      <c r="K10" s="16">
        <v>6.1</v>
      </c>
      <c r="L10" s="387" t="s">
        <v>80</v>
      </c>
      <c r="M10" s="387"/>
      <c r="N10" s="387"/>
      <c r="O10" s="16">
        <v>6.5</v>
      </c>
      <c r="P10" s="387" t="s">
        <v>93</v>
      </c>
      <c r="Q10" s="387"/>
      <c r="R10" s="388"/>
    </row>
    <row r="11" spans="2:18" x14ac:dyDescent="0.4">
      <c r="B11" s="377"/>
      <c r="C11" s="10">
        <v>2.2000000000000002</v>
      </c>
      <c r="D11" s="381" t="s">
        <v>58</v>
      </c>
      <c r="E11" s="381"/>
      <c r="F11" s="381"/>
      <c r="G11" s="381"/>
      <c r="H11" s="382"/>
      <c r="J11" s="377"/>
      <c r="K11" s="10">
        <v>6.2</v>
      </c>
      <c r="L11" s="381" t="s">
        <v>81</v>
      </c>
      <c r="M11" s="381"/>
      <c r="N11" s="381"/>
      <c r="O11" s="10">
        <v>6.6</v>
      </c>
      <c r="P11" s="381" t="s">
        <v>90</v>
      </c>
      <c r="Q11" s="381"/>
      <c r="R11" s="382"/>
    </row>
    <row r="12" spans="2:18" ht="18" thickBot="1" x14ac:dyDescent="0.45">
      <c r="B12" s="378"/>
      <c r="C12" s="11">
        <v>2.2999999999999998</v>
      </c>
      <c r="D12" s="385" t="s">
        <v>59</v>
      </c>
      <c r="E12" s="385"/>
      <c r="F12" s="385"/>
      <c r="G12" s="385"/>
      <c r="H12" s="386"/>
      <c r="J12" s="377"/>
      <c r="K12" s="10">
        <v>6.3</v>
      </c>
      <c r="L12" s="381" t="s">
        <v>82</v>
      </c>
      <c r="M12" s="381"/>
      <c r="N12" s="381"/>
      <c r="O12" s="10">
        <v>6.7</v>
      </c>
      <c r="P12" s="381" t="s">
        <v>94</v>
      </c>
      <c r="Q12" s="381"/>
      <c r="R12" s="382"/>
    </row>
    <row r="13" spans="2:18" ht="17.399999999999999" customHeight="1" thickBot="1" x14ac:dyDescent="0.45">
      <c r="B13" s="380" t="s">
        <v>49</v>
      </c>
      <c r="C13" s="16">
        <v>3.1</v>
      </c>
      <c r="D13" s="387" t="s">
        <v>60</v>
      </c>
      <c r="E13" s="387"/>
      <c r="F13" s="387"/>
      <c r="G13" s="387"/>
      <c r="H13" s="388"/>
      <c r="J13" s="378"/>
      <c r="K13" s="11">
        <v>6.4</v>
      </c>
      <c r="L13" s="385" t="s">
        <v>83</v>
      </c>
      <c r="M13" s="385"/>
      <c r="N13" s="385"/>
      <c r="O13" s="11"/>
      <c r="P13" s="385"/>
      <c r="Q13" s="385"/>
      <c r="R13" s="386"/>
    </row>
    <row r="14" spans="2:18" x14ac:dyDescent="0.4">
      <c r="B14" s="377"/>
      <c r="C14" s="10">
        <v>3.2</v>
      </c>
      <c r="D14" s="381" t="s">
        <v>61</v>
      </c>
      <c r="E14" s="381"/>
      <c r="F14" s="381"/>
      <c r="G14" s="381"/>
      <c r="H14" s="382"/>
      <c r="J14" s="394" t="s">
        <v>72</v>
      </c>
      <c r="K14" s="16">
        <v>7.1</v>
      </c>
      <c r="L14" s="387" t="s">
        <v>84</v>
      </c>
      <c r="M14" s="387"/>
      <c r="N14" s="387"/>
      <c r="O14" s="16">
        <v>7.4</v>
      </c>
      <c r="P14" s="387" t="s">
        <v>95</v>
      </c>
      <c r="Q14" s="387"/>
      <c r="R14" s="388"/>
    </row>
    <row r="15" spans="2:18" x14ac:dyDescent="0.4">
      <c r="B15" s="377"/>
      <c r="C15" s="10">
        <v>3.3</v>
      </c>
      <c r="D15" s="381" t="s">
        <v>62</v>
      </c>
      <c r="E15" s="381"/>
      <c r="F15" s="381"/>
      <c r="G15" s="381"/>
      <c r="H15" s="382"/>
      <c r="J15" s="377"/>
      <c r="K15" s="10">
        <v>7.2</v>
      </c>
      <c r="L15" s="381" t="s">
        <v>85</v>
      </c>
      <c r="M15" s="381"/>
      <c r="N15" s="381"/>
      <c r="O15" s="10">
        <v>7.5</v>
      </c>
      <c r="P15" s="381" t="s">
        <v>96</v>
      </c>
      <c r="Q15" s="381"/>
      <c r="R15" s="382"/>
    </row>
    <row r="16" spans="2:18" ht="18" thickBot="1" x14ac:dyDescent="0.45">
      <c r="B16" s="378"/>
      <c r="C16" s="11">
        <v>3.4</v>
      </c>
      <c r="D16" s="385" t="s">
        <v>63</v>
      </c>
      <c r="E16" s="385"/>
      <c r="F16" s="385"/>
      <c r="G16" s="385"/>
      <c r="H16" s="386"/>
      <c r="J16" s="378"/>
      <c r="K16" s="11">
        <v>7.3</v>
      </c>
      <c r="L16" s="385" t="s">
        <v>86</v>
      </c>
      <c r="M16" s="385"/>
      <c r="N16" s="385"/>
      <c r="O16" s="11"/>
      <c r="P16" s="385"/>
      <c r="Q16" s="385"/>
      <c r="R16" s="386"/>
    </row>
    <row r="17" spans="2:26" x14ac:dyDescent="0.4">
      <c r="B17" s="379" t="s">
        <v>50</v>
      </c>
      <c r="C17" s="12">
        <v>4.0999999999999996</v>
      </c>
      <c r="D17" s="383" t="s">
        <v>64</v>
      </c>
      <c r="E17" s="383"/>
      <c r="F17" s="383"/>
      <c r="G17" s="383"/>
      <c r="H17" s="384"/>
      <c r="J17" s="379" t="s">
        <v>73</v>
      </c>
      <c r="K17" s="395">
        <v>8.1</v>
      </c>
      <c r="L17" s="396" t="s">
        <v>87</v>
      </c>
      <c r="M17" s="383"/>
      <c r="N17" s="383"/>
      <c r="O17" s="395">
        <v>8.4</v>
      </c>
      <c r="P17" s="396" t="s">
        <v>97</v>
      </c>
      <c r="Q17" s="383"/>
      <c r="R17" s="384"/>
    </row>
    <row r="18" spans="2:26" x14ac:dyDescent="0.4">
      <c r="B18" s="377"/>
      <c r="C18" s="10">
        <v>4.2</v>
      </c>
      <c r="D18" s="381" t="s">
        <v>65</v>
      </c>
      <c r="E18" s="381"/>
      <c r="F18" s="381"/>
      <c r="G18" s="381"/>
      <c r="H18" s="382"/>
      <c r="J18" s="377"/>
      <c r="K18" s="224"/>
      <c r="L18" s="381"/>
      <c r="M18" s="381"/>
      <c r="N18" s="381"/>
      <c r="O18" s="224"/>
      <c r="P18" s="381"/>
      <c r="Q18" s="381"/>
      <c r="R18" s="382"/>
    </row>
    <row r="19" spans="2:26" x14ac:dyDescent="0.4">
      <c r="B19" s="377"/>
      <c r="C19" s="10">
        <v>4.3</v>
      </c>
      <c r="D19" s="381" t="s">
        <v>66</v>
      </c>
      <c r="E19" s="381"/>
      <c r="F19" s="381"/>
      <c r="G19" s="381"/>
      <c r="H19" s="382"/>
      <c r="J19" s="377"/>
      <c r="K19" s="10">
        <v>8.1999999999999993</v>
      </c>
      <c r="L19" s="381" t="s">
        <v>88</v>
      </c>
      <c r="M19" s="381"/>
      <c r="N19" s="381"/>
      <c r="O19" s="10">
        <v>8.5</v>
      </c>
      <c r="P19" s="381" t="s">
        <v>98</v>
      </c>
      <c r="Q19" s="381"/>
      <c r="R19" s="382"/>
    </row>
    <row r="20" spans="2:26" ht="18" thickBot="1" x14ac:dyDescent="0.45">
      <c r="B20" s="378"/>
      <c r="C20" s="11">
        <v>4.4000000000000004</v>
      </c>
      <c r="D20" s="385" t="s">
        <v>67</v>
      </c>
      <c r="E20" s="385"/>
      <c r="F20" s="385"/>
      <c r="G20" s="385"/>
      <c r="H20" s="386"/>
      <c r="J20" s="378"/>
      <c r="K20" s="11">
        <v>8.3000000000000007</v>
      </c>
      <c r="L20" s="385" t="s">
        <v>89</v>
      </c>
      <c r="M20" s="385"/>
      <c r="N20" s="385"/>
      <c r="O20" s="11"/>
      <c r="P20" s="385"/>
      <c r="Q20" s="385"/>
      <c r="R20" s="386"/>
    </row>
    <row r="23" spans="2:26" ht="25.8" thickBot="1" x14ac:dyDescent="0.45">
      <c r="B23" s="418" t="s">
        <v>99</v>
      </c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O23" s="418" t="s">
        <v>112</v>
      </c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</row>
    <row r="24" spans="2:26" ht="27.6" customHeight="1" thickBot="1" x14ac:dyDescent="0.45">
      <c r="B24" s="417" t="s">
        <v>100</v>
      </c>
      <c r="C24" s="389"/>
      <c r="D24" s="389" t="s">
        <v>101</v>
      </c>
      <c r="E24" s="389"/>
      <c r="F24" s="389"/>
      <c r="G24" s="389"/>
      <c r="H24" s="389"/>
      <c r="I24" s="389"/>
      <c r="J24" s="389"/>
      <c r="K24" s="389"/>
      <c r="L24" s="389"/>
      <c r="M24" s="390"/>
      <c r="O24" s="400" t="s">
        <v>113</v>
      </c>
      <c r="P24" s="401"/>
      <c r="Q24" s="402"/>
      <c r="R24" s="403" t="s">
        <v>101</v>
      </c>
      <c r="S24" s="401"/>
      <c r="T24" s="401"/>
      <c r="U24" s="401"/>
      <c r="V24" s="401"/>
      <c r="W24" s="401"/>
      <c r="X24" s="401"/>
      <c r="Y24" s="401"/>
      <c r="Z24" s="404"/>
    </row>
    <row r="25" spans="2:26" ht="49.95" customHeight="1" thickTop="1" x14ac:dyDescent="0.4">
      <c r="B25" s="26">
        <v>5</v>
      </c>
      <c r="C25" s="27" t="s">
        <v>102</v>
      </c>
      <c r="D25" s="419" t="s">
        <v>107</v>
      </c>
      <c r="E25" s="419"/>
      <c r="F25" s="419"/>
      <c r="G25" s="419"/>
      <c r="H25" s="419"/>
      <c r="I25" s="419"/>
      <c r="J25" s="419"/>
      <c r="K25" s="419"/>
      <c r="L25" s="419"/>
      <c r="M25" s="420"/>
      <c r="N25" s="17"/>
      <c r="O25" s="28">
        <v>4</v>
      </c>
      <c r="P25" s="415" t="s">
        <v>114</v>
      </c>
      <c r="Q25" s="416"/>
      <c r="R25" s="412" t="s">
        <v>121</v>
      </c>
      <c r="S25" s="413"/>
      <c r="T25" s="413"/>
      <c r="U25" s="413"/>
      <c r="V25" s="413"/>
      <c r="W25" s="413"/>
      <c r="X25" s="413"/>
      <c r="Y25" s="413"/>
      <c r="Z25" s="414"/>
    </row>
    <row r="26" spans="2:26" ht="49.95" customHeight="1" x14ac:dyDescent="0.4">
      <c r="B26" s="20">
        <v>4</v>
      </c>
      <c r="C26" s="21" t="s">
        <v>103</v>
      </c>
      <c r="D26" s="398" t="s">
        <v>108</v>
      </c>
      <c r="E26" s="398"/>
      <c r="F26" s="398"/>
      <c r="G26" s="398"/>
      <c r="H26" s="398"/>
      <c r="I26" s="398"/>
      <c r="J26" s="398"/>
      <c r="K26" s="398"/>
      <c r="L26" s="398"/>
      <c r="M26" s="399"/>
      <c r="N26" s="17"/>
      <c r="O26" s="29">
        <v>3</v>
      </c>
      <c r="P26" s="405" t="s">
        <v>115</v>
      </c>
      <c r="Q26" s="406"/>
      <c r="R26" s="412" t="s">
        <v>120</v>
      </c>
      <c r="S26" s="413"/>
      <c r="T26" s="413"/>
      <c r="U26" s="413"/>
      <c r="V26" s="413"/>
      <c r="W26" s="413"/>
      <c r="X26" s="413"/>
      <c r="Y26" s="413"/>
      <c r="Z26" s="414"/>
    </row>
    <row r="27" spans="2:26" ht="49.95" customHeight="1" x14ac:dyDescent="0.4">
      <c r="B27" s="18">
        <v>3</v>
      </c>
      <c r="C27" s="19" t="s">
        <v>104</v>
      </c>
      <c r="D27" s="398" t="s">
        <v>109</v>
      </c>
      <c r="E27" s="398"/>
      <c r="F27" s="398"/>
      <c r="G27" s="398"/>
      <c r="H27" s="398"/>
      <c r="I27" s="398"/>
      <c r="J27" s="398"/>
      <c r="K27" s="398"/>
      <c r="L27" s="398"/>
      <c r="M27" s="399"/>
      <c r="N27" s="17"/>
      <c r="O27" s="29">
        <v>2</v>
      </c>
      <c r="P27" s="405" t="s">
        <v>116</v>
      </c>
      <c r="Q27" s="406"/>
      <c r="R27" s="412" t="s">
        <v>119</v>
      </c>
      <c r="S27" s="413"/>
      <c r="T27" s="413"/>
      <c r="U27" s="413"/>
      <c r="V27" s="413"/>
      <c r="W27" s="413"/>
      <c r="X27" s="413"/>
      <c r="Y27" s="413"/>
      <c r="Z27" s="414"/>
    </row>
    <row r="28" spans="2:26" ht="49.95" customHeight="1" thickBot="1" x14ac:dyDescent="0.45">
      <c r="B28" s="22">
        <v>2</v>
      </c>
      <c r="C28" s="23" t="s">
        <v>105</v>
      </c>
      <c r="D28" s="398" t="s">
        <v>110</v>
      </c>
      <c r="E28" s="398"/>
      <c r="F28" s="398"/>
      <c r="G28" s="398"/>
      <c r="H28" s="398"/>
      <c r="I28" s="398"/>
      <c r="J28" s="398"/>
      <c r="K28" s="398"/>
      <c r="L28" s="398"/>
      <c r="M28" s="399"/>
      <c r="N28" s="17"/>
      <c r="O28" s="30">
        <v>1</v>
      </c>
      <c r="P28" s="407" t="s">
        <v>117</v>
      </c>
      <c r="Q28" s="408"/>
      <c r="R28" s="409" t="s">
        <v>118</v>
      </c>
      <c r="S28" s="410"/>
      <c r="T28" s="410"/>
      <c r="U28" s="410"/>
      <c r="V28" s="410"/>
      <c r="W28" s="410"/>
      <c r="X28" s="410"/>
      <c r="Y28" s="410"/>
      <c r="Z28" s="411"/>
    </row>
    <row r="29" spans="2:26" ht="49.95" customHeight="1" thickBot="1" x14ac:dyDescent="0.45">
      <c r="B29" s="24">
        <v>1</v>
      </c>
      <c r="C29" s="25" t="s">
        <v>106</v>
      </c>
      <c r="D29" s="409" t="s">
        <v>111</v>
      </c>
      <c r="E29" s="410"/>
      <c r="F29" s="410"/>
      <c r="G29" s="410"/>
      <c r="H29" s="410"/>
      <c r="I29" s="410"/>
      <c r="J29" s="410"/>
      <c r="K29" s="410"/>
      <c r="L29" s="410"/>
      <c r="M29" s="411"/>
      <c r="N29" s="17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 x14ac:dyDescent="0.4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37" t="s">
        <v>163</v>
      </c>
    </row>
    <row r="58" spans="2:9" hidden="1" x14ac:dyDescent="0.4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 x14ac:dyDescent="0.4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 x14ac:dyDescent="0.4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 x14ac:dyDescent="0.4">
      <c r="B61" t="s">
        <v>135</v>
      </c>
      <c r="F61" t="s">
        <v>152</v>
      </c>
      <c r="G61" t="s">
        <v>167</v>
      </c>
      <c r="H61" t="s">
        <v>171</v>
      </c>
    </row>
    <row r="62" spans="2:9" hidden="1" x14ac:dyDescent="0.4">
      <c r="B62" t="s">
        <v>136</v>
      </c>
      <c r="F62" t="s">
        <v>153</v>
      </c>
      <c r="G62" t="s">
        <v>168</v>
      </c>
    </row>
    <row r="63" spans="2:9" hidden="1" x14ac:dyDescent="0.4">
      <c r="F63" t="s">
        <v>164</v>
      </c>
      <c r="G63" t="s">
        <v>169</v>
      </c>
    </row>
    <row r="64" spans="2:9" hidden="1" x14ac:dyDescent="0.4">
      <c r="F64" t="s">
        <v>165</v>
      </c>
    </row>
    <row r="65" spans="6:6" hidden="1" x14ac:dyDescent="0.4">
      <c r="F65" t="s">
        <v>166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23</vt:i4>
      </vt:variant>
    </vt:vector>
  </HeadingPairs>
  <TitlesOfParts>
    <vt:vector size="29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전체공사일정표(최초,)</vt:lpstr>
      <vt:lpstr>5.위험성평가표(최초)</vt:lpstr>
      <vt:lpstr>6. 참조자료(유해위험요인, 위험성추정)</vt:lpstr>
      <vt:lpstr>'4. 전체공사일정표(최초,)'!Print_Area</vt:lpstr>
      <vt:lpstr>RNG_ACTUAL_END_DATE_COL_NAME</vt:lpstr>
      <vt:lpstr>RNG_ACTUAL_RATE_COL_NAME</vt:lpstr>
      <vt:lpstr>RNG_ACTUAL_START_DATE_COL_NAME</vt:lpstr>
      <vt:lpstr>RNG_ACTUAL_TOTAL_DURATION_COL_NAME</vt:lpstr>
      <vt:lpstr>RNG_ACTUAL_TOTAL_WORKLOAD_COL_NAME</vt:lpstr>
      <vt:lpstr>RNG_CALENDAR_COL_NAME</vt:lpstr>
      <vt:lpstr>RNG_DELIVERABLES_COL_NAME</vt:lpstr>
      <vt:lpstr>RNG_END_DATE_COL_NAME</vt:lpstr>
      <vt:lpstr>RNG_ETC_COL_NAME</vt:lpstr>
      <vt:lpstr>RNG_GANTT_AREA_FIRST_COL_NAME</vt:lpstr>
      <vt:lpstr>RNG_PLAN_DURATION_COL_NAME</vt:lpstr>
      <vt:lpstr>RNG_PLAN_RATE_COL_NAME</vt:lpstr>
      <vt:lpstr>RNG_PLAN_WORKLOAD_COL_NAME</vt:lpstr>
      <vt:lpstr>RNG_RESOURCE_COL_NAME</vt:lpstr>
      <vt:lpstr>RNG_RESOURCE_WEIGHT_COL_NAME</vt:lpstr>
      <vt:lpstr>RNG_START_DATE_COL_NAME</vt:lpstr>
      <vt:lpstr>RNG_TASK_FIRST_COL_NAME</vt:lpstr>
      <vt:lpstr>RNG_TOTAL_DURATION_COL_NAME</vt:lpstr>
      <vt:lpstr>RNG_TOTAL_WORKLOAD_COL_NAME</vt:lpstr>
      <vt:lpstr>RNG_WBS_AREA_LAST_COL_NAME</vt:lpstr>
      <vt:lpstr>RNG_WBS_COL_NAME</vt:lpstr>
      <vt:lpstr>RNG_WBS_LEVEL_COL_NAME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추인호(물류PM3팀/과장/-)</cp:lastModifiedBy>
  <cp:lastPrinted>2021-11-30T00:32:52Z</cp:lastPrinted>
  <dcterms:created xsi:type="dcterms:W3CDTF">2016-01-18T02:47:57Z</dcterms:created>
  <dcterms:modified xsi:type="dcterms:W3CDTF">2022-10-07T07:46:39Z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