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T:\다운로드\"/>
    </mc:Choice>
  </mc:AlternateContent>
  <bookViews>
    <workbookView xWindow="0" yWindow="0" windowWidth="23436" windowHeight="12336" activeTab="3"/>
  </bookViews>
  <sheets>
    <sheet name="1.위험성평가실시계획(갑지)" sheetId="2" r:id="rId1"/>
    <sheet name="2.전체공사일정표" sheetId="7" r:id="rId2"/>
    <sheet name="3.위험성추정·결정표" sheetId="3" r:id="rId3"/>
    <sheet name="4.위험성평가표" sheetId="1" r:id="rId4"/>
  </sheets>
  <externalReferences>
    <externalReference r:id="rId5"/>
    <externalReference r:id="rId6"/>
  </externalReferences>
  <definedNames>
    <definedName name="_xlnm._FilterDatabase" localSheetId="1" hidden="1">'2.전체공사일정표'!$A$3:$AF$480</definedName>
    <definedName name="_xlnm._FilterDatabase" localSheetId="3" hidden="1">'4.위험성평가표'!$B$4:$H$47</definedName>
    <definedName name="ACTUAL_RATE" localSheetId="1">[1]Progress!$B$21</definedName>
    <definedName name="ACTUAL_RATE">[2]Progress!$B$21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LANNED_RATE" localSheetId="1">[1]Progress!$B$18</definedName>
    <definedName name="PLANNED_RATE">[2]Progress!$B$18</definedName>
    <definedName name="_xlnm.Print_Area" localSheetId="0">'1.위험성평가실시계획(갑지)'!$B$2:$L$20</definedName>
    <definedName name="_xlnm.Print_Area" localSheetId="1">'2.전체공사일정표'!$D$1:$DZ$480</definedName>
    <definedName name="_xlnm.Print_Area" localSheetId="3">'4.위험성평가표'!$B$4:$V$48</definedName>
    <definedName name="RNG_ACTUAL_END_DATE_COL_NAME" localSheetId="1">'2.전체공사일정표'!$Y$3</definedName>
    <definedName name="RNG_ACTUAL_END_DATE_COL_NAME">#REF!</definedName>
    <definedName name="RNG_ACTUAL_RATE_COL_NAME" localSheetId="1">'2.전체공사일정표'!$AF$3</definedName>
    <definedName name="RNG_ACTUAL_RATE_COL_NAME">#REF!</definedName>
    <definedName name="RNG_ACTUAL_START_DATE_COL_NAME" localSheetId="1">'2.전체공사일정표'!$X$3</definedName>
    <definedName name="RNG_ACTUAL_START_DATE_COL_NAME">#REF!</definedName>
    <definedName name="RNG_ACTUAL_TOTAL_DURATION_COL_NAME" localSheetId="1">'2.전체공사일정표'!$AA$3</definedName>
    <definedName name="RNG_ACTUAL_TOTAL_DURATION_COL_NAME">#REF!</definedName>
    <definedName name="RNG_ACTUAL_TOTAL_WORKLOAD_COL_NAME" localSheetId="1">'2.전체공사일정표'!$Z$3</definedName>
    <definedName name="RNG_ACTUAL_TOTAL_WORKLOAD_COL_NAME">#REF!</definedName>
    <definedName name="RNG_CALENDAR_COL_NAME" localSheetId="1">'2.전체공사일정표'!$S$3</definedName>
    <definedName name="RNG_CALENDAR_COL_NAME">#REF!</definedName>
    <definedName name="RNG_DELIVERABLES_COL_NAME" localSheetId="1">'2.전체공사일정표'!$AD$3</definedName>
    <definedName name="RNG_DELIVERABLES_COL_NAME">#REF!</definedName>
    <definedName name="RNG_END_DATE_COL_NAME" localSheetId="1">'2.전체공사일정표'!$R$3</definedName>
    <definedName name="RNG_END_DATE_COL_NAME">#REF!</definedName>
    <definedName name="RNG_ETC_COL_NAME" localSheetId="1">'2.전체공사일정표'!$O$3</definedName>
    <definedName name="RNG_ETC_COL_NAME">#REF!</definedName>
    <definedName name="RNG_GANTT_AREA_FIRST_COL_NAME" localSheetId="1">'2.전체공사일정표'!$AG$4</definedName>
    <definedName name="RNG_GANTT_AREA_FIRST_COL_NAME">#REF!</definedName>
    <definedName name="RNG_PLAN_DURATION_COL_NAME" localSheetId="1">'2.전체공사일정표'!$W$3</definedName>
    <definedName name="RNG_PLAN_DURATION_COL_NAME">#REF!</definedName>
    <definedName name="RNG_PLAN_RATE_COL_NAME" localSheetId="1">'2.전체공사일정표'!$AE$3</definedName>
    <definedName name="RNG_PLAN_RATE_COL_NAME">#REF!</definedName>
    <definedName name="RNG_PLAN_WORKLOAD_COL_NAME" localSheetId="1">'2.전체공사일정표'!$U$3</definedName>
    <definedName name="RNG_PLAN_WORKLOAD_COL_NAME">#REF!</definedName>
    <definedName name="RNG_RESOURCE_COL_NAME" localSheetId="1">'2.전체공사일정표'!$AC$3</definedName>
    <definedName name="RNG_RESOURCE_COL_NAME">#REF!</definedName>
    <definedName name="RNG_RESOURCE_WEIGHT_COL_NAME" localSheetId="1">'2.전체공사일정표'!$AB$3</definedName>
    <definedName name="RNG_RESOURCE_WEIGHT_COL_NAME">#REF!</definedName>
    <definedName name="RNG_START_DATE_COL_NAME" localSheetId="1">'2.전체공사일정표'!$Q$3</definedName>
    <definedName name="RNG_START_DATE_COL_NAME">#REF!</definedName>
    <definedName name="RNG_TASK_FIRST_COL_NAME" localSheetId="1">'2.전체공사일정표'!$E$3</definedName>
    <definedName name="RNG_TASK_FIRST_COL_NAME">#REF!</definedName>
    <definedName name="RNG_TOTAL_DURATION_COL_NAME" localSheetId="1">'2.전체공사일정표'!$V$3</definedName>
    <definedName name="RNG_TOTAL_DURATION_COL_NAME">#REF!</definedName>
    <definedName name="RNG_TOTAL_WORKLOAD_COL_NAME" localSheetId="1">'2.전체공사일정표'!$T$3</definedName>
    <definedName name="RNG_TOTAL_WORKLOAD_COL_NAME">#REF!</definedName>
    <definedName name="RNG_WBS_AREA_LAST_COL_NAME" localSheetId="1">'2.전체공사일정표'!$AF$3</definedName>
    <definedName name="RNG_WBS_AREA_LAST_COL_NAME">#REF!</definedName>
    <definedName name="RNG_WBS_COL_NAME" localSheetId="1">'2.전체공사일정표'!$D$3</definedName>
    <definedName name="RNG_WBS_COL_NAME">#REF!</definedName>
    <definedName name="RNG_WBS_LEVEL_COL_NAME" localSheetId="1">'2.전체공사일정표'!$C$3</definedName>
    <definedName name="RNG_WBS_LEVEL_COL_NAME">#REF!</definedName>
    <definedName name="Z_02FBC6E6_CD2B_48E2_BC55_64C05A10B473_.wvu.FilterData" localSheetId="1" hidden="1">'2.전체공사일정표'!$E$4:$X$4</definedName>
    <definedName name="Z_0A64F8D9_59E4_4471_A54B_AB6085820F8B_.wvu.FilterData" localSheetId="1" hidden="1">'2.전체공사일정표'!$E$4:$X$4</definedName>
    <definedName name="Z_0A64F8D9_59E4_4471_A54B_AB6085820F8B_.wvu.PrintArea" localSheetId="1" hidden="1">'2.전체공사일정표'!$E$4:$AF$4</definedName>
    <definedName name="Z_0B810681_CC81_4141_9F16_24B3FD4F0FB8_.wvu.FilterData" localSheetId="1" hidden="1">'2.전체공사일정표'!$E$4:$X$4</definedName>
    <definedName name="Z_0B810681_CC81_4141_9F16_24B3FD4F0FB8_.wvu.PrintArea" localSheetId="1" hidden="1">'2.전체공사일정표'!$E$4:$AF$4</definedName>
    <definedName name="Z_45F170B6_3544_43F8_BFC7_D657B723AABC_.wvu.FilterData" localSheetId="1" hidden="1">'2.전체공사일정표'!$E$4:$X$4</definedName>
    <definedName name="Z_45F170B6_3544_43F8_BFC7_D657B723AABC_.wvu.PrintArea" localSheetId="1" hidden="1">'2.전체공사일정표'!$E$4:$AF$4</definedName>
    <definedName name="Z_6C04A49A_6140_42F5_B660_358F3428D555_.wvu.FilterData" localSheetId="1" hidden="1">'2.전체공사일정표'!$E$4:$X$4</definedName>
    <definedName name="Z_6C04A49A_6140_42F5_B660_358F3428D555_.wvu.PrintArea" localSheetId="1" hidden="1">'2.전체공사일정표'!$E$4:$AF$4</definedName>
    <definedName name="Z_717B341C_ADF7_4494_8FE3_F9159C14788B_.wvu.FilterData" localSheetId="1" hidden="1">'2.전체공사일정표'!$E$4:$X$4</definedName>
    <definedName name="Z_96DEAA77_2828_4E97_975A_CF93EF5D9712_.wvu.FilterData" localSheetId="1" hidden="1">'2.전체공사일정표'!$E$4:$X$4</definedName>
    <definedName name="Z_AF9F6769_16BA_4444_B539_537212F9672A_.wvu.FilterData" localSheetId="1" hidden="1">'2.전체공사일정표'!$E$4:$X$4</definedName>
    <definedName name="Z_AF9F6769_16BA_4444_B539_537212F9672A_.wvu.PrintArea" localSheetId="1" hidden="1">'2.전체공사일정표'!$E$4:$AF$4</definedName>
    <definedName name="Z_B0AA3114_3257_4D99_8E15_F0A183B56293_.wvu.FilterData" localSheetId="1" hidden="1">'2.전체공사일정표'!$E$4:$X$4</definedName>
    <definedName name="Z_B4798534_C27D_422C_BD87_0A71D9C8BAA9_.wvu.FilterData" localSheetId="1" hidden="1">'2.전체공사일정표'!$E$4:$X$4</definedName>
    <definedName name="Z_C7B87852_3417_4B82_AD8F_04929FC46960_.wvu.FilterData" localSheetId="1" hidden="1">'2.전체공사일정표'!$E$4:$X$4</definedName>
    <definedName name="Z_CD147E05_78AB_4F1A_996E_7FAB0BB4629B_.wvu.FilterData" localSheetId="1" hidden="1">'2.전체공사일정표'!$E$4:$X$4</definedName>
    <definedName name="Z_F8F33EAC_6737_4237_A48D_05833D89E8C9_.wvu.FilterData" localSheetId="1" hidden="1">'2.전체공사일정표'!$E$4:$X$4</definedName>
    <definedName name="Z_F8F33EAC_6737_4237_A48D_05833D89E8C9_.wvu.PrintArea" localSheetId="1" hidden="1">'2.전체공사일정표'!$E$4:$AF$4</definedName>
    <definedName name="Z_FA644498_2FA7_4E23_AA15_463455A1D2EE_.wvu.FilterData" localSheetId="1" hidden="1">'2.전체공사일정표'!$E$4:$X$4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P480" i="7" l="1"/>
  <c r="DE480" i="7"/>
  <c r="S480" i="7"/>
  <c r="DE479" i="7"/>
  <c r="CZ479" i="7"/>
  <c r="S479" i="7"/>
  <c r="CX478" i="7"/>
  <c r="CP478" i="7"/>
  <c r="S478" i="7"/>
  <c r="DP477" i="7"/>
  <c r="CP477" i="7"/>
  <c r="DP476" i="7"/>
  <c r="CP476" i="7"/>
  <c r="S475" i="7"/>
  <c r="S473" i="7"/>
  <c r="S472" i="7"/>
  <c r="S471" i="7"/>
  <c r="S470" i="7"/>
  <c r="S467" i="7"/>
  <c r="S466" i="7"/>
  <c r="S465" i="7"/>
  <c r="S464" i="7"/>
  <c r="S463" i="7"/>
  <c r="S460" i="7"/>
  <c r="S458" i="7"/>
  <c r="S457" i="7"/>
  <c r="S456" i="7"/>
  <c r="S455" i="7"/>
  <c r="S454" i="7"/>
  <c r="CG449" i="7"/>
  <c r="S449" i="7"/>
  <c r="CD448" i="7"/>
  <c r="S448" i="7"/>
  <c r="CD447" i="7"/>
  <c r="O447" i="7"/>
  <c r="O448" i="7" s="1"/>
  <c r="O449" i="7" s="1"/>
  <c r="CC446" i="7"/>
  <c r="S446" i="7"/>
  <c r="CA445" i="7"/>
  <c r="S445" i="7"/>
  <c r="CE444" i="7"/>
  <c r="CA444" i="7"/>
  <c r="O444" i="7"/>
  <c r="O445" i="7" s="1"/>
  <c r="O446" i="7" s="1"/>
  <c r="CH443" i="7"/>
  <c r="S443" i="7"/>
  <c r="CF442" i="7"/>
  <c r="S442" i="7"/>
  <c r="O442" i="7"/>
  <c r="O443" i="7" s="1"/>
  <c r="CF441" i="7"/>
  <c r="O441" i="7"/>
  <c r="CA440" i="7"/>
  <c r="S440" i="7"/>
  <c r="BY439" i="7"/>
  <c r="S439" i="7"/>
  <c r="BY438" i="7"/>
  <c r="O438" i="7"/>
  <c r="O439" i="7" s="1"/>
  <c r="O440" i="7" s="1"/>
  <c r="CA437" i="7"/>
  <c r="S437" i="7"/>
  <c r="BY436" i="7"/>
  <c r="S436" i="7"/>
  <c r="O436" i="7"/>
  <c r="O437" i="7" s="1"/>
  <c r="BY435" i="7"/>
  <c r="O435" i="7"/>
  <c r="CG434" i="7"/>
  <c r="CC434" i="7"/>
  <c r="S434" i="7"/>
  <c r="CA433" i="7"/>
  <c r="S433" i="7"/>
  <c r="CG432" i="7"/>
  <c r="CA432" i="7"/>
  <c r="O432" i="7"/>
  <c r="O433" i="7" s="1"/>
  <c r="O434" i="7" s="1"/>
  <c r="CH431" i="7"/>
  <c r="BY431" i="7"/>
  <c r="O431" i="7"/>
  <c r="BU430" i="7"/>
  <c r="S430" i="7"/>
  <c r="BS429" i="7"/>
  <c r="S429" i="7"/>
  <c r="BS428" i="7"/>
  <c r="O428" i="7"/>
  <c r="O429" i="7" s="1"/>
  <c r="O430" i="7" s="1"/>
  <c r="BR427" i="7"/>
  <c r="S427" i="7"/>
  <c r="BP426" i="7"/>
  <c r="S426" i="7"/>
  <c r="BS425" i="7"/>
  <c r="BP425" i="7"/>
  <c r="O425" i="7"/>
  <c r="O426" i="7" s="1"/>
  <c r="O427" i="7" s="1"/>
  <c r="BW424" i="7"/>
  <c r="S424" i="7"/>
  <c r="BU423" i="7"/>
  <c r="S423" i="7"/>
  <c r="BU422" i="7"/>
  <c r="O422" i="7"/>
  <c r="O423" i="7" s="1"/>
  <c r="O424" i="7" s="1"/>
  <c r="BP421" i="7"/>
  <c r="S421" i="7"/>
  <c r="O421" i="7"/>
  <c r="BM420" i="7"/>
  <c r="S420" i="7"/>
  <c r="O420" i="7"/>
  <c r="BM419" i="7"/>
  <c r="O419" i="7"/>
  <c r="BP418" i="7"/>
  <c r="S418" i="7"/>
  <c r="BM417" i="7"/>
  <c r="S417" i="7"/>
  <c r="BM416" i="7"/>
  <c r="O416" i="7"/>
  <c r="O417" i="7" s="1"/>
  <c r="O418" i="7" s="1"/>
  <c r="BU415" i="7"/>
  <c r="BR415" i="7"/>
  <c r="S415" i="7"/>
  <c r="BT414" i="7"/>
  <c r="BP414" i="7"/>
  <c r="S414" i="7"/>
  <c r="BU413" i="7"/>
  <c r="BP413" i="7"/>
  <c r="O413" i="7"/>
  <c r="O414" i="7" s="1"/>
  <c r="O415" i="7" s="1"/>
  <c r="BW412" i="7"/>
  <c r="BM412" i="7"/>
  <c r="O412" i="7"/>
  <c r="CG411" i="7"/>
  <c r="S411" i="7"/>
  <c r="CE410" i="7"/>
  <c r="S410" i="7"/>
  <c r="O410" i="7"/>
  <c r="O411" i="7" s="1"/>
  <c r="CE409" i="7"/>
  <c r="O409" i="7"/>
  <c r="CK408" i="7"/>
  <c r="S408" i="7"/>
  <c r="CH407" i="7"/>
  <c r="S407" i="7"/>
  <c r="CH406" i="7"/>
  <c r="O406" i="7"/>
  <c r="O407" i="7" s="1"/>
  <c r="O408" i="7" s="1"/>
  <c r="CG405" i="7"/>
  <c r="S405" i="7"/>
  <c r="CE404" i="7"/>
  <c r="S404" i="7"/>
  <c r="O404" i="7"/>
  <c r="O405" i="7" s="1"/>
  <c r="CE403" i="7"/>
  <c r="O403" i="7"/>
  <c r="CE402" i="7"/>
  <c r="S402" i="7"/>
  <c r="CC401" i="7"/>
  <c r="S401" i="7"/>
  <c r="CF400" i="7"/>
  <c r="CC400" i="7"/>
  <c r="O400" i="7"/>
  <c r="O401" i="7" s="1"/>
  <c r="O402" i="7" s="1"/>
  <c r="CE399" i="7"/>
  <c r="S399" i="7"/>
  <c r="O399" i="7"/>
  <c r="CC398" i="7"/>
  <c r="S398" i="7"/>
  <c r="O398" i="7"/>
  <c r="CF397" i="7"/>
  <c r="CC397" i="7"/>
  <c r="O397" i="7"/>
  <c r="CI396" i="7"/>
  <c r="S396" i="7"/>
  <c r="CG395" i="7"/>
  <c r="S395" i="7"/>
  <c r="CG394" i="7"/>
  <c r="O394" i="7"/>
  <c r="O395" i="7" s="1"/>
  <c r="O396" i="7" s="1"/>
  <c r="CE393" i="7"/>
  <c r="S393" i="7"/>
  <c r="O393" i="7"/>
  <c r="CC392" i="7"/>
  <c r="S392" i="7"/>
  <c r="O392" i="7"/>
  <c r="CF391" i="7"/>
  <c r="CC391" i="7"/>
  <c r="O391" i="7"/>
  <c r="CK390" i="7"/>
  <c r="CC390" i="7"/>
  <c r="O390" i="7"/>
  <c r="BV389" i="7"/>
  <c r="S389" i="7"/>
  <c r="BT388" i="7"/>
  <c r="S388" i="7"/>
  <c r="BT387" i="7"/>
  <c r="O387" i="7"/>
  <c r="O388" i="7" s="1"/>
  <c r="O389" i="7" s="1"/>
  <c r="BZ386" i="7"/>
  <c r="S386" i="7"/>
  <c r="BZ385" i="7"/>
  <c r="BW385" i="7"/>
  <c r="S385" i="7"/>
  <c r="BZ384" i="7"/>
  <c r="BW384" i="7"/>
  <c r="O384" i="7"/>
  <c r="O385" i="7" s="1"/>
  <c r="O386" i="7" s="1"/>
  <c r="BV383" i="7"/>
  <c r="S383" i="7"/>
  <c r="BT382" i="7"/>
  <c r="S382" i="7"/>
  <c r="O382" i="7"/>
  <c r="O383" i="7" s="1"/>
  <c r="BT381" i="7"/>
  <c r="O381" i="7"/>
  <c r="BT380" i="7"/>
  <c r="S380" i="7"/>
  <c r="BR379" i="7"/>
  <c r="S379" i="7"/>
  <c r="BR378" i="7"/>
  <c r="O378" i="7"/>
  <c r="O379" i="7" s="1"/>
  <c r="O380" i="7" s="1"/>
  <c r="BT377" i="7"/>
  <c r="S377" i="7"/>
  <c r="BR376" i="7"/>
  <c r="S376" i="7"/>
  <c r="O376" i="7"/>
  <c r="O377" i="7" s="1"/>
  <c r="BR375" i="7"/>
  <c r="O375" i="7"/>
  <c r="BX374" i="7"/>
  <c r="S374" i="7"/>
  <c r="BV373" i="7"/>
  <c r="S373" i="7"/>
  <c r="BV372" i="7"/>
  <c r="O372" i="7"/>
  <c r="O373" i="7" s="1"/>
  <c r="O374" i="7" s="1"/>
  <c r="BT371" i="7"/>
  <c r="S371" i="7"/>
  <c r="BR370" i="7"/>
  <c r="S370" i="7"/>
  <c r="O370" i="7"/>
  <c r="O371" i="7" s="1"/>
  <c r="BR369" i="7"/>
  <c r="O369" i="7"/>
  <c r="BZ368" i="7"/>
  <c r="BR368" i="7"/>
  <c r="O368" i="7"/>
  <c r="CG367" i="7"/>
  <c r="CC367" i="7"/>
  <c r="CA366" i="7"/>
  <c r="S366" i="7"/>
  <c r="CG365" i="7"/>
  <c r="CA365" i="7"/>
  <c r="O365" i="7"/>
  <c r="O366" i="7" s="1"/>
  <c r="O367" i="7" s="1"/>
  <c r="CG364" i="7"/>
  <c r="O364" i="7"/>
  <c r="CD363" i="7"/>
  <c r="S363" i="7"/>
  <c r="O363" i="7"/>
  <c r="CD362" i="7"/>
  <c r="O362" i="7"/>
  <c r="CG361" i="7"/>
  <c r="CC361" i="7"/>
  <c r="CA360" i="7"/>
  <c r="S360" i="7"/>
  <c r="CG359" i="7"/>
  <c r="CA359" i="7"/>
  <c r="O359" i="7"/>
  <c r="O360" i="7" s="1"/>
  <c r="O361" i="7" s="1"/>
  <c r="CA358" i="7"/>
  <c r="O358" i="7"/>
  <c r="BY357" i="7"/>
  <c r="S357" i="7"/>
  <c r="O357" i="7"/>
  <c r="BY356" i="7"/>
  <c r="O356" i="7"/>
  <c r="CA355" i="7"/>
  <c r="BY354" i="7"/>
  <c r="S354" i="7"/>
  <c r="BY353" i="7"/>
  <c r="O353" i="7"/>
  <c r="O354" i="7" s="1"/>
  <c r="O355" i="7" s="1"/>
  <c r="CE352" i="7"/>
  <c r="O352" i="7"/>
  <c r="CB351" i="7"/>
  <c r="S351" i="7"/>
  <c r="O351" i="7"/>
  <c r="CB350" i="7"/>
  <c r="O350" i="7"/>
  <c r="CA349" i="7"/>
  <c r="BY348" i="7"/>
  <c r="S348" i="7"/>
  <c r="BY347" i="7"/>
  <c r="O347" i="7"/>
  <c r="O348" i="7" s="1"/>
  <c r="O349" i="7" s="1"/>
  <c r="CG346" i="7"/>
  <c r="BY346" i="7"/>
  <c r="O346" i="7"/>
  <c r="BR345" i="7"/>
  <c r="O345" i="7"/>
  <c r="BP344" i="7"/>
  <c r="S344" i="7"/>
  <c r="O344" i="7"/>
  <c r="BT343" i="7"/>
  <c r="BP343" i="7"/>
  <c r="O343" i="7"/>
  <c r="BU342" i="7"/>
  <c r="BS341" i="7"/>
  <c r="S341" i="7"/>
  <c r="BS340" i="7"/>
  <c r="O340" i="7"/>
  <c r="O341" i="7" s="1"/>
  <c r="O342" i="7" s="1"/>
  <c r="BU339" i="7"/>
  <c r="BR339" i="7"/>
  <c r="O339" i="7"/>
  <c r="BP338" i="7"/>
  <c r="S338" i="7"/>
  <c r="O338" i="7"/>
  <c r="BU337" i="7"/>
  <c r="BP337" i="7"/>
  <c r="O337" i="7"/>
  <c r="BP336" i="7"/>
  <c r="BM335" i="7"/>
  <c r="S335" i="7"/>
  <c r="BM334" i="7"/>
  <c r="O334" i="7"/>
  <c r="O335" i="7" s="1"/>
  <c r="O336" i="7" s="1"/>
  <c r="BP333" i="7"/>
  <c r="O333" i="7"/>
  <c r="BM332" i="7"/>
  <c r="S332" i="7"/>
  <c r="O332" i="7"/>
  <c r="BM331" i="7"/>
  <c r="O331" i="7"/>
  <c r="BS330" i="7"/>
  <c r="BQ329" i="7"/>
  <c r="S329" i="7"/>
  <c r="BQ328" i="7"/>
  <c r="O328" i="7"/>
  <c r="O329" i="7" s="1"/>
  <c r="O330" i="7" s="1"/>
  <c r="BP327" i="7"/>
  <c r="BM326" i="7"/>
  <c r="S326" i="7"/>
  <c r="O326" i="7"/>
  <c r="O327" i="7" s="1"/>
  <c r="BM325" i="7"/>
  <c r="O325" i="7"/>
  <c r="BU324" i="7"/>
  <c r="BM324" i="7"/>
  <c r="O324" i="7"/>
  <c r="CK323" i="7"/>
  <c r="BM323" i="7"/>
  <c r="CK322" i="7"/>
  <c r="BM322" i="7"/>
  <c r="BZ321" i="7"/>
  <c r="S321" i="7"/>
  <c r="BY320" i="7"/>
  <c r="S320" i="7"/>
  <c r="BY319" i="7"/>
  <c r="O319" i="7"/>
  <c r="O320" i="7" s="1"/>
  <c r="O321" i="7" s="1"/>
  <c r="BY318" i="7"/>
  <c r="S318" i="7"/>
  <c r="BX317" i="7"/>
  <c r="S317" i="7"/>
  <c r="O317" i="7"/>
  <c r="O318" i="7" s="1"/>
  <c r="BX316" i="7"/>
  <c r="O316" i="7"/>
  <c r="CB315" i="7"/>
  <c r="S315" i="7"/>
  <c r="CA314" i="7"/>
  <c r="S314" i="7"/>
  <c r="CA313" i="7"/>
  <c r="O313" i="7"/>
  <c r="O314" i="7" s="1"/>
  <c r="O315" i="7" s="1"/>
  <c r="BU312" i="7"/>
  <c r="S312" i="7"/>
  <c r="BT311" i="7"/>
  <c r="S311" i="7"/>
  <c r="O311" i="7"/>
  <c r="O312" i="7" s="1"/>
  <c r="BT310" i="7"/>
  <c r="O310" i="7"/>
  <c r="BU309" i="7"/>
  <c r="S309" i="7"/>
  <c r="BT308" i="7"/>
  <c r="S308" i="7"/>
  <c r="BT307" i="7"/>
  <c r="O307" i="7"/>
  <c r="O308" i="7" s="1"/>
  <c r="O309" i="7" s="1"/>
  <c r="BY306" i="7"/>
  <c r="S306" i="7"/>
  <c r="BX305" i="7"/>
  <c r="S305" i="7"/>
  <c r="O305" i="7"/>
  <c r="O306" i="7" s="1"/>
  <c r="BX304" i="7"/>
  <c r="O304" i="7"/>
  <c r="CC303" i="7"/>
  <c r="BT303" i="7"/>
  <c r="O303" i="7"/>
  <c r="BR302" i="7"/>
  <c r="S302" i="7"/>
  <c r="O302" i="7"/>
  <c r="BQ301" i="7"/>
  <c r="S301" i="7"/>
  <c r="O301" i="7"/>
  <c r="BQ300" i="7"/>
  <c r="O300" i="7"/>
  <c r="BP299" i="7"/>
  <c r="S299" i="7"/>
  <c r="BP298" i="7"/>
  <c r="S298" i="7"/>
  <c r="BP297" i="7"/>
  <c r="O297" i="7"/>
  <c r="O298" i="7" s="1"/>
  <c r="O299" i="7" s="1"/>
  <c r="BS296" i="7"/>
  <c r="S296" i="7"/>
  <c r="O296" i="7"/>
  <c r="BR295" i="7"/>
  <c r="S295" i="7"/>
  <c r="O295" i="7"/>
  <c r="BR294" i="7"/>
  <c r="O294" i="7"/>
  <c r="BL293" i="7"/>
  <c r="S293" i="7"/>
  <c r="BK292" i="7"/>
  <c r="S292" i="7"/>
  <c r="BK291" i="7"/>
  <c r="O291" i="7"/>
  <c r="O292" i="7" s="1"/>
  <c r="O293" i="7" s="1"/>
  <c r="BL290" i="7"/>
  <c r="S290" i="7"/>
  <c r="O290" i="7"/>
  <c r="BK289" i="7"/>
  <c r="S289" i="7"/>
  <c r="O289" i="7"/>
  <c r="BK288" i="7"/>
  <c r="O288" i="7"/>
  <c r="BP287" i="7"/>
  <c r="S287" i="7"/>
  <c r="BP286" i="7"/>
  <c r="S286" i="7"/>
  <c r="BP285" i="7"/>
  <c r="O285" i="7"/>
  <c r="O286" i="7" s="1"/>
  <c r="O287" i="7" s="1"/>
  <c r="BU284" i="7"/>
  <c r="BK284" i="7"/>
  <c r="O284" i="7"/>
  <c r="CC283" i="7"/>
  <c r="S283" i="7"/>
  <c r="CC282" i="7"/>
  <c r="S282" i="7"/>
  <c r="O282" i="7"/>
  <c r="O283" i="7" s="1"/>
  <c r="CC281" i="7"/>
  <c r="O281" i="7"/>
  <c r="CD280" i="7"/>
  <c r="S280" i="7"/>
  <c r="CC279" i="7"/>
  <c r="S279" i="7"/>
  <c r="CC278" i="7"/>
  <c r="O278" i="7"/>
  <c r="O279" i="7" s="1"/>
  <c r="O280" i="7" s="1"/>
  <c r="CC277" i="7"/>
  <c r="S277" i="7"/>
  <c r="CC276" i="7"/>
  <c r="S276" i="7"/>
  <c r="O276" i="7"/>
  <c r="O277" i="7" s="1"/>
  <c r="CC275" i="7"/>
  <c r="O275" i="7"/>
  <c r="BY274" i="7"/>
  <c r="S274" i="7"/>
  <c r="BX273" i="7"/>
  <c r="S273" i="7"/>
  <c r="BX272" i="7"/>
  <c r="O272" i="7"/>
  <c r="O273" i="7" s="1"/>
  <c r="O274" i="7" s="1"/>
  <c r="BY271" i="7"/>
  <c r="S271" i="7"/>
  <c r="BX270" i="7"/>
  <c r="S270" i="7"/>
  <c r="O270" i="7"/>
  <c r="O271" i="7" s="1"/>
  <c r="BX269" i="7"/>
  <c r="O269" i="7"/>
  <c r="CB268" i="7"/>
  <c r="BX268" i="7"/>
  <c r="S268" i="7"/>
  <c r="CG267" i="7"/>
  <c r="BT267" i="7"/>
  <c r="S267" i="7"/>
  <c r="O267" i="7"/>
  <c r="O268" i="7" s="1"/>
  <c r="CG266" i="7"/>
  <c r="BT266" i="7"/>
  <c r="O266" i="7"/>
  <c r="BY265" i="7"/>
  <c r="S265" i="7"/>
  <c r="BX264" i="7"/>
  <c r="S264" i="7"/>
  <c r="BX263" i="7"/>
  <c r="O263" i="7"/>
  <c r="O264" i="7" s="1"/>
  <c r="O265" i="7" s="1"/>
  <c r="CG262" i="7"/>
  <c r="BT262" i="7"/>
  <c r="O262" i="7"/>
  <c r="BS261" i="7"/>
  <c r="S261" i="7"/>
  <c r="O261" i="7"/>
  <c r="BR260" i="7"/>
  <c r="S260" i="7"/>
  <c r="O260" i="7"/>
  <c r="BR259" i="7"/>
  <c r="O259" i="7"/>
  <c r="BU258" i="7"/>
  <c r="S258" i="7"/>
  <c r="BW257" i="7"/>
  <c r="BT257" i="7"/>
  <c r="S257" i="7"/>
  <c r="BW256" i="7"/>
  <c r="BT256" i="7"/>
  <c r="O256" i="7"/>
  <c r="O257" i="7" s="1"/>
  <c r="O258" i="7" s="1"/>
  <c r="BR255" i="7"/>
  <c r="S255" i="7"/>
  <c r="BR254" i="7"/>
  <c r="S254" i="7"/>
  <c r="O254" i="7"/>
  <c r="O255" i="7" s="1"/>
  <c r="BR253" i="7"/>
  <c r="O253" i="7"/>
  <c r="BP252" i="7"/>
  <c r="S252" i="7"/>
  <c r="BP251" i="7"/>
  <c r="S251" i="7"/>
  <c r="BP250" i="7"/>
  <c r="O250" i="7"/>
  <c r="O251" i="7" s="1"/>
  <c r="O252" i="7" s="1"/>
  <c r="BP249" i="7"/>
  <c r="S249" i="7"/>
  <c r="BP248" i="7"/>
  <c r="S248" i="7"/>
  <c r="O248" i="7"/>
  <c r="O249" i="7" s="1"/>
  <c r="BP247" i="7"/>
  <c r="O247" i="7"/>
  <c r="BU246" i="7"/>
  <c r="S246" i="7"/>
  <c r="BT245" i="7"/>
  <c r="S245" i="7"/>
  <c r="BT244" i="7"/>
  <c r="O244" i="7"/>
  <c r="O245" i="7" s="1"/>
  <c r="O246" i="7" s="1"/>
  <c r="BP243" i="7"/>
  <c r="S243" i="7"/>
  <c r="BP242" i="7"/>
  <c r="S242" i="7"/>
  <c r="O242" i="7"/>
  <c r="O243" i="7" s="1"/>
  <c r="BP241" i="7"/>
  <c r="O241" i="7"/>
  <c r="BW240" i="7"/>
  <c r="BP240" i="7"/>
  <c r="O240" i="7"/>
  <c r="BW239" i="7"/>
  <c r="S239" i="7"/>
  <c r="BW238" i="7"/>
  <c r="O238" i="7"/>
  <c r="O239" i="7" s="1"/>
  <c r="BZ237" i="7"/>
  <c r="S237" i="7"/>
  <c r="O237" i="7"/>
  <c r="BZ236" i="7"/>
  <c r="O236" i="7"/>
  <c r="BW235" i="7"/>
  <c r="S235" i="7"/>
  <c r="O235" i="7"/>
  <c r="BW234" i="7"/>
  <c r="O234" i="7"/>
  <c r="BU233" i="7"/>
  <c r="S233" i="7"/>
  <c r="BU232" i="7"/>
  <c r="O232" i="7"/>
  <c r="O233" i="7" s="1"/>
  <c r="BU231" i="7"/>
  <c r="S231" i="7"/>
  <c r="O231" i="7"/>
  <c r="BU230" i="7"/>
  <c r="O230" i="7"/>
  <c r="BX229" i="7"/>
  <c r="S229" i="7"/>
  <c r="BX228" i="7"/>
  <c r="O228" i="7"/>
  <c r="O229" i="7" s="1"/>
  <c r="BU227" i="7"/>
  <c r="S227" i="7"/>
  <c r="BU226" i="7"/>
  <c r="O226" i="7"/>
  <c r="O227" i="7" s="1"/>
  <c r="CB225" i="7"/>
  <c r="BU225" i="7"/>
  <c r="O225" i="7"/>
  <c r="BN224" i="7"/>
  <c r="S224" i="7"/>
  <c r="O224" i="7"/>
  <c r="BN223" i="7"/>
  <c r="O223" i="7"/>
  <c r="BR222" i="7"/>
  <c r="S222" i="7"/>
  <c r="O222" i="7"/>
  <c r="BR221" i="7"/>
  <c r="O221" i="7"/>
  <c r="BN220" i="7"/>
  <c r="S220" i="7"/>
  <c r="BN219" i="7"/>
  <c r="O219" i="7"/>
  <c r="O220" i="7" s="1"/>
  <c r="BL218" i="7"/>
  <c r="S218" i="7"/>
  <c r="O218" i="7"/>
  <c r="BL217" i="7"/>
  <c r="O217" i="7"/>
  <c r="BL216" i="7"/>
  <c r="S216" i="7"/>
  <c r="O216" i="7"/>
  <c r="BL215" i="7"/>
  <c r="O215" i="7"/>
  <c r="BP214" i="7"/>
  <c r="S214" i="7"/>
  <c r="BP213" i="7"/>
  <c r="O213" i="7"/>
  <c r="O214" i="7" s="1"/>
  <c r="BL212" i="7"/>
  <c r="S212" i="7"/>
  <c r="O212" i="7"/>
  <c r="BL211" i="7"/>
  <c r="O211" i="7"/>
  <c r="BS210" i="7"/>
  <c r="BL210" i="7"/>
  <c r="O210" i="7"/>
  <c r="CG209" i="7"/>
  <c r="BK209" i="7"/>
  <c r="CG208" i="7"/>
  <c r="BK208" i="7"/>
  <c r="CA207" i="7"/>
  <c r="BW207" i="7"/>
  <c r="S207" i="7"/>
  <c r="BW206" i="7"/>
  <c r="BQ206" i="7"/>
  <c r="S206" i="7"/>
  <c r="BT205" i="7"/>
  <c r="AZ205" i="7"/>
  <c r="S205" i="7"/>
  <c r="BT204" i="7"/>
  <c r="AR204" i="7"/>
  <c r="S204" i="7"/>
  <c r="CA203" i="7"/>
  <c r="AR203" i="7"/>
  <c r="O203" i="7"/>
  <c r="O204" i="7" s="1"/>
  <c r="O205" i="7" s="1"/>
  <c r="O206" i="7" s="1"/>
  <c r="O207" i="7" s="1"/>
  <c r="BX202" i="7"/>
  <c r="BT202" i="7"/>
  <c r="S202" i="7"/>
  <c r="BV201" i="7"/>
  <c r="BM201" i="7"/>
  <c r="S201" i="7"/>
  <c r="BO200" i="7"/>
  <c r="AZ200" i="7"/>
  <c r="S200" i="7"/>
  <c r="BT199" i="7"/>
  <c r="AR199" i="7"/>
  <c r="S199" i="7"/>
  <c r="BX198" i="7"/>
  <c r="AR198" i="7"/>
  <c r="O198" i="7"/>
  <c r="O199" i="7" s="1"/>
  <c r="O200" i="7" s="1"/>
  <c r="O201" i="7" s="1"/>
  <c r="O202" i="7" s="1"/>
  <c r="CA197" i="7"/>
  <c r="BV197" i="7"/>
  <c r="S197" i="7"/>
  <c r="BX196" i="7"/>
  <c r="BQ196" i="7"/>
  <c r="S196" i="7"/>
  <c r="BT195" i="7"/>
  <c r="AZ195" i="7"/>
  <c r="S195" i="7"/>
  <c r="BT194" i="7"/>
  <c r="AR194" i="7"/>
  <c r="S194" i="7"/>
  <c r="O194" i="7"/>
  <c r="O195" i="7" s="1"/>
  <c r="O196" i="7" s="1"/>
  <c r="O197" i="7" s="1"/>
  <c r="CA193" i="7"/>
  <c r="AR193" i="7"/>
  <c r="O193" i="7"/>
  <c r="BT192" i="7"/>
  <c r="BO192" i="7"/>
  <c r="S192" i="7"/>
  <c r="BT191" i="7"/>
  <c r="BK191" i="7"/>
  <c r="S191" i="7"/>
  <c r="BM190" i="7"/>
  <c r="AZ190" i="7"/>
  <c r="S190" i="7"/>
  <c r="BT189" i="7"/>
  <c r="AR189" i="7"/>
  <c r="S189" i="7"/>
  <c r="O189" i="7"/>
  <c r="O190" i="7" s="1"/>
  <c r="O191" i="7" s="1"/>
  <c r="O192" i="7" s="1"/>
  <c r="BT188" i="7"/>
  <c r="AR188" i="7"/>
  <c r="O188" i="7"/>
  <c r="BT187" i="7"/>
  <c r="BO187" i="7"/>
  <c r="S187" i="7"/>
  <c r="BT186" i="7"/>
  <c r="BK186" i="7"/>
  <c r="S186" i="7"/>
  <c r="O186" i="7"/>
  <c r="O187" i="7" s="1"/>
  <c r="BM185" i="7"/>
  <c r="AZ185" i="7"/>
  <c r="S185" i="7"/>
  <c r="O185" i="7"/>
  <c r="BT184" i="7"/>
  <c r="AR184" i="7"/>
  <c r="S184" i="7"/>
  <c r="O184" i="7"/>
  <c r="BT183" i="7"/>
  <c r="AR183" i="7"/>
  <c r="O183" i="7"/>
  <c r="BX182" i="7"/>
  <c r="BT182" i="7"/>
  <c r="S182" i="7"/>
  <c r="BV181" i="7"/>
  <c r="BM181" i="7"/>
  <c r="S181" i="7"/>
  <c r="BO180" i="7"/>
  <c r="AZ180" i="7"/>
  <c r="S180" i="7"/>
  <c r="BT179" i="7"/>
  <c r="AR179" i="7"/>
  <c r="S179" i="7"/>
  <c r="BX178" i="7"/>
  <c r="AR178" i="7"/>
  <c r="O178" i="7"/>
  <c r="O179" i="7" s="1"/>
  <c r="O180" i="7" s="1"/>
  <c r="O181" i="7" s="1"/>
  <c r="O182" i="7" s="1"/>
  <c r="CA177" i="7"/>
  <c r="AR177" i="7"/>
  <c r="O177" i="7"/>
  <c r="BR176" i="7"/>
  <c r="BN176" i="7"/>
  <c r="S176" i="7"/>
  <c r="BN175" i="7"/>
  <c r="BI175" i="7"/>
  <c r="S175" i="7"/>
  <c r="BK174" i="7"/>
  <c r="AQ174" i="7"/>
  <c r="S174" i="7"/>
  <c r="BK173" i="7"/>
  <c r="AI173" i="7"/>
  <c r="S173" i="7"/>
  <c r="O173" i="7"/>
  <c r="O174" i="7" s="1"/>
  <c r="O175" i="7" s="1"/>
  <c r="O176" i="7" s="1"/>
  <c r="BR172" i="7"/>
  <c r="AI172" i="7"/>
  <c r="O172" i="7"/>
  <c r="BP171" i="7"/>
  <c r="BK171" i="7"/>
  <c r="S171" i="7"/>
  <c r="BM170" i="7"/>
  <c r="BD170" i="7"/>
  <c r="S170" i="7"/>
  <c r="BG169" i="7"/>
  <c r="AQ169" i="7"/>
  <c r="S169" i="7"/>
  <c r="BK168" i="7"/>
  <c r="AI168" i="7"/>
  <c r="S168" i="7"/>
  <c r="BP167" i="7"/>
  <c r="AI167" i="7"/>
  <c r="O167" i="7"/>
  <c r="O168" i="7" s="1"/>
  <c r="O169" i="7" s="1"/>
  <c r="O170" i="7" s="1"/>
  <c r="O171" i="7" s="1"/>
  <c r="BR166" i="7"/>
  <c r="BM166" i="7"/>
  <c r="S166" i="7"/>
  <c r="BP165" i="7"/>
  <c r="BI165" i="7"/>
  <c r="S165" i="7"/>
  <c r="BK164" i="7"/>
  <c r="AQ164" i="7"/>
  <c r="S164" i="7"/>
  <c r="BK163" i="7"/>
  <c r="AI163" i="7"/>
  <c r="S163" i="7"/>
  <c r="BR162" i="7"/>
  <c r="AI162" i="7"/>
  <c r="O162" i="7"/>
  <c r="O163" i="7" s="1"/>
  <c r="O164" i="7" s="1"/>
  <c r="O165" i="7" s="1"/>
  <c r="O166" i="7" s="1"/>
  <c r="BK161" i="7"/>
  <c r="BG161" i="7"/>
  <c r="S161" i="7"/>
  <c r="BK160" i="7"/>
  <c r="BB160" i="7"/>
  <c r="S160" i="7"/>
  <c r="BE159" i="7"/>
  <c r="AQ159" i="7"/>
  <c r="S159" i="7"/>
  <c r="BK158" i="7"/>
  <c r="AI158" i="7"/>
  <c r="S158" i="7"/>
  <c r="BK157" i="7"/>
  <c r="AI157" i="7"/>
  <c r="O157" i="7"/>
  <c r="O158" i="7" s="1"/>
  <c r="O159" i="7" s="1"/>
  <c r="O160" i="7" s="1"/>
  <c r="O161" i="7" s="1"/>
  <c r="BK156" i="7"/>
  <c r="BG156" i="7"/>
  <c r="S156" i="7"/>
  <c r="BK155" i="7"/>
  <c r="BB155" i="7"/>
  <c r="S155" i="7"/>
  <c r="BE154" i="7"/>
  <c r="AQ154" i="7"/>
  <c r="S154" i="7"/>
  <c r="BK153" i="7"/>
  <c r="AI153" i="7"/>
  <c r="S153" i="7"/>
  <c r="BK152" i="7"/>
  <c r="AI152" i="7"/>
  <c r="O152" i="7"/>
  <c r="O153" i="7" s="1"/>
  <c r="O154" i="7" s="1"/>
  <c r="O155" i="7" s="1"/>
  <c r="O156" i="7" s="1"/>
  <c r="BP151" i="7"/>
  <c r="BK151" i="7"/>
  <c r="S151" i="7"/>
  <c r="BM150" i="7"/>
  <c r="BD150" i="7"/>
  <c r="S150" i="7"/>
  <c r="BG149" i="7"/>
  <c r="AQ149" i="7"/>
  <c r="S149" i="7"/>
  <c r="BK148" i="7"/>
  <c r="AI148" i="7"/>
  <c r="S148" i="7"/>
  <c r="BP147" i="7"/>
  <c r="AI147" i="7"/>
  <c r="O147" i="7"/>
  <c r="O148" i="7" s="1"/>
  <c r="O149" i="7" s="1"/>
  <c r="O150" i="7" s="1"/>
  <c r="O151" i="7" s="1"/>
  <c r="BR146" i="7"/>
  <c r="AI146" i="7"/>
  <c r="O146" i="7"/>
  <c r="BX145" i="7"/>
  <c r="BK145" i="7"/>
  <c r="S145" i="7"/>
  <c r="BT144" i="7"/>
  <c r="AX144" i="7"/>
  <c r="S144" i="7"/>
  <c r="BO143" i="7"/>
  <c r="BG143" i="7"/>
  <c r="S143" i="7"/>
  <c r="BI142" i="7"/>
  <c r="AI142" i="7"/>
  <c r="S142" i="7"/>
  <c r="BX141" i="7"/>
  <c r="AI141" i="7"/>
  <c r="O141" i="7"/>
  <c r="O142" i="7" s="1"/>
  <c r="O143" i="7" s="1"/>
  <c r="O144" i="7" s="1"/>
  <c r="O145" i="7" s="1"/>
  <c r="BZ140" i="7"/>
  <c r="S140" i="7"/>
  <c r="BZ139" i="7"/>
  <c r="BG139" i="7"/>
  <c r="S139" i="7"/>
  <c r="O139" i="7"/>
  <c r="O140" i="7" s="1"/>
  <c r="BR138" i="7"/>
  <c r="BG138" i="7"/>
  <c r="S138" i="7"/>
  <c r="O138" i="7"/>
  <c r="BT137" i="7"/>
  <c r="AR137" i="7"/>
  <c r="S137" i="7"/>
  <c r="O137" i="7"/>
  <c r="CB136" i="7"/>
  <c r="AR136" i="7"/>
  <c r="O136" i="7"/>
  <c r="CB135" i="7"/>
  <c r="BX135" i="7"/>
  <c r="S135" i="7"/>
  <c r="BX134" i="7"/>
  <c r="BG134" i="7"/>
  <c r="S134" i="7"/>
  <c r="BO133" i="7"/>
  <c r="BB133" i="7"/>
  <c r="S133" i="7"/>
  <c r="BT132" i="7"/>
  <c r="AR132" i="7"/>
  <c r="S132" i="7"/>
  <c r="CB131" i="7"/>
  <c r="AR131" i="7"/>
  <c r="O131" i="7"/>
  <c r="O132" i="7" s="1"/>
  <c r="O133" i="7" s="1"/>
  <c r="O134" i="7" s="1"/>
  <c r="O135" i="7" s="1"/>
  <c r="BV130" i="7"/>
  <c r="S130" i="7"/>
  <c r="BV129" i="7"/>
  <c r="BG129" i="7"/>
  <c r="S129" i="7"/>
  <c r="BO128" i="7"/>
  <c r="BB128" i="7"/>
  <c r="S128" i="7"/>
  <c r="BT127" i="7"/>
  <c r="AR127" i="7"/>
  <c r="S127" i="7"/>
  <c r="BX126" i="7"/>
  <c r="AR126" i="7"/>
  <c r="O126" i="7"/>
  <c r="O127" i="7" s="1"/>
  <c r="O128" i="7" s="1"/>
  <c r="O129" i="7" s="1"/>
  <c r="O130" i="7" s="1"/>
  <c r="BV125" i="7"/>
  <c r="S125" i="7"/>
  <c r="BV124" i="7"/>
  <c r="BG124" i="7"/>
  <c r="S124" i="7"/>
  <c r="BO123" i="7"/>
  <c r="BB123" i="7"/>
  <c r="S123" i="7"/>
  <c r="BT122" i="7"/>
  <c r="AR122" i="7"/>
  <c r="S122" i="7"/>
  <c r="BX121" i="7"/>
  <c r="AR121" i="7"/>
  <c r="O121" i="7"/>
  <c r="O122" i="7" s="1"/>
  <c r="O123" i="7" s="1"/>
  <c r="O124" i="7" s="1"/>
  <c r="O125" i="7" s="1"/>
  <c r="CG120" i="7"/>
  <c r="BO120" i="7"/>
  <c r="S120" i="7"/>
  <c r="BX119" i="7"/>
  <c r="BG119" i="7"/>
  <c r="S119" i="7"/>
  <c r="BO118" i="7"/>
  <c r="BG118" i="7"/>
  <c r="S118" i="7"/>
  <c r="BR117" i="7"/>
  <c r="AR117" i="7"/>
  <c r="S117" i="7"/>
  <c r="CG116" i="7"/>
  <c r="AR116" i="7"/>
  <c r="O116" i="7"/>
  <c r="O117" i="7" s="1"/>
  <c r="O118" i="7" s="1"/>
  <c r="O119" i="7" s="1"/>
  <c r="O120" i="7" s="1"/>
  <c r="BV115" i="7"/>
  <c r="S115" i="7"/>
  <c r="BV114" i="7"/>
  <c r="BG114" i="7"/>
  <c r="S114" i="7"/>
  <c r="BO113" i="7"/>
  <c r="BB113" i="7"/>
  <c r="S113" i="7"/>
  <c r="O113" i="7"/>
  <c r="O114" i="7" s="1"/>
  <c r="O115" i="7" s="1"/>
  <c r="BT112" i="7"/>
  <c r="AR112" i="7"/>
  <c r="S112" i="7"/>
  <c r="O112" i="7"/>
  <c r="BX111" i="7"/>
  <c r="AR111" i="7"/>
  <c r="O111" i="7"/>
  <c r="CG110" i="7"/>
  <c r="AI110" i="7"/>
  <c r="O110" i="7"/>
  <c r="BR109" i="7"/>
  <c r="BK109" i="7"/>
  <c r="S109" i="7"/>
  <c r="BM108" i="7"/>
  <c r="AX108" i="7"/>
  <c r="S108" i="7"/>
  <c r="BG107" i="7"/>
  <c r="AT107" i="7"/>
  <c r="S107" i="7"/>
  <c r="BK106" i="7"/>
  <c r="AI106" i="7"/>
  <c r="S106" i="7"/>
  <c r="BR105" i="7"/>
  <c r="AI105" i="7"/>
  <c r="O105" i="7"/>
  <c r="O106" i="7" s="1"/>
  <c r="O107" i="7" s="1"/>
  <c r="O108" i="7" s="1"/>
  <c r="O109" i="7" s="1"/>
  <c r="BR104" i="7"/>
  <c r="S104" i="7"/>
  <c r="BR103" i="7"/>
  <c r="AX103" i="7"/>
  <c r="S103" i="7"/>
  <c r="BI102" i="7"/>
  <c r="AT102" i="7"/>
  <c r="S102" i="7"/>
  <c r="BK101" i="7"/>
  <c r="AI101" i="7"/>
  <c r="S101" i="7"/>
  <c r="BT100" i="7"/>
  <c r="AI100" i="7"/>
  <c r="O100" i="7"/>
  <c r="O101" i="7" s="1"/>
  <c r="O102" i="7" s="1"/>
  <c r="O103" i="7" s="1"/>
  <c r="O104" i="7" s="1"/>
  <c r="BR99" i="7"/>
  <c r="BM99" i="7"/>
  <c r="S99" i="7"/>
  <c r="BP98" i="7"/>
  <c r="AX98" i="7"/>
  <c r="S98" i="7"/>
  <c r="BG97" i="7"/>
  <c r="AT97" i="7"/>
  <c r="S97" i="7"/>
  <c r="BK96" i="7"/>
  <c r="AI96" i="7"/>
  <c r="S96" i="7"/>
  <c r="BR95" i="7"/>
  <c r="AI95" i="7"/>
  <c r="O95" i="7"/>
  <c r="O96" i="7" s="1"/>
  <c r="O97" i="7" s="1"/>
  <c r="O98" i="7" s="1"/>
  <c r="O99" i="7" s="1"/>
  <c r="BM94" i="7"/>
  <c r="S94" i="7"/>
  <c r="BM93" i="7"/>
  <c r="AX93" i="7"/>
  <c r="S93" i="7"/>
  <c r="BM92" i="7"/>
  <c r="AT92" i="7"/>
  <c r="S92" i="7"/>
  <c r="BK91" i="7"/>
  <c r="AI91" i="7"/>
  <c r="S91" i="7"/>
  <c r="O91" i="7"/>
  <c r="O92" i="7" s="1"/>
  <c r="O93" i="7" s="1"/>
  <c r="O94" i="7" s="1"/>
  <c r="BP90" i="7"/>
  <c r="AI90" i="7"/>
  <c r="O90" i="7"/>
  <c r="BM89" i="7"/>
  <c r="S89" i="7"/>
  <c r="BM88" i="7"/>
  <c r="AX88" i="7"/>
  <c r="S88" i="7"/>
  <c r="BM87" i="7"/>
  <c r="AT87" i="7"/>
  <c r="S87" i="7"/>
  <c r="BK86" i="7"/>
  <c r="AI86" i="7"/>
  <c r="S86" i="7"/>
  <c r="O86" i="7"/>
  <c r="O87" i="7" s="1"/>
  <c r="O88" i="7" s="1"/>
  <c r="O89" i="7" s="1"/>
  <c r="BP85" i="7"/>
  <c r="AI85" i="7"/>
  <c r="O85" i="7"/>
  <c r="BT84" i="7"/>
  <c r="BP84" i="7"/>
  <c r="S84" i="7"/>
  <c r="BR83" i="7"/>
  <c r="AX83" i="7"/>
  <c r="S83" i="7"/>
  <c r="BG82" i="7"/>
  <c r="AT82" i="7"/>
  <c r="S82" i="7"/>
  <c r="BI81" i="7"/>
  <c r="AI81" i="7"/>
  <c r="S81" i="7"/>
  <c r="BT80" i="7"/>
  <c r="AI80" i="7"/>
  <c r="O80" i="7"/>
  <c r="O81" i="7" s="1"/>
  <c r="O82" i="7" s="1"/>
  <c r="O83" i="7" s="1"/>
  <c r="O84" i="7" s="1"/>
  <c r="BM79" i="7"/>
  <c r="S79" i="7"/>
  <c r="BM78" i="7"/>
  <c r="AX78" i="7"/>
  <c r="S78" i="7"/>
  <c r="BM77" i="7"/>
  <c r="AT77" i="7"/>
  <c r="S77" i="7"/>
  <c r="BK76" i="7"/>
  <c r="AI76" i="7"/>
  <c r="S76" i="7"/>
  <c r="O76" i="7"/>
  <c r="O77" i="7" s="1"/>
  <c r="O78" i="7" s="1"/>
  <c r="O79" i="7" s="1"/>
  <c r="BP75" i="7"/>
  <c r="AI75" i="7"/>
  <c r="O75" i="7"/>
  <c r="BT74" i="7"/>
  <c r="AI74" i="7"/>
  <c r="O74" i="7"/>
  <c r="BW73" i="7"/>
  <c r="BQ73" i="7"/>
  <c r="S73" i="7"/>
  <c r="BQ72" i="7"/>
  <c r="BG72" i="7"/>
  <c r="S72" i="7"/>
  <c r="BW71" i="7"/>
  <c r="BG71" i="7"/>
  <c r="O71" i="7"/>
  <c r="O72" i="7" s="1"/>
  <c r="O73" i="7" s="1"/>
  <c r="BZ70" i="7"/>
  <c r="BR70" i="7"/>
  <c r="S70" i="7"/>
  <c r="BR69" i="7"/>
  <c r="BI69" i="7"/>
  <c r="S69" i="7"/>
  <c r="O69" i="7"/>
  <c r="O70" i="7" s="1"/>
  <c r="BZ68" i="7"/>
  <c r="BI68" i="7"/>
  <c r="O68" i="7"/>
  <c r="BW67" i="7"/>
  <c r="BQ67" i="7"/>
  <c r="S67" i="7"/>
  <c r="BQ66" i="7"/>
  <c r="BG66" i="7"/>
  <c r="S66" i="7"/>
  <c r="BW65" i="7"/>
  <c r="BG65" i="7"/>
  <c r="O65" i="7"/>
  <c r="O66" i="7" s="1"/>
  <c r="O67" i="7" s="1"/>
  <c r="BU64" i="7"/>
  <c r="BO64" i="7"/>
  <c r="S64" i="7"/>
  <c r="BO63" i="7"/>
  <c r="BG63" i="7"/>
  <c r="S63" i="7"/>
  <c r="BU62" i="7"/>
  <c r="BG62" i="7"/>
  <c r="O62" i="7"/>
  <c r="O63" i="7" s="1"/>
  <c r="O64" i="7" s="1"/>
  <c r="BU61" i="7"/>
  <c r="BO61" i="7"/>
  <c r="S61" i="7"/>
  <c r="BO60" i="7"/>
  <c r="BG60" i="7"/>
  <c r="S60" i="7"/>
  <c r="BU59" i="7"/>
  <c r="BG59" i="7"/>
  <c r="O59" i="7"/>
  <c r="O60" i="7" s="1"/>
  <c r="O61" i="7" s="1"/>
  <c r="BX58" i="7"/>
  <c r="BQ58" i="7"/>
  <c r="S58" i="7"/>
  <c r="BO57" i="7"/>
  <c r="BG57" i="7"/>
  <c r="S57" i="7"/>
  <c r="BX56" i="7"/>
  <c r="BG56" i="7"/>
  <c r="O56" i="7"/>
  <c r="O57" i="7" s="1"/>
  <c r="O58" i="7" s="1"/>
  <c r="BU55" i="7"/>
  <c r="BO55" i="7"/>
  <c r="S55" i="7"/>
  <c r="BO54" i="7"/>
  <c r="BG54" i="7"/>
  <c r="S54" i="7"/>
  <c r="O54" i="7"/>
  <c r="O55" i="7" s="1"/>
  <c r="BU53" i="7"/>
  <c r="BG53" i="7"/>
  <c r="BZ52" i="7"/>
  <c r="BG52" i="7"/>
  <c r="BN51" i="7"/>
  <c r="BH51" i="7"/>
  <c r="S51" i="7"/>
  <c r="O51" i="7"/>
  <c r="BH50" i="7"/>
  <c r="AX50" i="7"/>
  <c r="S50" i="7"/>
  <c r="O50" i="7"/>
  <c r="BN49" i="7"/>
  <c r="AX49" i="7"/>
  <c r="O49" i="7"/>
  <c r="BR48" i="7"/>
  <c r="BJ48" i="7"/>
  <c r="S48" i="7"/>
  <c r="BJ47" i="7"/>
  <c r="AZ47" i="7"/>
  <c r="S47" i="7"/>
  <c r="O47" i="7"/>
  <c r="O48" i="7" s="1"/>
  <c r="BR46" i="7"/>
  <c r="AZ46" i="7"/>
  <c r="BN45" i="7"/>
  <c r="BH45" i="7"/>
  <c r="S45" i="7"/>
  <c r="O45" i="7"/>
  <c r="BH44" i="7"/>
  <c r="AX44" i="7"/>
  <c r="S44" i="7"/>
  <c r="O44" i="7"/>
  <c r="BN43" i="7"/>
  <c r="AX43" i="7"/>
  <c r="BL42" i="7"/>
  <c r="BG42" i="7"/>
  <c r="S42" i="7"/>
  <c r="BG41" i="7"/>
  <c r="AX41" i="7"/>
  <c r="S41" i="7"/>
  <c r="O41" i="7"/>
  <c r="O42" i="7" s="1"/>
  <c r="BL40" i="7"/>
  <c r="AX40" i="7"/>
  <c r="BL39" i="7"/>
  <c r="BG39" i="7"/>
  <c r="S39" i="7"/>
  <c r="BG38" i="7"/>
  <c r="AX38" i="7"/>
  <c r="S38" i="7"/>
  <c r="O38" i="7"/>
  <c r="O39" i="7" s="1"/>
  <c r="BL37" i="7"/>
  <c r="AX37" i="7"/>
  <c r="BP36" i="7"/>
  <c r="BH36" i="7"/>
  <c r="S36" i="7"/>
  <c r="O36" i="7"/>
  <c r="BG35" i="7"/>
  <c r="AX35" i="7"/>
  <c r="S35" i="7"/>
  <c r="O35" i="7"/>
  <c r="BP34" i="7"/>
  <c r="AX34" i="7"/>
  <c r="BL33" i="7"/>
  <c r="BG33" i="7"/>
  <c r="S33" i="7"/>
  <c r="BG32" i="7"/>
  <c r="AX32" i="7"/>
  <c r="S32" i="7"/>
  <c r="BL31" i="7"/>
  <c r="AX31" i="7"/>
  <c r="BR30" i="7"/>
  <c r="AX30" i="7"/>
  <c r="CG29" i="7"/>
  <c r="AI29" i="7"/>
  <c r="CG28" i="7"/>
  <c r="AI28" i="7"/>
  <c r="AR27" i="7"/>
  <c r="AR26" i="7"/>
  <c r="AT25" i="7"/>
  <c r="AT24" i="7"/>
  <c r="AK23" i="7"/>
  <c r="AI22" i="7"/>
  <c r="AT21" i="7"/>
  <c r="AT20" i="7"/>
  <c r="AT19" i="7"/>
  <c r="AK18" i="7"/>
  <c r="AI17" i="7"/>
  <c r="AT16" i="7"/>
  <c r="AR15" i="7"/>
  <c r="AK14" i="7"/>
  <c r="AT13" i="7"/>
  <c r="AR12" i="7"/>
  <c r="AM11" i="7"/>
  <c r="AR10" i="7"/>
  <c r="AQ9" i="7"/>
  <c r="AR8" i="7"/>
  <c r="AK7" i="7"/>
  <c r="AT6" i="7"/>
  <c r="AT5" i="7"/>
  <c r="D1" i="7"/>
  <c r="AF2" i="7" a="1"/>
  <c r="AF1" i="7" a="1"/>
  <c r="AF1" i="7" l="1"/>
  <c r="AF2" i="7"/>
  <c r="U38" i="1" l="1"/>
  <c r="U37" i="1"/>
  <c r="U36" i="1"/>
  <c r="U35" i="1"/>
  <c r="U33" i="1"/>
  <c r="U32" i="1"/>
  <c r="U31" i="1"/>
  <c r="U30" i="1"/>
  <c r="U29" i="1"/>
  <c r="U27" i="1"/>
  <c r="U26" i="1"/>
  <c r="U25" i="1"/>
  <c r="U24" i="1"/>
  <c r="U9" i="1"/>
  <c r="U10" i="1"/>
  <c r="U11" i="1"/>
  <c r="U12" i="1"/>
  <c r="Y44" i="1" l="1"/>
  <c r="U44" i="1"/>
  <c r="Y43" i="1"/>
  <c r="U43" i="1"/>
  <c r="Y42" i="1"/>
  <c r="U42" i="1"/>
  <c r="Y41" i="1"/>
  <c r="U41" i="1"/>
  <c r="Y40" i="1"/>
  <c r="U40" i="1"/>
  <c r="Y39" i="1"/>
  <c r="U39" i="1"/>
  <c r="U23" i="1" l="1"/>
  <c r="U22" i="1"/>
  <c r="U21" i="1"/>
  <c r="U20" i="1"/>
  <c r="U18" i="1"/>
  <c r="U17" i="1"/>
  <c r="U16" i="1"/>
  <c r="U15" i="1"/>
  <c r="U14" i="1"/>
</calcChain>
</file>

<file path=xl/sharedStrings.xml><?xml version="1.0" encoding="utf-8"?>
<sst xmlns="http://schemas.openxmlformats.org/spreadsheetml/2006/main" count="1686" uniqueCount="830">
  <si>
    <t>NO</t>
    <phoneticPr fontId="6" type="noConversion"/>
  </si>
  <si>
    <t>전장/제어</t>
    <phoneticPr fontId="3" type="noConversion"/>
  </si>
  <si>
    <t>발생
빈도</t>
    <phoneticPr fontId="8" type="noConversion"/>
  </si>
  <si>
    <t>발생
강도</t>
    <phoneticPr fontId="8" type="noConversion"/>
  </si>
  <si>
    <t>위험성</t>
    <phoneticPr fontId="8" type="noConversion"/>
  </si>
  <si>
    <t>비고</t>
    <phoneticPr fontId="3" type="noConversion"/>
  </si>
  <si>
    <t>제작사
담당자</t>
    <phoneticPr fontId="8" type="noConversion"/>
  </si>
  <si>
    <t>제작사
확인자</t>
    <phoneticPr fontId="8" type="noConversion"/>
  </si>
  <si>
    <t>작성 일시</t>
    <phoneticPr fontId="8" type="noConversion"/>
  </si>
  <si>
    <t>공정명
(PJT명)</t>
    <phoneticPr fontId="8" type="noConversion"/>
  </si>
  <si>
    <t>작성자
(현장 소장)</t>
    <phoneticPr fontId="8" type="noConversion"/>
  </si>
  <si>
    <t>검토자
(안전관리자)</t>
    <phoneticPr fontId="8" type="noConversion"/>
  </si>
  <si>
    <t>1. 위험성 평가 실시 계획</t>
    <phoneticPr fontId="8" type="noConversion"/>
  </si>
  <si>
    <t>회사/
부서</t>
    <phoneticPr fontId="8" type="noConversion"/>
  </si>
  <si>
    <t>담당PM</t>
    <phoneticPr fontId="8" type="noConversion"/>
  </si>
  <si>
    <t>현장명</t>
    <phoneticPr fontId="8" type="noConversion"/>
  </si>
  <si>
    <t>공사개요</t>
    <phoneticPr fontId="8" type="noConversion"/>
  </si>
  <si>
    <t>위험성평가 추진 일정(계획)</t>
    <phoneticPr fontId="8" type="noConversion"/>
  </si>
  <si>
    <t>현장소장/연락처</t>
    <phoneticPr fontId="8" type="noConversion"/>
  </si>
  <si>
    <t>단계</t>
    <phoneticPr fontId="8" type="noConversion"/>
  </si>
  <si>
    <t>추진일정</t>
    <phoneticPr fontId="8" type="noConversion"/>
  </si>
  <si>
    <t>인원배치</t>
    <phoneticPr fontId="8" type="noConversion"/>
  </si>
  <si>
    <t>검토자 확인</t>
    <phoneticPr fontId="8" type="noConversion"/>
  </si>
  <si>
    <t>공사기간</t>
    <phoneticPr fontId="8" type="noConversion"/>
  </si>
  <si>
    <t>1. 사전준비</t>
    <phoneticPr fontId="8" type="noConversion"/>
  </si>
  <si>
    <t>현장주소</t>
    <phoneticPr fontId="8" type="noConversion"/>
  </si>
  <si>
    <t>발주처</t>
    <phoneticPr fontId="8" type="noConversion"/>
  </si>
  <si>
    <t>2. 유해위험요인파악</t>
    <phoneticPr fontId="8" type="noConversion"/>
  </si>
  <si>
    <t>평균출력인원</t>
    <phoneticPr fontId="8" type="noConversion"/>
  </si>
  <si>
    <t>주요장비 목록
(대수)</t>
    <phoneticPr fontId="8" type="noConversion"/>
  </si>
  <si>
    <t>3. 위험성 추정</t>
    <phoneticPr fontId="8" type="noConversion"/>
  </si>
  <si>
    <t>협력회사</t>
    <phoneticPr fontId="8" type="noConversion"/>
  </si>
  <si>
    <t>회사명</t>
    <phoneticPr fontId="8" type="noConversion"/>
  </si>
  <si>
    <t>4. 위험성 결정</t>
    <phoneticPr fontId="8" type="noConversion"/>
  </si>
  <si>
    <t>공종</t>
    <phoneticPr fontId="8" type="noConversion"/>
  </si>
  <si>
    <t>5. 위험성 감소대책 수립 및 실행</t>
    <phoneticPr fontId="8" type="noConversion"/>
  </si>
  <si>
    <t>위험성 평가 대상
공정(작업) 목록</t>
    <phoneticPr fontId="8" type="noConversion"/>
  </si>
  <si>
    <t>검토자 의견
(적정/수정/보완/재실시 및 사유 등)</t>
    <phoneticPr fontId="8" type="noConversion"/>
  </si>
  <si>
    <t>3. 위험성 추정 및 결정표</t>
    <phoneticPr fontId="8" type="noConversion"/>
  </si>
  <si>
    <t>위험성 추정 곱셈법 표</t>
    <phoneticPr fontId="8" type="noConversion"/>
  </si>
  <si>
    <t>중대성</t>
    <phoneticPr fontId="8" type="noConversion"/>
  </si>
  <si>
    <t>최대</t>
    <phoneticPr fontId="8" type="noConversion"/>
  </si>
  <si>
    <t>대</t>
    <phoneticPr fontId="8" type="noConversion"/>
  </si>
  <si>
    <t>중</t>
    <phoneticPr fontId="8" type="noConversion"/>
  </si>
  <si>
    <t>소</t>
    <phoneticPr fontId="8" type="noConversion"/>
  </si>
  <si>
    <t>가능성</t>
    <phoneticPr fontId="8" type="noConversion"/>
  </si>
  <si>
    <t>최상</t>
    <phoneticPr fontId="8" type="noConversion"/>
  </si>
  <si>
    <t>상</t>
    <phoneticPr fontId="8" type="noConversion"/>
  </si>
  <si>
    <t>하</t>
    <phoneticPr fontId="8" type="noConversion"/>
  </si>
  <si>
    <t>최하</t>
    <phoneticPr fontId="8" type="noConversion"/>
  </si>
  <si>
    <t>협착</t>
    <phoneticPr fontId="3" type="noConversion"/>
  </si>
  <si>
    <t>충돌</t>
    <phoneticPr fontId="3" type="noConversion"/>
  </si>
  <si>
    <t>전도</t>
    <phoneticPr fontId="3" type="noConversion"/>
  </si>
  <si>
    <t>낙하</t>
    <phoneticPr fontId="3" type="noConversion"/>
  </si>
  <si>
    <t>추락</t>
    <phoneticPr fontId="3" type="noConversion"/>
  </si>
  <si>
    <t>창상</t>
    <phoneticPr fontId="3" type="noConversion"/>
  </si>
  <si>
    <t>감전</t>
    <phoneticPr fontId="3" type="noConversion"/>
  </si>
  <si>
    <t>기타</t>
    <phoneticPr fontId="3" type="noConversion"/>
  </si>
  <si>
    <t>○</t>
    <phoneticPr fontId="3" type="noConversion"/>
  </si>
  <si>
    <t>설치공사 위험성 평가표</t>
    <phoneticPr fontId="3" type="noConversion"/>
  </si>
  <si>
    <t>조치 
결과</t>
    <phoneticPr fontId="8" type="noConversion"/>
  </si>
  <si>
    <t>조치
일정</t>
    <phoneticPr fontId="8" type="noConversion"/>
  </si>
  <si>
    <t>확인
일자</t>
    <phoneticPr fontId="3" type="noConversion"/>
  </si>
  <si>
    <t>1. 세부공정</t>
    <phoneticPr fontId="3" type="noConversion"/>
  </si>
  <si>
    <t>2. 설비분류</t>
    <phoneticPr fontId="6" type="noConversion"/>
  </si>
  <si>
    <t>3. 작업내용</t>
    <phoneticPr fontId="4" type="noConversion"/>
  </si>
  <si>
    <t>4. 상세 작업 순서 및 항목
(기계/기구 설치 및 설비 사용 등)</t>
    <phoneticPr fontId="3" type="noConversion"/>
  </si>
  <si>
    <t>5. 사용장비</t>
    <phoneticPr fontId="6" type="noConversion"/>
  </si>
  <si>
    <t>6. 유해·위험 요인
(상세 기술)</t>
    <phoneticPr fontId="4" type="noConversion"/>
  </si>
  <si>
    <t>찍힘</t>
    <phoneticPr fontId="3" type="noConversion"/>
  </si>
  <si>
    <t>보통</t>
    <phoneticPr fontId="3" type="noConversion"/>
  </si>
  <si>
    <t>1) 조립 시 Frame과 충돌 위험</t>
    <phoneticPr fontId="3" type="noConversion"/>
  </si>
  <si>
    <t>4) 전용 받치 Jig 사용 또는 자재 무게 고려된 충분한 인원 투입</t>
  </si>
  <si>
    <t>3) 작업 시 주변 작업 진행상태 수시 확인</t>
  </si>
  <si>
    <t>2) 임팩드릴 사용 시 부주의로 인한 재해를 방지하기 위해 개인 보호구(장갑, 보안경, 안전모, 안전화 등) 착용 철저</t>
  </si>
  <si>
    <t>1) 이동 중 주변 시설 및 인원과 충돌</t>
  </si>
  <si>
    <t>2) 이동 중 Caster 빠짐에 의한 협착/찍힘</t>
    <phoneticPr fontId="3" type="noConversion"/>
  </si>
  <si>
    <t>1) 이동 전 동선 확인 및 신호수 배치, 주변 인원 통제</t>
  </si>
  <si>
    <t>2) 슬링벨트 결속 시 끊어짐, 풀어짐으로 인한 양중물 낙하 위험</t>
  </si>
  <si>
    <t>1) 크레인 사용하여 양중 시 충돌 위험</t>
    <phoneticPr fontId="3" type="noConversion"/>
  </si>
  <si>
    <t>ADM</t>
    <phoneticPr fontId="4" type="noConversion"/>
  </si>
  <si>
    <t>MSC 제어</t>
    <phoneticPr fontId="4" type="noConversion"/>
  </si>
  <si>
    <t>전장/제어</t>
    <phoneticPr fontId="4" type="noConversion"/>
  </si>
  <si>
    <t>자재 이동</t>
    <phoneticPr fontId="3" type="noConversion"/>
  </si>
  <si>
    <t>2.5t 지게차</t>
  </si>
  <si>
    <t>1) 자재 적재 반입시 바닥 공사 미비로 지게차 운행시 중심을 맞추지 않아  자재 전도 위험</t>
    <phoneticPr fontId="3" type="noConversion"/>
  </si>
  <si>
    <t>○</t>
  </si>
  <si>
    <t>2) 자재 적재시 중심이 맞지 않게 적재하여 자재 전도 위험</t>
    <phoneticPr fontId="3" type="noConversion"/>
  </si>
  <si>
    <t>3) 지게차 자재 이동시 작업구획 내 근로자 통제 하지 않아 이동중이던 근로자 충돌 위험</t>
    <phoneticPr fontId="3" type="noConversion"/>
  </si>
  <si>
    <t>1) 대차 이동 중 주변 시설 및 인원과 충돌</t>
    <phoneticPr fontId="3" type="noConversion"/>
  </si>
  <si>
    <t>2) 대차 이동 중 Caster 빠짐에 의한 협착/찍힘</t>
    <phoneticPr fontId="3" type="noConversion"/>
  </si>
  <si>
    <t>① CONVEYOR / 부속장비 조립</t>
    <phoneticPr fontId="3" type="noConversion"/>
  </si>
  <si>
    <t>2) CONVEYOR / 부속장비의 각 Part 조립을 위하여 임팩드릴 사용 시 부주의로 인한 창상</t>
    <phoneticPr fontId="3" type="noConversion"/>
  </si>
  <si>
    <t>3) CONVEYOR /부속장비 체결 부 작업 중 협착</t>
    <phoneticPr fontId="3" type="noConversion"/>
  </si>
  <si>
    <t>4) CONVEYOR / 부속장비 자재 놓침으로 인한 찍힘</t>
    <phoneticPr fontId="3" type="noConversion"/>
  </si>
  <si>
    <t>② CONVEYOR / 부속장비 이동</t>
    <phoneticPr fontId="3" type="noConversion"/>
  </si>
  <si>
    <t>③ 크레인-슬링벨트 결박(결속 확인)</t>
    <phoneticPr fontId="3" type="noConversion"/>
  </si>
  <si>
    <t>④ 장비 정위치</t>
    <phoneticPr fontId="3" type="noConversion"/>
  </si>
  <si>
    <t>1) 장비 이동시 결속 상태 불량, 부주의로 인한 낙하 위험</t>
    <phoneticPr fontId="3" type="noConversion"/>
  </si>
  <si>
    <t>2) 이동 및 낙하 된 장비와 충돌/협착 위험</t>
    <phoneticPr fontId="3" type="noConversion"/>
  </si>
  <si>
    <t>MSC</t>
    <phoneticPr fontId="3" type="noConversion"/>
  </si>
  <si>
    <t>전장배선</t>
    <phoneticPr fontId="3" type="noConversion"/>
  </si>
  <si>
    <t>배선작업</t>
    <phoneticPr fontId="3" type="noConversion"/>
  </si>
  <si>
    <t>테스터기</t>
    <phoneticPr fontId="3" type="noConversion"/>
  </si>
  <si>
    <t>전기 TURN-ON시 감전위험</t>
    <phoneticPr fontId="3" type="noConversion"/>
  </si>
  <si>
    <t>전선 피복 노출부 COVER설치, 안전보호구 착용(안전화, 안전모, 절연장갑)</t>
    <phoneticPr fontId="3" type="noConversion"/>
  </si>
  <si>
    <t>가위</t>
    <phoneticPr fontId="3" type="noConversion"/>
  </si>
  <si>
    <t>전선 피복 작업시 가위 사용에 따른 창상 위험</t>
    <phoneticPr fontId="3" type="noConversion"/>
  </si>
  <si>
    <t>창상장갑 착용, 안전보호구 착용(안전화, 안전모)</t>
    <phoneticPr fontId="3" type="noConversion"/>
  </si>
  <si>
    <t>IO CHECK</t>
    <phoneticPr fontId="3" type="noConversion"/>
  </si>
  <si>
    <t>실린더 동작 확인 중 협착, 끼임의 위험</t>
    <phoneticPr fontId="3" type="noConversion"/>
  </si>
  <si>
    <t>구동부 접근금지 라바콘 설치, 안전보호구 착용(안전화, 안전모)</t>
    <phoneticPr fontId="3" type="noConversion"/>
  </si>
  <si>
    <t>CV</t>
    <phoneticPr fontId="3" type="noConversion"/>
  </si>
  <si>
    <t>전선 피복 노출부 COVER설치, 안전보호구 착용(안전화, 안전모)</t>
    <phoneticPr fontId="3" type="noConversion"/>
  </si>
  <si>
    <t>① 배선작업</t>
    <phoneticPr fontId="3" type="noConversion"/>
  </si>
  <si>
    <t>① IO CHECK</t>
    <phoneticPr fontId="3" type="noConversion"/>
  </si>
  <si>
    <r>
      <t xml:space="preserve">XLGantt 4.5.0 ©XLWorks 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주별보기</t>
    </r>
    <r>
      <rPr>
        <b/>
        <sz val="9"/>
        <color rgb="FFFF8800"/>
        <rFont val="Calibri"/>
        <family val="2"/>
      </rPr>
      <t xml:space="preserve">, Zoom 100%, </t>
    </r>
    <r>
      <rPr>
        <b/>
        <sz val="9"/>
        <color rgb="FFFF8800"/>
        <rFont val="돋움"/>
        <family val="3"/>
        <charset val="129"/>
      </rPr>
      <t>계산</t>
    </r>
    <r>
      <rPr>
        <b/>
        <sz val="9"/>
        <color rgb="FFFF8800"/>
        <rFont val="Calibri"/>
        <family val="2"/>
      </rPr>
      <t xml:space="preserve"> </t>
    </r>
    <r>
      <rPr>
        <b/>
        <sz val="9"/>
        <color rgb="FFFF8800"/>
        <rFont val="돋움"/>
        <family val="3"/>
        <charset val="129"/>
      </rPr>
      <t>옵션</t>
    </r>
    <r>
      <rPr>
        <b/>
        <sz val="9"/>
        <color rgb="FFFF8800"/>
        <rFont val="Calibri"/>
        <family val="2"/>
      </rPr>
      <t xml:space="preserve"> : </t>
    </r>
    <r>
      <rPr>
        <b/>
        <sz val="9"/>
        <color rgb="FFFF8800"/>
        <rFont val="돋움"/>
        <family val="3"/>
        <charset val="129"/>
      </rPr>
      <t>자동</t>
    </r>
  </si>
  <si>
    <t>W1</t>
  </si>
  <si>
    <t>W5</t>
  </si>
  <si>
    <t>W9</t>
  </si>
  <si>
    <t>W13</t>
  </si>
  <si>
    <t>W17</t>
  </si>
  <si>
    <t>W21</t>
  </si>
  <si>
    <t>W25</t>
  </si>
  <si>
    <t>W29</t>
  </si>
  <si>
    <t>W33</t>
  </si>
  <si>
    <t>W37</t>
  </si>
  <si>
    <t>W41</t>
  </si>
  <si>
    <t>W45</t>
  </si>
  <si>
    <t>W49</t>
  </si>
  <si>
    <t>W53</t>
  </si>
  <si>
    <t>W57</t>
  </si>
  <si>
    <t>W61</t>
  </si>
  <si>
    <t>reserved</t>
    <phoneticPr fontId="6" type="noConversion"/>
  </si>
  <si>
    <t>task_group</t>
    <phoneticPr fontId="6" type="noConversion"/>
  </si>
  <si>
    <t>wbs_level</t>
    <phoneticPr fontId="6" type="noConversion"/>
  </si>
  <si>
    <t>WBS</t>
    <phoneticPr fontId="6" type="noConversion"/>
  </si>
  <si>
    <t>작업*</t>
    <phoneticPr fontId="6" type="noConversion"/>
  </si>
  <si>
    <t>비고</t>
    <phoneticPr fontId="6" type="noConversion"/>
  </si>
  <si>
    <t xml:space="preserve"> </t>
    <phoneticPr fontId="6" type="noConversion"/>
  </si>
  <si>
    <t>시작일*</t>
    <phoneticPr fontId="6" type="noConversion"/>
  </si>
  <si>
    <t>완료일*</t>
    <phoneticPr fontId="6" type="noConversion"/>
  </si>
  <si>
    <t>Calendar</t>
    <phoneticPr fontId="6" type="noConversion"/>
  </si>
  <si>
    <t>총_x000D_
작업량</t>
    <phoneticPr fontId="6" type="noConversion"/>
  </si>
  <si>
    <t>계획_x000D_
작업량</t>
    <phoneticPr fontId="6" type="noConversion"/>
  </si>
  <si>
    <t>총_x000D_
기간</t>
    <phoneticPr fontId="6" type="noConversion"/>
  </si>
  <si>
    <t>계획_x000D_
기간</t>
    <phoneticPr fontId="6" type="noConversion"/>
  </si>
  <si>
    <t>실제_x000D_
시작일</t>
    <phoneticPr fontId="6" type="noConversion"/>
  </si>
  <si>
    <t>실제_x000D_
완료일</t>
    <phoneticPr fontId="6" type="noConversion"/>
  </si>
  <si>
    <t>실제_x000D_
총작업량</t>
    <phoneticPr fontId="6" type="noConversion"/>
  </si>
  <si>
    <t>실제_x000D_
총기간</t>
    <phoneticPr fontId="6" type="noConversion"/>
  </si>
  <si>
    <t>계획</t>
    <phoneticPr fontId="6" type="noConversion"/>
  </si>
  <si>
    <t>실적*</t>
    <phoneticPr fontId="6" type="noConversion"/>
  </si>
  <si>
    <t>G</t>
  </si>
  <si>
    <t>1</t>
  </si>
  <si>
    <t>설계</t>
  </si>
  <si>
    <t>1.1</t>
  </si>
  <si>
    <t>1.1.1</t>
  </si>
  <si>
    <t>Layout</t>
  </si>
  <si>
    <t>1.1.2</t>
  </si>
  <si>
    <t>Rack</t>
  </si>
  <si>
    <t>1.1.2.1</t>
  </si>
  <si>
    <t>DR</t>
  </si>
  <si>
    <t>1.1.2.2</t>
  </si>
  <si>
    <t>Aging 창고</t>
  </si>
  <si>
    <t>1.1.2.2.1</t>
  </si>
  <si>
    <t>Layout 확정 및 기초설계</t>
  </si>
  <si>
    <t>1.1.2.2.2</t>
  </si>
  <si>
    <t>상세설계</t>
  </si>
  <si>
    <t>1.1.3</t>
  </si>
  <si>
    <t>MSC Crane</t>
  </si>
  <si>
    <t>1.1.3.1</t>
  </si>
  <si>
    <t>장납기 구매품 발주(모터류)</t>
  </si>
  <si>
    <t>1.1.3.2</t>
  </si>
  <si>
    <t>1.1.3.3</t>
  </si>
  <si>
    <t>상온/고온 Aging, 충방전</t>
  </si>
  <si>
    <t>1.1.3.3.1</t>
  </si>
  <si>
    <t>Concept (R/Sketch)</t>
  </si>
  <si>
    <t>1.1.3.3.2</t>
  </si>
  <si>
    <t>Assy</t>
  </si>
  <si>
    <t>1.1.3.3.3</t>
  </si>
  <si>
    <t>Part - (Main Frame)</t>
  </si>
  <si>
    <t>1.1.3.3.4</t>
  </si>
  <si>
    <t>Part - (Carriage/Fork)</t>
  </si>
  <si>
    <t>1.1.3.4</t>
  </si>
  <si>
    <t>PPC</t>
  </si>
  <si>
    <t>1.1.3.4.1</t>
  </si>
  <si>
    <t>1.1.3.4.2</t>
  </si>
  <si>
    <t>1.1.3.4.3</t>
  </si>
  <si>
    <t>1.1.3.4.4</t>
  </si>
  <si>
    <t>1.1.4</t>
  </si>
  <si>
    <t>1.1.4.1</t>
  </si>
  <si>
    <t>Conveyor</t>
  </si>
  <si>
    <t>2</t>
  </si>
  <si>
    <t>제작</t>
  </si>
  <si>
    <t>2.1</t>
  </si>
  <si>
    <t>2.1.1</t>
  </si>
  <si>
    <t>2.1.1.1</t>
  </si>
  <si>
    <t>2.1.1.1.1</t>
  </si>
  <si>
    <t>단품 및 Post 생산/제작</t>
  </si>
  <si>
    <t>2.1.1.1.2</t>
  </si>
  <si>
    <t>1차조립</t>
  </si>
  <si>
    <t>2.1.1.2</t>
  </si>
  <si>
    <t>2.1.1.2.1</t>
  </si>
  <si>
    <t>2.1.1.2.2</t>
  </si>
  <si>
    <t>2.1.1.3</t>
  </si>
  <si>
    <t>2.1.1.3.1</t>
  </si>
  <si>
    <t>2.1.1.3.2</t>
  </si>
  <si>
    <t>2.1.1.4</t>
  </si>
  <si>
    <t>2.1.1.4.1</t>
  </si>
  <si>
    <t>2.1.1.4.2</t>
  </si>
  <si>
    <t>2.1.1.5</t>
  </si>
  <si>
    <t>2.1.1.5.1</t>
  </si>
  <si>
    <t>2.1.2</t>
  </si>
  <si>
    <t>MSC Crane(FR)</t>
  </si>
  <si>
    <t>2.1.2.1</t>
  </si>
  <si>
    <t>2.1.2.1.1</t>
  </si>
  <si>
    <t>장납기 구매품 발주 및 입고</t>
  </si>
  <si>
    <t>2.1.2.1.2</t>
  </si>
  <si>
    <t>단품제작</t>
  </si>
  <si>
    <t>기구조립</t>
  </si>
  <si>
    <t>전장조립</t>
  </si>
  <si>
    <t>2.1.2.2</t>
  </si>
  <si>
    <t>2.1.2.2.1</t>
  </si>
  <si>
    <t>2.1.2.2.2</t>
  </si>
  <si>
    <t>2.1.2.3</t>
  </si>
  <si>
    <t>2.1.2.3.1</t>
  </si>
  <si>
    <t>2.1.2.3.2</t>
  </si>
  <si>
    <t>2.1.2.4</t>
  </si>
  <si>
    <t>2.1.2.4.1</t>
  </si>
  <si>
    <t>2.1.2.4.2</t>
  </si>
  <si>
    <t>2.1.2.5</t>
  </si>
  <si>
    <t>2.1.2.5.1</t>
  </si>
  <si>
    <t>2.1.2.5.2</t>
  </si>
  <si>
    <t>2.1.2.6</t>
  </si>
  <si>
    <t>2.1.2.6.1</t>
  </si>
  <si>
    <t>2.1.2.6.2</t>
  </si>
  <si>
    <t>2.1.3</t>
  </si>
  <si>
    <t>2.1.3.1</t>
  </si>
  <si>
    <t>2.1.3.1.1</t>
  </si>
  <si>
    <t>2.1.3.1.2</t>
  </si>
  <si>
    <t>가공품 발주 및 입고</t>
  </si>
  <si>
    <t>2.1.3.1.3</t>
  </si>
  <si>
    <t>2.1.3.1.4</t>
  </si>
  <si>
    <t>2.1.4</t>
  </si>
  <si>
    <t>2.1.4.1</t>
  </si>
  <si>
    <t>2.1.4.1.1</t>
  </si>
  <si>
    <t>2.1.4.1.2</t>
  </si>
  <si>
    <t>2.1.4.1.3</t>
  </si>
  <si>
    <t>2.1.4.2</t>
  </si>
  <si>
    <t>2.1.4.2.1</t>
  </si>
  <si>
    <t>2.1.4.2.2</t>
  </si>
  <si>
    <t>2.1.4.2.3</t>
  </si>
  <si>
    <t>2.1.4.3</t>
  </si>
  <si>
    <t>2.1.4.3.1</t>
  </si>
  <si>
    <t>2.1.4.3.2</t>
  </si>
  <si>
    <t>2.1.4.3.3</t>
  </si>
  <si>
    <t>2.1.4.4</t>
  </si>
  <si>
    <t>2.1.4.4.1</t>
  </si>
  <si>
    <t>2.1.4.4.2</t>
  </si>
  <si>
    <t>2.1.4.4.3</t>
  </si>
  <si>
    <t>2.1.4.5</t>
  </si>
  <si>
    <t>2.1.4.5.1</t>
  </si>
  <si>
    <t>2.1.4.5.2</t>
  </si>
  <si>
    <t>2.1.4.5.3</t>
  </si>
  <si>
    <t>2.1.4.6</t>
  </si>
  <si>
    <t>2.1.4.6.1</t>
  </si>
  <si>
    <t>2.1.4.6.2</t>
  </si>
  <si>
    <t>2.1.4.6.3</t>
  </si>
  <si>
    <t>3</t>
  </si>
  <si>
    <t>FAT</t>
  </si>
  <si>
    <t>3.1</t>
  </si>
  <si>
    <t>3.1.1</t>
  </si>
  <si>
    <t>3.1.1.1</t>
  </si>
  <si>
    <t>3.1.1.1.1</t>
  </si>
  <si>
    <t>3.1.2</t>
  </si>
  <si>
    <t>3.1.2.1</t>
  </si>
  <si>
    <t>3.1.2.1.1</t>
  </si>
  <si>
    <t>3.1.3</t>
  </si>
  <si>
    <t>3.1.3.1</t>
  </si>
  <si>
    <t>3.1.3.1.1</t>
  </si>
  <si>
    <t>3.1.3.1.2</t>
  </si>
  <si>
    <t>3.1.4</t>
  </si>
  <si>
    <t>3.1.4.1</t>
  </si>
  <si>
    <t>3.1.4.1.1</t>
  </si>
  <si>
    <t>3.1.4.1.2</t>
  </si>
  <si>
    <t>4</t>
  </si>
  <si>
    <t>FOB</t>
  </si>
  <si>
    <t>4.1</t>
  </si>
  <si>
    <t>4.1.1</t>
  </si>
  <si>
    <t>4.1.1.1</t>
  </si>
  <si>
    <t>4.1.1.1.1</t>
  </si>
  <si>
    <t>4.1.1.1.2</t>
  </si>
  <si>
    <t>4.1.1.2</t>
  </si>
  <si>
    <t>4.1.1.2.1</t>
  </si>
  <si>
    <t>4.1.1.2.2</t>
  </si>
  <si>
    <t>4.1.1.3</t>
  </si>
  <si>
    <t>4.1.1.3.1</t>
  </si>
  <si>
    <t>4.1.1.3.2</t>
  </si>
  <si>
    <t>4.1.1.4</t>
  </si>
  <si>
    <t>4.1.1.4.1</t>
  </si>
  <si>
    <t>4.1.1.4.2</t>
  </si>
  <si>
    <t>4.1.1.5</t>
  </si>
  <si>
    <t>4.1.1.5.1</t>
  </si>
  <si>
    <t>4.1.1.5.2</t>
  </si>
  <si>
    <t>4.1.2</t>
  </si>
  <si>
    <t>4.1.2.1</t>
  </si>
  <si>
    <t>4.1.2.1.1</t>
  </si>
  <si>
    <t>4.1.2.1.2</t>
  </si>
  <si>
    <t>4.1.2.2</t>
  </si>
  <si>
    <t>4.1.2.2.1</t>
  </si>
  <si>
    <t>4.1.2.2.2</t>
  </si>
  <si>
    <t>4.1.2.3</t>
  </si>
  <si>
    <t>4.1.2.3.1</t>
  </si>
  <si>
    <t>4.1.2.3.2</t>
  </si>
  <si>
    <t>4.1.2.4</t>
  </si>
  <si>
    <t>4.1.2.4.1</t>
  </si>
  <si>
    <t>4.1.2.4.2</t>
  </si>
  <si>
    <t>4.1.2.5</t>
  </si>
  <si>
    <t>4.1.2.5.1</t>
  </si>
  <si>
    <t>4.1.2.5.2</t>
  </si>
  <si>
    <t>4.1.2.6</t>
  </si>
  <si>
    <t>4.1.2.6.1</t>
  </si>
  <si>
    <t>4.1.2.6.2</t>
  </si>
  <si>
    <t>4.1.3</t>
  </si>
  <si>
    <t>4.1.3.1</t>
  </si>
  <si>
    <t>4.1.3.1.1</t>
  </si>
  <si>
    <t>4.1.3.1.2</t>
  </si>
  <si>
    <t>4.1.4</t>
  </si>
  <si>
    <t>4.1.4.1</t>
  </si>
  <si>
    <t>4.1.4.1.1</t>
  </si>
  <si>
    <t>4.1.4.1.2</t>
  </si>
  <si>
    <t>4.1.4.2</t>
  </si>
  <si>
    <t>4.1.4.2.1</t>
  </si>
  <si>
    <t>4.1.4.2.2</t>
  </si>
  <si>
    <t>4.1.4.3</t>
  </si>
  <si>
    <t>4.1.4.3.1</t>
  </si>
  <si>
    <t>4.1.4.3.2</t>
  </si>
  <si>
    <t>4.1.4.4</t>
  </si>
  <si>
    <t>4.1.4.4.1</t>
  </si>
  <si>
    <t>4.1.4.4.2</t>
  </si>
  <si>
    <t>4.1.4.5</t>
  </si>
  <si>
    <t>4.1.4.5.1</t>
  </si>
  <si>
    <t>4.1.4.5.2</t>
  </si>
  <si>
    <t>4.1.4.6</t>
  </si>
  <si>
    <t>4.1.4.6.1</t>
  </si>
  <si>
    <t>4.1.4.6.2</t>
  </si>
  <si>
    <t>5</t>
  </si>
  <si>
    <t>SETUP</t>
  </si>
  <si>
    <t>5.1</t>
  </si>
  <si>
    <t>5.1.1</t>
  </si>
  <si>
    <t>5.1.1.1</t>
  </si>
  <si>
    <t>5.1.1.1.1</t>
  </si>
  <si>
    <t>현장 준비작업</t>
  </si>
  <si>
    <t>5.1.1.1.2</t>
  </si>
  <si>
    <t>5.1.1.2</t>
  </si>
  <si>
    <t>5.1.1.2.1</t>
  </si>
  <si>
    <t>MSC 반입 및 양중</t>
  </si>
  <si>
    <t>RACK 마감</t>
  </si>
  <si>
    <t>Deck 및 Fence, 기타 마감작업</t>
  </si>
  <si>
    <t>5.1.2</t>
  </si>
  <si>
    <t>5.1.2.1</t>
  </si>
  <si>
    <t>5.1.2.1.1</t>
  </si>
  <si>
    <t>MSC Erection</t>
  </si>
  <si>
    <t>5.1.2.1.2</t>
  </si>
  <si>
    <t>충방Room 적층 작업(타 업체Scope)</t>
  </si>
  <si>
    <t>5.1.2.1.3</t>
  </si>
  <si>
    <t>Rail 및 악세서리 설치</t>
  </si>
  <si>
    <t>5.1.2.1.4</t>
  </si>
  <si>
    <t>기내 배선 및  전기제어 공사</t>
  </si>
  <si>
    <t>5.1.2.1.5</t>
  </si>
  <si>
    <t>5.1.3</t>
  </si>
  <si>
    <t>5.1.3.1</t>
  </si>
  <si>
    <t>5.1.3.1.1</t>
  </si>
  <si>
    <t>기구 Set-up</t>
  </si>
  <si>
    <t>5.1.3.1.2</t>
  </si>
  <si>
    <t>기내 배선 및 전장 Set-up</t>
  </si>
  <si>
    <t>5.1.3.1.3</t>
  </si>
  <si>
    <t>I/O Check 및 단동 Test</t>
  </si>
  <si>
    <t>6</t>
  </si>
  <si>
    <t>연동Test</t>
  </si>
  <si>
    <t>6.1</t>
  </si>
  <si>
    <t>6.1.1</t>
  </si>
  <si>
    <t>SW 현장설치</t>
  </si>
  <si>
    <t>6.1.2</t>
  </si>
  <si>
    <t>Interface Test</t>
  </si>
  <si>
    <t>6.1.3</t>
  </si>
  <si>
    <t>연동 Test 및 사용자운영교육</t>
  </si>
  <si>
    <t>7. 현재 안전보건 조치</t>
    <phoneticPr fontId="4" type="noConversion"/>
  </si>
  <si>
    <t>8. 재해형태</t>
    <phoneticPr fontId="3" type="noConversion"/>
  </si>
  <si>
    <t>9. 개선전</t>
    <phoneticPr fontId="3" type="noConversion"/>
  </si>
  <si>
    <t>10. 개선 대책 
(상세 기술)</t>
    <phoneticPr fontId="4" type="noConversion"/>
  </si>
  <si>
    <t>11. 개선후</t>
    <phoneticPr fontId="3" type="noConversion"/>
  </si>
  <si>
    <t>12. 개선 대책 실시</t>
    <phoneticPr fontId="8" type="noConversion"/>
  </si>
  <si>
    <t>개인 보호구 착용</t>
    <phoneticPr fontId="3" type="noConversion"/>
  </si>
  <si>
    <t>신호수 배치</t>
    <phoneticPr fontId="3" type="noConversion"/>
  </si>
  <si>
    <t>단독 작업 금지</t>
    <phoneticPr fontId="3" type="noConversion"/>
  </si>
  <si>
    <t>2인1조 작업</t>
    <phoneticPr fontId="3" type="noConversion"/>
  </si>
  <si>
    <t>작업 전 Caster 확인</t>
    <phoneticPr fontId="3" type="noConversion"/>
  </si>
  <si>
    <t>작업 전 안전점검 실시</t>
    <phoneticPr fontId="3" type="noConversion"/>
  </si>
  <si>
    <t>결속 상태 확인 후 양중 실시</t>
    <phoneticPr fontId="3" type="noConversion"/>
  </si>
  <si>
    <t>작업 구간 확인</t>
    <phoneticPr fontId="3" type="noConversion"/>
  </si>
  <si>
    <t>고임목 설치</t>
    <phoneticPr fontId="3" type="noConversion"/>
  </si>
  <si>
    <t>안전교육 실시</t>
    <phoneticPr fontId="3" type="noConversion"/>
  </si>
  <si>
    <t xml:space="preserve">BOSK </t>
    <phoneticPr fontId="8" type="noConversion"/>
  </si>
  <si>
    <t>하역/반입</t>
    <phoneticPr fontId="3" type="noConversion"/>
  </si>
  <si>
    <t>낮음</t>
  </si>
  <si>
    <t>1) 크레인 다릿발 범위와 회전 반경 등 고려 라바콘 설치하여 작업 구역 설정, 이동 동선과 철저히 분리, 신호수 신호에 맞춰 크레인 작동 및 작업자 이동</t>
  </si>
  <si>
    <t>2-1) 양중물을 슬링벨트 줄걸이 사용하여 크레인에 고정(전도방지), 벨트 결속 Double Check
2-2) 슬링벨트 체결 위치 및 고정 방식에 대한 사전 검토 실시
2-3) 슬링벨트 및 체결 자재 사용전 상태 확인 및 불량 의심 시 폐기 및 교체</t>
  </si>
  <si>
    <t xml:space="preserve">1-1) 기립 작업 Process 숙지, 기립 전 안전관리자(신호수) 결속 상태 확인 및 작업 통제
1-2) 기립/정위치 작업 구역 라바콘 설치하여 철저히 분리, 상하 동시 작업 금지, 하부 이동 통제(신호수) </t>
  </si>
  <si>
    <t>2-1) 슬링벨트 체결 위치 및 고정 방식에 대한 사전 검토 실시
2-2) 슬링벨트 및 체결 자재 사용전 상태 확인 및 불량 의심 시 폐기 및 교체</t>
  </si>
  <si>
    <t>1) 지게차 이동 작업전 통로 확보 상태 확인 후 작업 투입</t>
  </si>
  <si>
    <t>1) 자재 적재시 고인목 설치 및 중심이 맞도록 적재 상태 확인</t>
  </si>
  <si>
    <t>1) 지게차 반경 내 신호수 배치하여 근로자 통제 실시 상태 확인</t>
  </si>
  <si>
    <t>2) 이동 중 Caster 상태 상 시 확인 인원 배치</t>
  </si>
  <si>
    <t>1) 조립 공간과 이동 동선을 라바콘으로 철저히 분리하고 신호수 배치</t>
  </si>
  <si>
    <t>보통</t>
  </si>
  <si>
    <t>W65</t>
  </si>
  <si>
    <t>W69</t>
  </si>
  <si>
    <t>W73</t>
  </si>
  <si>
    <t>W77</t>
  </si>
  <si>
    <t>W81</t>
  </si>
  <si>
    <t>W85</t>
  </si>
  <si>
    <t>가중치</t>
    <phoneticPr fontId="6" type="noConversion"/>
  </si>
  <si>
    <t>담당</t>
    <phoneticPr fontId="6" type="noConversion"/>
  </si>
  <si>
    <t>산출물</t>
    <phoneticPr fontId="6" type="noConversion"/>
  </si>
  <si>
    <t>2023
W5</t>
  </si>
  <si>
    <t>02/26
W9</t>
  </si>
  <si>
    <t>03/26
W13</t>
  </si>
  <si>
    <t>04/23
W17</t>
  </si>
  <si>
    <t>05/21
W21</t>
  </si>
  <si>
    <t>06/18
W25</t>
  </si>
  <si>
    <t>07/16
W29</t>
  </si>
  <si>
    <t>08/13
W33</t>
  </si>
  <si>
    <t>09/10
W37</t>
  </si>
  <si>
    <t>10/08
W41</t>
  </si>
  <si>
    <t>11/05
W45</t>
  </si>
  <si>
    <t>12/03
W49</t>
  </si>
  <si>
    <t>12/31
W53</t>
  </si>
  <si>
    <t>2024
W5</t>
  </si>
  <si>
    <t>02/25
W9</t>
  </si>
  <si>
    <t>03/24
W13</t>
  </si>
  <si>
    <t>04/21
W17</t>
  </si>
  <si>
    <t>05/19
W21</t>
  </si>
  <si>
    <t>06/16
W25</t>
  </si>
  <si>
    <t>07/14
W29</t>
  </si>
  <si>
    <t>08/11
W33</t>
  </si>
  <si>
    <t>09/08
W37</t>
  </si>
  <si>
    <t>2.1.1.5.2</t>
  </si>
  <si>
    <t>2.1.1.6</t>
  </si>
  <si>
    <t>2.1.1.6.1</t>
  </si>
  <si>
    <t>2.1.1.6.2</t>
  </si>
  <si>
    <t>2.1.1.7</t>
  </si>
  <si>
    <t>2.1.1.7.1</t>
  </si>
  <si>
    <t>2.1.1.7.2</t>
  </si>
  <si>
    <t>2.1.2.7</t>
  </si>
  <si>
    <t>2.1.2.7.1</t>
  </si>
  <si>
    <t>2.1.2.7.2</t>
  </si>
  <si>
    <t>2.1.3.2</t>
  </si>
  <si>
    <t>2.1.3.2.1</t>
  </si>
  <si>
    <t>2.1.3.2.2</t>
  </si>
  <si>
    <t>2.1.3.2.3</t>
  </si>
  <si>
    <t>2.1.3.2.4</t>
  </si>
  <si>
    <t>2.1.3.3</t>
  </si>
  <si>
    <t>2.1.3.3.1</t>
  </si>
  <si>
    <t>2.1.3.3.2</t>
  </si>
  <si>
    <t>2.1.3.3.3</t>
  </si>
  <si>
    <t>2.1.3.3.4</t>
  </si>
  <si>
    <t>2.1.3.4</t>
  </si>
  <si>
    <t>2.1.3.4.1</t>
  </si>
  <si>
    <t>2.1.3.4.2</t>
  </si>
  <si>
    <t>2.1.3.4.3</t>
  </si>
  <si>
    <t>2.1.3.4.4</t>
  </si>
  <si>
    <t>2.1.3.5</t>
  </si>
  <si>
    <t>2.1.3.5.1</t>
  </si>
  <si>
    <t>2.1.3.5.2</t>
  </si>
  <si>
    <t>2.1.3.5.3</t>
  </si>
  <si>
    <t>2.1.3.5.4</t>
  </si>
  <si>
    <t>2.1.3.6</t>
  </si>
  <si>
    <t>2.1.3.6.1</t>
  </si>
  <si>
    <t>2.1.3.6.2</t>
  </si>
  <si>
    <t>2.1.3.6.3</t>
  </si>
  <si>
    <t>2.1.3.6.4</t>
  </si>
  <si>
    <t>2.1.3.7</t>
  </si>
  <si>
    <t>2.1.3.7.1</t>
  </si>
  <si>
    <t>2.1.3.7.2</t>
  </si>
  <si>
    <t>2.1.3.7.3</t>
  </si>
  <si>
    <t>2.1.3.7.4</t>
  </si>
  <si>
    <t>2.1.4.7</t>
  </si>
  <si>
    <t>2.1.4.7.1</t>
  </si>
  <si>
    <t>2.1.4.7.2</t>
  </si>
  <si>
    <t>2.1.4.7.3</t>
  </si>
  <si>
    <t>4.1.1.6</t>
  </si>
  <si>
    <t>4.1.1.6.1</t>
  </si>
  <si>
    <t>4.1.1.6.2</t>
  </si>
  <si>
    <t>4.1.1.7</t>
  </si>
  <si>
    <t>4.1.1.7.1</t>
  </si>
  <si>
    <t>4.1.1.7.2</t>
  </si>
  <si>
    <t>4.1.2.7</t>
  </si>
  <si>
    <t>4.1.2.7.1</t>
  </si>
  <si>
    <t>4.1.2.7.2</t>
  </si>
  <si>
    <t>4.1.3.2</t>
  </si>
  <si>
    <t>4.1.3.2.1</t>
  </si>
  <si>
    <t>4.1.3.2.2</t>
  </si>
  <si>
    <t>4.1.3.3</t>
  </si>
  <si>
    <t>4.1.3.3.1</t>
  </si>
  <si>
    <t>4.1.3.3.2</t>
  </si>
  <si>
    <t>4.1.3.4</t>
  </si>
  <si>
    <t>4.1.3.4.1</t>
  </si>
  <si>
    <t>4.1.3.4.2</t>
  </si>
  <si>
    <t>4.1.3.5</t>
  </si>
  <si>
    <t>4.1.3.5.1</t>
  </si>
  <si>
    <t>4.1.3.5.2</t>
  </si>
  <si>
    <t>4.1.3.6</t>
  </si>
  <si>
    <t>4.1.3.6.1</t>
  </si>
  <si>
    <t>4.1.3.6.2</t>
  </si>
  <si>
    <t>4.1.3.7</t>
  </si>
  <si>
    <t>4.1.3.7.1</t>
  </si>
  <si>
    <t>4.1.3.7.2</t>
  </si>
  <si>
    <t>4.1.4.7</t>
  </si>
  <si>
    <t>4.1.4.7.1</t>
  </si>
  <si>
    <t>4.1.4.7.2</t>
  </si>
  <si>
    <t>Aging Room</t>
  </si>
  <si>
    <t>Deck Erection</t>
  </si>
  <si>
    <t>5.1.1.1.3</t>
  </si>
  <si>
    <t>C/V 반입 및 양중</t>
  </si>
  <si>
    <t>5.1.1.1.4</t>
  </si>
  <si>
    <t>5.1.1.1.5</t>
  </si>
  <si>
    <t>MSC 하부 Rail 설치</t>
  </si>
  <si>
    <t>I/O Check 및 단동 TEST(반자동 가능)</t>
  </si>
  <si>
    <t>Conveyor &amp; Deck (해당구역 L/F포함 일정)</t>
  </si>
  <si>
    <t>5.1.3.1.4</t>
  </si>
  <si>
    <t>5.1.3.2</t>
  </si>
  <si>
    <t>조립동 마감</t>
  </si>
  <si>
    <t>5.1.3.2.1</t>
  </si>
  <si>
    <t>기구마감 및 잔손작업</t>
  </si>
  <si>
    <t>BOSK TN</t>
  </si>
  <si>
    <t>BOSK Aging&amp;Conveyor</t>
    <phoneticPr fontId="4" type="noConversion"/>
  </si>
  <si>
    <t>BOSK</t>
    <phoneticPr fontId="4" type="noConversion"/>
  </si>
  <si>
    <t>2 명</t>
    <phoneticPr fontId="4" type="noConversion"/>
  </si>
  <si>
    <t>MSC &amp; PPC</t>
    <phoneticPr fontId="4" type="noConversion"/>
  </si>
  <si>
    <t>둔포기계</t>
    <phoneticPr fontId="4" type="noConversion"/>
  </si>
  <si>
    <t>Conveyor</t>
    <phoneticPr fontId="4" type="noConversion"/>
  </si>
  <si>
    <t>50명</t>
    <phoneticPr fontId="4" type="noConversion"/>
  </si>
  <si>
    <t>① C/V 자재 이동</t>
    <phoneticPr fontId="3" type="noConversion"/>
  </si>
  <si>
    <t>② C/V 자재 이동</t>
    <phoneticPr fontId="3" type="noConversion"/>
  </si>
  <si>
    <t>CONVEYOR
 부속장비 조립</t>
    <phoneticPr fontId="3" type="noConversion"/>
  </si>
  <si>
    <t>C/V</t>
    <phoneticPr fontId="3" type="noConversion"/>
  </si>
  <si>
    <t>MSC &amp; PPC</t>
    <phoneticPr fontId="3" type="noConversion"/>
  </si>
  <si>
    <t>① MSC &amp; PPC 자재 이동</t>
    <phoneticPr fontId="3" type="noConversion"/>
  </si>
  <si>
    <t>② MSC &amp; PPC 자재 이동</t>
    <phoneticPr fontId="3" type="noConversion"/>
  </si>
  <si>
    <t>① MSC &amp; PPC / 부속장비 조립</t>
    <phoneticPr fontId="3" type="noConversion"/>
  </si>
  <si>
    <t>② MSC &amp; PPC / 부속장비 이동</t>
    <phoneticPr fontId="3" type="noConversion"/>
  </si>
  <si>
    <t>MSC &amp; PPC
 부속장비 조립</t>
    <phoneticPr fontId="3" type="noConversion"/>
  </si>
  <si>
    <t>기구</t>
    <phoneticPr fontId="3" type="noConversion"/>
  </si>
  <si>
    <t>2.5t 지게차</t>
    <phoneticPr fontId="4" type="noConversion"/>
  </si>
  <si>
    <t>1. Conveyor 조립
2. MSC/PPC 조립</t>
    <phoneticPr fontId="4" type="noConversion"/>
  </si>
  <si>
    <t>SFA 물류 PM3팀</t>
    <phoneticPr fontId="4" type="noConversion"/>
  </si>
  <si>
    <t>천 주 식</t>
    <phoneticPr fontId="4" type="noConversion"/>
  </si>
  <si>
    <t>1동 Rack</t>
  </si>
  <si>
    <t>1동 상온#1 Aging(Deck&amp;Accessory)</t>
  </si>
  <si>
    <t>1동 고온#1 Aging (Deck&amp;Accessory)</t>
  </si>
  <si>
    <t>1동 PPC (Deck&amp;Accessory)</t>
  </si>
  <si>
    <t>1동 충방전 (Deck&amp;Accessory)</t>
  </si>
  <si>
    <t>1동 고온#2 Aging (Deck&amp;Accessory)</t>
  </si>
  <si>
    <t>1동 상온#2,3 Aging (Deck&amp;Accessory)</t>
  </si>
  <si>
    <t>1동 공 Tray Buffer</t>
  </si>
  <si>
    <t>2동 Rack</t>
  </si>
  <si>
    <t>2동 상온#1 Aging(Deck&amp;Accessory)</t>
  </si>
  <si>
    <t>2동 고온#1 Aging (Deck&amp;Accessory)</t>
  </si>
  <si>
    <t>2동 PPC (Deck&amp;Accessory)</t>
  </si>
  <si>
    <t>2동 충방전 (Deck&amp;Accessory)</t>
  </si>
  <si>
    <t>2동 고온#2 Aging (Deck&amp;Accessory)</t>
  </si>
  <si>
    <t>2동 상온#2,3 Aging (Deck&amp;Accessory)</t>
  </si>
  <si>
    <t>2동 공 Tray Buffer</t>
  </si>
  <si>
    <t>1동 MSC Crane(FR)</t>
  </si>
  <si>
    <t>1동 상온#1 Aging MSC</t>
  </si>
  <si>
    <t>1동 고온#1 Aging MSC</t>
  </si>
  <si>
    <t>1동 PPC MSC</t>
  </si>
  <si>
    <t>1동 충방전 MSC</t>
  </si>
  <si>
    <t>1동 고온#2 Aging MSC</t>
  </si>
  <si>
    <t>1동 상온#2,3 Aging MSC</t>
  </si>
  <si>
    <t>1동 공 Tray Buffer MSC</t>
  </si>
  <si>
    <t>2동 MSC Crane(FR)</t>
  </si>
  <si>
    <t>2동 상온#1 Aging MSC</t>
  </si>
  <si>
    <t>2.1.4.1.4</t>
  </si>
  <si>
    <t>2동 고온#1 Aging MSC</t>
  </si>
  <si>
    <t>2.1.4.2.4</t>
  </si>
  <si>
    <t>2동 PPC MSC</t>
  </si>
  <si>
    <t>2.1.4.3.4</t>
  </si>
  <si>
    <t>2동 충방전 MSC</t>
  </si>
  <si>
    <t>2.1.4.4.4</t>
  </si>
  <si>
    <t>2동 고온#2 Aging MSC</t>
  </si>
  <si>
    <t>2.1.4.5.4</t>
  </si>
  <si>
    <t>2동 상온#2,3 Aging MSC</t>
  </si>
  <si>
    <t>2.1.4.6.4</t>
  </si>
  <si>
    <t>2동 공 Tray Buffer MSC</t>
  </si>
  <si>
    <t>2.1.4.7.4</t>
  </si>
  <si>
    <t>2.1.5</t>
  </si>
  <si>
    <t>1동 Conveyor &amp; Deck</t>
  </si>
  <si>
    <t>2.1.5.1</t>
  </si>
  <si>
    <t>1동 조립동 CV</t>
  </si>
  <si>
    <t>2.1.5.1.1</t>
  </si>
  <si>
    <t>2.1.5.1.2</t>
  </si>
  <si>
    <t>2.1.5.1.3</t>
  </si>
  <si>
    <t>2.1.5.1.4</t>
  </si>
  <si>
    <t>2.1.5.2</t>
  </si>
  <si>
    <t>1동 1F PPC CV</t>
  </si>
  <si>
    <t>2.1.5.2.1</t>
  </si>
  <si>
    <t>2.1.5.2.2</t>
  </si>
  <si>
    <t>2.1.5.2.3</t>
  </si>
  <si>
    <t>2.1.5.2.4</t>
  </si>
  <si>
    <t>2.1.5.3</t>
  </si>
  <si>
    <t>1동 1F 충방전 CV</t>
  </si>
  <si>
    <t>2.1.5.3.1</t>
  </si>
  <si>
    <t>2.1.5.3.2</t>
  </si>
  <si>
    <t>2.1.5.3.3</t>
  </si>
  <si>
    <t>2.1.5.3.4</t>
  </si>
  <si>
    <t>2.1.5.4</t>
  </si>
  <si>
    <t>1동 1F Folding CV</t>
  </si>
  <si>
    <t>2.1.5.4.1</t>
  </si>
  <si>
    <t>2.1.5.4.2</t>
  </si>
  <si>
    <t>2.1.5.4.3</t>
  </si>
  <si>
    <t>2.1.5.4.4</t>
  </si>
  <si>
    <t>2.1.5.5</t>
  </si>
  <si>
    <t>1동 2F Degasssing전 CV</t>
  </si>
  <si>
    <t>2.1.5.5.1</t>
  </si>
  <si>
    <t>2.1.5.5.2</t>
  </si>
  <si>
    <t>2.1.5.5.3</t>
  </si>
  <si>
    <t>2.1.5.5.4</t>
  </si>
  <si>
    <t>2.1.5.6</t>
  </si>
  <si>
    <t>1동 2F Degasssing후 CV</t>
  </si>
  <si>
    <t>2.1.5.6.1</t>
  </si>
  <si>
    <t>2.1.5.6.2</t>
  </si>
  <si>
    <t>2.1.5.6.3</t>
  </si>
  <si>
    <t>2.1.5.6.4</t>
  </si>
  <si>
    <t>2.1.6</t>
  </si>
  <si>
    <t>2동 Conveyor &amp; Deck</t>
  </si>
  <si>
    <t>2.1.6.1</t>
  </si>
  <si>
    <t>2동 조립동 CV</t>
  </si>
  <si>
    <t>2.1.6.1.1</t>
  </si>
  <si>
    <t>2.1.6.1.2</t>
  </si>
  <si>
    <t>2.1.6.1.3</t>
  </si>
  <si>
    <t>2.1.6.1.4</t>
  </si>
  <si>
    <t>2.1.6.2</t>
  </si>
  <si>
    <t>2동 1F PPC CV</t>
  </si>
  <si>
    <t>2.1.6.2.1</t>
  </si>
  <si>
    <t>2.1.6.2.2</t>
  </si>
  <si>
    <t>2.1.6.2.3</t>
  </si>
  <si>
    <t>2.1.6.2.4</t>
  </si>
  <si>
    <t>2.1.6.3</t>
  </si>
  <si>
    <t>2동 1F 충방전 CV</t>
  </si>
  <si>
    <t>2.1.6.3.1</t>
  </si>
  <si>
    <t>2.1.6.3.2</t>
  </si>
  <si>
    <t>2.1.6.3.3</t>
  </si>
  <si>
    <t>2.1.6.3.4</t>
  </si>
  <si>
    <t>2.1.6.4</t>
  </si>
  <si>
    <t>2동 1F Folding CV</t>
  </si>
  <si>
    <t>2.1.6.4.1</t>
  </si>
  <si>
    <t>2.1.6.4.2</t>
  </si>
  <si>
    <t>2.1.6.4.3</t>
  </si>
  <si>
    <t>2.1.6.4.4</t>
  </si>
  <si>
    <t>2.1.6.5</t>
  </si>
  <si>
    <t>2동 2F Degasssing전 CV</t>
  </si>
  <si>
    <t>2.1.6.5.1</t>
  </si>
  <si>
    <t>2.1.6.5.2</t>
  </si>
  <si>
    <t>2.1.6.5.3</t>
  </si>
  <si>
    <t>2.1.6.5.4</t>
  </si>
  <si>
    <t>2.1.6.6</t>
  </si>
  <si>
    <t>2동 2F Degasssing후 CV</t>
  </si>
  <si>
    <t>2.1.6.6.1</t>
  </si>
  <si>
    <t>2.1.6.6.2</t>
  </si>
  <si>
    <t>2.1.6.6.3</t>
  </si>
  <si>
    <t>2.1.6.6.4</t>
  </si>
  <si>
    <t>3.1.1.2</t>
  </si>
  <si>
    <t>3.1.1.2.1</t>
  </si>
  <si>
    <t>3.1.1.3</t>
  </si>
  <si>
    <t>3.1.1.3.1</t>
  </si>
  <si>
    <t>3.1.1.4</t>
  </si>
  <si>
    <t>3.1.1.4.1</t>
  </si>
  <si>
    <t>3.1.1.5</t>
  </si>
  <si>
    <t>3.1.1.5.1</t>
  </si>
  <si>
    <t>3.1.1.6</t>
  </si>
  <si>
    <t>3.1.1.6.1</t>
  </si>
  <si>
    <t>3.1.1.7</t>
  </si>
  <si>
    <t>3.1.1.7.1</t>
  </si>
  <si>
    <t>3.1.2.2</t>
  </si>
  <si>
    <t>3.1.2.2.1</t>
  </si>
  <si>
    <t>3.1.2.3</t>
  </si>
  <si>
    <t>3.1.2.3.1</t>
  </si>
  <si>
    <t>3.1.2.4</t>
  </si>
  <si>
    <t>3.1.2.4.1</t>
  </si>
  <si>
    <t>3.1.2.5</t>
  </si>
  <si>
    <t>3.1.2.5.1</t>
  </si>
  <si>
    <t>3.1.2.6</t>
  </si>
  <si>
    <t>3.1.2.6.1</t>
  </si>
  <si>
    <t>3.1.2.7</t>
  </si>
  <si>
    <t>3.1.2.7.1</t>
  </si>
  <si>
    <t>Dry Run</t>
  </si>
  <si>
    <t>3.1.3.2</t>
  </si>
  <si>
    <t>3.1.3.2.1</t>
  </si>
  <si>
    <t>3.1.3.2.2</t>
  </si>
  <si>
    <t>3.1.3.3</t>
  </si>
  <si>
    <t>3.1.3.3.1</t>
  </si>
  <si>
    <t>3.1.3.3.2</t>
  </si>
  <si>
    <t>3.1.3.4</t>
  </si>
  <si>
    <t>3.1.3.4.1</t>
  </si>
  <si>
    <t>3.1.3.4.2</t>
  </si>
  <si>
    <t>3.1.3.5</t>
  </si>
  <si>
    <t>3.1.3.5.1</t>
  </si>
  <si>
    <t>3.1.3.5.2</t>
  </si>
  <si>
    <t>3.1.3.6</t>
  </si>
  <si>
    <t>3.1.3.6.1</t>
  </si>
  <si>
    <t>3.1.3.6.2</t>
  </si>
  <si>
    <t>3.1.3.7</t>
  </si>
  <si>
    <t>3.1.3.7.1</t>
  </si>
  <si>
    <t>3.1.3.7.2</t>
  </si>
  <si>
    <t>3.1.4.2</t>
  </si>
  <si>
    <t>3.1.4.2.1</t>
  </si>
  <si>
    <t>3.1.4.2.2</t>
  </si>
  <si>
    <t>3.1.4.3</t>
  </si>
  <si>
    <t>3.1.4.3.1</t>
  </si>
  <si>
    <t>3.1.4.3.2</t>
  </si>
  <si>
    <t>3.1.4.4</t>
  </si>
  <si>
    <t>3.1.4.4.1</t>
  </si>
  <si>
    <t>3.1.4.4.2</t>
  </si>
  <si>
    <t>3.1.4.5</t>
  </si>
  <si>
    <t>3.1.4.5.1</t>
  </si>
  <si>
    <t>3.1.4.5.2</t>
  </si>
  <si>
    <t>3.1.4.6</t>
  </si>
  <si>
    <t>3.1.4.6.1</t>
  </si>
  <si>
    <t>3.1.4.6.2</t>
  </si>
  <si>
    <t>3.1.4.7</t>
  </si>
  <si>
    <t>3.1.4.7.1</t>
  </si>
  <si>
    <t>3.1.4.7.2</t>
  </si>
  <si>
    <t>3.1.5</t>
  </si>
  <si>
    <t>3.1.5.1</t>
  </si>
  <si>
    <t>3.1.5.1.1</t>
  </si>
  <si>
    <t>3.1.5.1.2</t>
  </si>
  <si>
    <t>3.1.5.2</t>
  </si>
  <si>
    <t>3.1.5.2.1</t>
  </si>
  <si>
    <t>3.1.5.2.2</t>
  </si>
  <si>
    <t>3.1.5.3</t>
  </si>
  <si>
    <t>3.1.5.3.1</t>
  </si>
  <si>
    <t>3.1.5.3.2</t>
  </si>
  <si>
    <t>3.1.5.4</t>
  </si>
  <si>
    <t>3.1.5.4.1</t>
  </si>
  <si>
    <t>3.1.5.4.2</t>
  </si>
  <si>
    <t>3.1.5.5</t>
  </si>
  <si>
    <t>3.1.5.5.1</t>
  </si>
  <si>
    <t>3.1.5.5.2</t>
  </si>
  <si>
    <t>3.1.5.6</t>
  </si>
  <si>
    <t>3.1.5.6.1</t>
  </si>
  <si>
    <t>3.1.5.6.2</t>
  </si>
  <si>
    <t>3.1.6</t>
  </si>
  <si>
    <t>3.1.6.1</t>
  </si>
  <si>
    <t>3.1.6.1.1</t>
  </si>
  <si>
    <t>3.1.6.1.2</t>
  </si>
  <si>
    <t>3.1.6.2</t>
  </si>
  <si>
    <t>3.1.6.2.1</t>
  </si>
  <si>
    <t>3.1.6.2.2</t>
  </si>
  <si>
    <t>3.1.6.3</t>
  </si>
  <si>
    <t>3.1.6.3.1</t>
  </si>
  <si>
    <t>3.1.6.3.2</t>
  </si>
  <si>
    <t>3.1.6.4</t>
  </si>
  <si>
    <t>3.1.6.4.1</t>
  </si>
  <si>
    <t>3.1.6.4.2</t>
  </si>
  <si>
    <t>3.1.6.5</t>
  </si>
  <si>
    <t>3.1.6.5.1</t>
  </si>
  <si>
    <t>3.1.6.5.2</t>
  </si>
  <si>
    <t>3.1.6.6</t>
  </si>
  <si>
    <t>3.1.6.6.1</t>
  </si>
  <si>
    <t>3.1.6.6.2</t>
  </si>
  <si>
    <t>Packing</t>
  </si>
  <si>
    <t>4.1.5</t>
  </si>
  <si>
    <t>4.1.5.1</t>
  </si>
  <si>
    <t>4.1.5.1.1</t>
  </si>
  <si>
    <t>4.1.5.1.2</t>
  </si>
  <si>
    <t>4.1.5.2</t>
  </si>
  <si>
    <t>4.1.5.2.1</t>
  </si>
  <si>
    <t>4.1.5.2.2</t>
  </si>
  <si>
    <t>4.1.5.3</t>
  </si>
  <si>
    <t>4.1.5.3.1</t>
  </si>
  <si>
    <t>4.1.5.3.2</t>
  </si>
  <si>
    <t>4.1.5.4</t>
  </si>
  <si>
    <t>4.1.5.4.1</t>
  </si>
  <si>
    <t>4.1.5.4.2</t>
  </si>
  <si>
    <t>4.1.5.5</t>
  </si>
  <si>
    <t>4.1.5.5.1</t>
  </si>
  <si>
    <t>4.1.5.5.2</t>
  </si>
  <si>
    <t>4.1.5.6</t>
  </si>
  <si>
    <t>4.1.5.6.1</t>
  </si>
  <si>
    <t>4.1.5.6.2</t>
  </si>
  <si>
    <t>4.1.6</t>
  </si>
  <si>
    <t>4.1.6.1</t>
  </si>
  <si>
    <t>4.1.6.1.1</t>
  </si>
  <si>
    <t>4.1.6.1.2</t>
  </si>
  <si>
    <t>4.1.6.2</t>
  </si>
  <si>
    <t>4.1.6.2.1</t>
  </si>
  <si>
    <t>4.1.6.2.2</t>
  </si>
  <si>
    <t>4.1.6.3</t>
  </si>
  <si>
    <t>4.1.6.3.1</t>
  </si>
  <si>
    <t>4.1.6.3.2</t>
  </si>
  <si>
    <t>4.1.6.4</t>
  </si>
  <si>
    <t>4.1.6.4.1</t>
  </si>
  <si>
    <t>4.1.6.4.2</t>
  </si>
  <si>
    <t>4.1.6.5</t>
  </si>
  <si>
    <t>4.1.6.5.1</t>
  </si>
  <si>
    <t>4.1.6.5.2</t>
  </si>
  <si>
    <t>4.1.6.6</t>
  </si>
  <si>
    <t>4.1.6.6.1</t>
  </si>
  <si>
    <t>4.1.6.6.2</t>
  </si>
  <si>
    <t>2023년08월 08일 ~ 2024년03월 31일</t>
    <phoneticPr fontId="4" type="noConversion"/>
  </si>
  <si>
    <t>2023.07.01</t>
    <phoneticPr fontId="4" type="noConversion"/>
  </si>
  <si>
    <t>2023.07.10</t>
    <phoneticPr fontId="4" type="noConversion"/>
  </si>
  <si>
    <t>2023.07.15</t>
    <phoneticPr fontId="4" type="noConversion"/>
  </si>
  <si>
    <t>2023.07.20</t>
    <phoneticPr fontId="4" type="noConversion"/>
  </si>
  <si>
    <t>2023.07.30</t>
    <phoneticPr fontId="4" type="noConversion"/>
  </si>
  <si>
    <t>경기도 화성시 정남면 정남동로 227</t>
    <phoneticPr fontId="4" type="noConversion"/>
  </si>
  <si>
    <t>OK</t>
    <phoneticPr fontId="3" type="noConversion"/>
  </si>
  <si>
    <t>천주식</t>
    <phoneticPr fontId="3" type="noConversion"/>
  </si>
  <si>
    <t>대양산전</t>
    <phoneticPr fontId="4" type="noConversion"/>
  </si>
  <si>
    <t>한국자동화</t>
    <phoneticPr fontId="4" type="noConversion"/>
  </si>
  <si>
    <t>23.08.31</t>
    <phoneticPr fontId="3" type="noConversion"/>
  </si>
  <si>
    <t>23.08.14</t>
    <phoneticPr fontId="3" type="noConversion"/>
  </si>
  <si>
    <t>1) 조립 공간과 이동 동선을 라바콘으로 철저히 분리하고 신호수 배치</t>
    <phoneticPr fontId="3" type="noConversion"/>
  </si>
  <si>
    <t>이해인</t>
    <phoneticPr fontId="3" type="noConversion"/>
  </si>
  <si>
    <t>23.11.31</t>
    <phoneticPr fontId="3" type="noConversion"/>
  </si>
  <si>
    <t>23.12.29</t>
    <phoneticPr fontId="3" type="noConversion"/>
  </si>
  <si>
    <t>천주식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</si>
</sst>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"/>
    <numFmt numFmtId="178" formatCode="dd"/>
    <numFmt numFmtId="179" formatCode="0_);[Red]\(0\)"/>
  </numFmts>
  <fonts count="45" x14ac:knownFonts="1">
    <font>
      <sz val="11"/>
      <color theme="1"/>
      <name val="굴림"/>
      <family val="2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"/>
      <family val="2"/>
      <charset val="129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30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1F4E79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</font>
    <font>
      <b/>
      <sz val="16"/>
      <color rgb="FF0070C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b/>
      <sz val="13"/>
      <color rgb="FFFF8800"/>
      <name val="Calibri"/>
      <family val="2"/>
    </font>
    <font>
      <b/>
      <sz val="9"/>
      <color rgb="FFFF8800"/>
      <name val="Calibri"/>
      <family val="2"/>
    </font>
    <font>
      <b/>
      <sz val="9"/>
      <color rgb="FFFF8800"/>
      <name val="돋움"/>
      <family val="3"/>
      <charset val="129"/>
    </font>
    <font>
      <sz val="11"/>
      <name val="돋움"/>
      <family val="3"/>
      <charset val="129"/>
    </font>
    <font>
      <sz val="9"/>
      <color rgb="FF0070C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9"/>
      <color rgb="FFFF8800"/>
      <name val="Calibri"/>
      <family val="2"/>
    </font>
    <font>
      <sz val="9"/>
      <color theme="0"/>
      <name val="맑은 고딕"/>
      <family val="3"/>
      <charset val="129"/>
      <scheme val="minor"/>
    </font>
    <font>
      <sz val="8"/>
      <color theme="0"/>
      <name val="Calibri"/>
      <family val="2"/>
    </font>
    <font>
      <sz val="8"/>
      <color rgb="FFFF8800"/>
      <name val="Calibri"/>
      <family val="2"/>
    </font>
    <font>
      <sz val="9"/>
      <color rgb="FFFF880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b/>
      <sz val="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00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0" fontId="35" fillId="0" borderId="0"/>
    <xf numFmtId="9" fontId="43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0" borderId="12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" fillId="0" borderId="0" xfId="1">
      <alignment vertical="center"/>
    </xf>
    <xf numFmtId="0" fontId="15" fillId="3" borderId="28" xfId="1" applyFont="1" applyFill="1" applyBorder="1" applyAlignment="1">
      <alignment horizontal="center" vertical="center" wrapText="1"/>
    </xf>
    <xf numFmtId="0" fontId="15" fillId="3" borderId="29" xfId="1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36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shrinkToFit="1"/>
    </xf>
    <xf numFmtId="0" fontId="11" fillId="0" borderId="0" xfId="1" applyFont="1">
      <alignment vertical="center"/>
    </xf>
    <xf numFmtId="0" fontId="20" fillId="0" borderId="53" xfId="1" applyFont="1" applyBorder="1">
      <alignment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0" fillId="4" borderId="1" xfId="1" applyFont="1" applyFill="1" applyBorder="1" applyAlignment="1">
      <alignment horizontal="center" vertical="center"/>
    </xf>
    <xf numFmtId="0" fontId="20" fillId="5" borderId="1" xfId="1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/>
    </xf>
    <xf numFmtId="0" fontId="20" fillId="7" borderId="12" xfId="1" applyFont="1" applyFill="1" applyBorder="1" applyAlignment="1">
      <alignment horizontal="center" vertical="center"/>
    </xf>
    <xf numFmtId="0" fontId="20" fillId="7" borderId="1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0" fillId="7" borderId="14" xfId="1" applyFont="1" applyFill="1" applyBorder="1" applyAlignment="1">
      <alignment horizontal="center" vertical="center"/>
    </xf>
    <xf numFmtId="0" fontId="20" fillId="7" borderId="15" xfId="1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56" xfId="1" applyFont="1" applyFill="1" applyBorder="1" applyAlignment="1">
      <alignment vertical="center" wrapText="1"/>
    </xf>
    <xf numFmtId="0" fontId="2" fillId="0" borderId="57" xfId="1" applyFont="1" applyFill="1" applyBorder="1" applyAlignment="1">
      <alignment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2" fillId="0" borderId="15" xfId="1" applyFont="1" applyFill="1" applyBorder="1" applyAlignment="1">
      <alignment horizontal="left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vertical="center"/>
    </xf>
    <xf numFmtId="0" fontId="2" fillId="0" borderId="21" xfId="1" applyFont="1" applyFill="1" applyBorder="1" applyAlignment="1">
      <alignment vertical="center" wrapText="1"/>
    </xf>
    <xf numFmtId="0" fontId="22" fillId="0" borderId="0" xfId="1" applyFont="1" applyAlignment="1">
      <alignment vertical="center"/>
    </xf>
    <xf numFmtId="0" fontId="2" fillId="0" borderId="6" xfId="1" applyFont="1" applyFill="1" applyBorder="1" applyAlignment="1">
      <alignment vertical="center" wrapText="1"/>
    </xf>
    <xf numFmtId="0" fontId="23" fillId="0" borderId="0" xfId="0" applyFont="1" applyAlignment="1">
      <alignment horizontal="justify" vertical="center"/>
    </xf>
    <xf numFmtId="0" fontId="24" fillId="0" borderId="1" xfId="1" applyFont="1" applyBorder="1" applyAlignment="1">
      <alignment horizontal="center" vertical="center" wrapText="1" shrinkToFit="1"/>
    </xf>
    <xf numFmtId="0" fontId="9" fillId="0" borderId="1" xfId="1" quotePrefix="1" applyFont="1" applyBorder="1" applyAlignment="1">
      <alignment horizontal="center" vertical="center" shrinkToFit="1"/>
    </xf>
    <xf numFmtId="0" fontId="2" fillId="8" borderId="9" xfId="0" applyFont="1" applyFill="1" applyBorder="1" applyAlignment="1">
      <alignment horizontal="center" vertical="center" wrapText="1"/>
    </xf>
    <xf numFmtId="0" fontId="26" fillId="12" borderId="0" xfId="2" applyFont="1" applyFill="1" applyBorder="1" applyAlignment="1">
      <alignment horizontal="left" vertical="top"/>
    </xf>
    <xf numFmtId="0" fontId="26" fillId="12" borderId="0" xfId="2" applyFont="1" applyFill="1" applyBorder="1" applyAlignment="1">
      <alignment horizontal="left" vertical="center"/>
    </xf>
    <xf numFmtId="0" fontId="27" fillId="12" borderId="0" xfId="2" applyFont="1" applyFill="1" applyBorder="1" applyAlignment="1">
      <alignment horizontal="left" vertical="top"/>
    </xf>
    <xf numFmtId="0" fontId="28" fillId="12" borderId="0" xfId="2" applyFont="1" applyFill="1" applyBorder="1" applyAlignment="1">
      <alignment horizontal="left" vertical="center"/>
    </xf>
    <xf numFmtId="0" fontId="28" fillId="12" borderId="0" xfId="2" applyFont="1" applyFill="1" applyBorder="1" applyAlignment="1">
      <alignment vertical="center"/>
    </xf>
    <xf numFmtId="0" fontId="28" fillId="12" borderId="0" xfId="2" applyFont="1" applyFill="1" applyBorder="1" applyAlignment="1">
      <alignment horizontal="center" vertical="center"/>
    </xf>
    <xf numFmtId="14" fontId="28" fillId="12" borderId="0" xfId="2" applyNumberFormat="1" applyFont="1" applyFill="1" applyBorder="1" applyAlignment="1">
      <alignment vertical="top"/>
    </xf>
    <xf numFmtId="14" fontId="29" fillId="12" borderId="0" xfId="2" applyNumberFormat="1" applyFont="1" applyFill="1" applyBorder="1" applyAlignment="1">
      <alignment horizontal="center" vertical="top" wrapText="1"/>
    </xf>
    <xf numFmtId="176" fontId="30" fillId="12" borderId="0" xfId="2" applyNumberFormat="1" applyFont="1" applyFill="1" applyBorder="1" applyAlignment="1">
      <alignment horizontal="center" vertical="top"/>
    </xf>
    <xf numFmtId="176" fontId="26" fillId="12" borderId="0" xfId="2" applyNumberFormat="1" applyFont="1" applyFill="1" applyBorder="1" applyAlignment="1">
      <alignment horizontal="center" vertical="top"/>
    </xf>
    <xf numFmtId="176" fontId="28" fillId="12" borderId="0" xfId="2" applyNumberFormat="1" applyFont="1" applyFill="1" applyBorder="1" applyAlignment="1">
      <alignment horizontal="center" vertical="top"/>
    </xf>
    <xf numFmtId="14" fontId="28" fillId="12" borderId="0" xfId="2" applyNumberFormat="1" applyFont="1" applyFill="1" applyBorder="1" applyAlignment="1">
      <alignment horizontal="center" vertical="top"/>
    </xf>
    <xf numFmtId="1" fontId="28" fillId="12" borderId="0" xfId="2" applyNumberFormat="1" applyFont="1" applyFill="1" applyBorder="1" applyAlignment="1">
      <alignment horizontal="center" vertical="top"/>
    </xf>
    <xf numFmtId="0" fontId="27" fillId="12" borderId="0" xfId="3" applyFont="1" applyFill="1" applyBorder="1" applyAlignment="1">
      <alignment horizontal="right" vertical="top"/>
    </xf>
    <xf numFmtId="0" fontId="27" fillId="12" borderId="0" xfId="3" applyFont="1" applyFill="1" applyBorder="1" applyAlignment="1">
      <alignment horizontal="right" vertical="center"/>
    </xf>
    <xf numFmtId="0" fontId="32" fillId="12" borderId="0" xfId="3" applyFont="1" applyFill="1" applyBorder="1" applyAlignment="1">
      <alignment horizontal="left" vertical="center"/>
    </xf>
    <xf numFmtId="0" fontId="31" fillId="12" borderId="0" xfId="3" applyFill="1" applyBorder="1" applyAlignment="1">
      <alignment horizontal="left" vertical="center"/>
    </xf>
    <xf numFmtId="0" fontId="17" fillId="12" borderId="0" xfId="2" applyFont="1" applyFill="1" applyBorder="1" applyAlignment="1">
      <alignment horizontal="left" vertical="center"/>
    </xf>
    <xf numFmtId="0" fontId="36" fillId="12" borderId="0" xfId="3" applyNumberFormat="1" applyFont="1" applyFill="1" applyBorder="1" applyAlignment="1">
      <alignment horizontal="right" vertical="center"/>
    </xf>
    <xf numFmtId="10" fontId="36" fillId="12" borderId="0" xfId="4" applyNumberFormat="1" applyFont="1" applyFill="1" applyBorder="1" applyAlignment="1">
      <alignment horizontal="right" vertical="center"/>
    </xf>
    <xf numFmtId="0" fontId="36" fillId="12" borderId="0" xfId="3" applyNumberFormat="1" applyFont="1" applyFill="1" applyBorder="1" applyAlignment="1">
      <alignment vertical="center"/>
    </xf>
    <xf numFmtId="0" fontId="36" fillId="12" borderId="0" xfId="3" applyNumberFormat="1" applyFont="1" applyFill="1" applyBorder="1" applyAlignment="1">
      <alignment horizontal="center" vertical="center"/>
    </xf>
    <xf numFmtId="176" fontId="36" fillId="12" borderId="0" xfId="3" applyNumberFormat="1" applyFont="1" applyFill="1" applyBorder="1" applyAlignment="1">
      <alignment horizontal="right" vertical="center"/>
    </xf>
    <xf numFmtId="0" fontId="37" fillId="12" borderId="0" xfId="3" applyNumberFormat="1" applyFont="1" applyFill="1" applyBorder="1" applyAlignment="1">
      <alignment horizontal="right" vertical="top"/>
    </xf>
    <xf numFmtId="0" fontId="17" fillId="0" borderId="0" xfId="2" applyFont="1" applyFill="1" applyBorder="1" applyAlignment="1">
      <alignment horizontal="left" vertical="center"/>
    </xf>
    <xf numFmtId="178" fontId="41" fillId="14" borderId="64" xfId="5" applyNumberFormat="1" applyFont="1" applyFill="1" applyBorder="1" applyAlignment="1" applyProtection="1">
      <alignment horizontal="center" vertical="center"/>
    </xf>
    <xf numFmtId="178" fontId="41" fillId="14" borderId="65" xfId="5" applyNumberFormat="1" applyFont="1" applyFill="1" applyBorder="1" applyAlignment="1" applyProtection="1">
      <alignment horizontal="center" vertical="center"/>
    </xf>
    <xf numFmtId="0" fontId="42" fillId="0" borderId="0" xfId="5" applyFont="1" applyFill="1" applyBorder="1" applyAlignment="1" applyProtection="1">
      <alignment horizontal="left" vertical="center"/>
    </xf>
    <xf numFmtId="0" fontId="17" fillId="0" borderId="0" xfId="5" applyFont="1" applyFill="1" applyBorder="1" applyAlignment="1" applyProtection="1">
      <alignment horizontal="left" vertical="center"/>
    </xf>
    <xf numFmtId="0" fontId="17" fillId="0" borderId="67" xfId="5" applyFont="1" applyFill="1" applyBorder="1" applyAlignment="1" applyProtection="1">
      <alignment vertical="top"/>
      <protection locked="0"/>
    </xf>
    <xf numFmtId="0" fontId="17" fillId="0" borderId="67" xfId="5" quotePrefix="1" applyFont="1" applyFill="1" applyBorder="1" applyAlignment="1" applyProtection="1">
      <alignment horizontal="right" vertical="top"/>
      <protection locked="0"/>
    </xf>
    <xf numFmtId="0" fontId="17" fillId="0" borderId="67" xfId="5" applyFont="1" applyFill="1" applyBorder="1" applyAlignment="1" applyProtection="1">
      <alignment horizontal="left" vertical="top"/>
      <protection locked="0"/>
    </xf>
    <xf numFmtId="0" fontId="17" fillId="0" borderId="67" xfId="5" applyFont="1" applyFill="1" applyBorder="1" applyAlignment="1" applyProtection="1">
      <alignment horizontal="center" vertical="center"/>
      <protection locked="0"/>
    </xf>
    <xf numFmtId="14" fontId="17" fillId="8" borderId="67" xfId="5" applyNumberFormat="1" applyFont="1" applyFill="1" applyBorder="1" applyAlignment="1" applyProtection="1">
      <alignment horizontal="center" vertical="top"/>
      <protection locked="0"/>
    </xf>
    <xf numFmtId="0" fontId="17" fillId="0" borderId="67" xfId="5" applyNumberFormat="1" applyFont="1" applyFill="1" applyBorder="1" applyAlignment="1" applyProtection="1">
      <alignment horizontal="center" vertical="top"/>
      <protection locked="0"/>
    </xf>
    <xf numFmtId="176" fontId="17" fillId="0" borderId="67" xfId="5" applyNumberFormat="1" applyFont="1" applyFill="1" applyBorder="1" applyAlignment="1" applyProtection="1">
      <alignment horizontal="center" vertical="top"/>
      <protection locked="0"/>
    </xf>
    <xf numFmtId="14" fontId="17" fillId="0" borderId="67" xfId="5" applyNumberFormat="1" applyFont="1" applyFill="1" applyBorder="1" applyAlignment="1" applyProtection="1">
      <alignment horizontal="center" vertical="top"/>
      <protection locked="0"/>
    </xf>
    <xf numFmtId="177" fontId="17" fillId="0" borderId="67" xfId="5" applyNumberFormat="1" applyFont="1" applyFill="1" applyBorder="1" applyAlignment="1" applyProtection="1">
      <alignment horizontal="center" vertical="top"/>
      <protection locked="0"/>
    </xf>
    <xf numFmtId="1" fontId="17" fillId="0" borderId="67" xfId="5" applyNumberFormat="1" applyFont="1" applyFill="1" applyBorder="1" applyAlignment="1" applyProtection="1">
      <alignment horizontal="center" vertical="top"/>
      <protection locked="0"/>
    </xf>
    <xf numFmtId="10" fontId="17" fillId="0" borderId="67" xfId="6" applyNumberFormat="1" applyFont="1" applyFill="1" applyBorder="1" applyAlignment="1" applyProtection="1">
      <alignment horizontal="right" vertical="top" wrapText="1"/>
      <protection locked="0"/>
    </xf>
    <xf numFmtId="10" fontId="44" fillId="4" borderId="67" xfId="6" applyNumberFormat="1" applyFont="1" applyFill="1" applyBorder="1" applyAlignment="1" applyProtection="1">
      <alignment horizontal="right" vertical="top"/>
      <protection locked="0"/>
    </xf>
    <xf numFmtId="0" fontId="17" fillId="0" borderId="68" xfId="5" applyFont="1" applyFill="1" applyBorder="1" applyAlignment="1" applyProtection="1">
      <alignment horizontal="left" vertical="center"/>
      <protection locked="0"/>
    </xf>
    <xf numFmtId="0" fontId="17" fillId="0" borderId="69" xfId="5" applyFont="1" applyFill="1" applyBorder="1" applyAlignment="1" applyProtection="1">
      <alignment horizontal="left" vertical="center"/>
      <protection locked="0"/>
    </xf>
    <xf numFmtId="0" fontId="17" fillId="0" borderId="70" xfId="5" applyFont="1" applyFill="1" applyBorder="1" applyAlignment="1" applyProtection="1">
      <alignment horizontal="left" vertical="center"/>
      <protection locked="0"/>
    </xf>
    <xf numFmtId="0" fontId="17" fillId="0" borderId="71" xfId="5" applyFont="1" applyFill="1" applyBorder="1" applyAlignment="1" applyProtection="1">
      <alignment horizontal="left" vertical="center"/>
      <protection locked="0"/>
    </xf>
    <xf numFmtId="10" fontId="17" fillId="4" borderId="67" xfId="6" applyNumberFormat="1" applyFont="1" applyFill="1" applyBorder="1" applyAlignment="1" applyProtection="1">
      <alignment horizontal="right" vertical="top"/>
      <protection locked="0"/>
    </xf>
    <xf numFmtId="0" fontId="17" fillId="0" borderId="67" xfId="5" applyFont="1" applyFill="1" applyBorder="1" applyAlignment="1" applyProtection="1">
      <alignment horizontal="center" vertical="top"/>
      <protection locked="0"/>
    </xf>
    <xf numFmtId="0" fontId="17" fillId="0" borderId="67" xfId="5" applyNumberFormat="1" applyFont="1" applyFill="1" applyBorder="1" applyAlignment="1" applyProtection="1">
      <alignment horizontal="left" vertical="top"/>
      <protection locked="0"/>
    </xf>
    <xf numFmtId="0" fontId="17" fillId="8" borderId="67" xfId="5" applyFont="1" applyFill="1" applyBorder="1" applyAlignment="1" applyProtection="1">
      <alignment horizontal="left" vertical="top"/>
      <protection locked="0"/>
    </xf>
    <xf numFmtId="10" fontId="17" fillId="12" borderId="67" xfId="6" applyNumberFormat="1" applyFont="1" applyFill="1" applyBorder="1" applyAlignment="1" applyProtection="1">
      <alignment horizontal="right" vertical="top"/>
      <protection locked="0"/>
    </xf>
    <xf numFmtId="10" fontId="44" fillId="12" borderId="67" xfId="6" applyNumberFormat="1" applyFont="1" applyFill="1" applyBorder="1" applyAlignment="1" applyProtection="1">
      <alignment horizontal="right" vertical="top"/>
      <protection locked="0"/>
    </xf>
    <xf numFmtId="0" fontId="44" fillId="2" borderId="67" xfId="5" quotePrefix="1" applyFont="1" applyFill="1" applyBorder="1" applyAlignment="1" applyProtection="1">
      <alignment horizontal="right" vertical="top"/>
      <protection locked="0"/>
    </xf>
    <xf numFmtId="0" fontId="44" fillId="2" borderId="67" xfId="5" applyFont="1" applyFill="1" applyBorder="1" applyAlignment="1" applyProtection="1">
      <alignment horizontal="left" vertical="top"/>
      <protection locked="0"/>
    </xf>
    <xf numFmtId="14" fontId="44" fillId="2" borderId="67" xfId="5" applyNumberFormat="1" applyFont="1" applyFill="1" applyBorder="1" applyAlignment="1" applyProtection="1">
      <alignment horizontal="center" vertical="top"/>
      <protection locked="0"/>
    </xf>
    <xf numFmtId="0" fontId="44" fillId="2" borderId="67" xfId="5" applyNumberFormat="1" applyFont="1" applyFill="1" applyBorder="1" applyAlignment="1" applyProtection="1">
      <alignment horizontal="center" vertical="top"/>
      <protection locked="0"/>
    </xf>
    <xf numFmtId="176" fontId="44" fillId="2" borderId="67" xfId="5" applyNumberFormat="1" applyFont="1" applyFill="1" applyBorder="1" applyAlignment="1" applyProtection="1">
      <alignment horizontal="center" vertical="top"/>
      <protection locked="0"/>
    </xf>
    <xf numFmtId="177" fontId="44" fillId="2" borderId="67" xfId="5" applyNumberFormat="1" applyFont="1" applyFill="1" applyBorder="1" applyAlignment="1" applyProtection="1">
      <alignment horizontal="center" vertical="top"/>
      <protection locked="0"/>
    </xf>
    <xf numFmtId="1" fontId="44" fillId="2" borderId="67" xfId="5" applyNumberFormat="1" applyFont="1" applyFill="1" applyBorder="1" applyAlignment="1" applyProtection="1">
      <alignment horizontal="center" vertical="top"/>
      <protection locked="0"/>
    </xf>
    <xf numFmtId="10" fontId="44" fillId="2" borderId="67" xfId="6" applyNumberFormat="1" applyFont="1" applyFill="1" applyBorder="1" applyAlignment="1" applyProtection="1">
      <alignment horizontal="right" vertical="top" wrapText="1"/>
      <protection locked="0"/>
    </xf>
    <xf numFmtId="0" fontId="17" fillId="2" borderId="67" xfId="5" applyFont="1" applyFill="1" applyBorder="1" applyAlignment="1" applyProtection="1">
      <alignment vertical="top"/>
      <protection locked="0"/>
    </xf>
    <xf numFmtId="0" fontId="17" fillId="2" borderId="67" xfId="5" applyFont="1" applyFill="1" applyBorder="1" applyAlignment="1" applyProtection="1">
      <alignment horizontal="left" vertical="top"/>
      <protection locked="0"/>
    </xf>
    <xf numFmtId="0" fontId="17" fillId="2" borderId="67" xfId="5" applyFont="1" applyFill="1" applyBorder="1" applyAlignment="1" applyProtection="1">
      <alignment horizontal="center" vertical="center"/>
      <protection locked="0"/>
    </xf>
    <xf numFmtId="14" fontId="17" fillId="2" borderId="67" xfId="5" applyNumberFormat="1" applyFont="1" applyFill="1" applyBorder="1" applyAlignment="1" applyProtection="1">
      <alignment horizontal="center" vertical="top"/>
      <protection locked="0"/>
    </xf>
    <xf numFmtId="0" fontId="17" fillId="2" borderId="67" xfId="5" applyNumberFormat="1" applyFont="1" applyFill="1" applyBorder="1" applyAlignment="1" applyProtection="1">
      <alignment horizontal="center" vertical="top"/>
      <protection locked="0"/>
    </xf>
    <xf numFmtId="176" fontId="17" fillId="2" borderId="67" xfId="5" applyNumberFormat="1" applyFont="1" applyFill="1" applyBorder="1" applyAlignment="1" applyProtection="1">
      <alignment horizontal="center" vertical="top"/>
      <protection locked="0"/>
    </xf>
    <xf numFmtId="177" fontId="17" fillId="2" borderId="67" xfId="5" applyNumberFormat="1" applyFont="1" applyFill="1" applyBorder="1" applyAlignment="1" applyProtection="1">
      <alignment horizontal="center" vertical="top"/>
      <protection locked="0"/>
    </xf>
    <xf numFmtId="1" fontId="17" fillId="2" borderId="67" xfId="5" applyNumberFormat="1" applyFont="1" applyFill="1" applyBorder="1" applyAlignment="1" applyProtection="1">
      <alignment horizontal="center" vertical="top"/>
      <protection locked="0"/>
    </xf>
    <xf numFmtId="10" fontId="17" fillId="2" borderId="67" xfId="6" applyNumberFormat="1" applyFont="1" applyFill="1" applyBorder="1" applyAlignment="1" applyProtection="1">
      <alignment horizontal="right" vertical="top" wrapText="1"/>
      <protection locked="0"/>
    </xf>
    <xf numFmtId="0" fontId="44" fillId="2" borderId="67" xfId="5" applyFont="1" applyFill="1" applyBorder="1" applyAlignment="1" applyProtection="1">
      <alignment horizontal="center" vertical="center"/>
      <protection locked="0"/>
    </xf>
    <xf numFmtId="0" fontId="9" fillId="0" borderId="67" xfId="5" applyFont="1" applyFill="1" applyBorder="1" applyAlignment="1" applyProtection="1">
      <alignment horizontal="left" vertical="top"/>
      <protection locked="0"/>
    </xf>
    <xf numFmtId="0" fontId="17" fillId="0" borderId="72" xfId="5" applyFont="1" applyFill="1" applyBorder="1" applyAlignment="1" applyProtection="1">
      <alignment vertical="top"/>
      <protection locked="0"/>
    </xf>
    <xf numFmtId="0" fontId="17" fillId="0" borderId="72" xfId="5" applyFont="1" applyFill="1" applyBorder="1" applyAlignment="1" applyProtection="1">
      <alignment horizontal="right" vertical="top"/>
      <protection locked="0"/>
    </xf>
    <xf numFmtId="0" fontId="17" fillId="0" borderId="72" xfId="5" applyFont="1" applyFill="1" applyBorder="1" applyAlignment="1" applyProtection="1">
      <alignment horizontal="left" vertical="top"/>
      <protection locked="0"/>
    </xf>
    <xf numFmtId="0" fontId="17" fillId="0" borderId="72" xfId="5" applyFont="1" applyFill="1" applyBorder="1" applyAlignment="1" applyProtection="1">
      <alignment horizontal="center" vertical="center"/>
      <protection locked="0"/>
    </xf>
    <xf numFmtId="14" fontId="17" fillId="0" borderId="72" xfId="5" applyNumberFormat="1" applyFont="1" applyFill="1" applyBorder="1" applyAlignment="1" applyProtection="1">
      <alignment horizontal="center" vertical="top"/>
      <protection locked="0"/>
    </xf>
    <xf numFmtId="0" fontId="17" fillId="0" borderId="72" xfId="5" applyNumberFormat="1" applyFont="1" applyFill="1" applyBorder="1" applyAlignment="1" applyProtection="1">
      <alignment horizontal="center" vertical="top"/>
      <protection locked="0"/>
    </xf>
    <xf numFmtId="176" fontId="17" fillId="0" borderId="72" xfId="5" applyNumberFormat="1" applyFont="1" applyFill="1" applyBorder="1" applyAlignment="1" applyProtection="1">
      <alignment horizontal="center" vertical="top"/>
      <protection locked="0"/>
    </xf>
    <xf numFmtId="177" fontId="17" fillId="0" borderId="72" xfId="5" applyNumberFormat="1" applyFont="1" applyFill="1" applyBorder="1" applyAlignment="1" applyProtection="1">
      <alignment horizontal="center" vertical="top"/>
      <protection locked="0"/>
    </xf>
    <xf numFmtId="1" fontId="17" fillId="0" borderId="72" xfId="5" applyNumberFormat="1" applyFont="1" applyFill="1" applyBorder="1" applyAlignment="1" applyProtection="1">
      <alignment horizontal="center" vertical="top"/>
      <protection locked="0"/>
    </xf>
    <xf numFmtId="10" fontId="17" fillId="0" borderId="72" xfId="4" applyNumberFormat="1" applyFont="1" applyFill="1" applyBorder="1" applyAlignment="1" applyProtection="1">
      <alignment horizontal="right" vertical="top" wrapText="1"/>
      <protection locked="0"/>
    </xf>
    <xf numFmtId="10" fontId="17" fillId="0" borderId="72" xfId="4" applyNumberFormat="1" applyFont="1" applyFill="1" applyBorder="1" applyAlignment="1" applyProtection="1">
      <alignment horizontal="right" vertical="top"/>
      <protection locked="0"/>
    </xf>
    <xf numFmtId="0" fontId="17" fillId="0" borderId="73" xfId="5" applyFont="1" applyFill="1" applyBorder="1" applyAlignment="1" applyProtection="1">
      <alignment vertical="top"/>
      <protection locked="0"/>
    </xf>
    <xf numFmtId="0" fontId="17" fillId="0" borderId="73" xfId="5" applyFont="1" applyFill="1" applyBorder="1" applyAlignment="1" applyProtection="1">
      <alignment horizontal="right" vertical="top"/>
      <protection locked="0"/>
    </xf>
    <xf numFmtId="0" fontId="17" fillId="0" borderId="73" xfId="5" applyFont="1" applyFill="1" applyBorder="1" applyAlignment="1" applyProtection="1">
      <alignment horizontal="left" vertical="top"/>
      <protection locked="0"/>
    </xf>
    <xf numFmtId="0" fontId="17" fillId="0" borderId="73" xfId="5" applyFont="1" applyFill="1" applyBorder="1" applyAlignment="1" applyProtection="1">
      <alignment horizontal="center" vertical="center"/>
      <protection locked="0"/>
    </xf>
    <xf numFmtId="14" fontId="17" fillId="0" borderId="73" xfId="5" applyNumberFormat="1" applyFont="1" applyFill="1" applyBorder="1" applyAlignment="1" applyProtection="1">
      <alignment horizontal="center" vertical="top"/>
      <protection locked="0"/>
    </xf>
    <xf numFmtId="176" fontId="17" fillId="0" borderId="73" xfId="5" applyNumberFormat="1" applyFont="1" applyFill="1" applyBorder="1" applyAlignment="1" applyProtection="1">
      <alignment horizontal="center" vertical="top"/>
      <protection locked="0"/>
    </xf>
    <xf numFmtId="177" fontId="17" fillId="0" borderId="73" xfId="5" applyNumberFormat="1" applyFont="1" applyFill="1" applyBorder="1" applyAlignment="1" applyProtection="1">
      <alignment horizontal="center" vertical="top"/>
      <protection locked="0"/>
    </xf>
    <xf numFmtId="1" fontId="17" fillId="0" borderId="73" xfId="5" applyNumberFormat="1" applyFont="1" applyFill="1" applyBorder="1" applyAlignment="1" applyProtection="1">
      <alignment horizontal="center" vertical="top"/>
      <protection locked="0"/>
    </xf>
    <xf numFmtId="0" fontId="17" fillId="0" borderId="73" xfId="5" applyNumberFormat="1" applyFont="1" applyFill="1" applyBorder="1" applyAlignment="1" applyProtection="1">
      <alignment horizontal="center" vertical="top"/>
      <protection locked="0"/>
    </xf>
    <xf numFmtId="10" fontId="17" fillId="0" borderId="73" xfId="4" applyNumberFormat="1" applyFont="1" applyFill="1" applyBorder="1" applyAlignment="1" applyProtection="1">
      <alignment horizontal="right" vertical="top" wrapText="1"/>
      <protection locked="0"/>
    </xf>
    <xf numFmtId="10" fontId="17" fillId="0" borderId="73" xfId="4" applyNumberFormat="1" applyFont="1" applyFill="1" applyBorder="1" applyAlignment="1" applyProtection="1">
      <alignment horizontal="right" vertical="top"/>
      <protection locked="0"/>
    </xf>
    <xf numFmtId="0" fontId="5" fillId="6" borderId="4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6" borderId="4" xfId="1" applyFont="1" applyFill="1" applyBorder="1" applyAlignment="1">
      <alignment horizontal="center" vertical="center" wrapText="1"/>
    </xf>
    <xf numFmtId="0" fontId="5" fillId="2" borderId="6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9" fontId="28" fillId="12" borderId="0" xfId="6" applyFont="1" applyFill="1" applyBorder="1" applyAlignment="1">
      <alignment vertical="center"/>
    </xf>
    <xf numFmtId="0" fontId="30" fillId="12" borderId="0" xfId="3" applyFont="1" applyFill="1" applyBorder="1" applyAlignment="1">
      <alignment vertical="top" wrapText="1"/>
    </xf>
    <xf numFmtId="0" fontId="30" fillId="12" borderId="0" xfId="3" applyNumberFormat="1" applyFont="1" applyFill="1" applyBorder="1" applyAlignment="1">
      <alignment horizontal="center" vertical="top"/>
    </xf>
    <xf numFmtId="0" fontId="30" fillId="12" borderId="0" xfId="3" applyFont="1" applyFill="1" applyBorder="1" applyAlignment="1">
      <alignment vertical="top"/>
    </xf>
    <xf numFmtId="0" fontId="37" fillId="12" borderId="0" xfId="3" applyNumberFormat="1" applyFont="1" applyFill="1" applyBorder="1" applyAlignment="1">
      <alignment vertical="top"/>
    </xf>
    <xf numFmtId="178" fontId="41" fillId="14" borderId="66" xfId="5" applyNumberFormat="1" applyFont="1" applyFill="1" applyBorder="1" applyAlignment="1" applyProtection="1">
      <alignment horizontal="center" vertical="center"/>
    </xf>
    <xf numFmtId="14" fontId="17" fillId="0" borderId="67" xfId="5" applyNumberFormat="1" applyFont="1" applyFill="1" applyBorder="1" applyAlignment="1" applyProtection="1">
      <alignment horizontal="left" vertical="top"/>
      <protection locked="0"/>
    </xf>
    <xf numFmtId="14" fontId="44" fillId="2" borderId="67" xfId="5" applyNumberFormat="1" applyFont="1" applyFill="1" applyBorder="1" applyAlignment="1" applyProtection="1">
      <alignment horizontal="left" vertical="top"/>
      <protection locked="0"/>
    </xf>
    <xf numFmtId="14" fontId="17" fillId="2" borderId="67" xfId="5" applyNumberFormat="1" applyFont="1" applyFill="1" applyBorder="1" applyAlignment="1" applyProtection="1">
      <alignment horizontal="left" vertical="top"/>
      <protection locked="0"/>
    </xf>
    <xf numFmtId="14" fontId="44" fillId="8" borderId="67" xfId="5" applyNumberFormat="1" applyFont="1" applyFill="1" applyBorder="1" applyAlignment="1" applyProtection="1">
      <alignment horizontal="center" vertical="top"/>
      <protection locked="0"/>
    </xf>
    <xf numFmtId="0" fontId="17" fillId="8" borderId="67" xfId="5" applyFont="1" applyFill="1" applyBorder="1" applyAlignment="1" applyProtection="1">
      <alignment horizontal="center" vertical="top"/>
      <protection locked="0"/>
    </xf>
    <xf numFmtId="0" fontId="17" fillId="8" borderId="67" xfId="5" applyFont="1" applyFill="1" applyBorder="1" applyAlignment="1" applyProtection="1">
      <alignment horizontal="center" vertical="center"/>
      <protection locked="0"/>
    </xf>
    <xf numFmtId="10" fontId="17" fillId="0" borderId="67" xfId="6" applyNumberFormat="1" applyFont="1" applyFill="1" applyBorder="1" applyAlignment="1" applyProtection="1">
      <alignment horizontal="right" vertical="top"/>
      <protection locked="0"/>
    </xf>
    <xf numFmtId="14" fontId="17" fillId="0" borderId="72" xfId="5" applyNumberFormat="1" applyFont="1" applyFill="1" applyBorder="1" applyAlignment="1" applyProtection="1">
      <alignment horizontal="left" vertical="top"/>
      <protection locked="0"/>
    </xf>
    <xf numFmtId="14" fontId="17" fillId="0" borderId="73" xfId="5" applyNumberFormat="1" applyFont="1" applyFill="1" applyBorder="1" applyAlignment="1" applyProtection="1">
      <alignment horizontal="left" vertical="top"/>
      <protection locked="0"/>
    </xf>
    <xf numFmtId="14" fontId="39" fillId="15" borderId="62" xfId="5" applyNumberFormat="1" applyFont="1" applyFill="1" applyBorder="1" applyAlignment="1" applyProtection="1">
      <alignment horizontal="center" vertical="center"/>
    </xf>
    <xf numFmtId="14" fontId="39" fillId="16" borderId="62" xfId="5" applyNumberFormat="1" applyFont="1" applyFill="1" applyBorder="1" applyAlignment="1" applyProtection="1">
      <alignment horizontal="center" vertical="center"/>
    </xf>
    <xf numFmtId="0" fontId="38" fillId="12" borderId="0" xfId="2" applyFont="1" applyFill="1" applyBorder="1" applyAlignment="1">
      <alignment horizontal="left" vertical="center"/>
    </xf>
    <xf numFmtId="0" fontId="36" fillId="12" borderId="0" xfId="3" applyNumberFormat="1" applyFont="1" applyFill="1" applyBorder="1" applyAlignment="1">
      <alignment horizontal="left" vertical="center"/>
    </xf>
    <xf numFmtId="0" fontId="17" fillId="0" borderId="67" xfId="5" applyFont="1" applyFill="1" applyBorder="1" applyAlignment="1" applyProtection="1">
      <alignment horizontal="left" vertical="center"/>
      <protection locked="0"/>
    </xf>
    <xf numFmtId="0" fontId="17" fillId="8" borderId="67" xfId="5" applyFont="1" applyFill="1" applyBorder="1" applyAlignment="1" applyProtection="1">
      <alignment horizontal="left" vertical="center"/>
      <protection locked="0"/>
    </xf>
    <xf numFmtId="0" fontId="17" fillId="0" borderId="72" xfId="5" applyFont="1" applyFill="1" applyBorder="1" applyAlignment="1" applyProtection="1">
      <alignment horizontal="left" vertical="center"/>
      <protection locked="0"/>
    </xf>
    <xf numFmtId="0" fontId="17" fillId="0" borderId="73" xfId="5" applyFont="1" applyFill="1" applyBorder="1" applyAlignment="1" applyProtection="1">
      <alignment horizontal="left" vertical="center"/>
      <protection locked="0"/>
    </xf>
    <xf numFmtId="0" fontId="10" fillId="8" borderId="11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29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5" fillId="3" borderId="31" xfId="1" applyFont="1" applyFill="1" applyBorder="1" applyAlignment="1">
      <alignment horizontal="center" vertical="center" wrapText="1"/>
    </xf>
    <xf numFmtId="0" fontId="15" fillId="3" borderId="32" xfId="1" applyFont="1" applyFill="1" applyBorder="1" applyAlignment="1">
      <alignment horizontal="center" vertical="center" wrapText="1"/>
    </xf>
    <xf numFmtId="0" fontId="15" fillId="3" borderId="33" xfId="1" applyFont="1" applyFill="1" applyBorder="1" applyAlignment="1">
      <alignment horizontal="center" vertical="center" wrapText="1"/>
    </xf>
    <xf numFmtId="0" fontId="11" fillId="3" borderId="34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vertical="center" wrapText="1"/>
    </xf>
    <xf numFmtId="0" fontId="11" fillId="3" borderId="4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1" fillId="0" borderId="38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14" fontId="12" fillId="0" borderId="2" xfId="1" quotePrefix="1" applyNumberFormat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" fillId="0" borderId="39" xfId="1" applyBorder="1" applyAlignment="1">
      <alignment horizontal="center" vertical="center" wrapText="1"/>
    </xf>
    <xf numFmtId="0" fontId="1" fillId="0" borderId="39" xfId="1" applyFont="1" applyBorder="1" applyAlignment="1">
      <alignment horizontal="center" vertical="center" wrapText="1"/>
    </xf>
    <xf numFmtId="0" fontId="11" fillId="3" borderId="40" xfId="1" applyFont="1" applyFill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vertical="center" wrapText="1"/>
    </xf>
    <xf numFmtId="0" fontId="11" fillId="3" borderId="41" xfId="1" applyFont="1" applyFill="1" applyBorder="1" applyAlignment="1">
      <alignment horizontal="center" vertical="center" wrapText="1"/>
    </xf>
    <xf numFmtId="0" fontId="11" fillId="3" borderId="22" xfId="1" applyFont="1" applyFill="1" applyBorder="1" applyAlignment="1">
      <alignment horizontal="center" vertical="center" wrapText="1"/>
    </xf>
    <xf numFmtId="0" fontId="11" fillId="3" borderId="46" xfId="1" applyFont="1" applyFill="1" applyBorder="1" applyAlignment="1">
      <alignment horizontal="center" vertical="center" wrapText="1"/>
    </xf>
    <xf numFmtId="0" fontId="11" fillId="3" borderId="47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left" vertical="center" wrapText="1"/>
    </xf>
    <xf numFmtId="0" fontId="7" fillId="0" borderId="48" xfId="1" applyFont="1" applyBorder="1" applyAlignment="1">
      <alignment horizontal="left" vertical="center" wrapText="1"/>
    </xf>
    <xf numFmtId="0" fontId="7" fillId="0" borderId="49" xfId="1" applyFont="1" applyBorder="1" applyAlignment="1">
      <alignment horizontal="left" vertical="center" wrapText="1"/>
    </xf>
    <xf numFmtId="0" fontId="7" fillId="0" borderId="47" xfId="1" applyFont="1" applyBorder="1" applyAlignment="1">
      <alignment horizontal="left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50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11" fillId="3" borderId="42" xfId="1" applyFont="1" applyFill="1" applyBorder="1" applyAlignment="1">
      <alignment horizontal="center" vertical="center" wrapText="1"/>
    </xf>
    <xf numFmtId="0" fontId="11" fillId="3" borderId="43" xfId="1" applyFont="1" applyFill="1" applyBorder="1" applyAlignment="1">
      <alignment horizontal="center" vertical="center" wrapText="1"/>
    </xf>
    <xf numFmtId="0" fontId="40" fillId="14" borderId="65" xfId="2" applyFont="1" applyFill="1" applyBorder="1" applyAlignment="1">
      <alignment horizontal="left" vertical="center" wrapText="1"/>
    </xf>
    <xf numFmtId="0" fontId="40" fillId="14" borderId="65" xfId="2" applyFont="1" applyFill="1" applyBorder="1" applyAlignment="1">
      <alignment horizontal="left" vertical="center"/>
    </xf>
    <xf numFmtId="0" fontId="40" fillId="14" borderId="66" xfId="2" applyFont="1" applyFill="1" applyBorder="1" applyAlignment="1">
      <alignment horizontal="left" vertical="center"/>
    </xf>
    <xf numFmtId="14" fontId="39" fillId="15" borderId="62" xfId="5" applyNumberFormat="1" applyFont="1" applyFill="1" applyBorder="1" applyAlignment="1" applyProtection="1">
      <alignment horizontal="center" vertical="center"/>
    </xf>
    <xf numFmtId="14" fontId="39" fillId="16" borderId="62" xfId="5" applyNumberFormat="1" applyFont="1" applyFill="1" applyBorder="1" applyAlignment="1" applyProtection="1">
      <alignment horizontal="center" vertical="center"/>
    </xf>
    <xf numFmtId="0" fontId="39" fillId="15" borderId="62" xfId="5" applyFont="1" applyFill="1" applyBorder="1" applyAlignment="1" applyProtection="1">
      <alignment horizontal="center" vertical="center"/>
    </xf>
    <xf numFmtId="0" fontId="39" fillId="16" borderId="62" xfId="5" applyFont="1" applyFill="1" applyBorder="1" applyAlignment="1" applyProtection="1">
      <alignment horizontal="center" vertical="center"/>
    </xf>
    <xf numFmtId="10" fontId="39" fillId="14" borderId="62" xfId="4" applyNumberFormat="1" applyFont="1" applyFill="1" applyBorder="1" applyAlignment="1" applyProtection="1">
      <alignment horizontal="center" vertical="center" wrapText="1"/>
    </xf>
    <xf numFmtId="10" fontId="39" fillId="16" borderId="62" xfId="4" applyNumberFormat="1" applyFont="1" applyFill="1" applyBorder="1" applyAlignment="1" applyProtection="1">
      <alignment horizontal="center" vertical="center" wrapText="1"/>
    </xf>
    <xf numFmtId="10" fontId="39" fillId="15" borderId="63" xfId="4" applyNumberFormat="1" applyFont="1" applyFill="1" applyBorder="1" applyAlignment="1" applyProtection="1">
      <alignment horizontal="center" vertical="center" wrapText="1"/>
    </xf>
    <xf numFmtId="10" fontId="39" fillId="16" borderId="63" xfId="4" applyNumberFormat="1" applyFont="1" applyFill="1" applyBorder="1" applyAlignment="1" applyProtection="1">
      <alignment horizontal="center" vertical="center" wrapText="1"/>
    </xf>
    <xf numFmtId="14" fontId="39" fillId="15" borderId="62" xfId="5" applyNumberFormat="1" applyFont="1" applyFill="1" applyBorder="1" applyAlignment="1" applyProtection="1">
      <alignment horizontal="left" vertical="center"/>
    </xf>
    <xf numFmtId="14" fontId="39" fillId="16" borderId="62" xfId="5" applyNumberFormat="1" applyFont="1" applyFill="1" applyBorder="1" applyAlignment="1" applyProtection="1">
      <alignment horizontal="left" vertical="center"/>
    </xf>
    <xf numFmtId="0" fontId="39" fillId="15" borderId="62" xfId="5" applyNumberFormat="1" applyFont="1" applyFill="1" applyBorder="1" applyAlignment="1" applyProtection="1">
      <alignment horizontal="center" vertical="center"/>
    </xf>
    <xf numFmtId="0" fontId="39" fillId="16" borderId="62" xfId="5" applyNumberFormat="1" applyFont="1" applyFill="1" applyBorder="1" applyAlignment="1" applyProtection="1">
      <alignment horizontal="center" vertical="center"/>
    </xf>
    <xf numFmtId="176" fontId="39" fillId="14" borderId="62" xfId="5" applyNumberFormat="1" applyFont="1" applyFill="1" applyBorder="1" applyAlignment="1" applyProtection="1">
      <alignment horizontal="center" vertical="center" wrapText="1"/>
    </xf>
    <xf numFmtId="176" fontId="39" fillId="16" borderId="62" xfId="5" applyNumberFormat="1" applyFont="1" applyFill="1" applyBorder="1" applyAlignment="1" applyProtection="1">
      <alignment horizontal="center" vertical="center" wrapText="1"/>
    </xf>
    <xf numFmtId="176" fontId="39" fillId="14" borderId="62" xfId="5" applyNumberFormat="1" applyFont="1" applyFill="1" applyBorder="1" applyAlignment="1" applyProtection="1">
      <alignment horizontal="center" vertical="top" wrapText="1"/>
    </xf>
    <xf numFmtId="176" fontId="39" fillId="16" borderId="62" xfId="5" applyNumberFormat="1" applyFont="1" applyFill="1" applyBorder="1" applyAlignment="1" applyProtection="1">
      <alignment horizontal="center" vertical="top" wrapText="1"/>
    </xf>
    <xf numFmtId="0" fontId="38" fillId="12" borderId="0" xfId="2" applyFont="1" applyFill="1" applyBorder="1" applyAlignment="1">
      <alignment horizontal="left" vertical="center"/>
    </xf>
    <xf numFmtId="0" fontId="40" fillId="14" borderId="64" xfId="2" applyFont="1" applyFill="1" applyBorder="1" applyAlignment="1">
      <alignment horizontal="left" vertical="center" wrapText="1"/>
    </xf>
    <xf numFmtId="14" fontId="39" fillId="15" borderId="62" xfId="5" applyNumberFormat="1" applyFont="1" applyFill="1" applyBorder="1" applyAlignment="1" applyProtection="1">
      <alignment horizontal="center" vertical="center" wrapText="1"/>
    </xf>
    <xf numFmtId="177" fontId="39" fillId="14" borderId="62" xfId="5" applyNumberFormat="1" applyFont="1" applyFill="1" applyBorder="1" applyAlignment="1" applyProtection="1">
      <alignment horizontal="center" vertical="center" wrapText="1"/>
    </xf>
    <xf numFmtId="177" fontId="39" fillId="16" borderId="62" xfId="5" applyNumberFormat="1" applyFont="1" applyFill="1" applyBorder="1" applyAlignment="1" applyProtection="1">
      <alignment horizontal="center" vertical="center" wrapText="1"/>
    </xf>
    <xf numFmtId="1" fontId="39" fillId="14" borderId="62" xfId="5" applyNumberFormat="1" applyFont="1" applyFill="1" applyBorder="1" applyAlignment="1" applyProtection="1">
      <alignment horizontal="center" vertical="center" wrapText="1"/>
    </xf>
    <xf numFmtId="1" fontId="39" fillId="16" borderId="62" xfId="5" applyNumberFormat="1" applyFont="1" applyFill="1" applyBorder="1" applyAlignment="1" applyProtection="1">
      <alignment horizontal="center" vertical="center" wrapText="1"/>
    </xf>
    <xf numFmtId="179" fontId="39" fillId="15" borderId="62" xfId="5" applyNumberFormat="1" applyFont="1" applyFill="1" applyBorder="1" applyAlignment="1" applyProtection="1">
      <alignment horizontal="center" vertical="center"/>
    </xf>
    <xf numFmtId="179" fontId="39" fillId="16" borderId="62" xfId="5" applyNumberFormat="1" applyFont="1" applyFill="1" applyBorder="1" applyAlignment="1" applyProtection="1">
      <alignment horizontal="center" vertical="center"/>
    </xf>
    <xf numFmtId="0" fontId="39" fillId="13" borderId="61" xfId="5" applyFont="1" applyFill="1" applyBorder="1" applyAlignment="1" applyProtection="1">
      <alignment horizontal="center" vertical="center" wrapText="1"/>
    </xf>
    <xf numFmtId="0" fontId="39" fillId="13" borderId="0" xfId="5" applyFont="1" applyFill="1" applyBorder="1" applyAlignment="1" applyProtection="1">
      <alignment horizontal="center" vertical="center" wrapText="1"/>
    </xf>
    <xf numFmtId="0" fontId="39" fillId="13" borderId="62" xfId="5" applyFont="1" applyFill="1" applyBorder="1" applyAlignment="1" applyProtection="1">
      <alignment horizontal="center" vertical="center"/>
    </xf>
    <xf numFmtId="0" fontId="39" fillId="13" borderId="2" xfId="5" applyFont="1" applyFill="1" applyBorder="1" applyAlignment="1" applyProtection="1">
      <alignment horizontal="center" vertical="center"/>
    </xf>
    <xf numFmtId="0" fontId="39" fillId="13" borderId="62" xfId="5" applyFont="1" applyFill="1" applyBorder="1" applyAlignment="1" applyProtection="1">
      <alignment horizontal="center" vertical="center" wrapText="1"/>
    </xf>
    <xf numFmtId="0" fontId="39" fillId="14" borderId="62" xfId="5" applyFont="1" applyFill="1" applyBorder="1" applyAlignment="1" applyProtection="1">
      <alignment horizontal="center" vertical="center"/>
    </xf>
    <xf numFmtId="0" fontId="39" fillId="15" borderId="63" xfId="5" applyFont="1" applyFill="1" applyBorder="1" applyAlignment="1" applyProtection="1">
      <alignment horizontal="center" vertical="center"/>
    </xf>
    <xf numFmtId="0" fontId="39" fillId="16" borderId="0" xfId="5" applyFont="1" applyFill="1" applyBorder="1" applyAlignment="1" applyProtection="1">
      <alignment horizontal="center" vertical="center"/>
    </xf>
    <xf numFmtId="0" fontId="39" fillId="16" borderId="63" xfId="5" applyFont="1" applyFill="1" applyBorder="1" applyAlignment="1" applyProtection="1">
      <alignment horizontal="center" vertical="center"/>
    </xf>
    <xf numFmtId="0" fontId="36" fillId="12" borderId="0" xfId="4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19" fillId="0" borderId="52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5" fillId="2" borderId="16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6" borderId="17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57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5" fillId="10" borderId="54" xfId="1" applyFont="1" applyFill="1" applyBorder="1" applyAlignment="1">
      <alignment horizontal="center" vertical="center" wrapText="1"/>
    </xf>
    <xf numFmtId="0" fontId="5" fillId="10" borderId="18" xfId="1" applyFont="1" applyFill="1" applyBorder="1" applyAlignment="1">
      <alignment horizontal="center" vertical="center" wrapText="1"/>
    </xf>
    <xf numFmtId="0" fontId="5" fillId="10" borderId="19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9" borderId="54" xfId="1" applyFont="1" applyFill="1" applyBorder="1" applyAlignment="1">
      <alignment horizontal="center" vertical="center" wrapText="1"/>
    </xf>
    <xf numFmtId="0" fontId="5" fillId="9" borderId="18" xfId="1" applyFont="1" applyFill="1" applyBorder="1" applyAlignment="1">
      <alignment horizontal="center" vertical="center" wrapText="1"/>
    </xf>
    <xf numFmtId="0" fontId="5" fillId="9" borderId="19" xfId="1" applyFont="1" applyFill="1" applyBorder="1" applyAlignment="1">
      <alignment horizontal="center" vertical="center" wrapText="1"/>
    </xf>
    <xf numFmtId="0" fontId="5" fillId="2" borderId="74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59" xfId="1" applyFont="1" applyFill="1" applyBorder="1" applyAlignment="1">
      <alignment horizontal="center" vertical="center" wrapText="1"/>
    </xf>
  </cellXfs>
  <cellStyles count="7">
    <cellStyle name="강조색5 2" xfId="2"/>
    <cellStyle name="백분율 2" xfId="4"/>
    <cellStyle name="백분율 3" xfId="6"/>
    <cellStyle name="표준" xfId="0" builtinId="0"/>
    <cellStyle name="표준 2" xfId="1"/>
    <cellStyle name="표준 2 2" xfId="5"/>
    <cellStyle name="하이퍼링크" xfId="3" builtinId="8"/>
  </cellStyles>
  <dxfs count="2">
    <dxf>
      <font>
        <b/>
        <i val="0"/>
      </font>
      <fill>
        <patternFill>
          <bgColor rgb="FFF2F2F2"/>
        </patternFill>
      </fill>
      <border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2" name="연결선: 꺾임 3822">
          <a:extLst>
            <a:ext uri="{FF2B5EF4-FFF2-40B4-BE49-F238E27FC236}">
              <a16:creationId xmlns:a16="http://schemas.microsoft.com/office/drawing/2014/main" id="{001A3C5A-D18D-48E4-ABB8-72C6A2CAA0AE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3" name="연결선: 꺾임 14007">
          <a:extLst>
            <a:ext uri="{FF2B5EF4-FFF2-40B4-BE49-F238E27FC236}">
              <a16:creationId xmlns:a16="http://schemas.microsoft.com/office/drawing/2014/main" id="{4F5D8845-CA7E-497E-A8F4-40FA27ABE049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4" name="연결선: 꺾임 23032">
          <a:extLst>
            <a:ext uri="{FF2B5EF4-FFF2-40B4-BE49-F238E27FC236}">
              <a16:creationId xmlns:a16="http://schemas.microsoft.com/office/drawing/2014/main" id="{F2A0302E-BED7-45C3-B1F1-8D894C0958C7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12700</xdr:colOff>
      <xdr:row>0</xdr:row>
      <xdr:rowOff>12700</xdr:rowOff>
    </xdr:from>
    <xdr:to>
      <xdr:col>3</xdr:col>
      <xdr:colOff>12700</xdr:colOff>
      <xdr:row>0</xdr:row>
      <xdr:rowOff>12700</xdr:rowOff>
    </xdr:to>
    <xdr:cxnSp macro="">
      <xdr:nvCxnSpPr>
        <xdr:cNvPr id="5" name="연결선: 꺾임 23037">
          <a:extLst>
            <a:ext uri="{FF2B5EF4-FFF2-40B4-BE49-F238E27FC236}">
              <a16:creationId xmlns:a16="http://schemas.microsoft.com/office/drawing/2014/main" id="{AE75C788-8D0C-40F2-9A8D-C17329F8B686}"/>
            </a:ext>
          </a:extLst>
        </xdr:cNvPr>
        <xdr:cNvCxnSpPr/>
      </xdr:nvCxnSpPr>
      <xdr:spPr>
        <a:xfrm>
          <a:off x="12700" y="12700"/>
          <a:ext cx="0" cy="0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3</xdr:row>
      <xdr:rowOff>76073</xdr:rowOff>
    </xdr:from>
    <xdr:to>
      <xdr:col>48</xdr:col>
      <xdr:colOff>0</xdr:colOff>
      <xdr:row>480</xdr:row>
      <xdr:rowOff>0</xdr:rowOff>
    </xdr:to>
    <xdr:cxnSp macro="">
      <xdr:nvCxnSpPr>
        <xdr:cNvPr id="6" name="직선 화살표 연결선 5"/>
        <xdr:cNvCxnSpPr/>
      </xdr:nvCxnSpPr>
      <xdr:spPr>
        <a:xfrm>
          <a:off x="12092940" y="754253"/>
          <a:ext cx="0" cy="906781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0</xdr:colOff>
      <xdr:row>3</xdr:row>
      <xdr:rowOff>76073</xdr:rowOff>
    </xdr:from>
    <xdr:to>
      <xdr:col>64</xdr:col>
      <xdr:colOff>0</xdr:colOff>
      <xdr:row>480</xdr:row>
      <xdr:rowOff>0</xdr:rowOff>
    </xdr:to>
    <xdr:cxnSp macro="">
      <xdr:nvCxnSpPr>
        <xdr:cNvPr id="7" name="직선 화살표 연결선 6"/>
        <xdr:cNvCxnSpPr/>
      </xdr:nvCxnSpPr>
      <xdr:spPr>
        <a:xfrm>
          <a:off x="14409420" y="754253"/>
          <a:ext cx="0" cy="906781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3</xdr:row>
      <xdr:rowOff>76073</xdr:rowOff>
    </xdr:from>
    <xdr:to>
      <xdr:col>80</xdr:col>
      <xdr:colOff>0</xdr:colOff>
      <xdr:row>480</xdr:row>
      <xdr:rowOff>0</xdr:rowOff>
    </xdr:to>
    <xdr:cxnSp macro="">
      <xdr:nvCxnSpPr>
        <xdr:cNvPr id="8" name="직선 화살표 연결선 7"/>
        <xdr:cNvCxnSpPr/>
      </xdr:nvCxnSpPr>
      <xdr:spPr>
        <a:xfrm>
          <a:off x="16725900" y="754253"/>
          <a:ext cx="0" cy="906781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96</xdr:col>
      <xdr:colOff>0</xdr:colOff>
      <xdr:row>3</xdr:row>
      <xdr:rowOff>76073</xdr:rowOff>
    </xdr:from>
    <xdr:to>
      <xdr:col>96</xdr:col>
      <xdr:colOff>0</xdr:colOff>
      <xdr:row>480</xdr:row>
      <xdr:rowOff>0</xdr:rowOff>
    </xdr:to>
    <xdr:cxnSp macro="">
      <xdr:nvCxnSpPr>
        <xdr:cNvPr id="9" name="직선 화살표 연결선 8"/>
        <xdr:cNvCxnSpPr/>
      </xdr:nvCxnSpPr>
      <xdr:spPr>
        <a:xfrm>
          <a:off x="19042380" y="754253"/>
          <a:ext cx="0" cy="906781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112</xdr:col>
      <xdr:colOff>0</xdr:colOff>
      <xdr:row>3</xdr:row>
      <xdr:rowOff>76073</xdr:rowOff>
    </xdr:from>
    <xdr:to>
      <xdr:col>112</xdr:col>
      <xdr:colOff>0</xdr:colOff>
      <xdr:row>480</xdr:row>
      <xdr:rowOff>0</xdr:rowOff>
    </xdr:to>
    <xdr:cxnSp macro="">
      <xdr:nvCxnSpPr>
        <xdr:cNvPr id="10" name="직선 화살표 연결선 9"/>
        <xdr:cNvCxnSpPr/>
      </xdr:nvCxnSpPr>
      <xdr:spPr>
        <a:xfrm>
          <a:off x="21358860" y="754253"/>
          <a:ext cx="0" cy="90678127"/>
        </a:xfrm>
        <a:prstGeom prst="straightConnector1">
          <a:avLst/>
        </a:prstGeom>
        <a:ln w="6350">
          <a:solidFill>
            <a:srgbClr val="BFBFBF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61232</xdr:colOff>
      <xdr:row>3</xdr:row>
      <xdr:rowOff>76073</xdr:rowOff>
    </xdr:from>
    <xdr:to>
      <xdr:col>48</xdr:col>
      <xdr:colOff>61232</xdr:colOff>
      <xdr:row>480</xdr:row>
      <xdr:rowOff>0</xdr:rowOff>
    </xdr:to>
    <xdr:cxnSp macro="">
      <xdr:nvCxnSpPr>
        <xdr:cNvPr id="11" name="직선 화살표 연결선 10"/>
        <xdr:cNvCxnSpPr/>
      </xdr:nvCxnSpPr>
      <xdr:spPr>
        <a:xfrm>
          <a:off x="12154172" y="754253"/>
          <a:ext cx="0" cy="90678127"/>
        </a:xfrm>
        <a:prstGeom prst="straightConnector1">
          <a:avLst/>
        </a:prstGeom>
        <a:ln w="6350">
          <a:solidFill>
            <a:srgbClr val="FF0000"/>
          </a:solidFill>
          <a:headEnd type="non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20411</xdr:colOff>
      <xdr:row>479</xdr:row>
      <xdr:rowOff>38100</xdr:rowOff>
    </xdr:from>
    <xdr:to>
      <xdr:col>119</xdr:col>
      <xdr:colOff>42090</xdr:colOff>
      <xdr:row>479</xdr:row>
      <xdr:rowOff>152400</xdr:rowOff>
    </xdr:to>
    <xdr:sp macro="" textlink="">
      <xdr:nvSpPr>
        <xdr:cNvPr id="12" name="476"/>
        <xdr:cNvSpPr/>
      </xdr:nvSpPr>
      <xdr:spPr>
        <a:xfrm>
          <a:off x="20800151" y="91279980"/>
          <a:ext cx="161425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108</xdr:col>
      <xdr:colOff>20411</xdr:colOff>
      <xdr:row>479</xdr:row>
      <xdr:rowOff>95250</xdr:rowOff>
    </xdr:from>
    <xdr:to>
      <xdr:col>108</xdr:col>
      <xdr:colOff>20411</xdr:colOff>
      <xdr:row>479</xdr:row>
      <xdr:rowOff>95250</xdr:rowOff>
    </xdr:to>
    <xdr:cxnSp macro="">
      <xdr:nvCxnSpPr>
        <xdr:cNvPr id="13" name="직선 화살표 연결선 12"/>
        <xdr:cNvCxnSpPr/>
      </xdr:nvCxnSpPr>
      <xdr:spPr>
        <a:xfrm>
          <a:off x="20800151" y="9133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103</xdr:col>
      <xdr:colOff>122464</xdr:colOff>
      <xdr:row>478</xdr:row>
      <xdr:rowOff>38100</xdr:rowOff>
    </xdr:from>
    <xdr:to>
      <xdr:col>108</xdr:col>
      <xdr:colOff>42090</xdr:colOff>
      <xdr:row>478</xdr:row>
      <xdr:rowOff>152400</xdr:rowOff>
    </xdr:to>
    <xdr:sp macro="" textlink="">
      <xdr:nvSpPr>
        <xdr:cNvPr id="14" name="475"/>
        <xdr:cNvSpPr/>
      </xdr:nvSpPr>
      <xdr:spPr>
        <a:xfrm>
          <a:off x="20178304" y="91089480"/>
          <a:ext cx="64352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103</xdr:col>
      <xdr:colOff>122464</xdr:colOff>
      <xdr:row>478</xdr:row>
      <xdr:rowOff>95250</xdr:rowOff>
    </xdr:from>
    <xdr:to>
      <xdr:col>103</xdr:col>
      <xdr:colOff>122464</xdr:colOff>
      <xdr:row>478</xdr:row>
      <xdr:rowOff>95250</xdr:rowOff>
    </xdr:to>
    <xdr:cxnSp macro="">
      <xdr:nvCxnSpPr>
        <xdr:cNvPr id="15" name="직선 화살표 연결선 14"/>
        <xdr:cNvCxnSpPr/>
      </xdr:nvCxnSpPr>
      <xdr:spPr>
        <a:xfrm>
          <a:off x="20178304" y="9114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20411</xdr:colOff>
      <xdr:row>477</xdr:row>
      <xdr:rowOff>38100</xdr:rowOff>
    </xdr:from>
    <xdr:to>
      <xdr:col>101</xdr:col>
      <xdr:colOff>123734</xdr:colOff>
      <xdr:row>477</xdr:row>
      <xdr:rowOff>152400</xdr:rowOff>
    </xdr:to>
    <xdr:sp macro="" textlink="">
      <xdr:nvSpPr>
        <xdr:cNvPr id="16" name="474"/>
        <xdr:cNvSpPr/>
      </xdr:nvSpPr>
      <xdr:spPr>
        <a:xfrm>
          <a:off x="18628451" y="90898980"/>
          <a:ext cx="126156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20411</xdr:colOff>
      <xdr:row>477</xdr:row>
      <xdr:rowOff>95250</xdr:rowOff>
    </xdr:from>
    <xdr:to>
      <xdr:col>93</xdr:col>
      <xdr:colOff>20411</xdr:colOff>
      <xdr:row>477</xdr:row>
      <xdr:rowOff>95250</xdr:rowOff>
    </xdr:to>
    <xdr:cxnSp macro="">
      <xdr:nvCxnSpPr>
        <xdr:cNvPr id="17" name="직선 화살표 연결선 16"/>
        <xdr:cNvCxnSpPr/>
      </xdr:nvCxnSpPr>
      <xdr:spPr>
        <a:xfrm>
          <a:off x="18628451" y="9095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20411</xdr:colOff>
      <xdr:row>476</xdr:row>
      <xdr:rowOff>38100</xdr:rowOff>
    </xdr:from>
    <xdr:to>
      <xdr:col>119</xdr:col>
      <xdr:colOff>42090</xdr:colOff>
      <xdr:row>476</xdr:row>
      <xdr:rowOff>152400</xdr:rowOff>
    </xdr:to>
    <xdr:sp macro="" textlink="">
      <xdr:nvSpPr>
        <xdr:cNvPr id="18" name="473"/>
        <xdr:cNvSpPr/>
      </xdr:nvSpPr>
      <xdr:spPr>
        <a:xfrm>
          <a:off x="18628451" y="90708480"/>
          <a:ext cx="378595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20411</xdr:colOff>
      <xdr:row>476</xdr:row>
      <xdr:rowOff>95250</xdr:rowOff>
    </xdr:from>
    <xdr:to>
      <xdr:col>93</xdr:col>
      <xdr:colOff>20411</xdr:colOff>
      <xdr:row>476</xdr:row>
      <xdr:rowOff>95250</xdr:rowOff>
    </xdr:to>
    <xdr:cxnSp macro="">
      <xdr:nvCxnSpPr>
        <xdr:cNvPr id="19" name="직선 화살표 연결선 18"/>
        <xdr:cNvCxnSpPr/>
      </xdr:nvCxnSpPr>
      <xdr:spPr>
        <a:xfrm>
          <a:off x="18628451" y="9076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20411</xdr:colOff>
      <xdr:row>475</xdr:row>
      <xdr:rowOff>38100</xdr:rowOff>
    </xdr:from>
    <xdr:to>
      <xdr:col>119</xdr:col>
      <xdr:colOff>42090</xdr:colOff>
      <xdr:row>475</xdr:row>
      <xdr:rowOff>152400</xdr:rowOff>
    </xdr:to>
    <xdr:sp macro="" textlink="">
      <xdr:nvSpPr>
        <xdr:cNvPr id="20" name="472"/>
        <xdr:cNvSpPr/>
      </xdr:nvSpPr>
      <xdr:spPr>
        <a:xfrm>
          <a:off x="18628451" y="90517980"/>
          <a:ext cx="378595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93</xdr:col>
      <xdr:colOff>20411</xdr:colOff>
      <xdr:row>475</xdr:row>
      <xdr:rowOff>95250</xdr:rowOff>
    </xdr:from>
    <xdr:to>
      <xdr:col>93</xdr:col>
      <xdr:colOff>20411</xdr:colOff>
      <xdr:row>475</xdr:row>
      <xdr:rowOff>95250</xdr:rowOff>
    </xdr:to>
    <xdr:cxnSp macro="">
      <xdr:nvCxnSpPr>
        <xdr:cNvPr id="21" name="직선 화살표 연결선 20"/>
        <xdr:cNvCxnSpPr/>
      </xdr:nvCxnSpPr>
      <xdr:spPr>
        <a:xfrm>
          <a:off x="18628451" y="9057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20411</xdr:colOff>
      <xdr:row>448</xdr:row>
      <xdr:rowOff>38100</xdr:rowOff>
    </xdr:from>
    <xdr:to>
      <xdr:col>84</xdr:col>
      <xdr:colOff>42090</xdr:colOff>
      <xdr:row>448</xdr:row>
      <xdr:rowOff>152400</xdr:rowOff>
    </xdr:to>
    <xdr:sp macro="" textlink="">
      <xdr:nvSpPr>
        <xdr:cNvPr id="22" name="445"/>
        <xdr:cNvSpPr/>
      </xdr:nvSpPr>
      <xdr:spPr>
        <a:xfrm>
          <a:off x="17325431" y="85374480"/>
          <a:ext cx="21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20411</xdr:colOff>
      <xdr:row>448</xdr:row>
      <xdr:rowOff>95250</xdr:rowOff>
    </xdr:from>
    <xdr:to>
      <xdr:col>84</xdr:col>
      <xdr:colOff>20411</xdr:colOff>
      <xdr:row>448</xdr:row>
      <xdr:rowOff>95250</xdr:rowOff>
    </xdr:to>
    <xdr:cxnSp macro="">
      <xdr:nvCxnSpPr>
        <xdr:cNvPr id="23" name="직선 화살표 연결선 22"/>
        <xdr:cNvCxnSpPr/>
      </xdr:nvCxnSpPr>
      <xdr:spPr>
        <a:xfrm>
          <a:off x="17325431" y="8543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122464</xdr:colOff>
      <xdr:row>447</xdr:row>
      <xdr:rowOff>38100</xdr:rowOff>
    </xdr:from>
    <xdr:to>
      <xdr:col>84</xdr:col>
      <xdr:colOff>21681</xdr:colOff>
      <xdr:row>447</xdr:row>
      <xdr:rowOff>152400</xdr:rowOff>
    </xdr:to>
    <xdr:sp macro="" textlink="">
      <xdr:nvSpPr>
        <xdr:cNvPr id="24" name="444"/>
        <xdr:cNvSpPr/>
      </xdr:nvSpPr>
      <xdr:spPr>
        <a:xfrm>
          <a:off x="16993144" y="85183980"/>
          <a:ext cx="3335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122464</xdr:colOff>
      <xdr:row>447</xdr:row>
      <xdr:rowOff>95250</xdr:rowOff>
    </xdr:from>
    <xdr:to>
      <xdr:col>81</xdr:col>
      <xdr:colOff>122464</xdr:colOff>
      <xdr:row>447</xdr:row>
      <xdr:rowOff>95250</xdr:rowOff>
    </xdr:to>
    <xdr:cxnSp macro="">
      <xdr:nvCxnSpPr>
        <xdr:cNvPr id="25" name="직선 화살표 연결선 24"/>
        <xdr:cNvCxnSpPr/>
      </xdr:nvCxnSpPr>
      <xdr:spPr>
        <a:xfrm>
          <a:off x="16993144" y="8524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122464</xdr:colOff>
      <xdr:row>446</xdr:row>
      <xdr:rowOff>38100</xdr:rowOff>
    </xdr:from>
    <xdr:to>
      <xdr:col>84</xdr:col>
      <xdr:colOff>42090</xdr:colOff>
      <xdr:row>446</xdr:row>
      <xdr:rowOff>152400</xdr:rowOff>
    </xdr:to>
    <xdr:sp macro="" textlink="">
      <xdr:nvSpPr>
        <xdr:cNvPr id="26" name="443"/>
        <xdr:cNvSpPr/>
      </xdr:nvSpPr>
      <xdr:spPr>
        <a:xfrm>
          <a:off x="16993144" y="84993480"/>
          <a:ext cx="35396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122464</xdr:colOff>
      <xdr:row>446</xdr:row>
      <xdr:rowOff>95250</xdr:rowOff>
    </xdr:from>
    <xdr:to>
      <xdr:col>81</xdr:col>
      <xdr:colOff>122464</xdr:colOff>
      <xdr:row>446</xdr:row>
      <xdr:rowOff>95250</xdr:rowOff>
    </xdr:to>
    <xdr:cxnSp macro="">
      <xdr:nvCxnSpPr>
        <xdr:cNvPr id="27" name="직선 화살표 연결선 26"/>
        <xdr:cNvCxnSpPr/>
      </xdr:nvCxnSpPr>
      <xdr:spPr>
        <a:xfrm>
          <a:off x="16993144" y="8505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445</xdr:row>
      <xdr:rowOff>38100</xdr:rowOff>
    </xdr:from>
    <xdr:to>
      <xdr:col>82</xdr:col>
      <xdr:colOff>42090</xdr:colOff>
      <xdr:row>445</xdr:row>
      <xdr:rowOff>152400</xdr:rowOff>
    </xdr:to>
    <xdr:sp macro="" textlink="">
      <xdr:nvSpPr>
        <xdr:cNvPr id="28" name="442"/>
        <xdr:cNvSpPr/>
      </xdr:nvSpPr>
      <xdr:spPr>
        <a:xfrm>
          <a:off x="16787132" y="84802980"/>
          <a:ext cx="2704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445</xdr:row>
      <xdr:rowOff>95250</xdr:rowOff>
    </xdr:from>
    <xdr:to>
      <xdr:col>80</xdr:col>
      <xdr:colOff>61232</xdr:colOff>
      <xdr:row>445</xdr:row>
      <xdr:rowOff>95250</xdr:rowOff>
    </xdr:to>
    <xdr:cxnSp macro="">
      <xdr:nvCxnSpPr>
        <xdr:cNvPr id="29" name="직선 화살표 연결선 28"/>
        <xdr:cNvCxnSpPr/>
      </xdr:nvCxnSpPr>
      <xdr:spPr>
        <a:xfrm>
          <a:off x="16787132" y="8486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444</xdr:row>
      <xdr:rowOff>38100</xdr:rowOff>
    </xdr:from>
    <xdr:to>
      <xdr:col>80</xdr:col>
      <xdr:colOff>82913</xdr:colOff>
      <xdr:row>444</xdr:row>
      <xdr:rowOff>152400</xdr:rowOff>
    </xdr:to>
    <xdr:sp macro="" textlink="">
      <xdr:nvSpPr>
        <xdr:cNvPr id="30" name="441"/>
        <xdr:cNvSpPr/>
      </xdr:nvSpPr>
      <xdr:spPr>
        <a:xfrm>
          <a:off x="16497572" y="846124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444</xdr:row>
      <xdr:rowOff>95250</xdr:rowOff>
    </xdr:from>
    <xdr:to>
      <xdr:col>78</xdr:col>
      <xdr:colOff>61232</xdr:colOff>
      <xdr:row>444</xdr:row>
      <xdr:rowOff>95250</xdr:rowOff>
    </xdr:to>
    <xdr:cxnSp macro="">
      <xdr:nvCxnSpPr>
        <xdr:cNvPr id="31" name="직선 화살표 연결선 30"/>
        <xdr:cNvCxnSpPr/>
      </xdr:nvCxnSpPr>
      <xdr:spPr>
        <a:xfrm>
          <a:off x="16497572" y="8466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443</xdr:row>
      <xdr:rowOff>38100</xdr:rowOff>
    </xdr:from>
    <xdr:to>
      <xdr:col>82</xdr:col>
      <xdr:colOff>42090</xdr:colOff>
      <xdr:row>443</xdr:row>
      <xdr:rowOff>152400</xdr:rowOff>
    </xdr:to>
    <xdr:sp macro="" textlink="">
      <xdr:nvSpPr>
        <xdr:cNvPr id="32" name="440"/>
        <xdr:cNvSpPr/>
      </xdr:nvSpPr>
      <xdr:spPr>
        <a:xfrm>
          <a:off x="16497572" y="84421980"/>
          <a:ext cx="5599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443</xdr:row>
      <xdr:rowOff>95250</xdr:rowOff>
    </xdr:from>
    <xdr:to>
      <xdr:col>78</xdr:col>
      <xdr:colOff>61232</xdr:colOff>
      <xdr:row>443</xdr:row>
      <xdr:rowOff>95250</xdr:rowOff>
    </xdr:to>
    <xdr:cxnSp macro="">
      <xdr:nvCxnSpPr>
        <xdr:cNvPr id="33" name="직선 화살표 연결선 32"/>
        <xdr:cNvCxnSpPr/>
      </xdr:nvCxnSpPr>
      <xdr:spPr>
        <a:xfrm>
          <a:off x="16497572" y="8447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81643</xdr:colOff>
      <xdr:row>442</xdr:row>
      <xdr:rowOff>38100</xdr:rowOff>
    </xdr:from>
    <xdr:to>
      <xdr:col>85</xdr:col>
      <xdr:colOff>103324</xdr:colOff>
      <xdr:row>442</xdr:row>
      <xdr:rowOff>152400</xdr:rowOff>
    </xdr:to>
    <xdr:sp macro="" textlink="">
      <xdr:nvSpPr>
        <xdr:cNvPr id="34" name="439"/>
        <xdr:cNvSpPr/>
      </xdr:nvSpPr>
      <xdr:spPr>
        <a:xfrm>
          <a:off x="17531443" y="84231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81643</xdr:colOff>
      <xdr:row>442</xdr:row>
      <xdr:rowOff>95250</xdr:rowOff>
    </xdr:from>
    <xdr:to>
      <xdr:col>85</xdr:col>
      <xdr:colOff>81643</xdr:colOff>
      <xdr:row>442</xdr:row>
      <xdr:rowOff>95250</xdr:rowOff>
    </xdr:to>
    <xdr:cxnSp macro="">
      <xdr:nvCxnSpPr>
        <xdr:cNvPr id="35" name="직선 화살표 연결선 34"/>
        <xdr:cNvCxnSpPr/>
      </xdr:nvCxnSpPr>
      <xdr:spPr>
        <a:xfrm>
          <a:off x="17531443" y="8428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61232</xdr:colOff>
      <xdr:row>441</xdr:row>
      <xdr:rowOff>38100</xdr:rowOff>
    </xdr:from>
    <xdr:to>
      <xdr:col>85</xdr:col>
      <xdr:colOff>82913</xdr:colOff>
      <xdr:row>441</xdr:row>
      <xdr:rowOff>152400</xdr:rowOff>
    </xdr:to>
    <xdr:sp macro="" textlink="">
      <xdr:nvSpPr>
        <xdr:cNvPr id="36" name="438"/>
        <xdr:cNvSpPr/>
      </xdr:nvSpPr>
      <xdr:spPr>
        <a:xfrm>
          <a:off x="17221472" y="840409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83</xdr:col>
      <xdr:colOff>61232</xdr:colOff>
      <xdr:row>441</xdr:row>
      <xdr:rowOff>95250</xdr:rowOff>
    </xdr:from>
    <xdr:to>
      <xdr:col>83</xdr:col>
      <xdr:colOff>61232</xdr:colOff>
      <xdr:row>441</xdr:row>
      <xdr:rowOff>95250</xdr:rowOff>
    </xdr:to>
    <xdr:cxnSp macro="">
      <xdr:nvCxnSpPr>
        <xdr:cNvPr id="37" name="직선 화살표 연결선 36"/>
        <xdr:cNvCxnSpPr/>
      </xdr:nvCxnSpPr>
      <xdr:spPr>
        <a:xfrm>
          <a:off x="17221472" y="8409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83</xdr:col>
      <xdr:colOff>61232</xdr:colOff>
      <xdr:row>440</xdr:row>
      <xdr:rowOff>38100</xdr:rowOff>
    </xdr:from>
    <xdr:to>
      <xdr:col>85</xdr:col>
      <xdr:colOff>103324</xdr:colOff>
      <xdr:row>440</xdr:row>
      <xdr:rowOff>152400</xdr:rowOff>
    </xdr:to>
    <xdr:sp macro="" textlink="">
      <xdr:nvSpPr>
        <xdr:cNvPr id="38" name="437"/>
        <xdr:cNvSpPr/>
      </xdr:nvSpPr>
      <xdr:spPr>
        <a:xfrm>
          <a:off x="17221472" y="83850480"/>
          <a:ext cx="3316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83</xdr:col>
      <xdr:colOff>61232</xdr:colOff>
      <xdr:row>440</xdr:row>
      <xdr:rowOff>95250</xdr:rowOff>
    </xdr:from>
    <xdr:to>
      <xdr:col>83</xdr:col>
      <xdr:colOff>61232</xdr:colOff>
      <xdr:row>440</xdr:row>
      <xdr:rowOff>95250</xdr:rowOff>
    </xdr:to>
    <xdr:cxnSp macro="">
      <xdr:nvCxnSpPr>
        <xdr:cNvPr id="39" name="직선 화살표 연결선 38"/>
        <xdr:cNvCxnSpPr/>
      </xdr:nvCxnSpPr>
      <xdr:spPr>
        <a:xfrm>
          <a:off x="17221472" y="8390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439</xdr:row>
      <xdr:rowOff>38100</xdr:rowOff>
    </xdr:from>
    <xdr:to>
      <xdr:col>78</xdr:col>
      <xdr:colOff>82913</xdr:colOff>
      <xdr:row>439</xdr:row>
      <xdr:rowOff>152400</xdr:rowOff>
    </xdr:to>
    <xdr:sp macro="" textlink="">
      <xdr:nvSpPr>
        <xdr:cNvPr id="40" name="436"/>
        <xdr:cNvSpPr/>
      </xdr:nvSpPr>
      <xdr:spPr>
        <a:xfrm>
          <a:off x="16497572" y="83659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439</xdr:row>
      <xdr:rowOff>95250</xdr:rowOff>
    </xdr:from>
    <xdr:to>
      <xdr:col>78</xdr:col>
      <xdr:colOff>61232</xdr:colOff>
      <xdr:row>439</xdr:row>
      <xdr:rowOff>95250</xdr:rowOff>
    </xdr:to>
    <xdr:cxnSp macro="">
      <xdr:nvCxnSpPr>
        <xdr:cNvPr id="41" name="직선 화살표 연결선 40"/>
        <xdr:cNvCxnSpPr/>
      </xdr:nvCxnSpPr>
      <xdr:spPr>
        <a:xfrm>
          <a:off x="16497572" y="8371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438</xdr:row>
      <xdr:rowOff>38100</xdr:rowOff>
    </xdr:from>
    <xdr:to>
      <xdr:col>78</xdr:col>
      <xdr:colOff>42090</xdr:colOff>
      <xdr:row>438</xdr:row>
      <xdr:rowOff>152400</xdr:rowOff>
    </xdr:to>
    <xdr:sp macro="" textlink="">
      <xdr:nvSpPr>
        <xdr:cNvPr id="42" name="435"/>
        <xdr:cNvSpPr/>
      </xdr:nvSpPr>
      <xdr:spPr>
        <a:xfrm>
          <a:off x="16167191" y="83469480"/>
          <a:ext cx="3112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438</xdr:row>
      <xdr:rowOff>95250</xdr:rowOff>
    </xdr:from>
    <xdr:to>
      <xdr:col>76</xdr:col>
      <xdr:colOff>20411</xdr:colOff>
      <xdr:row>438</xdr:row>
      <xdr:rowOff>95250</xdr:rowOff>
    </xdr:to>
    <xdr:cxnSp macro="">
      <xdr:nvCxnSpPr>
        <xdr:cNvPr id="43" name="직선 화살표 연결선 42"/>
        <xdr:cNvCxnSpPr/>
      </xdr:nvCxnSpPr>
      <xdr:spPr>
        <a:xfrm>
          <a:off x="16167191" y="8352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437</xdr:row>
      <xdr:rowOff>38100</xdr:rowOff>
    </xdr:from>
    <xdr:to>
      <xdr:col>78</xdr:col>
      <xdr:colOff>82913</xdr:colOff>
      <xdr:row>437</xdr:row>
      <xdr:rowOff>152400</xdr:rowOff>
    </xdr:to>
    <xdr:sp macro="" textlink="">
      <xdr:nvSpPr>
        <xdr:cNvPr id="44" name="434"/>
        <xdr:cNvSpPr/>
      </xdr:nvSpPr>
      <xdr:spPr>
        <a:xfrm>
          <a:off x="16167191" y="83278980"/>
          <a:ext cx="35206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437</xdr:row>
      <xdr:rowOff>95250</xdr:rowOff>
    </xdr:from>
    <xdr:to>
      <xdr:col>76</xdr:col>
      <xdr:colOff>20411</xdr:colOff>
      <xdr:row>437</xdr:row>
      <xdr:rowOff>95250</xdr:rowOff>
    </xdr:to>
    <xdr:cxnSp macro="">
      <xdr:nvCxnSpPr>
        <xdr:cNvPr id="45" name="직선 화살표 연결선 44"/>
        <xdr:cNvCxnSpPr/>
      </xdr:nvCxnSpPr>
      <xdr:spPr>
        <a:xfrm>
          <a:off x="16167191" y="8333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436</xdr:row>
      <xdr:rowOff>38100</xdr:rowOff>
    </xdr:from>
    <xdr:to>
      <xdr:col>78</xdr:col>
      <xdr:colOff>82913</xdr:colOff>
      <xdr:row>436</xdr:row>
      <xdr:rowOff>152400</xdr:rowOff>
    </xdr:to>
    <xdr:sp macro="" textlink="">
      <xdr:nvSpPr>
        <xdr:cNvPr id="46" name="433"/>
        <xdr:cNvSpPr/>
      </xdr:nvSpPr>
      <xdr:spPr>
        <a:xfrm>
          <a:off x="16497572" y="83088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436</xdr:row>
      <xdr:rowOff>95250</xdr:rowOff>
    </xdr:from>
    <xdr:to>
      <xdr:col>78</xdr:col>
      <xdr:colOff>61232</xdr:colOff>
      <xdr:row>436</xdr:row>
      <xdr:rowOff>95250</xdr:rowOff>
    </xdr:to>
    <xdr:cxnSp macro="">
      <xdr:nvCxnSpPr>
        <xdr:cNvPr id="47" name="직선 화살표 연결선 46"/>
        <xdr:cNvCxnSpPr/>
      </xdr:nvCxnSpPr>
      <xdr:spPr>
        <a:xfrm>
          <a:off x="16497572" y="8314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435</xdr:row>
      <xdr:rowOff>38100</xdr:rowOff>
    </xdr:from>
    <xdr:to>
      <xdr:col>78</xdr:col>
      <xdr:colOff>42090</xdr:colOff>
      <xdr:row>435</xdr:row>
      <xdr:rowOff>152400</xdr:rowOff>
    </xdr:to>
    <xdr:sp macro="" textlink="">
      <xdr:nvSpPr>
        <xdr:cNvPr id="48" name="432"/>
        <xdr:cNvSpPr/>
      </xdr:nvSpPr>
      <xdr:spPr>
        <a:xfrm>
          <a:off x="16167191" y="82897980"/>
          <a:ext cx="3112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435</xdr:row>
      <xdr:rowOff>95250</xdr:rowOff>
    </xdr:from>
    <xdr:to>
      <xdr:col>76</xdr:col>
      <xdr:colOff>20411</xdr:colOff>
      <xdr:row>435</xdr:row>
      <xdr:rowOff>95250</xdr:rowOff>
    </xdr:to>
    <xdr:cxnSp macro="">
      <xdr:nvCxnSpPr>
        <xdr:cNvPr id="49" name="직선 화살표 연결선 48"/>
        <xdr:cNvCxnSpPr/>
      </xdr:nvCxnSpPr>
      <xdr:spPr>
        <a:xfrm>
          <a:off x="16167191" y="8295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434</xdr:row>
      <xdr:rowOff>38100</xdr:rowOff>
    </xdr:from>
    <xdr:to>
      <xdr:col>78</xdr:col>
      <xdr:colOff>82913</xdr:colOff>
      <xdr:row>434</xdr:row>
      <xdr:rowOff>152400</xdr:rowOff>
    </xdr:to>
    <xdr:sp macro="" textlink="">
      <xdr:nvSpPr>
        <xdr:cNvPr id="50" name="431"/>
        <xdr:cNvSpPr/>
      </xdr:nvSpPr>
      <xdr:spPr>
        <a:xfrm>
          <a:off x="16167191" y="82707480"/>
          <a:ext cx="35206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434</xdr:row>
      <xdr:rowOff>95250</xdr:rowOff>
    </xdr:from>
    <xdr:to>
      <xdr:col>76</xdr:col>
      <xdr:colOff>20411</xdr:colOff>
      <xdr:row>434</xdr:row>
      <xdr:rowOff>95250</xdr:rowOff>
    </xdr:to>
    <xdr:cxnSp macro="">
      <xdr:nvCxnSpPr>
        <xdr:cNvPr id="51" name="직선 화살표 연결선 50"/>
        <xdr:cNvCxnSpPr/>
      </xdr:nvCxnSpPr>
      <xdr:spPr>
        <a:xfrm>
          <a:off x="16167191" y="8276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433</xdr:row>
      <xdr:rowOff>38100</xdr:rowOff>
    </xdr:from>
    <xdr:to>
      <xdr:col>84</xdr:col>
      <xdr:colOff>42090</xdr:colOff>
      <xdr:row>433</xdr:row>
      <xdr:rowOff>152400</xdr:rowOff>
    </xdr:to>
    <xdr:sp macro="" textlink="">
      <xdr:nvSpPr>
        <xdr:cNvPr id="52" name="430"/>
        <xdr:cNvSpPr/>
      </xdr:nvSpPr>
      <xdr:spPr>
        <a:xfrm>
          <a:off x="16787132" y="82516980"/>
          <a:ext cx="5599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433</xdr:row>
      <xdr:rowOff>95250</xdr:rowOff>
    </xdr:from>
    <xdr:to>
      <xdr:col>80</xdr:col>
      <xdr:colOff>61232</xdr:colOff>
      <xdr:row>433</xdr:row>
      <xdr:rowOff>95250</xdr:rowOff>
    </xdr:to>
    <xdr:cxnSp macro="">
      <xdr:nvCxnSpPr>
        <xdr:cNvPr id="53" name="직선 화살표 연결선 52"/>
        <xdr:cNvCxnSpPr/>
      </xdr:nvCxnSpPr>
      <xdr:spPr>
        <a:xfrm>
          <a:off x="16787132" y="8257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432</xdr:row>
      <xdr:rowOff>38100</xdr:rowOff>
    </xdr:from>
    <xdr:to>
      <xdr:col>80</xdr:col>
      <xdr:colOff>82913</xdr:colOff>
      <xdr:row>432</xdr:row>
      <xdr:rowOff>152400</xdr:rowOff>
    </xdr:to>
    <xdr:sp macro="" textlink="">
      <xdr:nvSpPr>
        <xdr:cNvPr id="54" name="429"/>
        <xdr:cNvSpPr/>
      </xdr:nvSpPr>
      <xdr:spPr>
        <a:xfrm>
          <a:off x="16497572" y="823264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432</xdr:row>
      <xdr:rowOff>95250</xdr:rowOff>
    </xdr:from>
    <xdr:to>
      <xdr:col>78</xdr:col>
      <xdr:colOff>61232</xdr:colOff>
      <xdr:row>432</xdr:row>
      <xdr:rowOff>95250</xdr:rowOff>
    </xdr:to>
    <xdr:cxnSp macro="">
      <xdr:nvCxnSpPr>
        <xdr:cNvPr id="55" name="직선 화살표 연결선 54"/>
        <xdr:cNvCxnSpPr/>
      </xdr:nvCxnSpPr>
      <xdr:spPr>
        <a:xfrm>
          <a:off x="16497572" y="8238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431</xdr:row>
      <xdr:rowOff>38100</xdr:rowOff>
    </xdr:from>
    <xdr:to>
      <xdr:col>84</xdr:col>
      <xdr:colOff>42090</xdr:colOff>
      <xdr:row>431</xdr:row>
      <xdr:rowOff>152400</xdr:rowOff>
    </xdr:to>
    <xdr:sp macro="" textlink="">
      <xdr:nvSpPr>
        <xdr:cNvPr id="56" name="428"/>
        <xdr:cNvSpPr/>
      </xdr:nvSpPr>
      <xdr:spPr>
        <a:xfrm>
          <a:off x="16497572" y="82135980"/>
          <a:ext cx="8495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431</xdr:row>
      <xdr:rowOff>95250</xdr:rowOff>
    </xdr:from>
    <xdr:to>
      <xdr:col>78</xdr:col>
      <xdr:colOff>61232</xdr:colOff>
      <xdr:row>431</xdr:row>
      <xdr:rowOff>95250</xdr:rowOff>
    </xdr:to>
    <xdr:cxnSp macro="">
      <xdr:nvCxnSpPr>
        <xdr:cNvPr id="57" name="직선 화살표 연결선 56"/>
        <xdr:cNvCxnSpPr/>
      </xdr:nvCxnSpPr>
      <xdr:spPr>
        <a:xfrm>
          <a:off x="16497572" y="8219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430</xdr:row>
      <xdr:rowOff>38100</xdr:rowOff>
    </xdr:from>
    <xdr:to>
      <xdr:col>85</xdr:col>
      <xdr:colOff>103324</xdr:colOff>
      <xdr:row>430</xdr:row>
      <xdr:rowOff>152400</xdr:rowOff>
    </xdr:to>
    <xdr:sp macro="" textlink="">
      <xdr:nvSpPr>
        <xdr:cNvPr id="58" name="427"/>
        <xdr:cNvSpPr/>
      </xdr:nvSpPr>
      <xdr:spPr>
        <a:xfrm>
          <a:off x="16167191" y="81945480"/>
          <a:ext cx="138593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430</xdr:row>
      <xdr:rowOff>95250</xdr:rowOff>
    </xdr:from>
    <xdr:to>
      <xdr:col>76</xdr:col>
      <xdr:colOff>20411</xdr:colOff>
      <xdr:row>430</xdr:row>
      <xdr:rowOff>95250</xdr:rowOff>
    </xdr:to>
    <xdr:cxnSp macro="">
      <xdr:nvCxnSpPr>
        <xdr:cNvPr id="59" name="직선 화살표 연결선 58"/>
        <xdr:cNvCxnSpPr/>
      </xdr:nvCxnSpPr>
      <xdr:spPr>
        <a:xfrm>
          <a:off x="16167191" y="8200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102054</xdr:colOff>
      <xdr:row>429</xdr:row>
      <xdr:rowOff>38100</xdr:rowOff>
    </xdr:from>
    <xdr:to>
      <xdr:col>72</xdr:col>
      <xdr:colOff>123734</xdr:colOff>
      <xdr:row>429</xdr:row>
      <xdr:rowOff>152400</xdr:rowOff>
    </xdr:to>
    <xdr:sp macro="" textlink="">
      <xdr:nvSpPr>
        <xdr:cNvPr id="60" name="426"/>
        <xdr:cNvSpPr/>
      </xdr:nvSpPr>
      <xdr:spPr>
        <a:xfrm>
          <a:off x="15669714" y="81754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102054</xdr:colOff>
      <xdr:row>429</xdr:row>
      <xdr:rowOff>95250</xdr:rowOff>
    </xdr:from>
    <xdr:to>
      <xdr:col>72</xdr:col>
      <xdr:colOff>102054</xdr:colOff>
      <xdr:row>429</xdr:row>
      <xdr:rowOff>95250</xdr:rowOff>
    </xdr:to>
    <xdr:cxnSp macro="">
      <xdr:nvCxnSpPr>
        <xdr:cNvPr id="61" name="직선 화살표 연결선 60"/>
        <xdr:cNvCxnSpPr/>
      </xdr:nvCxnSpPr>
      <xdr:spPr>
        <a:xfrm>
          <a:off x="15669714" y="8181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428</xdr:row>
      <xdr:rowOff>38100</xdr:rowOff>
    </xdr:from>
    <xdr:to>
      <xdr:col>72</xdr:col>
      <xdr:colOff>103324</xdr:colOff>
      <xdr:row>428</xdr:row>
      <xdr:rowOff>152400</xdr:rowOff>
    </xdr:to>
    <xdr:sp macro="" textlink="">
      <xdr:nvSpPr>
        <xdr:cNvPr id="62" name="425"/>
        <xdr:cNvSpPr/>
      </xdr:nvSpPr>
      <xdr:spPr>
        <a:xfrm>
          <a:off x="15339332" y="81564480"/>
          <a:ext cx="3316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428</xdr:row>
      <xdr:rowOff>95250</xdr:rowOff>
    </xdr:from>
    <xdr:to>
      <xdr:col>70</xdr:col>
      <xdr:colOff>61232</xdr:colOff>
      <xdr:row>428</xdr:row>
      <xdr:rowOff>95250</xdr:rowOff>
    </xdr:to>
    <xdr:cxnSp macro="">
      <xdr:nvCxnSpPr>
        <xdr:cNvPr id="63" name="직선 화살표 연결선 62"/>
        <xdr:cNvCxnSpPr/>
      </xdr:nvCxnSpPr>
      <xdr:spPr>
        <a:xfrm>
          <a:off x="15339332" y="8162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427</xdr:row>
      <xdr:rowOff>38100</xdr:rowOff>
    </xdr:from>
    <xdr:to>
      <xdr:col>72</xdr:col>
      <xdr:colOff>123734</xdr:colOff>
      <xdr:row>427</xdr:row>
      <xdr:rowOff>152400</xdr:rowOff>
    </xdr:to>
    <xdr:sp macro="" textlink="">
      <xdr:nvSpPr>
        <xdr:cNvPr id="64" name="424"/>
        <xdr:cNvSpPr/>
      </xdr:nvSpPr>
      <xdr:spPr>
        <a:xfrm>
          <a:off x="15339332" y="81373980"/>
          <a:ext cx="35206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427</xdr:row>
      <xdr:rowOff>95250</xdr:rowOff>
    </xdr:from>
    <xdr:to>
      <xdr:col>70</xdr:col>
      <xdr:colOff>61232</xdr:colOff>
      <xdr:row>427</xdr:row>
      <xdr:rowOff>95250</xdr:rowOff>
    </xdr:to>
    <xdr:cxnSp macro="">
      <xdr:nvCxnSpPr>
        <xdr:cNvPr id="65" name="직선 화살표 연결선 64"/>
        <xdr:cNvCxnSpPr/>
      </xdr:nvCxnSpPr>
      <xdr:spPr>
        <a:xfrm>
          <a:off x="15339332" y="8143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426</xdr:row>
      <xdr:rowOff>38100</xdr:rowOff>
    </xdr:from>
    <xdr:to>
      <xdr:col>70</xdr:col>
      <xdr:colOff>123734</xdr:colOff>
      <xdr:row>426</xdr:row>
      <xdr:rowOff>152400</xdr:rowOff>
    </xdr:to>
    <xdr:sp macro="" textlink="">
      <xdr:nvSpPr>
        <xdr:cNvPr id="66" name="423"/>
        <xdr:cNvSpPr/>
      </xdr:nvSpPr>
      <xdr:spPr>
        <a:xfrm>
          <a:off x="15133320" y="81183480"/>
          <a:ext cx="26851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426</xdr:row>
      <xdr:rowOff>95250</xdr:rowOff>
    </xdr:from>
    <xdr:to>
      <xdr:col>69</xdr:col>
      <xdr:colOff>0</xdr:colOff>
      <xdr:row>426</xdr:row>
      <xdr:rowOff>95250</xdr:rowOff>
    </xdr:to>
    <xdr:cxnSp macro="">
      <xdr:nvCxnSpPr>
        <xdr:cNvPr id="67" name="직선 화살표 연결선 66"/>
        <xdr:cNvCxnSpPr/>
      </xdr:nvCxnSpPr>
      <xdr:spPr>
        <a:xfrm>
          <a:off x="15133320" y="8124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425</xdr:row>
      <xdr:rowOff>38100</xdr:rowOff>
    </xdr:from>
    <xdr:to>
      <xdr:col>69</xdr:col>
      <xdr:colOff>123734</xdr:colOff>
      <xdr:row>425</xdr:row>
      <xdr:rowOff>152400</xdr:rowOff>
    </xdr:to>
    <xdr:sp macro="" textlink="">
      <xdr:nvSpPr>
        <xdr:cNvPr id="68" name="422"/>
        <xdr:cNvSpPr/>
      </xdr:nvSpPr>
      <xdr:spPr>
        <a:xfrm>
          <a:off x="14843760" y="80992980"/>
          <a:ext cx="41329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425</xdr:row>
      <xdr:rowOff>95250</xdr:rowOff>
    </xdr:from>
    <xdr:to>
      <xdr:col>67</xdr:col>
      <xdr:colOff>0</xdr:colOff>
      <xdr:row>425</xdr:row>
      <xdr:rowOff>95250</xdr:rowOff>
    </xdr:to>
    <xdr:cxnSp macro="">
      <xdr:nvCxnSpPr>
        <xdr:cNvPr id="69" name="직선 화살표 연결선 68"/>
        <xdr:cNvCxnSpPr/>
      </xdr:nvCxnSpPr>
      <xdr:spPr>
        <a:xfrm>
          <a:off x="14843760" y="8105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424</xdr:row>
      <xdr:rowOff>38100</xdr:rowOff>
    </xdr:from>
    <xdr:to>
      <xdr:col>70</xdr:col>
      <xdr:colOff>123734</xdr:colOff>
      <xdr:row>424</xdr:row>
      <xdr:rowOff>152400</xdr:rowOff>
    </xdr:to>
    <xdr:sp macro="" textlink="">
      <xdr:nvSpPr>
        <xdr:cNvPr id="70" name="421"/>
        <xdr:cNvSpPr/>
      </xdr:nvSpPr>
      <xdr:spPr>
        <a:xfrm>
          <a:off x="14843760" y="80802480"/>
          <a:ext cx="55807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424</xdr:row>
      <xdr:rowOff>95250</xdr:rowOff>
    </xdr:from>
    <xdr:to>
      <xdr:col>67</xdr:col>
      <xdr:colOff>0</xdr:colOff>
      <xdr:row>424</xdr:row>
      <xdr:rowOff>95250</xdr:rowOff>
    </xdr:to>
    <xdr:cxnSp macro="">
      <xdr:nvCxnSpPr>
        <xdr:cNvPr id="71" name="직선 화살표 연결선 70"/>
        <xdr:cNvCxnSpPr/>
      </xdr:nvCxnSpPr>
      <xdr:spPr>
        <a:xfrm>
          <a:off x="14843760" y="8085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20411</xdr:colOff>
      <xdr:row>423</xdr:row>
      <xdr:rowOff>38100</xdr:rowOff>
    </xdr:from>
    <xdr:to>
      <xdr:col>74</xdr:col>
      <xdr:colOff>42090</xdr:colOff>
      <xdr:row>423</xdr:row>
      <xdr:rowOff>152400</xdr:rowOff>
    </xdr:to>
    <xdr:sp macro="" textlink="">
      <xdr:nvSpPr>
        <xdr:cNvPr id="72" name="420"/>
        <xdr:cNvSpPr/>
      </xdr:nvSpPr>
      <xdr:spPr>
        <a:xfrm>
          <a:off x="15877631" y="80611980"/>
          <a:ext cx="21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20411</xdr:colOff>
      <xdr:row>423</xdr:row>
      <xdr:rowOff>95250</xdr:rowOff>
    </xdr:from>
    <xdr:to>
      <xdr:col>74</xdr:col>
      <xdr:colOff>20411</xdr:colOff>
      <xdr:row>423</xdr:row>
      <xdr:rowOff>95250</xdr:rowOff>
    </xdr:to>
    <xdr:cxnSp macro="">
      <xdr:nvCxnSpPr>
        <xdr:cNvPr id="73" name="직선 화살표 연결선 72"/>
        <xdr:cNvCxnSpPr/>
      </xdr:nvCxnSpPr>
      <xdr:spPr>
        <a:xfrm>
          <a:off x="15877631" y="8066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422</xdr:row>
      <xdr:rowOff>38100</xdr:rowOff>
    </xdr:from>
    <xdr:to>
      <xdr:col>74</xdr:col>
      <xdr:colOff>21681</xdr:colOff>
      <xdr:row>422</xdr:row>
      <xdr:rowOff>152400</xdr:rowOff>
    </xdr:to>
    <xdr:sp macro="" textlink="">
      <xdr:nvSpPr>
        <xdr:cNvPr id="74" name="419"/>
        <xdr:cNvSpPr/>
      </xdr:nvSpPr>
      <xdr:spPr>
        <a:xfrm>
          <a:off x="15567660" y="804214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0</xdr:colOff>
      <xdr:row>422</xdr:row>
      <xdr:rowOff>95250</xdr:rowOff>
    </xdr:from>
    <xdr:to>
      <xdr:col>72</xdr:col>
      <xdr:colOff>0</xdr:colOff>
      <xdr:row>422</xdr:row>
      <xdr:rowOff>95250</xdr:rowOff>
    </xdr:to>
    <xdr:cxnSp macro="">
      <xdr:nvCxnSpPr>
        <xdr:cNvPr id="75" name="직선 화살표 연결선 74"/>
        <xdr:cNvCxnSpPr/>
      </xdr:nvCxnSpPr>
      <xdr:spPr>
        <a:xfrm>
          <a:off x="15567660" y="8047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0</xdr:colOff>
      <xdr:row>421</xdr:row>
      <xdr:rowOff>38100</xdr:rowOff>
    </xdr:from>
    <xdr:to>
      <xdr:col>74</xdr:col>
      <xdr:colOff>42090</xdr:colOff>
      <xdr:row>421</xdr:row>
      <xdr:rowOff>152400</xdr:rowOff>
    </xdr:to>
    <xdr:sp macro="" textlink="">
      <xdr:nvSpPr>
        <xdr:cNvPr id="76" name="418"/>
        <xdr:cNvSpPr/>
      </xdr:nvSpPr>
      <xdr:spPr>
        <a:xfrm>
          <a:off x="15567660" y="80230980"/>
          <a:ext cx="33165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0</xdr:colOff>
      <xdr:row>421</xdr:row>
      <xdr:rowOff>95250</xdr:rowOff>
    </xdr:from>
    <xdr:to>
      <xdr:col>72</xdr:col>
      <xdr:colOff>0</xdr:colOff>
      <xdr:row>421</xdr:row>
      <xdr:rowOff>95250</xdr:rowOff>
    </xdr:to>
    <xdr:cxnSp macro="">
      <xdr:nvCxnSpPr>
        <xdr:cNvPr id="77" name="직선 화살표 연결선 76"/>
        <xdr:cNvCxnSpPr/>
      </xdr:nvCxnSpPr>
      <xdr:spPr>
        <a:xfrm>
          <a:off x="15567660" y="8028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420</xdr:row>
      <xdr:rowOff>38100</xdr:rowOff>
    </xdr:from>
    <xdr:to>
      <xdr:col>67</xdr:col>
      <xdr:colOff>21681</xdr:colOff>
      <xdr:row>420</xdr:row>
      <xdr:rowOff>152400</xdr:rowOff>
    </xdr:to>
    <xdr:sp macro="" textlink="">
      <xdr:nvSpPr>
        <xdr:cNvPr id="78" name="417"/>
        <xdr:cNvSpPr/>
      </xdr:nvSpPr>
      <xdr:spPr>
        <a:xfrm>
          <a:off x="14843760" y="80040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420</xdr:row>
      <xdr:rowOff>95250</xdr:rowOff>
    </xdr:from>
    <xdr:to>
      <xdr:col>67</xdr:col>
      <xdr:colOff>0</xdr:colOff>
      <xdr:row>420</xdr:row>
      <xdr:rowOff>95250</xdr:rowOff>
    </xdr:to>
    <xdr:cxnSp macro="">
      <xdr:nvCxnSpPr>
        <xdr:cNvPr id="79" name="직선 화살표 연결선 78"/>
        <xdr:cNvCxnSpPr/>
      </xdr:nvCxnSpPr>
      <xdr:spPr>
        <a:xfrm>
          <a:off x="14843760" y="8009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419</xdr:row>
      <xdr:rowOff>38100</xdr:rowOff>
    </xdr:from>
    <xdr:to>
      <xdr:col>67</xdr:col>
      <xdr:colOff>1270</xdr:colOff>
      <xdr:row>419</xdr:row>
      <xdr:rowOff>152400</xdr:rowOff>
    </xdr:to>
    <xdr:sp macro="" textlink="">
      <xdr:nvSpPr>
        <xdr:cNvPr id="80" name="416"/>
        <xdr:cNvSpPr/>
      </xdr:nvSpPr>
      <xdr:spPr>
        <a:xfrm>
          <a:off x="14511474" y="79849980"/>
          <a:ext cx="3335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419</xdr:row>
      <xdr:rowOff>95250</xdr:rowOff>
    </xdr:from>
    <xdr:to>
      <xdr:col>64</xdr:col>
      <xdr:colOff>102054</xdr:colOff>
      <xdr:row>419</xdr:row>
      <xdr:rowOff>95250</xdr:rowOff>
    </xdr:to>
    <xdr:cxnSp macro="">
      <xdr:nvCxnSpPr>
        <xdr:cNvPr id="81" name="직선 화살표 연결선 80"/>
        <xdr:cNvCxnSpPr/>
      </xdr:nvCxnSpPr>
      <xdr:spPr>
        <a:xfrm>
          <a:off x="14511474" y="7990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418</xdr:row>
      <xdr:rowOff>38100</xdr:rowOff>
    </xdr:from>
    <xdr:to>
      <xdr:col>67</xdr:col>
      <xdr:colOff>21681</xdr:colOff>
      <xdr:row>418</xdr:row>
      <xdr:rowOff>152400</xdr:rowOff>
    </xdr:to>
    <xdr:sp macro="" textlink="">
      <xdr:nvSpPr>
        <xdr:cNvPr id="82" name="415"/>
        <xdr:cNvSpPr/>
      </xdr:nvSpPr>
      <xdr:spPr>
        <a:xfrm>
          <a:off x="14511474" y="79659480"/>
          <a:ext cx="35396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418</xdr:row>
      <xdr:rowOff>95250</xdr:rowOff>
    </xdr:from>
    <xdr:to>
      <xdr:col>64</xdr:col>
      <xdr:colOff>102054</xdr:colOff>
      <xdr:row>418</xdr:row>
      <xdr:rowOff>95250</xdr:rowOff>
    </xdr:to>
    <xdr:cxnSp macro="">
      <xdr:nvCxnSpPr>
        <xdr:cNvPr id="83" name="직선 화살표 연결선 82"/>
        <xdr:cNvCxnSpPr/>
      </xdr:nvCxnSpPr>
      <xdr:spPr>
        <a:xfrm>
          <a:off x="14511474" y="7971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417</xdr:row>
      <xdr:rowOff>38100</xdr:rowOff>
    </xdr:from>
    <xdr:to>
      <xdr:col>67</xdr:col>
      <xdr:colOff>21681</xdr:colOff>
      <xdr:row>417</xdr:row>
      <xdr:rowOff>152400</xdr:rowOff>
    </xdr:to>
    <xdr:sp macro="" textlink="">
      <xdr:nvSpPr>
        <xdr:cNvPr id="84" name="414"/>
        <xdr:cNvSpPr/>
      </xdr:nvSpPr>
      <xdr:spPr>
        <a:xfrm>
          <a:off x="14843760" y="79468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417</xdr:row>
      <xdr:rowOff>95250</xdr:rowOff>
    </xdr:from>
    <xdr:to>
      <xdr:col>67</xdr:col>
      <xdr:colOff>0</xdr:colOff>
      <xdr:row>417</xdr:row>
      <xdr:rowOff>95250</xdr:rowOff>
    </xdr:to>
    <xdr:cxnSp macro="">
      <xdr:nvCxnSpPr>
        <xdr:cNvPr id="85" name="직선 화살표 연결선 84"/>
        <xdr:cNvCxnSpPr/>
      </xdr:nvCxnSpPr>
      <xdr:spPr>
        <a:xfrm>
          <a:off x="14843760" y="7952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416</xdr:row>
      <xdr:rowOff>38100</xdr:rowOff>
    </xdr:from>
    <xdr:to>
      <xdr:col>67</xdr:col>
      <xdr:colOff>1270</xdr:colOff>
      <xdr:row>416</xdr:row>
      <xdr:rowOff>152400</xdr:rowOff>
    </xdr:to>
    <xdr:sp macro="" textlink="">
      <xdr:nvSpPr>
        <xdr:cNvPr id="86" name="413"/>
        <xdr:cNvSpPr/>
      </xdr:nvSpPr>
      <xdr:spPr>
        <a:xfrm>
          <a:off x="14511474" y="79278480"/>
          <a:ext cx="3335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416</xdr:row>
      <xdr:rowOff>95250</xdr:rowOff>
    </xdr:from>
    <xdr:to>
      <xdr:col>64</xdr:col>
      <xdr:colOff>102054</xdr:colOff>
      <xdr:row>416</xdr:row>
      <xdr:rowOff>95250</xdr:rowOff>
    </xdr:to>
    <xdr:cxnSp macro="">
      <xdr:nvCxnSpPr>
        <xdr:cNvPr id="87" name="직선 화살표 연결선 86"/>
        <xdr:cNvCxnSpPr/>
      </xdr:nvCxnSpPr>
      <xdr:spPr>
        <a:xfrm>
          <a:off x="14511474" y="7933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415</xdr:row>
      <xdr:rowOff>38100</xdr:rowOff>
    </xdr:from>
    <xdr:to>
      <xdr:col>67</xdr:col>
      <xdr:colOff>21681</xdr:colOff>
      <xdr:row>415</xdr:row>
      <xdr:rowOff>152400</xdr:rowOff>
    </xdr:to>
    <xdr:sp macro="" textlink="">
      <xdr:nvSpPr>
        <xdr:cNvPr id="88" name="412"/>
        <xdr:cNvSpPr/>
      </xdr:nvSpPr>
      <xdr:spPr>
        <a:xfrm>
          <a:off x="14511474" y="79087980"/>
          <a:ext cx="35396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415</xdr:row>
      <xdr:rowOff>95250</xdr:rowOff>
    </xdr:from>
    <xdr:to>
      <xdr:col>64</xdr:col>
      <xdr:colOff>102054</xdr:colOff>
      <xdr:row>415</xdr:row>
      <xdr:rowOff>95250</xdr:rowOff>
    </xdr:to>
    <xdr:cxnSp macro="">
      <xdr:nvCxnSpPr>
        <xdr:cNvPr id="89" name="직선 화살표 연결선 88"/>
        <xdr:cNvCxnSpPr/>
      </xdr:nvCxnSpPr>
      <xdr:spPr>
        <a:xfrm>
          <a:off x="14511474" y="7914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414</xdr:row>
      <xdr:rowOff>38100</xdr:rowOff>
    </xdr:from>
    <xdr:to>
      <xdr:col>72</xdr:col>
      <xdr:colOff>123734</xdr:colOff>
      <xdr:row>414</xdr:row>
      <xdr:rowOff>152400</xdr:rowOff>
    </xdr:to>
    <xdr:sp macro="" textlink="">
      <xdr:nvSpPr>
        <xdr:cNvPr id="90" name="411"/>
        <xdr:cNvSpPr/>
      </xdr:nvSpPr>
      <xdr:spPr>
        <a:xfrm>
          <a:off x="15133320" y="78897480"/>
          <a:ext cx="55807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414</xdr:row>
      <xdr:rowOff>95250</xdr:rowOff>
    </xdr:from>
    <xdr:to>
      <xdr:col>69</xdr:col>
      <xdr:colOff>0</xdr:colOff>
      <xdr:row>414</xdr:row>
      <xdr:rowOff>95250</xdr:rowOff>
    </xdr:to>
    <xdr:cxnSp macro="">
      <xdr:nvCxnSpPr>
        <xdr:cNvPr id="91" name="직선 화살표 연결선 90"/>
        <xdr:cNvCxnSpPr/>
      </xdr:nvCxnSpPr>
      <xdr:spPr>
        <a:xfrm>
          <a:off x="15133320" y="7895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413</xdr:row>
      <xdr:rowOff>38100</xdr:rowOff>
    </xdr:from>
    <xdr:to>
      <xdr:col>71</xdr:col>
      <xdr:colOff>42090</xdr:colOff>
      <xdr:row>413</xdr:row>
      <xdr:rowOff>152400</xdr:rowOff>
    </xdr:to>
    <xdr:sp macro="" textlink="">
      <xdr:nvSpPr>
        <xdr:cNvPr id="92" name="410"/>
        <xdr:cNvSpPr/>
      </xdr:nvSpPr>
      <xdr:spPr>
        <a:xfrm>
          <a:off x="14843760" y="78706980"/>
          <a:ext cx="6212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413</xdr:row>
      <xdr:rowOff>95250</xdr:rowOff>
    </xdr:from>
    <xdr:to>
      <xdr:col>67</xdr:col>
      <xdr:colOff>0</xdr:colOff>
      <xdr:row>413</xdr:row>
      <xdr:rowOff>95250</xdr:rowOff>
    </xdr:to>
    <xdr:cxnSp macro="">
      <xdr:nvCxnSpPr>
        <xdr:cNvPr id="93" name="직선 화살표 연결선 92"/>
        <xdr:cNvCxnSpPr/>
      </xdr:nvCxnSpPr>
      <xdr:spPr>
        <a:xfrm>
          <a:off x="14843760" y="7876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412</xdr:row>
      <xdr:rowOff>38100</xdr:rowOff>
    </xdr:from>
    <xdr:to>
      <xdr:col>72</xdr:col>
      <xdr:colOff>123734</xdr:colOff>
      <xdr:row>412</xdr:row>
      <xdr:rowOff>152400</xdr:rowOff>
    </xdr:to>
    <xdr:sp macro="" textlink="">
      <xdr:nvSpPr>
        <xdr:cNvPr id="94" name="409"/>
        <xdr:cNvSpPr/>
      </xdr:nvSpPr>
      <xdr:spPr>
        <a:xfrm>
          <a:off x="14843760" y="78516480"/>
          <a:ext cx="84763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412</xdr:row>
      <xdr:rowOff>95250</xdr:rowOff>
    </xdr:from>
    <xdr:to>
      <xdr:col>67</xdr:col>
      <xdr:colOff>0</xdr:colOff>
      <xdr:row>412</xdr:row>
      <xdr:rowOff>95250</xdr:rowOff>
    </xdr:to>
    <xdr:cxnSp macro="">
      <xdr:nvCxnSpPr>
        <xdr:cNvPr id="95" name="직선 화살표 연결선 94"/>
        <xdr:cNvCxnSpPr/>
      </xdr:nvCxnSpPr>
      <xdr:spPr>
        <a:xfrm>
          <a:off x="14843760" y="7857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411</xdr:row>
      <xdr:rowOff>38100</xdr:rowOff>
    </xdr:from>
    <xdr:to>
      <xdr:col>74</xdr:col>
      <xdr:colOff>42090</xdr:colOff>
      <xdr:row>411</xdr:row>
      <xdr:rowOff>152400</xdr:rowOff>
    </xdr:to>
    <xdr:sp macro="" textlink="">
      <xdr:nvSpPr>
        <xdr:cNvPr id="96" name="408"/>
        <xdr:cNvSpPr/>
      </xdr:nvSpPr>
      <xdr:spPr>
        <a:xfrm>
          <a:off x="14511474" y="78325980"/>
          <a:ext cx="138783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411</xdr:row>
      <xdr:rowOff>95250</xdr:rowOff>
    </xdr:from>
    <xdr:to>
      <xdr:col>64</xdr:col>
      <xdr:colOff>102054</xdr:colOff>
      <xdr:row>411</xdr:row>
      <xdr:rowOff>95250</xdr:rowOff>
    </xdr:to>
    <xdr:cxnSp macro="">
      <xdr:nvCxnSpPr>
        <xdr:cNvPr id="97" name="직선 화살표 연결선 96"/>
        <xdr:cNvCxnSpPr/>
      </xdr:nvCxnSpPr>
      <xdr:spPr>
        <a:xfrm>
          <a:off x="14511474" y="7838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122464</xdr:colOff>
      <xdr:row>410</xdr:row>
      <xdr:rowOff>38100</xdr:rowOff>
    </xdr:from>
    <xdr:to>
      <xdr:col>85</xdr:col>
      <xdr:colOff>1270</xdr:colOff>
      <xdr:row>410</xdr:row>
      <xdr:rowOff>152400</xdr:rowOff>
    </xdr:to>
    <xdr:sp macro="" textlink="">
      <xdr:nvSpPr>
        <xdr:cNvPr id="98" name="407"/>
        <xdr:cNvSpPr/>
      </xdr:nvSpPr>
      <xdr:spPr>
        <a:xfrm>
          <a:off x="17427484" y="78135480"/>
          <a:ext cx="23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122464</xdr:colOff>
      <xdr:row>410</xdr:row>
      <xdr:rowOff>95250</xdr:rowOff>
    </xdr:from>
    <xdr:to>
      <xdr:col>84</xdr:col>
      <xdr:colOff>122464</xdr:colOff>
      <xdr:row>410</xdr:row>
      <xdr:rowOff>95250</xdr:rowOff>
    </xdr:to>
    <xdr:cxnSp macro="">
      <xdr:nvCxnSpPr>
        <xdr:cNvPr id="99" name="직선 화살표 연결선 98"/>
        <xdr:cNvCxnSpPr/>
      </xdr:nvCxnSpPr>
      <xdr:spPr>
        <a:xfrm>
          <a:off x="17427484" y="7819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122464</xdr:colOff>
      <xdr:row>409</xdr:row>
      <xdr:rowOff>38100</xdr:rowOff>
    </xdr:from>
    <xdr:to>
      <xdr:col>84</xdr:col>
      <xdr:colOff>123734</xdr:colOff>
      <xdr:row>409</xdr:row>
      <xdr:rowOff>152400</xdr:rowOff>
    </xdr:to>
    <xdr:sp macro="" textlink="">
      <xdr:nvSpPr>
        <xdr:cNvPr id="100" name="406"/>
        <xdr:cNvSpPr/>
      </xdr:nvSpPr>
      <xdr:spPr>
        <a:xfrm>
          <a:off x="17137924" y="779449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122464</xdr:colOff>
      <xdr:row>409</xdr:row>
      <xdr:rowOff>95250</xdr:rowOff>
    </xdr:from>
    <xdr:to>
      <xdr:col>82</xdr:col>
      <xdr:colOff>122464</xdr:colOff>
      <xdr:row>409</xdr:row>
      <xdr:rowOff>95250</xdr:rowOff>
    </xdr:to>
    <xdr:cxnSp macro="">
      <xdr:nvCxnSpPr>
        <xdr:cNvPr id="101" name="직선 화살표 연결선 100"/>
        <xdr:cNvCxnSpPr/>
      </xdr:nvCxnSpPr>
      <xdr:spPr>
        <a:xfrm>
          <a:off x="17137924" y="7800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122464</xdr:colOff>
      <xdr:row>408</xdr:row>
      <xdr:rowOff>38100</xdr:rowOff>
    </xdr:from>
    <xdr:to>
      <xdr:col>85</xdr:col>
      <xdr:colOff>1270</xdr:colOff>
      <xdr:row>408</xdr:row>
      <xdr:rowOff>152400</xdr:rowOff>
    </xdr:to>
    <xdr:sp macro="" textlink="">
      <xdr:nvSpPr>
        <xdr:cNvPr id="102" name="405"/>
        <xdr:cNvSpPr/>
      </xdr:nvSpPr>
      <xdr:spPr>
        <a:xfrm>
          <a:off x="17137924" y="77754480"/>
          <a:ext cx="31314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122464</xdr:colOff>
      <xdr:row>408</xdr:row>
      <xdr:rowOff>95250</xdr:rowOff>
    </xdr:from>
    <xdr:to>
      <xdr:col>82</xdr:col>
      <xdr:colOff>122464</xdr:colOff>
      <xdr:row>408</xdr:row>
      <xdr:rowOff>95250</xdr:rowOff>
    </xdr:to>
    <xdr:cxnSp macro="">
      <xdr:nvCxnSpPr>
        <xdr:cNvPr id="103" name="직선 화살표 연결선 102"/>
        <xdr:cNvCxnSpPr/>
      </xdr:nvCxnSpPr>
      <xdr:spPr>
        <a:xfrm>
          <a:off x="17137924" y="7781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61232</xdr:colOff>
      <xdr:row>407</xdr:row>
      <xdr:rowOff>38100</xdr:rowOff>
    </xdr:from>
    <xdr:to>
      <xdr:col>88</xdr:col>
      <xdr:colOff>82913</xdr:colOff>
      <xdr:row>407</xdr:row>
      <xdr:rowOff>152400</xdr:rowOff>
    </xdr:to>
    <xdr:sp macro="" textlink="">
      <xdr:nvSpPr>
        <xdr:cNvPr id="104" name="404"/>
        <xdr:cNvSpPr/>
      </xdr:nvSpPr>
      <xdr:spPr>
        <a:xfrm>
          <a:off x="17945372" y="77563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88</xdr:col>
      <xdr:colOff>61232</xdr:colOff>
      <xdr:row>407</xdr:row>
      <xdr:rowOff>95250</xdr:rowOff>
    </xdr:from>
    <xdr:to>
      <xdr:col>88</xdr:col>
      <xdr:colOff>61232</xdr:colOff>
      <xdr:row>407</xdr:row>
      <xdr:rowOff>95250</xdr:rowOff>
    </xdr:to>
    <xdr:cxnSp macro="">
      <xdr:nvCxnSpPr>
        <xdr:cNvPr id="105" name="직선 화살표 연결선 104"/>
        <xdr:cNvCxnSpPr/>
      </xdr:nvCxnSpPr>
      <xdr:spPr>
        <a:xfrm>
          <a:off x="17945372" y="7762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81643</xdr:colOff>
      <xdr:row>406</xdr:row>
      <xdr:rowOff>38100</xdr:rowOff>
    </xdr:from>
    <xdr:to>
      <xdr:col>88</xdr:col>
      <xdr:colOff>62502</xdr:colOff>
      <xdr:row>406</xdr:row>
      <xdr:rowOff>152400</xdr:rowOff>
    </xdr:to>
    <xdr:sp macro="" textlink="">
      <xdr:nvSpPr>
        <xdr:cNvPr id="106" name="403"/>
        <xdr:cNvSpPr/>
      </xdr:nvSpPr>
      <xdr:spPr>
        <a:xfrm>
          <a:off x="17531443" y="77373480"/>
          <a:ext cx="4151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81643</xdr:colOff>
      <xdr:row>406</xdr:row>
      <xdr:rowOff>95250</xdr:rowOff>
    </xdr:from>
    <xdr:to>
      <xdr:col>85</xdr:col>
      <xdr:colOff>81643</xdr:colOff>
      <xdr:row>406</xdr:row>
      <xdr:rowOff>95250</xdr:rowOff>
    </xdr:to>
    <xdr:cxnSp macro="">
      <xdr:nvCxnSpPr>
        <xdr:cNvPr id="107" name="직선 화살표 연결선 106"/>
        <xdr:cNvCxnSpPr/>
      </xdr:nvCxnSpPr>
      <xdr:spPr>
        <a:xfrm>
          <a:off x="17531443" y="7743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81643</xdr:colOff>
      <xdr:row>405</xdr:row>
      <xdr:rowOff>38100</xdr:rowOff>
    </xdr:from>
    <xdr:to>
      <xdr:col>88</xdr:col>
      <xdr:colOff>82913</xdr:colOff>
      <xdr:row>405</xdr:row>
      <xdr:rowOff>152400</xdr:rowOff>
    </xdr:to>
    <xdr:sp macro="" textlink="">
      <xdr:nvSpPr>
        <xdr:cNvPr id="108" name="402"/>
        <xdr:cNvSpPr/>
      </xdr:nvSpPr>
      <xdr:spPr>
        <a:xfrm>
          <a:off x="17531443" y="77182980"/>
          <a:ext cx="43561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85</xdr:col>
      <xdr:colOff>81643</xdr:colOff>
      <xdr:row>405</xdr:row>
      <xdr:rowOff>95250</xdr:rowOff>
    </xdr:from>
    <xdr:to>
      <xdr:col>85</xdr:col>
      <xdr:colOff>81643</xdr:colOff>
      <xdr:row>405</xdr:row>
      <xdr:rowOff>95250</xdr:rowOff>
    </xdr:to>
    <xdr:cxnSp macro="">
      <xdr:nvCxnSpPr>
        <xdr:cNvPr id="109" name="직선 화살표 연결선 108"/>
        <xdr:cNvCxnSpPr/>
      </xdr:nvCxnSpPr>
      <xdr:spPr>
        <a:xfrm>
          <a:off x="17531443" y="7724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122464</xdr:colOff>
      <xdr:row>404</xdr:row>
      <xdr:rowOff>38100</xdr:rowOff>
    </xdr:from>
    <xdr:to>
      <xdr:col>85</xdr:col>
      <xdr:colOff>1270</xdr:colOff>
      <xdr:row>404</xdr:row>
      <xdr:rowOff>152400</xdr:rowOff>
    </xdr:to>
    <xdr:sp macro="" textlink="">
      <xdr:nvSpPr>
        <xdr:cNvPr id="110" name="401"/>
        <xdr:cNvSpPr/>
      </xdr:nvSpPr>
      <xdr:spPr>
        <a:xfrm>
          <a:off x="17427484" y="76992480"/>
          <a:ext cx="23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122464</xdr:colOff>
      <xdr:row>404</xdr:row>
      <xdr:rowOff>95250</xdr:rowOff>
    </xdr:from>
    <xdr:to>
      <xdr:col>84</xdr:col>
      <xdr:colOff>122464</xdr:colOff>
      <xdr:row>404</xdr:row>
      <xdr:rowOff>95250</xdr:rowOff>
    </xdr:to>
    <xdr:cxnSp macro="">
      <xdr:nvCxnSpPr>
        <xdr:cNvPr id="111" name="직선 화살표 연결선 110"/>
        <xdr:cNvCxnSpPr/>
      </xdr:nvCxnSpPr>
      <xdr:spPr>
        <a:xfrm>
          <a:off x="17427484" y="7704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122464</xdr:colOff>
      <xdr:row>403</xdr:row>
      <xdr:rowOff>38100</xdr:rowOff>
    </xdr:from>
    <xdr:to>
      <xdr:col>84</xdr:col>
      <xdr:colOff>123734</xdr:colOff>
      <xdr:row>403</xdr:row>
      <xdr:rowOff>152400</xdr:rowOff>
    </xdr:to>
    <xdr:sp macro="" textlink="">
      <xdr:nvSpPr>
        <xdr:cNvPr id="112" name="400"/>
        <xdr:cNvSpPr/>
      </xdr:nvSpPr>
      <xdr:spPr>
        <a:xfrm>
          <a:off x="17137924" y="768019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122464</xdr:colOff>
      <xdr:row>403</xdr:row>
      <xdr:rowOff>95250</xdr:rowOff>
    </xdr:from>
    <xdr:to>
      <xdr:col>82</xdr:col>
      <xdr:colOff>122464</xdr:colOff>
      <xdr:row>403</xdr:row>
      <xdr:rowOff>95250</xdr:rowOff>
    </xdr:to>
    <xdr:cxnSp macro="">
      <xdr:nvCxnSpPr>
        <xdr:cNvPr id="113" name="직선 화살표 연결선 112"/>
        <xdr:cNvCxnSpPr/>
      </xdr:nvCxnSpPr>
      <xdr:spPr>
        <a:xfrm>
          <a:off x="17137924" y="7685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122464</xdr:colOff>
      <xdr:row>402</xdr:row>
      <xdr:rowOff>38100</xdr:rowOff>
    </xdr:from>
    <xdr:to>
      <xdr:col>85</xdr:col>
      <xdr:colOff>1270</xdr:colOff>
      <xdr:row>402</xdr:row>
      <xdr:rowOff>152400</xdr:rowOff>
    </xdr:to>
    <xdr:sp macro="" textlink="">
      <xdr:nvSpPr>
        <xdr:cNvPr id="114" name="399"/>
        <xdr:cNvSpPr/>
      </xdr:nvSpPr>
      <xdr:spPr>
        <a:xfrm>
          <a:off x="17137924" y="76611480"/>
          <a:ext cx="31314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122464</xdr:colOff>
      <xdr:row>402</xdr:row>
      <xdr:rowOff>95250</xdr:rowOff>
    </xdr:from>
    <xdr:to>
      <xdr:col>82</xdr:col>
      <xdr:colOff>122464</xdr:colOff>
      <xdr:row>402</xdr:row>
      <xdr:rowOff>95250</xdr:rowOff>
    </xdr:to>
    <xdr:cxnSp macro="">
      <xdr:nvCxnSpPr>
        <xdr:cNvPr id="115" name="직선 화살표 연결선 114"/>
        <xdr:cNvCxnSpPr/>
      </xdr:nvCxnSpPr>
      <xdr:spPr>
        <a:xfrm>
          <a:off x="17137924" y="7666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122464</xdr:colOff>
      <xdr:row>401</xdr:row>
      <xdr:rowOff>38100</xdr:rowOff>
    </xdr:from>
    <xdr:to>
      <xdr:col>83</xdr:col>
      <xdr:colOff>1270</xdr:colOff>
      <xdr:row>401</xdr:row>
      <xdr:rowOff>152400</xdr:rowOff>
    </xdr:to>
    <xdr:sp macro="" textlink="">
      <xdr:nvSpPr>
        <xdr:cNvPr id="116" name="398"/>
        <xdr:cNvSpPr/>
      </xdr:nvSpPr>
      <xdr:spPr>
        <a:xfrm>
          <a:off x="17137924" y="76420980"/>
          <a:ext cx="23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122464</xdr:colOff>
      <xdr:row>401</xdr:row>
      <xdr:rowOff>95250</xdr:rowOff>
    </xdr:from>
    <xdr:to>
      <xdr:col>82</xdr:col>
      <xdr:colOff>122464</xdr:colOff>
      <xdr:row>401</xdr:row>
      <xdr:rowOff>95250</xdr:rowOff>
    </xdr:to>
    <xdr:cxnSp macro="">
      <xdr:nvCxnSpPr>
        <xdr:cNvPr id="117" name="직선 화살표 연결선 116"/>
        <xdr:cNvCxnSpPr/>
      </xdr:nvCxnSpPr>
      <xdr:spPr>
        <a:xfrm>
          <a:off x="17137924" y="7647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400</xdr:row>
      <xdr:rowOff>38100</xdr:rowOff>
    </xdr:from>
    <xdr:to>
      <xdr:col>82</xdr:col>
      <xdr:colOff>103324</xdr:colOff>
      <xdr:row>400</xdr:row>
      <xdr:rowOff>152400</xdr:rowOff>
    </xdr:to>
    <xdr:sp macro="" textlink="">
      <xdr:nvSpPr>
        <xdr:cNvPr id="118" name="397"/>
        <xdr:cNvSpPr/>
      </xdr:nvSpPr>
      <xdr:spPr>
        <a:xfrm>
          <a:off x="16787132" y="76230480"/>
          <a:ext cx="3316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400</xdr:row>
      <xdr:rowOff>95250</xdr:rowOff>
    </xdr:from>
    <xdr:to>
      <xdr:col>80</xdr:col>
      <xdr:colOff>61232</xdr:colOff>
      <xdr:row>400</xdr:row>
      <xdr:rowOff>95250</xdr:rowOff>
    </xdr:to>
    <xdr:cxnSp macro="">
      <xdr:nvCxnSpPr>
        <xdr:cNvPr id="119" name="직선 화살표 연결선 118"/>
        <xdr:cNvCxnSpPr/>
      </xdr:nvCxnSpPr>
      <xdr:spPr>
        <a:xfrm>
          <a:off x="16787132" y="7628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399</xdr:row>
      <xdr:rowOff>38100</xdr:rowOff>
    </xdr:from>
    <xdr:to>
      <xdr:col>83</xdr:col>
      <xdr:colOff>1270</xdr:colOff>
      <xdr:row>399</xdr:row>
      <xdr:rowOff>152400</xdr:rowOff>
    </xdr:to>
    <xdr:sp macro="" textlink="">
      <xdr:nvSpPr>
        <xdr:cNvPr id="120" name="396"/>
        <xdr:cNvSpPr/>
      </xdr:nvSpPr>
      <xdr:spPr>
        <a:xfrm>
          <a:off x="16787132" y="76039980"/>
          <a:ext cx="3743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399</xdr:row>
      <xdr:rowOff>95250</xdr:rowOff>
    </xdr:from>
    <xdr:to>
      <xdr:col>80</xdr:col>
      <xdr:colOff>61232</xdr:colOff>
      <xdr:row>399</xdr:row>
      <xdr:rowOff>95250</xdr:rowOff>
    </xdr:to>
    <xdr:cxnSp macro="">
      <xdr:nvCxnSpPr>
        <xdr:cNvPr id="121" name="직선 화살표 연결선 120"/>
        <xdr:cNvCxnSpPr/>
      </xdr:nvCxnSpPr>
      <xdr:spPr>
        <a:xfrm>
          <a:off x="16787132" y="7609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122464</xdr:colOff>
      <xdr:row>398</xdr:row>
      <xdr:rowOff>38100</xdr:rowOff>
    </xdr:from>
    <xdr:to>
      <xdr:col>83</xdr:col>
      <xdr:colOff>1270</xdr:colOff>
      <xdr:row>398</xdr:row>
      <xdr:rowOff>152400</xdr:rowOff>
    </xdr:to>
    <xdr:sp macro="" textlink="">
      <xdr:nvSpPr>
        <xdr:cNvPr id="122" name="395"/>
        <xdr:cNvSpPr/>
      </xdr:nvSpPr>
      <xdr:spPr>
        <a:xfrm>
          <a:off x="17137924" y="75849480"/>
          <a:ext cx="23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122464</xdr:colOff>
      <xdr:row>398</xdr:row>
      <xdr:rowOff>95250</xdr:rowOff>
    </xdr:from>
    <xdr:to>
      <xdr:col>82</xdr:col>
      <xdr:colOff>122464</xdr:colOff>
      <xdr:row>398</xdr:row>
      <xdr:rowOff>95250</xdr:rowOff>
    </xdr:to>
    <xdr:cxnSp macro="">
      <xdr:nvCxnSpPr>
        <xdr:cNvPr id="123" name="직선 화살표 연결선 122"/>
        <xdr:cNvCxnSpPr/>
      </xdr:nvCxnSpPr>
      <xdr:spPr>
        <a:xfrm>
          <a:off x="17137924" y="7590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397</xdr:row>
      <xdr:rowOff>38100</xdr:rowOff>
    </xdr:from>
    <xdr:to>
      <xdr:col>82</xdr:col>
      <xdr:colOff>103324</xdr:colOff>
      <xdr:row>397</xdr:row>
      <xdr:rowOff>152400</xdr:rowOff>
    </xdr:to>
    <xdr:sp macro="" textlink="">
      <xdr:nvSpPr>
        <xdr:cNvPr id="124" name="394"/>
        <xdr:cNvSpPr/>
      </xdr:nvSpPr>
      <xdr:spPr>
        <a:xfrm>
          <a:off x="16787132" y="75658980"/>
          <a:ext cx="3316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397</xdr:row>
      <xdr:rowOff>95250</xdr:rowOff>
    </xdr:from>
    <xdr:to>
      <xdr:col>80</xdr:col>
      <xdr:colOff>61232</xdr:colOff>
      <xdr:row>397</xdr:row>
      <xdr:rowOff>95250</xdr:rowOff>
    </xdr:to>
    <xdr:cxnSp macro="">
      <xdr:nvCxnSpPr>
        <xdr:cNvPr id="125" name="직선 화살표 연결선 124"/>
        <xdr:cNvCxnSpPr/>
      </xdr:nvCxnSpPr>
      <xdr:spPr>
        <a:xfrm>
          <a:off x="16787132" y="7571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396</xdr:row>
      <xdr:rowOff>38100</xdr:rowOff>
    </xdr:from>
    <xdr:to>
      <xdr:col>83</xdr:col>
      <xdr:colOff>1270</xdr:colOff>
      <xdr:row>396</xdr:row>
      <xdr:rowOff>152400</xdr:rowOff>
    </xdr:to>
    <xdr:sp macro="" textlink="">
      <xdr:nvSpPr>
        <xdr:cNvPr id="126" name="393"/>
        <xdr:cNvSpPr/>
      </xdr:nvSpPr>
      <xdr:spPr>
        <a:xfrm>
          <a:off x="16787132" y="75468480"/>
          <a:ext cx="3743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396</xdr:row>
      <xdr:rowOff>95250</xdr:rowOff>
    </xdr:from>
    <xdr:to>
      <xdr:col>80</xdr:col>
      <xdr:colOff>61232</xdr:colOff>
      <xdr:row>396</xdr:row>
      <xdr:rowOff>95250</xdr:rowOff>
    </xdr:to>
    <xdr:cxnSp macro="">
      <xdr:nvCxnSpPr>
        <xdr:cNvPr id="127" name="직선 화살표 연결선 126"/>
        <xdr:cNvCxnSpPr/>
      </xdr:nvCxnSpPr>
      <xdr:spPr>
        <a:xfrm>
          <a:off x="16787132" y="7552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81643</xdr:colOff>
      <xdr:row>395</xdr:row>
      <xdr:rowOff>38100</xdr:rowOff>
    </xdr:from>
    <xdr:to>
      <xdr:col>86</xdr:col>
      <xdr:colOff>103324</xdr:colOff>
      <xdr:row>395</xdr:row>
      <xdr:rowOff>152400</xdr:rowOff>
    </xdr:to>
    <xdr:sp macro="" textlink="">
      <xdr:nvSpPr>
        <xdr:cNvPr id="128" name="392"/>
        <xdr:cNvSpPr/>
      </xdr:nvSpPr>
      <xdr:spPr>
        <a:xfrm>
          <a:off x="17676223" y="75277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86</xdr:col>
      <xdr:colOff>81643</xdr:colOff>
      <xdr:row>395</xdr:row>
      <xdr:rowOff>95250</xdr:rowOff>
    </xdr:from>
    <xdr:to>
      <xdr:col>86</xdr:col>
      <xdr:colOff>81643</xdr:colOff>
      <xdr:row>395</xdr:row>
      <xdr:rowOff>95250</xdr:rowOff>
    </xdr:to>
    <xdr:cxnSp macro="">
      <xdr:nvCxnSpPr>
        <xdr:cNvPr id="129" name="직선 화살표 연결선 128"/>
        <xdr:cNvCxnSpPr/>
      </xdr:nvCxnSpPr>
      <xdr:spPr>
        <a:xfrm>
          <a:off x="17676223" y="7533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122464</xdr:colOff>
      <xdr:row>394</xdr:row>
      <xdr:rowOff>38100</xdr:rowOff>
    </xdr:from>
    <xdr:to>
      <xdr:col>86</xdr:col>
      <xdr:colOff>82913</xdr:colOff>
      <xdr:row>394</xdr:row>
      <xdr:rowOff>152400</xdr:rowOff>
    </xdr:to>
    <xdr:sp macro="" textlink="">
      <xdr:nvSpPr>
        <xdr:cNvPr id="130" name="391"/>
        <xdr:cNvSpPr/>
      </xdr:nvSpPr>
      <xdr:spPr>
        <a:xfrm>
          <a:off x="17427484" y="75087480"/>
          <a:ext cx="2500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122464</xdr:colOff>
      <xdr:row>394</xdr:row>
      <xdr:rowOff>95250</xdr:rowOff>
    </xdr:from>
    <xdr:to>
      <xdr:col>84</xdr:col>
      <xdr:colOff>122464</xdr:colOff>
      <xdr:row>394</xdr:row>
      <xdr:rowOff>95250</xdr:rowOff>
    </xdr:to>
    <xdr:cxnSp macro="">
      <xdr:nvCxnSpPr>
        <xdr:cNvPr id="131" name="직선 화살표 연결선 130"/>
        <xdr:cNvCxnSpPr/>
      </xdr:nvCxnSpPr>
      <xdr:spPr>
        <a:xfrm>
          <a:off x="17427484" y="7514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122464</xdr:colOff>
      <xdr:row>393</xdr:row>
      <xdr:rowOff>38100</xdr:rowOff>
    </xdr:from>
    <xdr:to>
      <xdr:col>86</xdr:col>
      <xdr:colOff>103324</xdr:colOff>
      <xdr:row>393</xdr:row>
      <xdr:rowOff>152400</xdr:rowOff>
    </xdr:to>
    <xdr:sp macro="" textlink="">
      <xdr:nvSpPr>
        <xdr:cNvPr id="132" name="390"/>
        <xdr:cNvSpPr/>
      </xdr:nvSpPr>
      <xdr:spPr>
        <a:xfrm>
          <a:off x="17427484" y="74896980"/>
          <a:ext cx="27042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122464</xdr:colOff>
      <xdr:row>393</xdr:row>
      <xdr:rowOff>95250</xdr:rowOff>
    </xdr:from>
    <xdr:to>
      <xdr:col>84</xdr:col>
      <xdr:colOff>122464</xdr:colOff>
      <xdr:row>393</xdr:row>
      <xdr:rowOff>95250</xdr:rowOff>
    </xdr:to>
    <xdr:cxnSp macro="">
      <xdr:nvCxnSpPr>
        <xdr:cNvPr id="133" name="직선 화살표 연결선 132"/>
        <xdr:cNvCxnSpPr/>
      </xdr:nvCxnSpPr>
      <xdr:spPr>
        <a:xfrm>
          <a:off x="17427484" y="7495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122464</xdr:colOff>
      <xdr:row>392</xdr:row>
      <xdr:rowOff>38100</xdr:rowOff>
    </xdr:from>
    <xdr:to>
      <xdr:col>83</xdr:col>
      <xdr:colOff>1270</xdr:colOff>
      <xdr:row>392</xdr:row>
      <xdr:rowOff>152400</xdr:rowOff>
    </xdr:to>
    <xdr:sp macro="" textlink="">
      <xdr:nvSpPr>
        <xdr:cNvPr id="134" name="389"/>
        <xdr:cNvSpPr/>
      </xdr:nvSpPr>
      <xdr:spPr>
        <a:xfrm>
          <a:off x="17137924" y="74706480"/>
          <a:ext cx="235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122464</xdr:colOff>
      <xdr:row>392</xdr:row>
      <xdr:rowOff>95250</xdr:rowOff>
    </xdr:from>
    <xdr:to>
      <xdr:col>82</xdr:col>
      <xdr:colOff>122464</xdr:colOff>
      <xdr:row>392</xdr:row>
      <xdr:rowOff>95250</xdr:rowOff>
    </xdr:to>
    <xdr:cxnSp macro="">
      <xdr:nvCxnSpPr>
        <xdr:cNvPr id="135" name="직선 화살표 연결선 134"/>
        <xdr:cNvCxnSpPr/>
      </xdr:nvCxnSpPr>
      <xdr:spPr>
        <a:xfrm>
          <a:off x="17137924" y="7476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391</xdr:row>
      <xdr:rowOff>38100</xdr:rowOff>
    </xdr:from>
    <xdr:to>
      <xdr:col>82</xdr:col>
      <xdr:colOff>103324</xdr:colOff>
      <xdr:row>391</xdr:row>
      <xdr:rowOff>152400</xdr:rowOff>
    </xdr:to>
    <xdr:sp macro="" textlink="">
      <xdr:nvSpPr>
        <xdr:cNvPr id="136" name="388"/>
        <xdr:cNvSpPr/>
      </xdr:nvSpPr>
      <xdr:spPr>
        <a:xfrm>
          <a:off x="16787132" y="74515980"/>
          <a:ext cx="3316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391</xdr:row>
      <xdr:rowOff>95250</xdr:rowOff>
    </xdr:from>
    <xdr:to>
      <xdr:col>80</xdr:col>
      <xdr:colOff>61232</xdr:colOff>
      <xdr:row>391</xdr:row>
      <xdr:rowOff>95250</xdr:rowOff>
    </xdr:to>
    <xdr:cxnSp macro="">
      <xdr:nvCxnSpPr>
        <xdr:cNvPr id="137" name="직선 화살표 연결선 136"/>
        <xdr:cNvCxnSpPr/>
      </xdr:nvCxnSpPr>
      <xdr:spPr>
        <a:xfrm>
          <a:off x="16787132" y="7457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390</xdr:row>
      <xdr:rowOff>38100</xdr:rowOff>
    </xdr:from>
    <xdr:to>
      <xdr:col>83</xdr:col>
      <xdr:colOff>1270</xdr:colOff>
      <xdr:row>390</xdr:row>
      <xdr:rowOff>152400</xdr:rowOff>
    </xdr:to>
    <xdr:sp macro="" textlink="">
      <xdr:nvSpPr>
        <xdr:cNvPr id="138" name="387"/>
        <xdr:cNvSpPr/>
      </xdr:nvSpPr>
      <xdr:spPr>
        <a:xfrm>
          <a:off x="16787132" y="74325480"/>
          <a:ext cx="3743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390</xdr:row>
      <xdr:rowOff>95250</xdr:rowOff>
    </xdr:from>
    <xdr:to>
      <xdr:col>80</xdr:col>
      <xdr:colOff>61232</xdr:colOff>
      <xdr:row>390</xdr:row>
      <xdr:rowOff>95250</xdr:rowOff>
    </xdr:to>
    <xdr:cxnSp macro="">
      <xdr:nvCxnSpPr>
        <xdr:cNvPr id="139" name="직선 화살표 연결선 138"/>
        <xdr:cNvCxnSpPr/>
      </xdr:nvCxnSpPr>
      <xdr:spPr>
        <a:xfrm>
          <a:off x="16787132" y="7438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389</xdr:row>
      <xdr:rowOff>38100</xdr:rowOff>
    </xdr:from>
    <xdr:to>
      <xdr:col>88</xdr:col>
      <xdr:colOff>82913</xdr:colOff>
      <xdr:row>389</xdr:row>
      <xdr:rowOff>152400</xdr:rowOff>
    </xdr:to>
    <xdr:sp macro="" textlink="">
      <xdr:nvSpPr>
        <xdr:cNvPr id="140" name="386"/>
        <xdr:cNvSpPr/>
      </xdr:nvSpPr>
      <xdr:spPr>
        <a:xfrm>
          <a:off x="16787132" y="74134980"/>
          <a:ext cx="117992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389</xdr:row>
      <xdr:rowOff>95250</xdr:rowOff>
    </xdr:from>
    <xdr:to>
      <xdr:col>80</xdr:col>
      <xdr:colOff>61232</xdr:colOff>
      <xdr:row>389</xdr:row>
      <xdr:rowOff>95250</xdr:rowOff>
    </xdr:to>
    <xdr:cxnSp macro="">
      <xdr:nvCxnSpPr>
        <xdr:cNvPr id="141" name="직선 화살표 연결선 140"/>
        <xdr:cNvCxnSpPr/>
      </xdr:nvCxnSpPr>
      <xdr:spPr>
        <a:xfrm>
          <a:off x="16787132" y="7419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61232</xdr:colOff>
      <xdr:row>388</xdr:row>
      <xdr:rowOff>38100</xdr:rowOff>
    </xdr:from>
    <xdr:to>
      <xdr:col>73</xdr:col>
      <xdr:colOff>82913</xdr:colOff>
      <xdr:row>388</xdr:row>
      <xdr:rowOff>152400</xdr:rowOff>
    </xdr:to>
    <xdr:sp macro="" textlink="">
      <xdr:nvSpPr>
        <xdr:cNvPr id="142" name="385"/>
        <xdr:cNvSpPr/>
      </xdr:nvSpPr>
      <xdr:spPr>
        <a:xfrm>
          <a:off x="15773672" y="73944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61232</xdr:colOff>
      <xdr:row>388</xdr:row>
      <xdr:rowOff>95250</xdr:rowOff>
    </xdr:from>
    <xdr:to>
      <xdr:col>73</xdr:col>
      <xdr:colOff>61232</xdr:colOff>
      <xdr:row>388</xdr:row>
      <xdr:rowOff>95250</xdr:rowOff>
    </xdr:to>
    <xdr:cxnSp macro="">
      <xdr:nvCxnSpPr>
        <xdr:cNvPr id="143" name="직선 화살표 연결선 142"/>
        <xdr:cNvCxnSpPr/>
      </xdr:nvCxnSpPr>
      <xdr:spPr>
        <a:xfrm>
          <a:off x="15773672" y="7400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387</xdr:row>
      <xdr:rowOff>38100</xdr:rowOff>
    </xdr:from>
    <xdr:to>
      <xdr:col>73</xdr:col>
      <xdr:colOff>62502</xdr:colOff>
      <xdr:row>387</xdr:row>
      <xdr:rowOff>152400</xdr:rowOff>
    </xdr:to>
    <xdr:sp macro="" textlink="">
      <xdr:nvSpPr>
        <xdr:cNvPr id="144" name="384"/>
        <xdr:cNvSpPr/>
      </xdr:nvSpPr>
      <xdr:spPr>
        <a:xfrm>
          <a:off x="15484112" y="737539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387</xdr:row>
      <xdr:rowOff>95250</xdr:rowOff>
    </xdr:from>
    <xdr:to>
      <xdr:col>71</xdr:col>
      <xdr:colOff>61232</xdr:colOff>
      <xdr:row>387</xdr:row>
      <xdr:rowOff>95250</xdr:rowOff>
    </xdr:to>
    <xdr:cxnSp macro="">
      <xdr:nvCxnSpPr>
        <xdr:cNvPr id="145" name="직선 화살표 연결선 144"/>
        <xdr:cNvCxnSpPr/>
      </xdr:nvCxnSpPr>
      <xdr:spPr>
        <a:xfrm>
          <a:off x="15484112" y="7381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386</xdr:row>
      <xdr:rowOff>38100</xdr:rowOff>
    </xdr:from>
    <xdr:to>
      <xdr:col>73</xdr:col>
      <xdr:colOff>82913</xdr:colOff>
      <xdr:row>386</xdr:row>
      <xdr:rowOff>152400</xdr:rowOff>
    </xdr:to>
    <xdr:sp macro="" textlink="">
      <xdr:nvSpPr>
        <xdr:cNvPr id="146" name="383"/>
        <xdr:cNvSpPr/>
      </xdr:nvSpPr>
      <xdr:spPr>
        <a:xfrm>
          <a:off x="15484112" y="735634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386</xdr:row>
      <xdr:rowOff>95250</xdr:rowOff>
    </xdr:from>
    <xdr:to>
      <xdr:col>71</xdr:col>
      <xdr:colOff>61232</xdr:colOff>
      <xdr:row>386</xdr:row>
      <xdr:rowOff>95250</xdr:rowOff>
    </xdr:to>
    <xdr:cxnSp macro="">
      <xdr:nvCxnSpPr>
        <xdr:cNvPr id="147" name="직선 화살표 연결선 146"/>
        <xdr:cNvCxnSpPr/>
      </xdr:nvCxnSpPr>
      <xdr:spPr>
        <a:xfrm>
          <a:off x="15484112" y="7362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0</xdr:colOff>
      <xdr:row>385</xdr:row>
      <xdr:rowOff>38100</xdr:rowOff>
    </xdr:from>
    <xdr:to>
      <xdr:col>77</xdr:col>
      <xdr:colOff>21681</xdr:colOff>
      <xdr:row>385</xdr:row>
      <xdr:rowOff>152400</xdr:rowOff>
    </xdr:to>
    <xdr:sp macro="" textlink="">
      <xdr:nvSpPr>
        <xdr:cNvPr id="148" name="382"/>
        <xdr:cNvSpPr/>
      </xdr:nvSpPr>
      <xdr:spPr>
        <a:xfrm>
          <a:off x="16291560" y="73372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0</xdr:colOff>
      <xdr:row>385</xdr:row>
      <xdr:rowOff>95250</xdr:rowOff>
    </xdr:from>
    <xdr:to>
      <xdr:col>77</xdr:col>
      <xdr:colOff>0</xdr:colOff>
      <xdr:row>385</xdr:row>
      <xdr:rowOff>95250</xdr:rowOff>
    </xdr:to>
    <xdr:cxnSp macro="">
      <xdr:nvCxnSpPr>
        <xdr:cNvPr id="149" name="직선 화살표 연결선 148"/>
        <xdr:cNvCxnSpPr/>
      </xdr:nvCxnSpPr>
      <xdr:spPr>
        <a:xfrm>
          <a:off x="16291560" y="7343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20411</xdr:colOff>
      <xdr:row>384</xdr:row>
      <xdr:rowOff>38100</xdr:rowOff>
    </xdr:from>
    <xdr:to>
      <xdr:col>77</xdr:col>
      <xdr:colOff>1270</xdr:colOff>
      <xdr:row>384</xdr:row>
      <xdr:rowOff>152400</xdr:rowOff>
    </xdr:to>
    <xdr:sp macro="" textlink="">
      <xdr:nvSpPr>
        <xdr:cNvPr id="150" name="381"/>
        <xdr:cNvSpPr/>
      </xdr:nvSpPr>
      <xdr:spPr>
        <a:xfrm>
          <a:off x="15877631" y="73182480"/>
          <a:ext cx="41519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20411</xdr:colOff>
      <xdr:row>384</xdr:row>
      <xdr:rowOff>95250</xdr:rowOff>
    </xdr:from>
    <xdr:to>
      <xdr:col>74</xdr:col>
      <xdr:colOff>20411</xdr:colOff>
      <xdr:row>384</xdr:row>
      <xdr:rowOff>95250</xdr:rowOff>
    </xdr:to>
    <xdr:cxnSp macro="">
      <xdr:nvCxnSpPr>
        <xdr:cNvPr id="151" name="직선 화살표 연결선 150"/>
        <xdr:cNvCxnSpPr/>
      </xdr:nvCxnSpPr>
      <xdr:spPr>
        <a:xfrm>
          <a:off x="15877631" y="7323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20411</xdr:colOff>
      <xdr:row>383</xdr:row>
      <xdr:rowOff>38100</xdr:rowOff>
    </xdr:from>
    <xdr:to>
      <xdr:col>77</xdr:col>
      <xdr:colOff>21681</xdr:colOff>
      <xdr:row>383</xdr:row>
      <xdr:rowOff>152400</xdr:rowOff>
    </xdr:to>
    <xdr:sp macro="" textlink="">
      <xdr:nvSpPr>
        <xdr:cNvPr id="152" name="380"/>
        <xdr:cNvSpPr/>
      </xdr:nvSpPr>
      <xdr:spPr>
        <a:xfrm>
          <a:off x="15877631" y="72991980"/>
          <a:ext cx="43561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20411</xdr:colOff>
      <xdr:row>383</xdr:row>
      <xdr:rowOff>95250</xdr:rowOff>
    </xdr:from>
    <xdr:to>
      <xdr:col>74</xdr:col>
      <xdr:colOff>20411</xdr:colOff>
      <xdr:row>383</xdr:row>
      <xdr:rowOff>95250</xdr:rowOff>
    </xdr:to>
    <xdr:cxnSp macro="">
      <xdr:nvCxnSpPr>
        <xdr:cNvPr id="153" name="직선 화살표 연결선 152"/>
        <xdr:cNvCxnSpPr/>
      </xdr:nvCxnSpPr>
      <xdr:spPr>
        <a:xfrm>
          <a:off x="15877631" y="7304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61232</xdr:colOff>
      <xdr:row>382</xdr:row>
      <xdr:rowOff>38100</xdr:rowOff>
    </xdr:from>
    <xdr:to>
      <xdr:col>73</xdr:col>
      <xdr:colOff>82913</xdr:colOff>
      <xdr:row>382</xdr:row>
      <xdr:rowOff>152400</xdr:rowOff>
    </xdr:to>
    <xdr:sp macro="" textlink="">
      <xdr:nvSpPr>
        <xdr:cNvPr id="154" name="379"/>
        <xdr:cNvSpPr/>
      </xdr:nvSpPr>
      <xdr:spPr>
        <a:xfrm>
          <a:off x="15773672" y="72801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61232</xdr:colOff>
      <xdr:row>382</xdr:row>
      <xdr:rowOff>95250</xdr:rowOff>
    </xdr:from>
    <xdr:to>
      <xdr:col>73</xdr:col>
      <xdr:colOff>61232</xdr:colOff>
      <xdr:row>382</xdr:row>
      <xdr:rowOff>95250</xdr:rowOff>
    </xdr:to>
    <xdr:cxnSp macro="">
      <xdr:nvCxnSpPr>
        <xdr:cNvPr id="155" name="직선 화살표 연결선 154"/>
        <xdr:cNvCxnSpPr/>
      </xdr:nvCxnSpPr>
      <xdr:spPr>
        <a:xfrm>
          <a:off x="15773672" y="7285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381</xdr:row>
      <xdr:rowOff>38100</xdr:rowOff>
    </xdr:from>
    <xdr:to>
      <xdr:col>73</xdr:col>
      <xdr:colOff>62502</xdr:colOff>
      <xdr:row>381</xdr:row>
      <xdr:rowOff>152400</xdr:rowOff>
    </xdr:to>
    <xdr:sp macro="" textlink="">
      <xdr:nvSpPr>
        <xdr:cNvPr id="156" name="378"/>
        <xdr:cNvSpPr/>
      </xdr:nvSpPr>
      <xdr:spPr>
        <a:xfrm>
          <a:off x="15484112" y="726109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381</xdr:row>
      <xdr:rowOff>95250</xdr:rowOff>
    </xdr:from>
    <xdr:to>
      <xdr:col>71</xdr:col>
      <xdr:colOff>61232</xdr:colOff>
      <xdr:row>381</xdr:row>
      <xdr:rowOff>95250</xdr:rowOff>
    </xdr:to>
    <xdr:cxnSp macro="">
      <xdr:nvCxnSpPr>
        <xdr:cNvPr id="157" name="직선 화살표 연결선 156"/>
        <xdr:cNvCxnSpPr/>
      </xdr:nvCxnSpPr>
      <xdr:spPr>
        <a:xfrm>
          <a:off x="15484112" y="7266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380</xdr:row>
      <xdr:rowOff>38100</xdr:rowOff>
    </xdr:from>
    <xdr:to>
      <xdr:col>73</xdr:col>
      <xdr:colOff>82913</xdr:colOff>
      <xdr:row>380</xdr:row>
      <xdr:rowOff>152400</xdr:rowOff>
    </xdr:to>
    <xdr:sp macro="" textlink="">
      <xdr:nvSpPr>
        <xdr:cNvPr id="158" name="377"/>
        <xdr:cNvSpPr/>
      </xdr:nvSpPr>
      <xdr:spPr>
        <a:xfrm>
          <a:off x="15484112" y="724204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380</xdr:row>
      <xdr:rowOff>95250</xdr:rowOff>
    </xdr:from>
    <xdr:to>
      <xdr:col>71</xdr:col>
      <xdr:colOff>61232</xdr:colOff>
      <xdr:row>380</xdr:row>
      <xdr:rowOff>95250</xdr:rowOff>
    </xdr:to>
    <xdr:cxnSp macro="">
      <xdr:nvCxnSpPr>
        <xdr:cNvPr id="159" name="직선 화살표 연결선 158"/>
        <xdr:cNvCxnSpPr/>
      </xdr:nvCxnSpPr>
      <xdr:spPr>
        <a:xfrm>
          <a:off x="15484112" y="7247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379</xdr:row>
      <xdr:rowOff>38100</xdr:rowOff>
    </xdr:from>
    <xdr:to>
      <xdr:col>71</xdr:col>
      <xdr:colOff>82913</xdr:colOff>
      <xdr:row>379</xdr:row>
      <xdr:rowOff>152400</xdr:rowOff>
    </xdr:to>
    <xdr:sp macro="" textlink="">
      <xdr:nvSpPr>
        <xdr:cNvPr id="160" name="376"/>
        <xdr:cNvSpPr/>
      </xdr:nvSpPr>
      <xdr:spPr>
        <a:xfrm>
          <a:off x="15484112" y="72229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379</xdr:row>
      <xdr:rowOff>95250</xdr:rowOff>
    </xdr:from>
    <xdr:to>
      <xdr:col>71</xdr:col>
      <xdr:colOff>61232</xdr:colOff>
      <xdr:row>379</xdr:row>
      <xdr:rowOff>95250</xdr:rowOff>
    </xdr:to>
    <xdr:cxnSp macro="">
      <xdr:nvCxnSpPr>
        <xdr:cNvPr id="161" name="직선 화살표 연결선 160"/>
        <xdr:cNvCxnSpPr/>
      </xdr:nvCxnSpPr>
      <xdr:spPr>
        <a:xfrm>
          <a:off x="15484112" y="7228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378</xdr:row>
      <xdr:rowOff>38100</xdr:rowOff>
    </xdr:from>
    <xdr:to>
      <xdr:col>71</xdr:col>
      <xdr:colOff>42090</xdr:colOff>
      <xdr:row>378</xdr:row>
      <xdr:rowOff>152400</xdr:rowOff>
    </xdr:to>
    <xdr:sp macro="" textlink="">
      <xdr:nvSpPr>
        <xdr:cNvPr id="162" name="375"/>
        <xdr:cNvSpPr/>
      </xdr:nvSpPr>
      <xdr:spPr>
        <a:xfrm>
          <a:off x="15133320" y="72039480"/>
          <a:ext cx="3316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378</xdr:row>
      <xdr:rowOff>95250</xdr:rowOff>
    </xdr:from>
    <xdr:to>
      <xdr:col>69</xdr:col>
      <xdr:colOff>0</xdr:colOff>
      <xdr:row>378</xdr:row>
      <xdr:rowOff>95250</xdr:rowOff>
    </xdr:to>
    <xdr:cxnSp macro="">
      <xdr:nvCxnSpPr>
        <xdr:cNvPr id="163" name="직선 화살표 연결선 162"/>
        <xdr:cNvCxnSpPr/>
      </xdr:nvCxnSpPr>
      <xdr:spPr>
        <a:xfrm>
          <a:off x="15133320" y="7209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377</xdr:row>
      <xdr:rowOff>38100</xdr:rowOff>
    </xdr:from>
    <xdr:to>
      <xdr:col>71</xdr:col>
      <xdr:colOff>82913</xdr:colOff>
      <xdr:row>377</xdr:row>
      <xdr:rowOff>152400</xdr:rowOff>
    </xdr:to>
    <xdr:sp macro="" textlink="">
      <xdr:nvSpPr>
        <xdr:cNvPr id="164" name="374"/>
        <xdr:cNvSpPr/>
      </xdr:nvSpPr>
      <xdr:spPr>
        <a:xfrm>
          <a:off x="15133320" y="71848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377</xdr:row>
      <xdr:rowOff>95250</xdr:rowOff>
    </xdr:from>
    <xdr:to>
      <xdr:col>69</xdr:col>
      <xdr:colOff>0</xdr:colOff>
      <xdr:row>377</xdr:row>
      <xdr:rowOff>95250</xdr:rowOff>
    </xdr:to>
    <xdr:cxnSp macro="">
      <xdr:nvCxnSpPr>
        <xdr:cNvPr id="165" name="직선 화살표 연결선 164"/>
        <xdr:cNvCxnSpPr/>
      </xdr:nvCxnSpPr>
      <xdr:spPr>
        <a:xfrm>
          <a:off x="15133320" y="7190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376</xdr:row>
      <xdr:rowOff>38100</xdr:rowOff>
    </xdr:from>
    <xdr:to>
      <xdr:col>71</xdr:col>
      <xdr:colOff>82913</xdr:colOff>
      <xdr:row>376</xdr:row>
      <xdr:rowOff>152400</xdr:rowOff>
    </xdr:to>
    <xdr:sp macro="" textlink="">
      <xdr:nvSpPr>
        <xdr:cNvPr id="166" name="373"/>
        <xdr:cNvSpPr/>
      </xdr:nvSpPr>
      <xdr:spPr>
        <a:xfrm>
          <a:off x="15484112" y="71658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376</xdr:row>
      <xdr:rowOff>95250</xdr:rowOff>
    </xdr:from>
    <xdr:to>
      <xdr:col>71</xdr:col>
      <xdr:colOff>61232</xdr:colOff>
      <xdr:row>376</xdr:row>
      <xdr:rowOff>95250</xdr:rowOff>
    </xdr:to>
    <xdr:cxnSp macro="">
      <xdr:nvCxnSpPr>
        <xdr:cNvPr id="167" name="직선 화살표 연결선 166"/>
        <xdr:cNvCxnSpPr/>
      </xdr:nvCxnSpPr>
      <xdr:spPr>
        <a:xfrm>
          <a:off x="15484112" y="7171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375</xdr:row>
      <xdr:rowOff>38100</xdr:rowOff>
    </xdr:from>
    <xdr:to>
      <xdr:col>71</xdr:col>
      <xdr:colOff>42090</xdr:colOff>
      <xdr:row>375</xdr:row>
      <xdr:rowOff>152400</xdr:rowOff>
    </xdr:to>
    <xdr:sp macro="" textlink="">
      <xdr:nvSpPr>
        <xdr:cNvPr id="168" name="372"/>
        <xdr:cNvSpPr/>
      </xdr:nvSpPr>
      <xdr:spPr>
        <a:xfrm>
          <a:off x="15133320" y="71467980"/>
          <a:ext cx="3316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375</xdr:row>
      <xdr:rowOff>95250</xdr:rowOff>
    </xdr:from>
    <xdr:to>
      <xdr:col>69</xdr:col>
      <xdr:colOff>0</xdr:colOff>
      <xdr:row>375</xdr:row>
      <xdr:rowOff>95250</xdr:rowOff>
    </xdr:to>
    <xdr:cxnSp macro="">
      <xdr:nvCxnSpPr>
        <xdr:cNvPr id="169" name="직선 화살표 연결선 168"/>
        <xdr:cNvCxnSpPr/>
      </xdr:nvCxnSpPr>
      <xdr:spPr>
        <a:xfrm>
          <a:off x="15133320" y="7152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374</xdr:row>
      <xdr:rowOff>38100</xdr:rowOff>
    </xdr:from>
    <xdr:to>
      <xdr:col>71</xdr:col>
      <xdr:colOff>82913</xdr:colOff>
      <xdr:row>374</xdr:row>
      <xdr:rowOff>152400</xdr:rowOff>
    </xdr:to>
    <xdr:sp macro="" textlink="">
      <xdr:nvSpPr>
        <xdr:cNvPr id="170" name="371"/>
        <xdr:cNvSpPr/>
      </xdr:nvSpPr>
      <xdr:spPr>
        <a:xfrm>
          <a:off x="15133320" y="71277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374</xdr:row>
      <xdr:rowOff>95250</xdr:rowOff>
    </xdr:from>
    <xdr:to>
      <xdr:col>69</xdr:col>
      <xdr:colOff>0</xdr:colOff>
      <xdr:row>374</xdr:row>
      <xdr:rowOff>95250</xdr:rowOff>
    </xdr:to>
    <xdr:cxnSp macro="">
      <xdr:nvCxnSpPr>
        <xdr:cNvPr id="171" name="직선 화살표 연결선 170"/>
        <xdr:cNvCxnSpPr/>
      </xdr:nvCxnSpPr>
      <xdr:spPr>
        <a:xfrm>
          <a:off x="15133320" y="7133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20411</xdr:colOff>
      <xdr:row>373</xdr:row>
      <xdr:rowOff>38100</xdr:rowOff>
    </xdr:from>
    <xdr:to>
      <xdr:col>75</xdr:col>
      <xdr:colOff>42090</xdr:colOff>
      <xdr:row>373</xdr:row>
      <xdr:rowOff>152400</xdr:rowOff>
    </xdr:to>
    <xdr:sp macro="" textlink="">
      <xdr:nvSpPr>
        <xdr:cNvPr id="172" name="370"/>
        <xdr:cNvSpPr/>
      </xdr:nvSpPr>
      <xdr:spPr>
        <a:xfrm>
          <a:off x="16022411" y="71086980"/>
          <a:ext cx="21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20411</xdr:colOff>
      <xdr:row>373</xdr:row>
      <xdr:rowOff>95250</xdr:rowOff>
    </xdr:from>
    <xdr:to>
      <xdr:col>75</xdr:col>
      <xdr:colOff>20411</xdr:colOff>
      <xdr:row>373</xdr:row>
      <xdr:rowOff>95250</xdr:rowOff>
    </xdr:to>
    <xdr:cxnSp macro="">
      <xdr:nvCxnSpPr>
        <xdr:cNvPr id="173" name="직선 화살표 연결선 172"/>
        <xdr:cNvCxnSpPr/>
      </xdr:nvCxnSpPr>
      <xdr:spPr>
        <a:xfrm>
          <a:off x="16022411" y="7114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61232</xdr:colOff>
      <xdr:row>372</xdr:row>
      <xdr:rowOff>38100</xdr:rowOff>
    </xdr:from>
    <xdr:to>
      <xdr:col>75</xdr:col>
      <xdr:colOff>21681</xdr:colOff>
      <xdr:row>372</xdr:row>
      <xdr:rowOff>152400</xdr:rowOff>
    </xdr:to>
    <xdr:sp macro="" textlink="">
      <xdr:nvSpPr>
        <xdr:cNvPr id="174" name="369"/>
        <xdr:cNvSpPr/>
      </xdr:nvSpPr>
      <xdr:spPr>
        <a:xfrm>
          <a:off x="15773672" y="70896480"/>
          <a:ext cx="2500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61232</xdr:colOff>
      <xdr:row>372</xdr:row>
      <xdr:rowOff>95250</xdr:rowOff>
    </xdr:from>
    <xdr:to>
      <xdr:col>73</xdr:col>
      <xdr:colOff>61232</xdr:colOff>
      <xdr:row>372</xdr:row>
      <xdr:rowOff>95250</xdr:rowOff>
    </xdr:to>
    <xdr:cxnSp macro="">
      <xdr:nvCxnSpPr>
        <xdr:cNvPr id="175" name="직선 화살표 연결선 174"/>
        <xdr:cNvCxnSpPr/>
      </xdr:nvCxnSpPr>
      <xdr:spPr>
        <a:xfrm>
          <a:off x="15773672" y="7095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61232</xdr:colOff>
      <xdr:row>371</xdr:row>
      <xdr:rowOff>38100</xdr:rowOff>
    </xdr:from>
    <xdr:to>
      <xdr:col>75</xdr:col>
      <xdr:colOff>42090</xdr:colOff>
      <xdr:row>371</xdr:row>
      <xdr:rowOff>152400</xdr:rowOff>
    </xdr:to>
    <xdr:sp macro="" textlink="">
      <xdr:nvSpPr>
        <xdr:cNvPr id="176" name="368"/>
        <xdr:cNvSpPr/>
      </xdr:nvSpPr>
      <xdr:spPr>
        <a:xfrm>
          <a:off x="15773672" y="70705980"/>
          <a:ext cx="27041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61232</xdr:colOff>
      <xdr:row>371</xdr:row>
      <xdr:rowOff>95250</xdr:rowOff>
    </xdr:from>
    <xdr:to>
      <xdr:col>73</xdr:col>
      <xdr:colOff>61232</xdr:colOff>
      <xdr:row>371</xdr:row>
      <xdr:rowOff>95250</xdr:rowOff>
    </xdr:to>
    <xdr:cxnSp macro="">
      <xdr:nvCxnSpPr>
        <xdr:cNvPr id="177" name="직선 화살표 연결선 176"/>
        <xdr:cNvCxnSpPr/>
      </xdr:nvCxnSpPr>
      <xdr:spPr>
        <a:xfrm>
          <a:off x="15773672" y="7076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370</xdr:row>
      <xdr:rowOff>38100</xdr:rowOff>
    </xdr:from>
    <xdr:to>
      <xdr:col>71</xdr:col>
      <xdr:colOff>82913</xdr:colOff>
      <xdr:row>370</xdr:row>
      <xdr:rowOff>152400</xdr:rowOff>
    </xdr:to>
    <xdr:sp macro="" textlink="">
      <xdr:nvSpPr>
        <xdr:cNvPr id="178" name="367"/>
        <xdr:cNvSpPr/>
      </xdr:nvSpPr>
      <xdr:spPr>
        <a:xfrm>
          <a:off x="15484112" y="70515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370</xdr:row>
      <xdr:rowOff>95250</xdr:rowOff>
    </xdr:from>
    <xdr:to>
      <xdr:col>71</xdr:col>
      <xdr:colOff>61232</xdr:colOff>
      <xdr:row>370</xdr:row>
      <xdr:rowOff>95250</xdr:rowOff>
    </xdr:to>
    <xdr:cxnSp macro="">
      <xdr:nvCxnSpPr>
        <xdr:cNvPr id="179" name="직선 화살표 연결선 178"/>
        <xdr:cNvCxnSpPr/>
      </xdr:nvCxnSpPr>
      <xdr:spPr>
        <a:xfrm>
          <a:off x="15484112" y="7057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369</xdr:row>
      <xdr:rowOff>38100</xdr:rowOff>
    </xdr:from>
    <xdr:to>
      <xdr:col>71</xdr:col>
      <xdr:colOff>42090</xdr:colOff>
      <xdr:row>369</xdr:row>
      <xdr:rowOff>152400</xdr:rowOff>
    </xdr:to>
    <xdr:sp macro="" textlink="">
      <xdr:nvSpPr>
        <xdr:cNvPr id="180" name="366"/>
        <xdr:cNvSpPr/>
      </xdr:nvSpPr>
      <xdr:spPr>
        <a:xfrm>
          <a:off x="15133320" y="70324980"/>
          <a:ext cx="3316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369</xdr:row>
      <xdr:rowOff>95250</xdr:rowOff>
    </xdr:from>
    <xdr:to>
      <xdr:col>69</xdr:col>
      <xdr:colOff>0</xdr:colOff>
      <xdr:row>369</xdr:row>
      <xdr:rowOff>95250</xdr:rowOff>
    </xdr:to>
    <xdr:cxnSp macro="">
      <xdr:nvCxnSpPr>
        <xdr:cNvPr id="181" name="직선 화살표 연결선 180"/>
        <xdr:cNvCxnSpPr/>
      </xdr:nvCxnSpPr>
      <xdr:spPr>
        <a:xfrm>
          <a:off x="15133320" y="7038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368</xdr:row>
      <xdr:rowOff>38100</xdr:rowOff>
    </xdr:from>
    <xdr:to>
      <xdr:col>71</xdr:col>
      <xdr:colOff>82913</xdr:colOff>
      <xdr:row>368</xdr:row>
      <xdr:rowOff>152400</xdr:rowOff>
    </xdr:to>
    <xdr:sp macro="" textlink="">
      <xdr:nvSpPr>
        <xdr:cNvPr id="182" name="365"/>
        <xdr:cNvSpPr/>
      </xdr:nvSpPr>
      <xdr:spPr>
        <a:xfrm>
          <a:off x="15133320" y="701344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368</xdr:row>
      <xdr:rowOff>95250</xdr:rowOff>
    </xdr:from>
    <xdr:to>
      <xdr:col>69</xdr:col>
      <xdr:colOff>0</xdr:colOff>
      <xdr:row>368</xdr:row>
      <xdr:rowOff>95250</xdr:rowOff>
    </xdr:to>
    <xdr:cxnSp macro="">
      <xdr:nvCxnSpPr>
        <xdr:cNvPr id="183" name="직선 화살표 연결선 182"/>
        <xdr:cNvCxnSpPr/>
      </xdr:nvCxnSpPr>
      <xdr:spPr>
        <a:xfrm>
          <a:off x="15133320" y="7019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367</xdr:row>
      <xdr:rowOff>38100</xdr:rowOff>
    </xdr:from>
    <xdr:to>
      <xdr:col>77</xdr:col>
      <xdr:colOff>21681</xdr:colOff>
      <xdr:row>367</xdr:row>
      <xdr:rowOff>152400</xdr:rowOff>
    </xdr:to>
    <xdr:sp macro="" textlink="">
      <xdr:nvSpPr>
        <xdr:cNvPr id="184" name="364"/>
        <xdr:cNvSpPr/>
      </xdr:nvSpPr>
      <xdr:spPr>
        <a:xfrm>
          <a:off x="15133320" y="69943980"/>
          <a:ext cx="117992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367</xdr:row>
      <xdr:rowOff>95250</xdr:rowOff>
    </xdr:from>
    <xdr:to>
      <xdr:col>69</xdr:col>
      <xdr:colOff>0</xdr:colOff>
      <xdr:row>367</xdr:row>
      <xdr:rowOff>95250</xdr:rowOff>
    </xdr:to>
    <xdr:cxnSp macro="">
      <xdr:nvCxnSpPr>
        <xdr:cNvPr id="185" name="직선 화살표 연결선 184"/>
        <xdr:cNvCxnSpPr/>
      </xdr:nvCxnSpPr>
      <xdr:spPr>
        <a:xfrm>
          <a:off x="15133320" y="7000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366</xdr:row>
      <xdr:rowOff>38100</xdr:rowOff>
    </xdr:from>
    <xdr:to>
      <xdr:col>84</xdr:col>
      <xdr:colOff>42090</xdr:colOff>
      <xdr:row>366</xdr:row>
      <xdr:rowOff>152400</xdr:rowOff>
    </xdr:to>
    <xdr:sp macro="" textlink="">
      <xdr:nvSpPr>
        <xdr:cNvPr id="186" name="363"/>
        <xdr:cNvSpPr/>
      </xdr:nvSpPr>
      <xdr:spPr>
        <a:xfrm>
          <a:off x="16787132" y="69753480"/>
          <a:ext cx="5599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366</xdr:row>
      <xdr:rowOff>95250</xdr:rowOff>
    </xdr:from>
    <xdr:to>
      <xdr:col>80</xdr:col>
      <xdr:colOff>61232</xdr:colOff>
      <xdr:row>366</xdr:row>
      <xdr:rowOff>95250</xdr:rowOff>
    </xdr:to>
    <xdr:cxnSp macro="">
      <xdr:nvCxnSpPr>
        <xdr:cNvPr id="187" name="직선 화살표 연결선 186"/>
        <xdr:cNvCxnSpPr/>
      </xdr:nvCxnSpPr>
      <xdr:spPr>
        <a:xfrm>
          <a:off x="16787132" y="6981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365</xdr:row>
      <xdr:rowOff>38100</xdr:rowOff>
    </xdr:from>
    <xdr:to>
      <xdr:col>80</xdr:col>
      <xdr:colOff>62502</xdr:colOff>
      <xdr:row>365</xdr:row>
      <xdr:rowOff>152400</xdr:rowOff>
    </xdr:to>
    <xdr:sp macro="" textlink="">
      <xdr:nvSpPr>
        <xdr:cNvPr id="188" name="362"/>
        <xdr:cNvSpPr/>
      </xdr:nvSpPr>
      <xdr:spPr>
        <a:xfrm>
          <a:off x="16497572" y="695629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365</xdr:row>
      <xdr:rowOff>95250</xdr:rowOff>
    </xdr:from>
    <xdr:to>
      <xdr:col>78</xdr:col>
      <xdr:colOff>61232</xdr:colOff>
      <xdr:row>365</xdr:row>
      <xdr:rowOff>95250</xdr:rowOff>
    </xdr:to>
    <xdr:cxnSp macro="">
      <xdr:nvCxnSpPr>
        <xdr:cNvPr id="189" name="직선 화살표 연결선 188"/>
        <xdr:cNvCxnSpPr/>
      </xdr:nvCxnSpPr>
      <xdr:spPr>
        <a:xfrm>
          <a:off x="16497572" y="6962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364</xdr:row>
      <xdr:rowOff>38100</xdr:rowOff>
    </xdr:from>
    <xdr:to>
      <xdr:col>84</xdr:col>
      <xdr:colOff>42090</xdr:colOff>
      <xdr:row>364</xdr:row>
      <xdr:rowOff>152400</xdr:rowOff>
    </xdr:to>
    <xdr:sp macro="" textlink="">
      <xdr:nvSpPr>
        <xdr:cNvPr id="190" name="361"/>
        <xdr:cNvSpPr/>
      </xdr:nvSpPr>
      <xdr:spPr>
        <a:xfrm>
          <a:off x="16497572" y="69372480"/>
          <a:ext cx="8495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364</xdr:row>
      <xdr:rowOff>95250</xdr:rowOff>
    </xdr:from>
    <xdr:to>
      <xdr:col>78</xdr:col>
      <xdr:colOff>61232</xdr:colOff>
      <xdr:row>364</xdr:row>
      <xdr:rowOff>95250</xdr:rowOff>
    </xdr:to>
    <xdr:cxnSp macro="">
      <xdr:nvCxnSpPr>
        <xdr:cNvPr id="191" name="직선 화살표 연결선 190"/>
        <xdr:cNvCxnSpPr/>
      </xdr:nvCxnSpPr>
      <xdr:spPr>
        <a:xfrm>
          <a:off x="16497572" y="6942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20411</xdr:colOff>
      <xdr:row>363</xdr:row>
      <xdr:rowOff>38100</xdr:rowOff>
    </xdr:from>
    <xdr:to>
      <xdr:col>84</xdr:col>
      <xdr:colOff>42090</xdr:colOff>
      <xdr:row>363</xdr:row>
      <xdr:rowOff>152400</xdr:rowOff>
    </xdr:to>
    <xdr:sp macro="" textlink="">
      <xdr:nvSpPr>
        <xdr:cNvPr id="192" name="360"/>
        <xdr:cNvSpPr/>
      </xdr:nvSpPr>
      <xdr:spPr>
        <a:xfrm>
          <a:off x="17325431" y="69181980"/>
          <a:ext cx="21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84</xdr:col>
      <xdr:colOff>20411</xdr:colOff>
      <xdr:row>363</xdr:row>
      <xdr:rowOff>95250</xdr:rowOff>
    </xdr:from>
    <xdr:to>
      <xdr:col>84</xdr:col>
      <xdr:colOff>20411</xdr:colOff>
      <xdr:row>363</xdr:row>
      <xdr:rowOff>95250</xdr:rowOff>
    </xdr:to>
    <xdr:cxnSp macro="">
      <xdr:nvCxnSpPr>
        <xdr:cNvPr id="193" name="직선 화살표 연결선 192"/>
        <xdr:cNvCxnSpPr/>
      </xdr:nvCxnSpPr>
      <xdr:spPr>
        <a:xfrm>
          <a:off x="17325431" y="6923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122464</xdr:colOff>
      <xdr:row>362</xdr:row>
      <xdr:rowOff>38100</xdr:rowOff>
    </xdr:from>
    <xdr:to>
      <xdr:col>84</xdr:col>
      <xdr:colOff>21681</xdr:colOff>
      <xdr:row>362</xdr:row>
      <xdr:rowOff>152400</xdr:rowOff>
    </xdr:to>
    <xdr:sp macro="" textlink="">
      <xdr:nvSpPr>
        <xdr:cNvPr id="194" name="359"/>
        <xdr:cNvSpPr/>
      </xdr:nvSpPr>
      <xdr:spPr>
        <a:xfrm>
          <a:off x="16993144" y="68991480"/>
          <a:ext cx="3335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122464</xdr:colOff>
      <xdr:row>362</xdr:row>
      <xdr:rowOff>95250</xdr:rowOff>
    </xdr:from>
    <xdr:to>
      <xdr:col>81</xdr:col>
      <xdr:colOff>122464</xdr:colOff>
      <xdr:row>362</xdr:row>
      <xdr:rowOff>95250</xdr:rowOff>
    </xdr:to>
    <xdr:cxnSp macro="">
      <xdr:nvCxnSpPr>
        <xdr:cNvPr id="195" name="직선 화살표 연결선 194"/>
        <xdr:cNvCxnSpPr/>
      </xdr:nvCxnSpPr>
      <xdr:spPr>
        <a:xfrm>
          <a:off x="16993144" y="6904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122464</xdr:colOff>
      <xdr:row>361</xdr:row>
      <xdr:rowOff>38100</xdr:rowOff>
    </xdr:from>
    <xdr:to>
      <xdr:col>84</xdr:col>
      <xdr:colOff>42090</xdr:colOff>
      <xdr:row>361</xdr:row>
      <xdr:rowOff>152400</xdr:rowOff>
    </xdr:to>
    <xdr:sp macro="" textlink="">
      <xdr:nvSpPr>
        <xdr:cNvPr id="196" name="358"/>
        <xdr:cNvSpPr/>
      </xdr:nvSpPr>
      <xdr:spPr>
        <a:xfrm>
          <a:off x="16993144" y="68800980"/>
          <a:ext cx="35396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122464</xdr:colOff>
      <xdr:row>361</xdr:row>
      <xdr:rowOff>95250</xdr:rowOff>
    </xdr:from>
    <xdr:to>
      <xdr:col>81</xdr:col>
      <xdr:colOff>122464</xdr:colOff>
      <xdr:row>361</xdr:row>
      <xdr:rowOff>95250</xdr:rowOff>
    </xdr:to>
    <xdr:cxnSp macro="">
      <xdr:nvCxnSpPr>
        <xdr:cNvPr id="197" name="직선 화살표 연결선 196"/>
        <xdr:cNvCxnSpPr/>
      </xdr:nvCxnSpPr>
      <xdr:spPr>
        <a:xfrm>
          <a:off x="16993144" y="6885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61232</xdr:colOff>
      <xdr:row>360</xdr:row>
      <xdr:rowOff>38100</xdr:rowOff>
    </xdr:from>
    <xdr:to>
      <xdr:col>84</xdr:col>
      <xdr:colOff>42090</xdr:colOff>
      <xdr:row>360</xdr:row>
      <xdr:rowOff>152400</xdr:rowOff>
    </xdr:to>
    <xdr:sp macro="" textlink="">
      <xdr:nvSpPr>
        <xdr:cNvPr id="198" name="357"/>
        <xdr:cNvSpPr/>
      </xdr:nvSpPr>
      <xdr:spPr>
        <a:xfrm>
          <a:off x="16787132" y="68610480"/>
          <a:ext cx="55997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61232</xdr:colOff>
      <xdr:row>360</xdr:row>
      <xdr:rowOff>95250</xdr:rowOff>
    </xdr:from>
    <xdr:to>
      <xdr:col>80</xdr:col>
      <xdr:colOff>61232</xdr:colOff>
      <xdr:row>360</xdr:row>
      <xdr:rowOff>95250</xdr:rowOff>
    </xdr:to>
    <xdr:cxnSp macro="">
      <xdr:nvCxnSpPr>
        <xdr:cNvPr id="199" name="직선 화살표 연결선 198"/>
        <xdr:cNvCxnSpPr/>
      </xdr:nvCxnSpPr>
      <xdr:spPr>
        <a:xfrm>
          <a:off x="16787132" y="6866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359</xdr:row>
      <xdr:rowOff>38100</xdr:rowOff>
    </xdr:from>
    <xdr:to>
      <xdr:col>80</xdr:col>
      <xdr:colOff>62502</xdr:colOff>
      <xdr:row>359</xdr:row>
      <xdr:rowOff>152400</xdr:rowOff>
    </xdr:to>
    <xdr:sp macro="" textlink="">
      <xdr:nvSpPr>
        <xdr:cNvPr id="200" name="356"/>
        <xdr:cNvSpPr/>
      </xdr:nvSpPr>
      <xdr:spPr>
        <a:xfrm>
          <a:off x="16497572" y="684199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359</xdr:row>
      <xdr:rowOff>95250</xdr:rowOff>
    </xdr:from>
    <xdr:to>
      <xdr:col>78</xdr:col>
      <xdr:colOff>61232</xdr:colOff>
      <xdr:row>359</xdr:row>
      <xdr:rowOff>95250</xdr:rowOff>
    </xdr:to>
    <xdr:cxnSp macro="">
      <xdr:nvCxnSpPr>
        <xdr:cNvPr id="201" name="직선 화살표 연결선 200"/>
        <xdr:cNvCxnSpPr/>
      </xdr:nvCxnSpPr>
      <xdr:spPr>
        <a:xfrm>
          <a:off x="16497572" y="6847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358</xdr:row>
      <xdr:rowOff>38100</xdr:rowOff>
    </xdr:from>
    <xdr:to>
      <xdr:col>84</xdr:col>
      <xdr:colOff>42090</xdr:colOff>
      <xdr:row>358</xdr:row>
      <xdr:rowOff>152400</xdr:rowOff>
    </xdr:to>
    <xdr:sp macro="" textlink="">
      <xdr:nvSpPr>
        <xdr:cNvPr id="202" name="355"/>
        <xdr:cNvSpPr/>
      </xdr:nvSpPr>
      <xdr:spPr>
        <a:xfrm>
          <a:off x="16497572" y="68229480"/>
          <a:ext cx="8495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358</xdr:row>
      <xdr:rowOff>95250</xdr:rowOff>
    </xdr:from>
    <xdr:to>
      <xdr:col>78</xdr:col>
      <xdr:colOff>61232</xdr:colOff>
      <xdr:row>358</xdr:row>
      <xdr:rowOff>95250</xdr:rowOff>
    </xdr:to>
    <xdr:cxnSp macro="">
      <xdr:nvCxnSpPr>
        <xdr:cNvPr id="203" name="직선 화살표 연결선 202"/>
        <xdr:cNvCxnSpPr/>
      </xdr:nvCxnSpPr>
      <xdr:spPr>
        <a:xfrm>
          <a:off x="16497572" y="6828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357</xdr:row>
      <xdr:rowOff>38100</xdr:rowOff>
    </xdr:from>
    <xdr:to>
      <xdr:col>78</xdr:col>
      <xdr:colOff>82913</xdr:colOff>
      <xdr:row>357</xdr:row>
      <xdr:rowOff>152400</xdr:rowOff>
    </xdr:to>
    <xdr:sp macro="" textlink="">
      <xdr:nvSpPr>
        <xdr:cNvPr id="204" name="354"/>
        <xdr:cNvSpPr/>
      </xdr:nvSpPr>
      <xdr:spPr>
        <a:xfrm>
          <a:off x="16497572" y="68038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357</xdr:row>
      <xdr:rowOff>95250</xdr:rowOff>
    </xdr:from>
    <xdr:to>
      <xdr:col>78</xdr:col>
      <xdr:colOff>61232</xdr:colOff>
      <xdr:row>357</xdr:row>
      <xdr:rowOff>95250</xdr:rowOff>
    </xdr:to>
    <xdr:cxnSp macro="">
      <xdr:nvCxnSpPr>
        <xdr:cNvPr id="205" name="직선 화살표 연결선 204"/>
        <xdr:cNvCxnSpPr/>
      </xdr:nvCxnSpPr>
      <xdr:spPr>
        <a:xfrm>
          <a:off x="16497572" y="6809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356</xdr:row>
      <xdr:rowOff>38100</xdr:rowOff>
    </xdr:from>
    <xdr:to>
      <xdr:col>78</xdr:col>
      <xdr:colOff>62502</xdr:colOff>
      <xdr:row>356</xdr:row>
      <xdr:rowOff>152400</xdr:rowOff>
    </xdr:to>
    <xdr:sp macro="" textlink="">
      <xdr:nvSpPr>
        <xdr:cNvPr id="206" name="353"/>
        <xdr:cNvSpPr/>
      </xdr:nvSpPr>
      <xdr:spPr>
        <a:xfrm>
          <a:off x="16167191" y="67848480"/>
          <a:ext cx="33165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356</xdr:row>
      <xdr:rowOff>95250</xdr:rowOff>
    </xdr:from>
    <xdr:to>
      <xdr:col>76</xdr:col>
      <xdr:colOff>20411</xdr:colOff>
      <xdr:row>356</xdr:row>
      <xdr:rowOff>95250</xdr:rowOff>
    </xdr:to>
    <xdr:cxnSp macro="">
      <xdr:nvCxnSpPr>
        <xdr:cNvPr id="207" name="직선 화살표 연결선 206"/>
        <xdr:cNvCxnSpPr/>
      </xdr:nvCxnSpPr>
      <xdr:spPr>
        <a:xfrm>
          <a:off x="16167191" y="6790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355</xdr:row>
      <xdr:rowOff>38100</xdr:rowOff>
    </xdr:from>
    <xdr:to>
      <xdr:col>78</xdr:col>
      <xdr:colOff>82913</xdr:colOff>
      <xdr:row>355</xdr:row>
      <xdr:rowOff>152400</xdr:rowOff>
    </xdr:to>
    <xdr:sp macro="" textlink="">
      <xdr:nvSpPr>
        <xdr:cNvPr id="208" name="352"/>
        <xdr:cNvSpPr/>
      </xdr:nvSpPr>
      <xdr:spPr>
        <a:xfrm>
          <a:off x="16167191" y="67657980"/>
          <a:ext cx="35206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355</xdr:row>
      <xdr:rowOff>95250</xdr:rowOff>
    </xdr:from>
    <xdr:to>
      <xdr:col>76</xdr:col>
      <xdr:colOff>20411</xdr:colOff>
      <xdr:row>355</xdr:row>
      <xdr:rowOff>95250</xdr:rowOff>
    </xdr:to>
    <xdr:cxnSp macro="">
      <xdr:nvCxnSpPr>
        <xdr:cNvPr id="209" name="직선 화살표 연결선 208"/>
        <xdr:cNvCxnSpPr/>
      </xdr:nvCxnSpPr>
      <xdr:spPr>
        <a:xfrm>
          <a:off x="16167191" y="6771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354</xdr:row>
      <xdr:rowOff>38100</xdr:rowOff>
    </xdr:from>
    <xdr:to>
      <xdr:col>78</xdr:col>
      <xdr:colOff>82913</xdr:colOff>
      <xdr:row>354</xdr:row>
      <xdr:rowOff>152400</xdr:rowOff>
    </xdr:to>
    <xdr:sp macro="" textlink="">
      <xdr:nvSpPr>
        <xdr:cNvPr id="210" name="351"/>
        <xdr:cNvSpPr/>
      </xdr:nvSpPr>
      <xdr:spPr>
        <a:xfrm>
          <a:off x="16497572" y="67467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354</xdr:row>
      <xdr:rowOff>95250</xdr:rowOff>
    </xdr:from>
    <xdr:to>
      <xdr:col>78</xdr:col>
      <xdr:colOff>61232</xdr:colOff>
      <xdr:row>354</xdr:row>
      <xdr:rowOff>95250</xdr:rowOff>
    </xdr:to>
    <xdr:cxnSp macro="">
      <xdr:nvCxnSpPr>
        <xdr:cNvPr id="211" name="직선 화살표 연결선 210"/>
        <xdr:cNvCxnSpPr/>
      </xdr:nvCxnSpPr>
      <xdr:spPr>
        <a:xfrm>
          <a:off x="16497572" y="6752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353</xdr:row>
      <xdr:rowOff>38100</xdr:rowOff>
    </xdr:from>
    <xdr:to>
      <xdr:col>78</xdr:col>
      <xdr:colOff>62502</xdr:colOff>
      <xdr:row>353</xdr:row>
      <xdr:rowOff>152400</xdr:rowOff>
    </xdr:to>
    <xdr:sp macro="" textlink="">
      <xdr:nvSpPr>
        <xdr:cNvPr id="212" name="350"/>
        <xdr:cNvSpPr/>
      </xdr:nvSpPr>
      <xdr:spPr>
        <a:xfrm>
          <a:off x="16167191" y="67276980"/>
          <a:ext cx="33165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353</xdr:row>
      <xdr:rowOff>95250</xdr:rowOff>
    </xdr:from>
    <xdr:to>
      <xdr:col>76</xdr:col>
      <xdr:colOff>20411</xdr:colOff>
      <xdr:row>353</xdr:row>
      <xdr:rowOff>95250</xdr:rowOff>
    </xdr:to>
    <xdr:cxnSp macro="">
      <xdr:nvCxnSpPr>
        <xdr:cNvPr id="213" name="직선 화살표 연결선 212"/>
        <xdr:cNvCxnSpPr/>
      </xdr:nvCxnSpPr>
      <xdr:spPr>
        <a:xfrm>
          <a:off x="16167191" y="6733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352</xdr:row>
      <xdr:rowOff>38100</xdr:rowOff>
    </xdr:from>
    <xdr:to>
      <xdr:col>78</xdr:col>
      <xdr:colOff>82913</xdr:colOff>
      <xdr:row>352</xdr:row>
      <xdr:rowOff>152400</xdr:rowOff>
    </xdr:to>
    <xdr:sp macro="" textlink="">
      <xdr:nvSpPr>
        <xdr:cNvPr id="214" name="349"/>
        <xdr:cNvSpPr/>
      </xdr:nvSpPr>
      <xdr:spPr>
        <a:xfrm>
          <a:off x="16167191" y="67086480"/>
          <a:ext cx="35206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352</xdr:row>
      <xdr:rowOff>95250</xdr:rowOff>
    </xdr:from>
    <xdr:to>
      <xdr:col>76</xdr:col>
      <xdr:colOff>20411</xdr:colOff>
      <xdr:row>352</xdr:row>
      <xdr:rowOff>95250</xdr:rowOff>
    </xdr:to>
    <xdr:cxnSp macro="">
      <xdr:nvCxnSpPr>
        <xdr:cNvPr id="215" name="직선 화살표 연결선 214"/>
        <xdr:cNvCxnSpPr/>
      </xdr:nvCxnSpPr>
      <xdr:spPr>
        <a:xfrm>
          <a:off x="16167191" y="6714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82</xdr:col>
      <xdr:colOff>20411</xdr:colOff>
      <xdr:row>351</xdr:row>
      <xdr:rowOff>38100</xdr:rowOff>
    </xdr:from>
    <xdr:to>
      <xdr:col>82</xdr:col>
      <xdr:colOff>42090</xdr:colOff>
      <xdr:row>351</xdr:row>
      <xdr:rowOff>152400</xdr:rowOff>
    </xdr:to>
    <xdr:sp macro="" textlink="">
      <xdr:nvSpPr>
        <xdr:cNvPr id="216" name="348"/>
        <xdr:cNvSpPr/>
      </xdr:nvSpPr>
      <xdr:spPr>
        <a:xfrm>
          <a:off x="17035871" y="66895980"/>
          <a:ext cx="216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82</xdr:col>
      <xdr:colOff>20411</xdr:colOff>
      <xdr:row>351</xdr:row>
      <xdr:rowOff>95250</xdr:rowOff>
    </xdr:from>
    <xdr:to>
      <xdr:col>82</xdr:col>
      <xdr:colOff>20411</xdr:colOff>
      <xdr:row>351</xdr:row>
      <xdr:rowOff>95250</xdr:rowOff>
    </xdr:to>
    <xdr:cxnSp macro="">
      <xdr:nvCxnSpPr>
        <xdr:cNvPr id="217" name="직선 화살표 연결선 216"/>
        <xdr:cNvCxnSpPr/>
      </xdr:nvCxnSpPr>
      <xdr:spPr>
        <a:xfrm>
          <a:off x="17035871" y="6695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102054</xdr:colOff>
      <xdr:row>350</xdr:row>
      <xdr:rowOff>38100</xdr:rowOff>
    </xdr:from>
    <xdr:to>
      <xdr:col>82</xdr:col>
      <xdr:colOff>21681</xdr:colOff>
      <xdr:row>350</xdr:row>
      <xdr:rowOff>152400</xdr:rowOff>
    </xdr:to>
    <xdr:sp macro="" textlink="">
      <xdr:nvSpPr>
        <xdr:cNvPr id="218" name="347"/>
        <xdr:cNvSpPr/>
      </xdr:nvSpPr>
      <xdr:spPr>
        <a:xfrm>
          <a:off x="16683174" y="66705480"/>
          <a:ext cx="3539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102054</xdr:colOff>
      <xdr:row>350</xdr:row>
      <xdr:rowOff>95250</xdr:rowOff>
    </xdr:from>
    <xdr:to>
      <xdr:col>79</xdr:col>
      <xdr:colOff>102054</xdr:colOff>
      <xdr:row>350</xdr:row>
      <xdr:rowOff>95250</xdr:rowOff>
    </xdr:to>
    <xdr:cxnSp macro="">
      <xdr:nvCxnSpPr>
        <xdr:cNvPr id="219" name="직선 화살표 연결선 218"/>
        <xdr:cNvCxnSpPr/>
      </xdr:nvCxnSpPr>
      <xdr:spPr>
        <a:xfrm>
          <a:off x="16683174" y="6676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102054</xdr:colOff>
      <xdr:row>349</xdr:row>
      <xdr:rowOff>38100</xdr:rowOff>
    </xdr:from>
    <xdr:to>
      <xdr:col>82</xdr:col>
      <xdr:colOff>42090</xdr:colOff>
      <xdr:row>349</xdr:row>
      <xdr:rowOff>152400</xdr:rowOff>
    </xdr:to>
    <xdr:sp macro="" textlink="">
      <xdr:nvSpPr>
        <xdr:cNvPr id="220" name="346"/>
        <xdr:cNvSpPr/>
      </xdr:nvSpPr>
      <xdr:spPr>
        <a:xfrm>
          <a:off x="16683174" y="66514980"/>
          <a:ext cx="37437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102054</xdr:colOff>
      <xdr:row>349</xdr:row>
      <xdr:rowOff>95250</xdr:rowOff>
    </xdr:from>
    <xdr:to>
      <xdr:col>79</xdr:col>
      <xdr:colOff>102054</xdr:colOff>
      <xdr:row>349</xdr:row>
      <xdr:rowOff>95250</xdr:rowOff>
    </xdr:to>
    <xdr:cxnSp macro="">
      <xdr:nvCxnSpPr>
        <xdr:cNvPr id="221" name="직선 화살표 연결선 220"/>
        <xdr:cNvCxnSpPr/>
      </xdr:nvCxnSpPr>
      <xdr:spPr>
        <a:xfrm>
          <a:off x="16683174" y="6657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61232</xdr:colOff>
      <xdr:row>348</xdr:row>
      <xdr:rowOff>38100</xdr:rowOff>
    </xdr:from>
    <xdr:to>
      <xdr:col>78</xdr:col>
      <xdr:colOff>82913</xdr:colOff>
      <xdr:row>348</xdr:row>
      <xdr:rowOff>152400</xdr:rowOff>
    </xdr:to>
    <xdr:sp macro="" textlink="">
      <xdr:nvSpPr>
        <xdr:cNvPr id="222" name="345"/>
        <xdr:cNvSpPr/>
      </xdr:nvSpPr>
      <xdr:spPr>
        <a:xfrm>
          <a:off x="16497572" y="66324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61232</xdr:colOff>
      <xdr:row>348</xdr:row>
      <xdr:rowOff>95250</xdr:rowOff>
    </xdr:from>
    <xdr:to>
      <xdr:col>78</xdr:col>
      <xdr:colOff>61232</xdr:colOff>
      <xdr:row>348</xdr:row>
      <xdr:rowOff>95250</xdr:rowOff>
    </xdr:to>
    <xdr:cxnSp macro="">
      <xdr:nvCxnSpPr>
        <xdr:cNvPr id="223" name="직선 화살표 연결선 222"/>
        <xdr:cNvCxnSpPr/>
      </xdr:nvCxnSpPr>
      <xdr:spPr>
        <a:xfrm>
          <a:off x="16497572" y="6638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347</xdr:row>
      <xdr:rowOff>38100</xdr:rowOff>
    </xdr:from>
    <xdr:to>
      <xdr:col>78</xdr:col>
      <xdr:colOff>62502</xdr:colOff>
      <xdr:row>347</xdr:row>
      <xdr:rowOff>152400</xdr:rowOff>
    </xdr:to>
    <xdr:sp macro="" textlink="">
      <xdr:nvSpPr>
        <xdr:cNvPr id="224" name="344"/>
        <xdr:cNvSpPr/>
      </xdr:nvSpPr>
      <xdr:spPr>
        <a:xfrm>
          <a:off x="16167191" y="66133980"/>
          <a:ext cx="33165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347</xdr:row>
      <xdr:rowOff>95250</xdr:rowOff>
    </xdr:from>
    <xdr:to>
      <xdr:col>76</xdr:col>
      <xdr:colOff>20411</xdr:colOff>
      <xdr:row>347</xdr:row>
      <xdr:rowOff>95250</xdr:rowOff>
    </xdr:to>
    <xdr:cxnSp macro="">
      <xdr:nvCxnSpPr>
        <xdr:cNvPr id="225" name="직선 화살표 연결선 224"/>
        <xdr:cNvCxnSpPr/>
      </xdr:nvCxnSpPr>
      <xdr:spPr>
        <a:xfrm>
          <a:off x="16167191" y="6619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346</xdr:row>
      <xdr:rowOff>38100</xdr:rowOff>
    </xdr:from>
    <xdr:to>
      <xdr:col>78</xdr:col>
      <xdr:colOff>82913</xdr:colOff>
      <xdr:row>346</xdr:row>
      <xdr:rowOff>152400</xdr:rowOff>
    </xdr:to>
    <xdr:sp macro="" textlink="">
      <xdr:nvSpPr>
        <xdr:cNvPr id="226" name="343"/>
        <xdr:cNvSpPr/>
      </xdr:nvSpPr>
      <xdr:spPr>
        <a:xfrm>
          <a:off x="16167191" y="65943480"/>
          <a:ext cx="35206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346</xdr:row>
      <xdr:rowOff>95250</xdr:rowOff>
    </xdr:from>
    <xdr:to>
      <xdr:col>76</xdr:col>
      <xdr:colOff>20411</xdr:colOff>
      <xdr:row>346</xdr:row>
      <xdr:rowOff>95250</xdr:rowOff>
    </xdr:to>
    <xdr:cxnSp macro="">
      <xdr:nvCxnSpPr>
        <xdr:cNvPr id="227" name="직선 화살표 연결선 226"/>
        <xdr:cNvCxnSpPr/>
      </xdr:nvCxnSpPr>
      <xdr:spPr>
        <a:xfrm>
          <a:off x="16167191" y="6600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20411</xdr:colOff>
      <xdr:row>345</xdr:row>
      <xdr:rowOff>38100</xdr:rowOff>
    </xdr:from>
    <xdr:to>
      <xdr:col>84</xdr:col>
      <xdr:colOff>42090</xdr:colOff>
      <xdr:row>345</xdr:row>
      <xdr:rowOff>152400</xdr:rowOff>
    </xdr:to>
    <xdr:sp macro="" textlink="">
      <xdr:nvSpPr>
        <xdr:cNvPr id="228" name="342"/>
        <xdr:cNvSpPr/>
      </xdr:nvSpPr>
      <xdr:spPr>
        <a:xfrm>
          <a:off x="16167191" y="65752980"/>
          <a:ext cx="117991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20411</xdr:colOff>
      <xdr:row>345</xdr:row>
      <xdr:rowOff>95250</xdr:rowOff>
    </xdr:from>
    <xdr:to>
      <xdr:col>76</xdr:col>
      <xdr:colOff>20411</xdr:colOff>
      <xdr:row>345</xdr:row>
      <xdr:rowOff>95250</xdr:rowOff>
    </xdr:to>
    <xdr:cxnSp macro="">
      <xdr:nvCxnSpPr>
        <xdr:cNvPr id="229" name="직선 화살표 연결선 228"/>
        <xdr:cNvCxnSpPr/>
      </xdr:nvCxnSpPr>
      <xdr:spPr>
        <a:xfrm>
          <a:off x="16167191" y="6581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344</xdr:row>
      <xdr:rowOff>38100</xdr:rowOff>
    </xdr:from>
    <xdr:to>
      <xdr:col>71</xdr:col>
      <xdr:colOff>42090</xdr:colOff>
      <xdr:row>344</xdr:row>
      <xdr:rowOff>152400</xdr:rowOff>
    </xdr:to>
    <xdr:sp macro="" textlink="">
      <xdr:nvSpPr>
        <xdr:cNvPr id="230" name="341"/>
        <xdr:cNvSpPr/>
      </xdr:nvSpPr>
      <xdr:spPr>
        <a:xfrm>
          <a:off x="15133320" y="65562480"/>
          <a:ext cx="3316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344</xdr:row>
      <xdr:rowOff>95250</xdr:rowOff>
    </xdr:from>
    <xdr:to>
      <xdr:col>69</xdr:col>
      <xdr:colOff>0</xdr:colOff>
      <xdr:row>344</xdr:row>
      <xdr:rowOff>95250</xdr:rowOff>
    </xdr:to>
    <xdr:cxnSp macro="">
      <xdr:nvCxnSpPr>
        <xdr:cNvPr id="231" name="직선 화살표 연결선 230"/>
        <xdr:cNvCxnSpPr/>
      </xdr:nvCxnSpPr>
      <xdr:spPr>
        <a:xfrm>
          <a:off x="15133320" y="6561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343</xdr:row>
      <xdr:rowOff>38100</xdr:rowOff>
    </xdr:from>
    <xdr:to>
      <xdr:col>68</xdr:col>
      <xdr:colOff>62502</xdr:colOff>
      <xdr:row>343</xdr:row>
      <xdr:rowOff>152400</xdr:rowOff>
    </xdr:to>
    <xdr:sp macro="" textlink="">
      <xdr:nvSpPr>
        <xdr:cNvPr id="232" name="340"/>
        <xdr:cNvSpPr/>
      </xdr:nvSpPr>
      <xdr:spPr>
        <a:xfrm>
          <a:off x="14843760" y="653719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343</xdr:row>
      <xdr:rowOff>95250</xdr:rowOff>
    </xdr:from>
    <xdr:to>
      <xdr:col>67</xdr:col>
      <xdr:colOff>0</xdr:colOff>
      <xdr:row>343</xdr:row>
      <xdr:rowOff>95250</xdr:rowOff>
    </xdr:to>
    <xdr:cxnSp macro="">
      <xdr:nvCxnSpPr>
        <xdr:cNvPr id="233" name="직선 화살표 연결선 232"/>
        <xdr:cNvCxnSpPr/>
      </xdr:nvCxnSpPr>
      <xdr:spPr>
        <a:xfrm>
          <a:off x="14843760" y="6542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342</xdr:row>
      <xdr:rowOff>38100</xdr:rowOff>
    </xdr:from>
    <xdr:to>
      <xdr:col>71</xdr:col>
      <xdr:colOff>42090</xdr:colOff>
      <xdr:row>342</xdr:row>
      <xdr:rowOff>152400</xdr:rowOff>
    </xdr:to>
    <xdr:sp macro="" textlink="">
      <xdr:nvSpPr>
        <xdr:cNvPr id="234" name="339"/>
        <xdr:cNvSpPr/>
      </xdr:nvSpPr>
      <xdr:spPr>
        <a:xfrm>
          <a:off x="14843760" y="65181480"/>
          <a:ext cx="62121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342</xdr:row>
      <xdr:rowOff>95250</xdr:rowOff>
    </xdr:from>
    <xdr:to>
      <xdr:col>67</xdr:col>
      <xdr:colOff>0</xdr:colOff>
      <xdr:row>342</xdr:row>
      <xdr:rowOff>95250</xdr:rowOff>
    </xdr:to>
    <xdr:cxnSp macro="">
      <xdr:nvCxnSpPr>
        <xdr:cNvPr id="235" name="직선 화살표 연결선 234"/>
        <xdr:cNvCxnSpPr/>
      </xdr:nvCxnSpPr>
      <xdr:spPr>
        <a:xfrm>
          <a:off x="14843760" y="6523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102054</xdr:colOff>
      <xdr:row>341</xdr:row>
      <xdr:rowOff>38100</xdr:rowOff>
    </xdr:from>
    <xdr:to>
      <xdr:col>72</xdr:col>
      <xdr:colOff>123734</xdr:colOff>
      <xdr:row>341</xdr:row>
      <xdr:rowOff>152400</xdr:rowOff>
    </xdr:to>
    <xdr:sp macro="" textlink="">
      <xdr:nvSpPr>
        <xdr:cNvPr id="236" name="338"/>
        <xdr:cNvSpPr/>
      </xdr:nvSpPr>
      <xdr:spPr>
        <a:xfrm>
          <a:off x="15669714" y="64990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102054</xdr:colOff>
      <xdr:row>341</xdr:row>
      <xdr:rowOff>95250</xdr:rowOff>
    </xdr:from>
    <xdr:to>
      <xdr:col>72</xdr:col>
      <xdr:colOff>102054</xdr:colOff>
      <xdr:row>341</xdr:row>
      <xdr:rowOff>95250</xdr:rowOff>
    </xdr:to>
    <xdr:cxnSp macro="">
      <xdr:nvCxnSpPr>
        <xdr:cNvPr id="237" name="직선 화살표 연결선 236"/>
        <xdr:cNvCxnSpPr/>
      </xdr:nvCxnSpPr>
      <xdr:spPr>
        <a:xfrm>
          <a:off x="15669714" y="6504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340</xdr:row>
      <xdr:rowOff>38100</xdr:rowOff>
    </xdr:from>
    <xdr:to>
      <xdr:col>72</xdr:col>
      <xdr:colOff>103324</xdr:colOff>
      <xdr:row>340</xdr:row>
      <xdr:rowOff>152400</xdr:rowOff>
    </xdr:to>
    <xdr:sp macro="" textlink="">
      <xdr:nvSpPr>
        <xdr:cNvPr id="238" name="337"/>
        <xdr:cNvSpPr/>
      </xdr:nvSpPr>
      <xdr:spPr>
        <a:xfrm>
          <a:off x="15339332" y="64800480"/>
          <a:ext cx="3316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340</xdr:row>
      <xdr:rowOff>95250</xdr:rowOff>
    </xdr:from>
    <xdr:to>
      <xdr:col>70</xdr:col>
      <xdr:colOff>61232</xdr:colOff>
      <xdr:row>340</xdr:row>
      <xdr:rowOff>95250</xdr:rowOff>
    </xdr:to>
    <xdr:cxnSp macro="">
      <xdr:nvCxnSpPr>
        <xdr:cNvPr id="239" name="직선 화살표 연결선 238"/>
        <xdr:cNvCxnSpPr/>
      </xdr:nvCxnSpPr>
      <xdr:spPr>
        <a:xfrm>
          <a:off x="15339332" y="6485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61232</xdr:colOff>
      <xdr:row>339</xdr:row>
      <xdr:rowOff>38100</xdr:rowOff>
    </xdr:from>
    <xdr:to>
      <xdr:col>72</xdr:col>
      <xdr:colOff>123734</xdr:colOff>
      <xdr:row>339</xdr:row>
      <xdr:rowOff>152400</xdr:rowOff>
    </xdr:to>
    <xdr:sp macro="" textlink="">
      <xdr:nvSpPr>
        <xdr:cNvPr id="240" name="336"/>
        <xdr:cNvSpPr/>
      </xdr:nvSpPr>
      <xdr:spPr>
        <a:xfrm>
          <a:off x="15339332" y="64609980"/>
          <a:ext cx="35206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61232</xdr:colOff>
      <xdr:row>339</xdr:row>
      <xdr:rowOff>95250</xdr:rowOff>
    </xdr:from>
    <xdr:to>
      <xdr:col>70</xdr:col>
      <xdr:colOff>61232</xdr:colOff>
      <xdr:row>339</xdr:row>
      <xdr:rowOff>95250</xdr:rowOff>
    </xdr:to>
    <xdr:cxnSp macro="">
      <xdr:nvCxnSpPr>
        <xdr:cNvPr id="241" name="직선 화살표 연결선 240"/>
        <xdr:cNvCxnSpPr/>
      </xdr:nvCxnSpPr>
      <xdr:spPr>
        <a:xfrm>
          <a:off x="15339332" y="6466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338</xdr:row>
      <xdr:rowOff>38100</xdr:rowOff>
    </xdr:from>
    <xdr:to>
      <xdr:col>72</xdr:col>
      <xdr:colOff>123734</xdr:colOff>
      <xdr:row>338</xdr:row>
      <xdr:rowOff>152400</xdr:rowOff>
    </xdr:to>
    <xdr:sp macro="" textlink="">
      <xdr:nvSpPr>
        <xdr:cNvPr id="242" name="335"/>
        <xdr:cNvSpPr/>
      </xdr:nvSpPr>
      <xdr:spPr>
        <a:xfrm>
          <a:off x="15133320" y="64419480"/>
          <a:ext cx="55807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338</xdr:row>
      <xdr:rowOff>95250</xdr:rowOff>
    </xdr:from>
    <xdr:to>
      <xdr:col>69</xdr:col>
      <xdr:colOff>0</xdr:colOff>
      <xdr:row>338</xdr:row>
      <xdr:rowOff>95250</xdr:rowOff>
    </xdr:to>
    <xdr:cxnSp macro="">
      <xdr:nvCxnSpPr>
        <xdr:cNvPr id="243" name="직선 화살표 연결선 242"/>
        <xdr:cNvCxnSpPr/>
      </xdr:nvCxnSpPr>
      <xdr:spPr>
        <a:xfrm>
          <a:off x="15133320" y="6447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337</xdr:row>
      <xdr:rowOff>38100</xdr:rowOff>
    </xdr:from>
    <xdr:to>
      <xdr:col>69</xdr:col>
      <xdr:colOff>1270</xdr:colOff>
      <xdr:row>337</xdr:row>
      <xdr:rowOff>152400</xdr:rowOff>
    </xdr:to>
    <xdr:sp macro="" textlink="">
      <xdr:nvSpPr>
        <xdr:cNvPr id="244" name="334"/>
        <xdr:cNvSpPr/>
      </xdr:nvSpPr>
      <xdr:spPr>
        <a:xfrm>
          <a:off x="14843760" y="642289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337</xdr:row>
      <xdr:rowOff>95250</xdr:rowOff>
    </xdr:from>
    <xdr:to>
      <xdr:col>67</xdr:col>
      <xdr:colOff>0</xdr:colOff>
      <xdr:row>337</xdr:row>
      <xdr:rowOff>95250</xdr:rowOff>
    </xdr:to>
    <xdr:cxnSp macro="">
      <xdr:nvCxnSpPr>
        <xdr:cNvPr id="245" name="직선 화살표 연결선 244"/>
        <xdr:cNvCxnSpPr/>
      </xdr:nvCxnSpPr>
      <xdr:spPr>
        <a:xfrm>
          <a:off x="14843760" y="6428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336</xdr:row>
      <xdr:rowOff>38100</xdr:rowOff>
    </xdr:from>
    <xdr:to>
      <xdr:col>72</xdr:col>
      <xdr:colOff>123734</xdr:colOff>
      <xdr:row>336</xdr:row>
      <xdr:rowOff>152400</xdr:rowOff>
    </xdr:to>
    <xdr:sp macro="" textlink="">
      <xdr:nvSpPr>
        <xdr:cNvPr id="246" name="333"/>
        <xdr:cNvSpPr/>
      </xdr:nvSpPr>
      <xdr:spPr>
        <a:xfrm>
          <a:off x="14843760" y="64038480"/>
          <a:ext cx="84763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336</xdr:row>
      <xdr:rowOff>95250</xdr:rowOff>
    </xdr:from>
    <xdr:to>
      <xdr:col>67</xdr:col>
      <xdr:colOff>0</xdr:colOff>
      <xdr:row>336</xdr:row>
      <xdr:rowOff>95250</xdr:rowOff>
    </xdr:to>
    <xdr:cxnSp macro="">
      <xdr:nvCxnSpPr>
        <xdr:cNvPr id="247" name="직선 화살표 연결선 246"/>
        <xdr:cNvCxnSpPr/>
      </xdr:nvCxnSpPr>
      <xdr:spPr>
        <a:xfrm>
          <a:off x="14843760" y="6409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335</xdr:row>
      <xdr:rowOff>38100</xdr:rowOff>
    </xdr:from>
    <xdr:to>
      <xdr:col>67</xdr:col>
      <xdr:colOff>21681</xdr:colOff>
      <xdr:row>335</xdr:row>
      <xdr:rowOff>152400</xdr:rowOff>
    </xdr:to>
    <xdr:sp macro="" textlink="">
      <xdr:nvSpPr>
        <xdr:cNvPr id="248" name="332"/>
        <xdr:cNvSpPr/>
      </xdr:nvSpPr>
      <xdr:spPr>
        <a:xfrm>
          <a:off x="14843760" y="638479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335</xdr:row>
      <xdr:rowOff>95250</xdr:rowOff>
    </xdr:from>
    <xdr:to>
      <xdr:col>67</xdr:col>
      <xdr:colOff>0</xdr:colOff>
      <xdr:row>335</xdr:row>
      <xdr:rowOff>95250</xdr:rowOff>
    </xdr:to>
    <xdr:cxnSp macro="">
      <xdr:nvCxnSpPr>
        <xdr:cNvPr id="249" name="직선 화살표 연결선 248"/>
        <xdr:cNvCxnSpPr/>
      </xdr:nvCxnSpPr>
      <xdr:spPr>
        <a:xfrm>
          <a:off x="14843760" y="6390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334</xdr:row>
      <xdr:rowOff>38100</xdr:rowOff>
    </xdr:from>
    <xdr:to>
      <xdr:col>67</xdr:col>
      <xdr:colOff>1270</xdr:colOff>
      <xdr:row>334</xdr:row>
      <xdr:rowOff>152400</xdr:rowOff>
    </xdr:to>
    <xdr:sp macro="" textlink="">
      <xdr:nvSpPr>
        <xdr:cNvPr id="250" name="331"/>
        <xdr:cNvSpPr/>
      </xdr:nvSpPr>
      <xdr:spPr>
        <a:xfrm>
          <a:off x="14511474" y="63657480"/>
          <a:ext cx="3335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334</xdr:row>
      <xdr:rowOff>95250</xdr:rowOff>
    </xdr:from>
    <xdr:to>
      <xdr:col>64</xdr:col>
      <xdr:colOff>102054</xdr:colOff>
      <xdr:row>334</xdr:row>
      <xdr:rowOff>95250</xdr:rowOff>
    </xdr:to>
    <xdr:cxnSp macro="">
      <xdr:nvCxnSpPr>
        <xdr:cNvPr id="251" name="직선 화살표 연결선 250"/>
        <xdr:cNvCxnSpPr/>
      </xdr:nvCxnSpPr>
      <xdr:spPr>
        <a:xfrm>
          <a:off x="14511474" y="6371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333</xdr:row>
      <xdr:rowOff>38100</xdr:rowOff>
    </xdr:from>
    <xdr:to>
      <xdr:col>67</xdr:col>
      <xdr:colOff>21681</xdr:colOff>
      <xdr:row>333</xdr:row>
      <xdr:rowOff>152400</xdr:rowOff>
    </xdr:to>
    <xdr:sp macro="" textlink="">
      <xdr:nvSpPr>
        <xdr:cNvPr id="252" name="330"/>
        <xdr:cNvSpPr/>
      </xdr:nvSpPr>
      <xdr:spPr>
        <a:xfrm>
          <a:off x="14511474" y="63466980"/>
          <a:ext cx="35396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333</xdr:row>
      <xdr:rowOff>95250</xdr:rowOff>
    </xdr:from>
    <xdr:to>
      <xdr:col>64</xdr:col>
      <xdr:colOff>102054</xdr:colOff>
      <xdr:row>333</xdr:row>
      <xdr:rowOff>95250</xdr:rowOff>
    </xdr:to>
    <xdr:cxnSp macro="">
      <xdr:nvCxnSpPr>
        <xdr:cNvPr id="253" name="직선 화살표 연결선 252"/>
        <xdr:cNvCxnSpPr/>
      </xdr:nvCxnSpPr>
      <xdr:spPr>
        <a:xfrm>
          <a:off x="14511474" y="6352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332</xdr:row>
      <xdr:rowOff>38100</xdr:rowOff>
    </xdr:from>
    <xdr:to>
      <xdr:col>67</xdr:col>
      <xdr:colOff>21681</xdr:colOff>
      <xdr:row>332</xdr:row>
      <xdr:rowOff>152400</xdr:rowOff>
    </xdr:to>
    <xdr:sp macro="" textlink="">
      <xdr:nvSpPr>
        <xdr:cNvPr id="254" name="329"/>
        <xdr:cNvSpPr/>
      </xdr:nvSpPr>
      <xdr:spPr>
        <a:xfrm>
          <a:off x="14843760" y="63276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332</xdr:row>
      <xdr:rowOff>95250</xdr:rowOff>
    </xdr:from>
    <xdr:to>
      <xdr:col>67</xdr:col>
      <xdr:colOff>0</xdr:colOff>
      <xdr:row>332</xdr:row>
      <xdr:rowOff>95250</xdr:rowOff>
    </xdr:to>
    <xdr:cxnSp macro="">
      <xdr:nvCxnSpPr>
        <xdr:cNvPr id="255" name="직선 화살표 연결선 254"/>
        <xdr:cNvCxnSpPr/>
      </xdr:nvCxnSpPr>
      <xdr:spPr>
        <a:xfrm>
          <a:off x="14843760" y="6333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331</xdr:row>
      <xdr:rowOff>38100</xdr:rowOff>
    </xdr:from>
    <xdr:to>
      <xdr:col>67</xdr:col>
      <xdr:colOff>1270</xdr:colOff>
      <xdr:row>331</xdr:row>
      <xdr:rowOff>152400</xdr:rowOff>
    </xdr:to>
    <xdr:sp macro="" textlink="">
      <xdr:nvSpPr>
        <xdr:cNvPr id="256" name="328"/>
        <xdr:cNvSpPr/>
      </xdr:nvSpPr>
      <xdr:spPr>
        <a:xfrm>
          <a:off x="14511474" y="63085980"/>
          <a:ext cx="3335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331</xdr:row>
      <xdr:rowOff>95250</xdr:rowOff>
    </xdr:from>
    <xdr:to>
      <xdr:col>64</xdr:col>
      <xdr:colOff>102054</xdr:colOff>
      <xdr:row>331</xdr:row>
      <xdr:rowOff>95250</xdr:rowOff>
    </xdr:to>
    <xdr:cxnSp macro="">
      <xdr:nvCxnSpPr>
        <xdr:cNvPr id="257" name="직선 화살표 연결선 256"/>
        <xdr:cNvCxnSpPr/>
      </xdr:nvCxnSpPr>
      <xdr:spPr>
        <a:xfrm>
          <a:off x="14511474" y="6314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330</xdr:row>
      <xdr:rowOff>38100</xdr:rowOff>
    </xdr:from>
    <xdr:to>
      <xdr:col>67</xdr:col>
      <xdr:colOff>21681</xdr:colOff>
      <xdr:row>330</xdr:row>
      <xdr:rowOff>152400</xdr:rowOff>
    </xdr:to>
    <xdr:sp macro="" textlink="">
      <xdr:nvSpPr>
        <xdr:cNvPr id="258" name="327"/>
        <xdr:cNvSpPr/>
      </xdr:nvSpPr>
      <xdr:spPr>
        <a:xfrm>
          <a:off x="14511474" y="62895480"/>
          <a:ext cx="35396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330</xdr:row>
      <xdr:rowOff>95250</xdr:rowOff>
    </xdr:from>
    <xdr:to>
      <xdr:col>64</xdr:col>
      <xdr:colOff>102054</xdr:colOff>
      <xdr:row>330</xdr:row>
      <xdr:rowOff>95250</xdr:rowOff>
    </xdr:to>
    <xdr:cxnSp macro="">
      <xdr:nvCxnSpPr>
        <xdr:cNvPr id="259" name="직선 화살표 연결선 258"/>
        <xdr:cNvCxnSpPr/>
      </xdr:nvCxnSpPr>
      <xdr:spPr>
        <a:xfrm>
          <a:off x="14511474" y="6295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329</xdr:row>
      <xdr:rowOff>38100</xdr:rowOff>
    </xdr:from>
    <xdr:to>
      <xdr:col>70</xdr:col>
      <xdr:colOff>123734</xdr:colOff>
      <xdr:row>329</xdr:row>
      <xdr:rowOff>152400</xdr:rowOff>
    </xdr:to>
    <xdr:sp macro="" textlink="">
      <xdr:nvSpPr>
        <xdr:cNvPr id="260" name="326"/>
        <xdr:cNvSpPr/>
      </xdr:nvSpPr>
      <xdr:spPr>
        <a:xfrm>
          <a:off x="15380154" y="62704980"/>
          <a:ext cx="216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329</xdr:row>
      <xdr:rowOff>95250</xdr:rowOff>
    </xdr:from>
    <xdr:to>
      <xdr:col>70</xdr:col>
      <xdr:colOff>102054</xdr:colOff>
      <xdr:row>329</xdr:row>
      <xdr:rowOff>95250</xdr:rowOff>
    </xdr:to>
    <xdr:cxnSp macro="">
      <xdr:nvCxnSpPr>
        <xdr:cNvPr id="261" name="직선 화살표 연결선 260"/>
        <xdr:cNvCxnSpPr/>
      </xdr:nvCxnSpPr>
      <xdr:spPr>
        <a:xfrm>
          <a:off x="15380154" y="6276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40821</xdr:colOff>
      <xdr:row>328</xdr:row>
      <xdr:rowOff>38100</xdr:rowOff>
    </xdr:from>
    <xdr:to>
      <xdr:col>70</xdr:col>
      <xdr:colOff>103324</xdr:colOff>
      <xdr:row>328</xdr:row>
      <xdr:rowOff>152400</xdr:rowOff>
    </xdr:to>
    <xdr:sp macro="" textlink="">
      <xdr:nvSpPr>
        <xdr:cNvPr id="262" name="325"/>
        <xdr:cNvSpPr/>
      </xdr:nvSpPr>
      <xdr:spPr>
        <a:xfrm>
          <a:off x="15029361" y="62514480"/>
          <a:ext cx="35206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40821</xdr:colOff>
      <xdr:row>328</xdr:row>
      <xdr:rowOff>95250</xdr:rowOff>
    </xdr:from>
    <xdr:to>
      <xdr:col>68</xdr:col>
      <xdr:colOff>40821</xdr:colOff>
      <xdr:row>328</xdr:row>
      <xdr:rowOff>95250</xdr:rowOff>
    </xdr:to>
    <xdr:cxnSp macro="">
      <xdr:nvCxnSpPr>
        <xdr:cNvPr id="263" name="직선 화살표 연결선 262"/>
        <xdr:cNvCxnSpPr/>
      </xdr:nvCxnSpPr>
      <xdr:spPr>
        <a:xfrm>
          <a:off x="15029361" y="6257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40821</xdr:colOff>
      <xdr:row>327</xdr:row>
      <xdr:rowOff>38100</xdr:rowOff>
    </xdr:from>
    <xdr:to>
      <xdr:col>70</xdr:col>
      <xdr:colOff>123734</xdr:colOff>
      <xdr:row>327</xdr:row>
      <xdr:rowOff>152400</xdr:rowOff>
    </xdr:to>
    <xdr:sp macro="" textlink="">
      <xdr:nvSpPr>
        <xdr:cNvPr id="264" name="324"/>
        <xdr:cNvSpPr/>
      </xdr:nvSpPr>
      <xdr:spPr>
        <a:xfrm>
          <a:off x="15029361" y="62323980"/>
          <a:ext cx="3724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40821</xdr:colOff>
      <xdr:row>327</xdr:row>
      <xdr:rowOff>95250</xdr:rowOff>
    </xdr:from>
    <xdr:to>
      <xdr:col>68</xdr:col>
      <xdr:colOff>40821</xdr:colOff>
      <xdr:row>327</xdr:row>
      <xdr:rowOff>95250</xdr:rowOff>
    </xdr:to>
    <xdr:cxnSp macro="">
      <xdr:nvCxnSpPr>
        <xdr:cNvPr id="265" name="직선 화살표 연결선 264"/>
        <xdr:cNvCxnSpPr/>
      </xdr:nvCxnSpPr>
      <xdr:spPr>
        <a:xfrm>
          <a:off x="15029361" y="6238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326</xdr:row>
      <xdr:rowOff>38100</xdr:rowOff>
    </xdr:from>
    <xdr:to>
      <xdr:col>67</xdr:col>
      <xdr:colOff>21681</xdr:colOff>
      <xdr:row>326</xdr:row>
      <xdr:rowOff>152400</xdr:rowOff>
    </xdr:to>
    <xdr:sp macro="" textlink="">
      <xdr:nvSpPr>
        <xdr:cNvPr id="266" name="323"/>
        <xdr:cNvSpPr/>
      </xdr:nvSpPr>
      <xdr:spPr>
        <a:xfrm>
          <a:off x="14843760" y="62133480"/>
          <a:ext cx="216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326</xdr:row>
      <xdr:rowOff>95250</xdr:rowOff>
    </xdr:from>
    <xdr:to>
      <xdr:col>67</xdr:col>
      <xdr:colOff>0</xdr:colOff>
      <xdr:row>326</xdr:row>
      <xdr:rowOff>95250</xdr:rowOff>
    </xdr:to>
    <xdr:cxnSp macro="">
      <xdr:nvCxnSpPr>
        <xdr:cNvPr id="267" name="직선 화살표 연결선 266"/>
        <xdr:cNvCxnSpPr/>
      </xdr:nvCxnSpPr>
      <xdr:spPr>
        <a:xfrm>
          <a:off x="14843760" y="6219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325</xdr:row>
      <xdr:rowOff>38100</xdr:rowOff>
    </xdr:from>
    <xdr:to>
      <xdr:col>67</xdr:col>
      <xdr:colOff>1270</xdr:colOff>
      <xdr:row>325</xdr:row>
      <xdr:rowOff>152400</xdr:rowOff>
    </xdr:to>
    <xdr:sp macro="" textlink="">
      <xdr:nvSpPr>
        <xdr:cNvPr id="268" name="322"/>
        <xdr:cNvSpPr/>
      </xdr:nvSpPr>
      <xdr:spPr>
        <a:xfrm>
          <a:off x="14511474" y="61942980"/>
          <a:ext cx="3335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325</xdr:row>
      <xdr:rowOff>95250</xdr:rowOff>
    </xdr:from>
    <xdr:to>
      <xdr:col>64</xdr:col>
      <xdr:colOff>102054</xdr:colOff>
      <xdr:row>325</xdr:row>
      <xdr:rowOff>95250</xdr:rowOff>
    </xdr:to>
    <xdr:cxnSp macro="">
      <xdr:nvCxnSpPr>
        <xdr:cNvPr id="269" name="직선 화살표 연결선 268"/>
        <xdr:cNvCxnSpPr/>
      </xdr:nvCxnSpPr>
      <xdr:spPr>
        <a:xfrm>
          <a:off x="14511474" y="6200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324</xdr:row>
      <xdr:rowOff>38100</xdr:rowOff>
    </xdr:from>
    <xdr:to>
      <xdr:col>67</xdr:col>
      <xdr:colOff>21681</xdr:colOff>
      <xdr:row>324</xdr:row>
      <xdr:rowOff>152400</xdr:rowOff>
    </xdr:to>
    <xdr:sp macro="" textlink="">
      <xdr:nvSpPr>
        <xdr:cNvPr id="270" name="321"/>
        <xdr:cNvSpPr/>
      </xdr:nvSpPr>
      <xdr:spPr>
        <a:xfrm>
          <a:off x="14511474" y="61752480"/>
          <a:ext cx="35396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324</xdr:row>
      <xdr:rowOff>95250</xdr:rowOff>
    </xdr:from>
    <xdr:to>
      <xdr:col>64</xdr:col>
      <xdr:colOff>102054</xdr:colOff>
      <xdr:row>324</xdr:row>
      <xdr:rowOff>95250</xdr:rowOff>
    </xdr:to>
    <xdr:cxnSp macro="">
      <xdr:nvCxnSpPr>
        <xdr:cNvPr id="271" name="직선 화살표 연결선 270"/>
        <xdr:cNvCxnSpPr/>
      </xdr:nvCxnSpPr>
      <xdr:spPr>
        <a:xfrm>
          <a:off x="14511474" y="6180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323</xdr:row>
      <xdr:rowOff>38100</xdr:rowOff>
    </xdr:from>
    <xdr:to>
      <xdr:col>72</xdr:col>
      <xdr:colOff>123734</xdr:colOff>
      <xdr:row>323</xdr:row>
      <xdr:rowOff>152400</xdr:rowOff>
    </xdr:to>
    <xdr:sp macro="" textlink="">
      <xdr:nvSpPr>
        <xdr:cNvPr id="272" name="320"/>
        <xdr:cNvSpPr/>
      </xdr:nvSpPr>
      <xdr:spPr>
        <a:xfrm>
          <a:off x="14511474" y="61561980"/>
          <a:ext cx="117992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323</xdr:row>
      <xdr:rowOff>95250</xdr:rowOff>
    </xdr:from>
    <xdr:to>
      <xdr:col>64</xdr:col>
      <xdr:colOff>102054</xdr:colOff>
      <xdr:row>323</xdr:row>
      <xdr:rowOff>95250</xdr:rowOff>
    </xdr:to>
    <xdr:cxnSp macro="">
      <xdr:nvCxnSpPr>
        <xdr:cNvPr id="273" name="직선 화살표 연결선 272"/>
        <xdr:cNvCxnSpPr/>
      </xdr:nvCxnSpPr>
      <xdr:spPr>
        <a:xfrm>
          <a:off x="14511474" y="6161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322</xdr:row>
      <xdr:rowOff>38100</xdr:rowOff>
    </xdr:from>
    <xdr:to>
      <xdr:col>88</xdr:col>
      <xdr:colOff>82913</xdr:colOff>
      <xdr:row>322</xdr:row>
      <xdr:rowOff>152400</xdr:rowOff>
    </xdr:to>
    <xdr:sp macro="" textlink="">
      <xdr:nvSpPr>
        <xdr:cNvPr id="274" name="319"/>
        <xdr:cNvSpPr/>
      </xdr:nvSpPr>
      <xdr:spPr>
        <a:xfrm>
          <a:off x="14511474" y="61371480"/>
          <a:ext cx="345557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322</xdr:row>
      <xdr:rowOff>95250</xdr:rowOff>
    </xdr:from>
    <xdr:to>
      <xdr:col>64</xdr:col>
      <xdr:colOff>102054</xdr:colOff>
      <xdr:row>322</xdr:row>
      <xdr:rowOff>95250</xdr:rowOff>
    </xdr:to>
    <xdr:cxnSp macro="">
      <xdr:nvCxnSpPr>
        <xdr:cNvPr id="275" name="직선 화살표 연결선 274"/>
        <xdr:cNvCxnSpPr/>
      </xdr:nvCxnSpPr>
      <xdr:spPr>
        <a:xfrm>
          <a:off x="14511474" y="6142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321</xdr:row>
      <xdr:rowOff>38100</xdr:rowOff>
    </xdr:from>
    <xdr:to>
      <xdr:col>88</xdr:col>
      <xdr:colOff>82913</xdr:colOff>
      <xdr:row>321</xdr:row>
      <xdr:rowOff>152400</xdr:rowOff>
    </xdr:to>
    <xdr:sp macro="" textlink="">
      <xdr:nvSpPr>
        <xdr:cNvPr id="276" name="318"/>
        <xdr:cNvSpPr/>
      </xdr:nvSpPr>
      <xdr:spPr>
        <a:xfrm>
          <a:off x="14511474" y="61180980"/>
          <a:ext cx="345557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321</xdr:row>
      <xdr:rowOff>95250</xdr:rowOff>
    </xdr:from>
    <xdr:to>
      <xdr:col>64</xdr:col>
      <xdr:colOff>102054</xdr:colOff>
      <xdr:row>321</xdr:row>
      <xdr:rowOff>95250</xdr:rowOff>
    </xdr:to>
    <xdr:cxnSp macro="">
      <xdr:nvCxnSpPr>
        <xdr:cNvPr id="277" name="직선 화살표 연결선 276"/>
        <xdr:cNvCxnSpPr/>
      </xdr:nvCxnSpPr>
      <xdr:spPr>
        <a:xfrm>
          <a:off x="14511474" y="6123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122464</xdr:colOff>
      <xdr:row>320</xdr:row>
      <xdr:rowOff>38100</xdr:rowOff>
    </xdr:from>
    <xdr:to>
      <xdr:col>79</xdr:col>
      <xdr:colOff>21681</xdr:colOff>
      <xdr:row>320</xdr:row>
      <xdr:rowOff>152400</xdr:rowOff>
    </xdr:to>
    <xdr:sp macro="" textlink="">
      <xdr:nvSpPr>
        <xdr:cNvPr id="278" name="317"/>
        <xdr:cNvSpPr/>
      </xdr:nvSpPr>
      <xdr:spPr>
        <a:xfrm>
          <a:off x="16414024" y="60990480"/>
          <a:ext cx="18877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122464</xdr:colOff>
      <xdr:row>320</xdr:row>
      <xdr:rowOff>95250</xdr:rowOff>
    </xdr:from>
    <xdr:to>
      <xdr:col>77</xdr:col>
      <xdr:colOff>122464</xdr:colOff>
      <xdr:row>320</xdr:row>
      <xdr:rowOff>95250</xdr:rowOff>
    </xdr:to>
    <xdr:cxnSp macro="">
      <xdr:nvCxnSpPr>
        <xdr:cNvPr id="279" name="직선 화살표 연결선 278"/>
        <xdr:cNvCxnSpPr/>
      </xdr:nvCxnSpPr>
      <xdr:spPr>
        <a:xfrm>
          <a:off x="16414024" y="6104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122464</xdr:colOff>
      <xdr:row>319</xdr:row>
      <xdr:rowOff>38100</xdr:rowOff>
    </xdr:from>
    <xdr:to>
      <xdr:col>79</xdr:col>
      <xdr:colOff>21681</xdr:colOff>
      <xdr:row>319</xdr:row>
      <xdr:rowOff>152400</xdr:rowOff>
    </xdr:to>
    <xdr:sp macro="" textlink="">
      <xdr:nvSpPr>
        <xdr:cNvPr id="280" name="316"/>
        <xdr:cNvSpPr/>
      </xdr:nvSpPr>
      <xdr:spPr>
        <a:xfrm>
          <a:off x="16269244" y="60799980"/>
          <a:ext cx="33355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122464</xdr:colOff>
      <xdr:row>319</xdr:row>
      <xdr:rowOff>95250</xdr:rowOff>
    </xdr:from>
    <xdr:to>
      <xdr:col>76</xdr:col>
      <xdr:colOff>122464</xdr:colOff>
      <xdr:row>319</xdr:row>
      <xdr:rowOff>95250</xdr:rowOff>
    </xdr:to>
    <xdr:cxnSp macro="">
      <xdr:nvCxnSpPr>
        <xdr:cNvPr id="281" name="직선 화살표 연결선 280"/>
        <xdr:cNvCxnSpPr/>
      </xdr:nvCxnSpPr>
      <xdr:spPr>
        <a:xfrm>
          <a:off x="16269244" y="6085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122464</xdr:colOff>
      <xdr:row>318</xdr:row>
      <xdr:rowOff>38100</xdr:rowOff>
    </xdr:from>
    <xdr:to>
      <xdr:col>79</xdr:col>
      <xdr:colOff>21681</xdr:colOff>
      <xdr:row>318</xdr:row>
      <xdr:rowOff>152400</xdr:rowOff>
    </xdr:to>
    <xdr:sp macro="" textlink="">
      <xdr:nvSpPr>
        <xdr:cNvPr id="282" name="315"/>
        <xdr:cNvSpPr/>
      </xdr:nvSpPr>
      <xdr:spPr>
        <a:xfrm>
          <a:off x="16269244" y="60609480"/>
          <a:ext cx="33355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122464</xdr:colOff>
      <xdr:row>318</xdr:row>
      <xdr:rowOff>95250</xdr:rowOff>
    </xdr:from>
    <xdr:to>
      <xdr:col>76</xdr:col>
      <xdr:colOff>122464</xdr:colOff>
      <xdr:row>318</xdr:row>
      <xdr:rowOff>95250</xdr:rowOff>
    </xdr:to>
    <xdr:cxnSp macro="">
      <xdr:nvCxnSpPr>
        <xdr:cNvPr id="283" name="직선 화살표 연결선 282"/>
        <xdr:cNvCxnSpPr/>
      </xdr:nvCxnSpPr>
      <xdr:spPr>
        <a:xfrm>
          <a:off x="16269244" y="6066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61232</xdr:colOff>
      <xdr:row>317</xdr:row>
      <xdr:rowOff>38100</xdr:rowOff>
    </xdr:from>
    <xdr:to>
      <xdr:col>77</xdr:col>
      <xdr:colOff>103324</xdr:colOff>
      <xdr:row>317</xdr:row>
      <xdr:rowOff>152400</xdr:rowOff>
    </xdr:to>
    <xdr:sp macro="" textlink="">
      <xdr:nvSpPr>
        <xdr:cNvPr id="284" name="314"/>
        <xdr:cNvSpPr/>
      </xdr:nvSpPr>
      <xdr:spPr>
        <a:xfrm>
          <a:off x="16208012" y="60418980"/>
          <a:ext cx="1868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61232</xdr:colOff>
      <xdr:row>317</xdr:row>
      <xdr:rowOff>95250</xdr:rowOff>
    </xdr:from>
    <xdr:to>
      <xdr:col>76</xdr:col>
      <xdr:colOff>61232</xdr:colOff>
      <xdr:row>317</xdr:row>
      <xdr:rowOff>95250</xdr:rowOff>
    </xdr:to>
    <xdr:cxnSp macro="">
      <xdr:nvCxnSpPr>
        <xdr:cNvPr id="285" name="직선 화살표 연결선 284"/>
        <xdr:cNvCxnSpPr/>
      </xdr:nvCxnSpPr>
      <xdr:spPr>
        <a:xfrm>
          <a:off x="16208012" y="6047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316</xdr:row>
      <xdr:rowOff>38100</xdr:rowOff>
    </xdr:from>
    <xdr:to>
      <xdr:col>77</xdr:col>
      <xdr:colOff>103324</xdr:colOff>
      <xdr:row>316</xdr:row>
      <xdr:rowOff>152400</xdr:rowOff>
    </xdr:to>
    <xdr:sp macro="" textlink="">
      <xdr:nvSpPr>
        <xdr:cNvPr id="286" name="313"/>
        <xdr:cNvSpPr/>
      </xdr:nvSpPr>
      <xdr:spPr>
        <a:xfrm>
          <a:off x="16083643" y="602284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316</xdr:row>
      <xdr:rowOff>95250</xdr:rowOff>
    </xdr:from>
    <xdr:to>
      <xdr:col>75</xdr:col>
      <xdr:colOff>81643</xdr:colOff>
      <xdr:row>316</xdr:row>
      <xdr:rowOff>95250</xdr:rowOff>
    </xdr:to>
    <xdr:cxnSp macro="">
      <xdr:nvCxnSpPr>
        <xdr:cNvPr id="287" name="직선 화살표 연결선 286"/>
        <xdr:cNvCxnSpPr/>
      </xdr:nvCxnSpPr>
      <xdr:spPr>
        <a:xfrm>
          <a:off x="16083643" y="6028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315</xdr:row>
      <xdr:rowOff>38100</xdr:rowOff>
    </xdr:from>
    <xdr:to>
      <xdr:col>77</xdr:col>
      <xdr:colOff>103324</xdr:colOff>
      <xdr:row>315</xdr:row>
      <xdr:rowOff>152400</xdr:rowOff>
    </xdr:to>
    <xdr:sp macro="" textlink="">
      <xdr:nvSpPr>
        <xdr:cNvPr id="288" name="312"/>
        <xdr:cNvSpPr/>
      </xdr:nvSpPr>
      <xdr:spPr>
        <a:xfrm>
          <a:off x="16083643" y="600379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315</xdr:row>
      <xdr:rowOff>95250</xdr:rowOff>
    </xdr:from>
    <xdr:to>
      <xdr:col>75</xdr:col>
      <xdr:colOff>81643</xdr:colOff>
      <xdr:row>315</xdr:row>
      <xdr:rowOff>95250</xdr:rowOff>
    </xdr:to>
    <xdr:cxnSp macro="">
      <xdr:nvCxnSpPr>
        <xdr:cNvPr id="289" name="직선 화살표 연결선 288"/>
        <xdr:cNvCxnSpPr/>
      </xdr:nvCxnSpPr>
      <xdr:spPr>
        <a:xfrm>
          <a:off x="16083643" y="6009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40821</xdr:colOff>
      <xdr:row>314</xdr:row>
      <xdr:rowOff>38100</xdr:rowOff>
    </xdr:from>
    <xdr:to>
      <xdr:col>80</xdr:col>
      <xdr:colOff>103324</xdr:colOff>
      <xdr:row>314</xdr:row>
      <xdr:rowOff>152400</xdr:rowOff>
    </xdr:to>
    <xdr:sp macro="" textlink="">
      <xdr:nvSpPr>
        <xdr:cNvPr id="290" name="311"/>
        <xdr:cNvSpPr/>
      </xdr:nvSpPr>
      <xdr:spPr>
        <a:xfrm>
          <a:off x="16621941" y="598474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79</xdr:col>
      <xdr:colOff>40821</xdr:colOff>
      <xdr:row>314</xdr:row>
      <xdr:rowOff>95250</xdr:rowOff>
    </xdr:from>
    <xdr:to>
      <xdr:col>79</xdr:col>
      <xdr:colOff>40821</xdr:colOff>
      <xdr:row>314</xdr:row>
      <xdr:rowOff>95250</xdr:rowOff>
    </xdr:to>
    <xdr:cxnSp macro="">
      <xdr:nvCxnSpPr>
        <xdr:cNvPr id="291" name="직선 화살표 연결선 290"/>
        <xdr:cNvCxnSpPr/>
      </xdr:nvCxnSpPr>
      <xdr:spPr>
        <a:xfrm>
          <a:off x="16621941" y="5990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40821</xdr:colOff>
      <xdr:row>313</xdr:row>
      <xdr:rowOff>38100</xdr:rowOff>
    </xdr:from>
    <xdr:to>
      <xdr:col>80</xdr:col>
      <xdr:colOff>103324</xdr:colOff>
      <xdr:row>313</xdr:row>
      <xdr:rowOff>152400</xdr:rowOff>
    </xdr:to>
    <xdr:sp macro="" textlink="">
      <xdr:nvSpPr>
        <xdr:cNvPr id="292" name="310"/>
        <xdr:cNvSpPr/>
      </xdr:nvSpPr>
      <xdr:spPr>
        <a:xfrm>
          <a:off x="16477161" y="59656980"/>
          <a:ext cx="35206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40821</xdr:colOff>
      <xdr:row>313</xdr:row>
      <xdr:rowOff>95250</xdr:rowOff>
    </xdr:from>
    <xdr:to>
      <xdr:col>78</xdr:col>
      <xdr:colOff>40821</xdr:colOff>
      <xdr:row>313</xdr:row>
      <xdr:rowOff>95250</xdr:rowOff>
    </xdr:to>
    <xdr:cxnSp macro="">
      <xdr:nvCxnSpPr>
        <xdr:cNvPr id="293" name="직선 화살표 연결선 292"/>
        <xdr:cNvCxnSpPr/>
      </xdr:nvCxnSpPr>
      <xdr:spPr>
        <a:xfrm>
          <a:off x="16477161" y="5971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40821</xdr:colOff>
      <xdr:row>312</xdr:row>
      <xdr:rowOff>38100</xdr:rowOff>
    </xdr:from>
    <xdr:to>
      <xdr:col>80</xdr:col>
      <xdr:colOff>103324</xdr:colOff>
      <xdr:row>312</xdr:row>
      <xdr:rowOff>152400</xdr:rowOff>
    </xdr:to>
    <xdr:sp macro="" textlink="">
      <xdr:nvSpPr>
        <xdr:cNvPr id="294" name="309"/>
        <xdr:cNvSpPr/>
      </xdr:nvSpPr>
      <xdr:spPr>
        <a:xfrm>
          <a:off x="16477161" y="59466480"/>
          <a:ext cx="35206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78</xdr:col>
      <xdr:colOff>40821</xdr:colOff>
      <xdr:row>312</xdr:row>
      <xdr:rowOff>95250</xdr:rowOff>
    </xdr:from>
    <xdr:to>
      <xdr:col>78</xdr:col>
      <xdr:colOff>40821</xdr:colOff>
      <xdr:row>312</xdr:row>
      <xdr:rowOff>95250</xdr:rowOff>
    </xdr:to>
    <xdr:cxnSp macro="">
      <xdr:nvCxnSpPr>
        <xdr:cNvPr id="295" name="직선 화살표 연결선 294"/>
        <xdr:cNvCxnSpPr/>
      </xdr:nvCxnSpPr>
      <xdr:spPr>
        <a:xfrm>
          <a:off x="16477161" y="5952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20411</xdr:colOff>
      <xdr:row>311</xdr:row>
      <xdr:rowOff>38100</xdr:rowOff>
    </xdr:from>
    <xdr:to>
      <xdr:col>73</xdr:col>
      <xdr:colOff>62502</xdr:colOff>
      <xdr:row>311</xdr:row>
      <xdr:rowOff>152400</xdr:rowOff>
    </xdr:to>
    <xdr:sp macro="" textlink="">
      <xdr:nvSpPr>
        <xdr:cNvPr id="296" name="308"/>
        <xdr:cNvSpPr/>
      </xdr:nvSpPr>
      <xdr:spPr>
        <a:xfrm>
          <a:off x="15588071" y="59275980"/>
          <a:ext cx="1868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20411</xdr:colOff>
      <xdr:row>311</xdr:row>
      <xdr:rowOff>95250</xdr:rowOff>
    </xdr:from>
    <xdr:to>
      <xdr:col>72</xdr:col>
      <xdr:colOff>20411</xdr:colOff>
      <xdr:row>311</xdr:row>
      <xdr:rowOff>95250</xdr:rowOff>
    </xdr:to>
    <xdr:cxnSp macro="">
      <xdr:nvCxnSpPr>
        <xdr:cNvPr id="297" name="직선 화살표 연결선 296"/>
        <xdr:cNvCxnSpPr/>
      </xdr:nvCxnSpPr>
      <xdr:spPr>
        <a:xfrm>
          <a:off x="15588071" y="5933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40821</xdr:colOff>
      <xdr:row>310</xdr:row>
      <xdr:rowOff>38100</xdr:rowOff>
    </xdr:from>
    <xdr:to>
      <xdr:col>73</xdr:col>
      <xdr:colOff>62502</xdr:colOff>
      <xdr:row>310</xdr:row>
      <xdr:rowOff>152400</xdr:rowOff>
    </xdr:to>
    <xdr:sp macro="" textlink="">
      <xdr:nvSpPr>
        <xdr:cNvPr id="298" name="307"/>
        <xdr:cNvSpPr/>
      </xdr:nvSpPr>
      <xdr:spPr>
        <a:xfrm>
          <a:off x="15463701" y="590854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40821</xdr:colOff>
      <xdr:row>310</xdr:row>
      <xdr:rowOff>95250</xdr:rowOff>
    </xdr:from>
    <xdr:to>
      <xdr:col>71</xdr:col>
      <xdr:colOff>40821</xdr:colOff>
      <xdr:row>310</xdr:row>
      <xdr:rowOff>95250</xdr:rowOff>
    </xdr:to>
    <xdr:cxnSp macro="">
      <xdr:nvCxnSpPr>
        <xdr:cNvPr id="299" name="직선 화살표 연결선 298"/>
        <xdr:cNvCxnSpPr/>
      </xdr:nvCxnSpPr>
      <xdr:spPr>
        <a:xfrm>
          <a:off x="15463701" y="5914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40821</xdr:colOff>
      <xdr:row>309</xdr:row>
      <xdr:rowOff>38100</xdr:rowOff>
    </xdr:from>
    <xdr:to>
      <xdr:col>73</xdr:col>
      <xdr:colOff>62502</xdr:colOff>
      <xdr:row>309</xdr:row>
      <xdr:rowOff>152400</xdr:rowOff>
    </xdr:to>
    <xdr:sp macro="" textlink="">
      <xdr:nvSpPr>
        <xdr:cNvPr id="300" name="306"/>
        <xdr:cNvSpPr/>
      </xdr:nvSpPr>
      <xdr:spPr>
        <a:xfrm>
          <a:off x="15463701" y="588949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40821</xdr:colOff>
      <xdr:row>309</xdr:row>
      <xdr:rowOff>95250</xdr:rowOff>
    </xdr:from>
    <xdr:to>
      <xdr:col>71</xdr:col>
      <xdr:colOff>40821</xdr:colOff>
      <xdr:row>309</xdr:row>
      <xdr:rowOff>95250</xdr:rowOff>
    </xdr:to>
    <xdr:cxnSp macro="">
      <xdr:nvCxnSpPr>
        <xdr:cNvPr id="301" name="직선 화살표 연결선 300"/>
        <xdr:cNvCxnSpPr/>
      </xdr:nvCxnSpPr>
      <xdr:spPr>
        <a:xfrm>
          <a:off x="15463701" y="5895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20411</xdr:colOff>
      <xdr:row>308</xdr:row>
      <xdr:rowOff>38100</xdr:rowOff>
    </xdr:from>
    <xdr:to>
      <xdr:col>73</xdr:col>
      <xdr:colOff>62502</xdr:colOff>
      <xdr:row>308</xdr:row>
      <xdr:rowOff>152400</xdr:rowOff>
    </xdr:to>
    <xdr:sp macro="" textlink="">
      <xdr:nvSpPr>
        <xdr:cNvPr id="302" name="305"/>
        <xdr:cNvSpPr/>
      </xdr:nvSpPr>
      <xdr:spPr>
        <a:xfrm>
          <a:off x="15588071" y="58704480"/>
          <a:ext cx="1868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20411</xdr:colOff>
      <xdr:row>308</xdr:row>
      <xdr:rowOff>95250</xdr:rowOff>
    </xdr:from>
    <xdr:to>
      <xdr:col>72</xdr:col>
      <xdr:colOff>20411</xdr:colOff>
      <xdr:row>308</xdr:row>
      <xdr:rowOff>95250</xdr:rowOff>
    </xdr:to>
    <xdr:cxnSp macro="">
      <xdr:nvCxnSpPr>
        <xdr:cNvPr id="303" name="직선 화살표 연결선 302"/>
        <xdr:cNvCxnSpPr/>
      </xdr:nvCxnSpPr>
      <xdr:spPr>
        <a:xfrm>
          <a:off x="15588071" y="5876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40821</xdr:colOff>
      <xdr:row>307</xdr:row>
      <xdr:rowOff>38100</xdr:rowOff>
    </xdr:from>
    <xdr:to>
      <xdr:col>73</xdr:col>
      <xdr:colOff>62502</xdr:colOff>
      <xdr:row>307</xdr:row>
      <xdr:rowOff>152400</xdr:rowOff>
    </xdr:to>
    <xdr:sp macro="" textlink="">
      <xdr:nvSpPr>
        <xdr:cNvPr id="304" name="304"/>
        <xdr:cNvSpPr/>
      </xdr:nvSpPr>
      <xdr:spPr>
        <a:xfrm>
          <a:off x="15463701" y="585139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40821</xdr:colOff>
      <xdr:row>307</xdr:row>
      <xdr:rowOff>95250</xdr:rowOff>
    </xdr:from>
    <xdr:to>
      <xdr:col>71</xdr:col>
      <xdr:colOff>40821</xdr:colOff>
      <xdr:row>307</xdr:row>
      <xdr:rowOff>95250</xdr:rowOff>
    </xdr:to>
    <xdr:cxnSp macro="">
      <xdr:nvCxnSpPr>
        <xdr:cNvPr id="305" name="직선 화살표 연결선 304"/>
        <xdr:cNvCxnSpPr/>
      </xdr:nvCxnSpPr>
      <xdr:spPr>
        <a:xfrm>
          <a:off x="15463701" y="5857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40821</xdr:colOff>
      <xdr:row>306</xdr:row>
      <xdr:rowOff>38100</xdr:rowOff>
    </xdr:from>
    <xdr:to>
      <xdr:col>73</xdr:col>
      <xdr:colOff>62502</xdr:colOff>
      <xdr:row>306</xdr:row>
      <xdr:rowOff>152400</xdr:rowOff>
    </xdr:to>
    <xdr:sp macro="" textlink="">
      <xdr:nvSpPr>
        <xdr:cNvPr id="306" name="303"/>
        <xdr:cNvSpPr/>
      </xdr:nvSpPr>
      <xdr:spPr>
        <a:xfrm>
          <a:off x="15463701" y="583234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40821</xdr:colOff>
      <xdr:row>306</xdr:row>
      <xdr:rowOff>95250</xdr:rowOff>
    </xdr:from>
    <xdr:to>
      <xdr:col>71</xdr:col>
      <xdr:colOff>40821</xdr:colOff>
      <xdr:row>306</xdr:row>
      <xdr:rowOff>95250</xdr:rowOff>
    </xdr:to>
    <xdr:cxnSp macro="">
      <xdr:nvCxnSpPr>
        <xdr:cNvPr id="307" name="직선 화살표 연결선 306"/>
        <xdr:cNvCxnSpPr/>
      </xdr:nvCxnSpPr>
      <xdr:spPr>
        <a:xfrm>
          <a:off x="15463701" y="5838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61232</xdr:colOff>
      <xdr:row>305</xdr:row>
      <xdr:rowOff>38100</xdr:rowOff>
    </xdr:from>
    <xdr:to>
      <xdr:col>77</xdr:col>
      <xdr:colOff>103324</xdr:colOff>
      <xdr:row>305</xdr:row>
      <xdr:rowOff>152400</xdr:rowOff>
    </xdr:to>
    <xdr:sp macro="" textlink="">
      <xdr:nvSpPr>
        <xdr:cNvPr id="308" name="302"/>
        <xdr:cNvSpPr/>
      </xdr:nvSpPr>
      <xdr:spPr>
        <a:xfrm>
          <a:off x="16208012" y="58132980"/>
          <a:ext cx="1868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61232</xdr:colOff>
      <xdr:row>305</xdr:row>
      <xdr:rowOff>95250</xdr:rowOff>
    </xdr:from>
    <xdr:to>
      <xdr:col>76</xdr:col>
      <xdr:colOff>61232</xdr:colOff>
      <xdr:row>305</xdr:row>
      <xdr:rowOff>95250</xdr:rowOff>
    </xdr:to>
    <xdr:cxnSp macro="">
      <xdr:nvCxnSpPr>
        <xdr:cNvPr id="309" name="직선 화살표 연결선 308"/>
        <xdr:cNvCxnSpPr/>
      </xdr:nvCxnSpPr>
      <xdr:spPr>
        <a:xfrm>
          <a:off x="16208012" y="5819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304</xdr:row>
      <xdr:rowOff>38100</xdr:rowOff>
    </xdr:from>
    <xdr:to>
      <xdr:col>77</xdr:col>
      <xdr:colOff>103324</xdr:colOff>
      <xdr:row>304</xdr:row>
      <xdr:rowOff>152400</xdr:rowOff>
    </xdr:to>
    <xdr:sp macro="" textlink="">
      <xdr:nvSpPr>
        <xdr:cNvPr id="310" name="301"/>
        <xdr:cNvSpPr/>
      </xdr:nvSpPr>
      <xdr:spPr>
        <a:xfrm>
          <a:off x="16083643" y="579424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304</xdr:row>
      <xdr:rowOff>95250</xdr:rowOff>
    </xdr:from>
    <xdr:to>
      <xdr:col>75</xdr:col>
      <xdr:colOff>81643</xdr:colOff>
      <xdr:row>304</xdr:row>
      <xdr:rowOff>95250</xdr:rowOff>
    </xdr:to>
    <xdr:cxnSp macro="">
      <xdr:nvCxnSpPr>
        <xdr:cNvPr id="311" name="직선 화살표 연결선 310"/>
        <xdr:cNvCxnSpPr/>
      </xdr:nvCxnSpPr>
      <xdr:spPr>
        <a:xfrm>
          <a:off x="16083643" y="5799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303</xdr:row>
      <xdr:rowOff>38100</xdr:rowOff>
    </xdr:from>
    <xdr:to>
      <xdr:col>77</xdr:col>
      <xdr:colOff>103324</xdr:colOff>
      <xdr:row>303</xdr:row>
      <xdr:rowOff>152400</xdr:rowOff>
    </xdr:to>
    <xdr:sp macro="" textlink="">
      <xdr:nvSpPr>
        <xdr:cNvPr id="312" name="300"/>
        <xdr:cNvSpPr/>
      </xdr:nvSpPr>
      <xdr:spPr>
        <a:xfrm>
          <a:off x="16083643" y="577519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303</xdr:row>
      <xdr:rowOff>95250</xdr:rowOff>
    </xdr:from>
    <xdr:to>
      <xdr:col>75</xdr:col>
      <xdr:colOff>81643</xdr:colOff>
      <xdr:row>303</xdr:row>
      <xdr:rowOff>95250</xdr:rowOff>
    </xdr:to>
    <xdr:cxnSp macro="">
      <xdr:nvCxnSpPr>
        <xdr:cNvPr id="313" name="직선 화살표 연결선 312"/>
        <xdr:cNvCxnSpPr/>
      </xdr:nvCxnSpPr>
      <xdr:spPr>
        <a:xfrm>
          <a:off x="16083643" y="5780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40821</xdr:colOff>
      <xdr:row>302</xdr:row>
      <xdr:rowOff>38100</xdr:rowOff>
    </xdr:from>
    <xdr:to>
      <xdr:col>80</xdr:col>
      <xdr:colOff>103324</xdr:colOff>
      <xdr:row>302</xdr:row>
      <xdr:rowOff>152400</xdr:rowOff>
    </xdr:to>
    <xdr:sp macro="" textlink="">
      <xdr:nvSpPr>
        <xdr:cNvPr id="314" name="299"/>
        <xdr:cNvSpPr/>
      </xdr:nvSpPr>
      <xdr:spPr>
        <a:xfrm>
          <a:off x="15463701" y="57561480"/>
          <a:ext cx="136552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40821</xdr:colOff>
      <xdr:row>302</xdr:row>
      <xdr:rowOff>95250</xdr:rowOff>
    </xdr:from>
    <xdr:to>
      <xdr:col>71</xdr:col>
      <xdr:colOff>40821</xdr:colOff>
      <xdr:row>302</xdr:row>
      <xdr:rowOff>95250</xdr:rowOff>
    </xdr:to>
    <xdr:cxnSp macro="">
      <xdr:nvCxnSpPr>
        <xdr:cNvPr id="315" name="직선 화살표 연결선 314"/>
        <xdr:cNvCxnSpPr/>
      </xdr:nvCxnSpPr>
      <xdr:spPr>
        <a:xfrm>
          <a:off x="15463701" y="5761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40821</xdr:colOff>
      <xdr:row>301</xdr:row>
      <xdr:rowOff>38100</xdr:rowOff>
    </xdr:from>
    <xdr:to>
      <xdr:col>70</xdr:col>
      <xdr:colOff>82913</xdr:colOff>
      <xdr:row>301</xdr:row>
      <xdr:rowOff>152400</xdr:rowOff>
    </xdr:to>
    <xdr:sp macro="" textlink="">
      <xdr:nvSpPr>
        <xdr:cNvPr id="316" name="298"/>
        <xdr:cNvSpPr/>
      </xdr:nvSpPr>
      <xdr:spPr>
        <a:xfrm>
          <a:off x="15174141" y="57370980"/>
          <a:ext cx="1868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40821</xdr:colOff>
      <xdr:row>301</xdr:row>
      <xdr:rowOff>95250</xdr:rowOff>
    </xdr:from>
    <xdr:to>
      <xdr:col>69</xdr:col>
      <xdr:colOff>40821</xdr:colOff>
      <xdr:row>301</xdr:row>
      <xdr:rowOff>95250</xdr:rowOff>
    </xdr:to>
    <xdr:cxnSp macro="">
      <xdr:nvCxnSpPr>
        <xdr:cNvPr id="317" name="직선 화살표 연결선 316"/>
        <xdr:cNvCxnSpPr/>
      </xdr:nvCxnSpPr>
      <xdr:spPr>
        <a:xfrm>
          <a:off x="15174141" y="5742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40821</xdr:colOff>
      <xdr:row>300</xdr:row>
      <xdr:rowOff>38100</xdr:rowOff>
    </xdr:from>
    <xdr:to>
      <xdr:col>70</xdr:col>
      <xdr:colOff>82913</xdr:colOff>
      <xdr:row>300</xdr:row>
      <xdr:rowOff>152400</xdr:rowOff>
    </xdr:to>
    <xdr:sp macro="" textlink="">
      <xdr:nvSpPr>
        <xdr:cNvPr id="318" name="297"/>
        <xdr:cNvSpPr/>
      </xdr:nvSpPr>
      <xdr:spPr>
        <a:xfrm>
          <a:off x="15029361" y="57180480"/>
          <a:ext cx="3316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40821</xdr:colOff>
      <xdr:row>300</xdr:row>
      <xdr:rowOff>95250</xdr:rowOff>
    </xdr:from>
    <xdr:to>
      <xdr:col>68</xdr:col>
      <xdr:colOff>40821</xdr:colOff>
      <xdr:row>300</xdr:row>
      <xdr:rowOff>95250</xdr:rowOff>
    </xdr:to>
    <xdr:cxnSp macro="">
      <xdr:nvCxnSpPr>
        <xdr:cNvPr id="319" name="직선 화살표 연결선 318"/>
        <xdr:cNvCxnSpPr/>
      </xdr:nvCxnSpPr>
      <xdr:spPr>
        <a:xfrm>
          <a:off x="15029361" y="5723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40821</xdr:colOff>
      <xdr:row>299</xdr:row>
      <xdr:rowOff>38100</xdr:rowOff>
    </xdr:from>
    <xdr:to>
      <xdr:col>70</xdr:col>
      <xdr:colOff>82913</xdr:colOff>
      <xdr:row>299</xdr:row>
      <xdr:rowOff>152400</xdr:rowOff>
    </xdr:to>
    <xdr:sp macro="" textlink="">
      <xdr:nvSpPr>
        <xdr:cNvPr id="320" name="296"/>
        <xdr:cNvSpPr/>
      </xdr:nvSpPr>
      <xdr:spPr>
        <a:xfrm>
          <a:off x="15029361" y="56989980"/>
          <a:ext cx="33165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40821</xdr:colOff>
      <xdr:row>299</xdr:row>
      <xdr:rowOff>95250</xdr:rowOff>
    </xdr:from>
    <xdr:to>
      <xdr:col>68</xdr:col>
      <xdr:colOff>40821</xdr:colOff>
      <xdr:row>299</xdr:row>
      <xdr:rowOff>95250</xdr:rowOff>
    </xdr:to>
    <xdr:cxnSp macro="">
      <xdr:nvCxnSpPr>
        <xdr:cNvPr id="321" name="직선 화살표 연결선 320"/>
        <xdr:cNvCxnSpPr/>
      </xdr:nvCxnSpPr>
      <xdr:spPr>
        <a:xfrm>
          <a:off x="15029361" y="5704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122464</xdr:colOff>
      <xdr:row>298</xdr:row>
      <xdr:rowOff>38100</xdr:rowOff>
    </xdr:from>
    <xdr:to>
      <xdr:col>69</xdr:col>
      <xdr:colOff>21681</xdr:colOff>
      <xdr:row>298</xdr:row>
      <xdr:rowOff>152400</xdr:rowOff>
    </xdr:to>
    <xdr:sp macro="" textlink="">
      <xdr:nvSpPr>
        <xdr:cNvPr id="322" name="295"/>
        <xdr:cNvSpPr/>
      </xdr:nvSpPr>
      <xdr:spPr>
        <a:xfrm>
          <a:off x="14966224" y="56799480"/>
          <a:ext cx="18877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122464</xdr:colOff>
      <xdr:row>298</xdr:row>
      <xdr:rowOff>95250</xdr:rowOff>
    </xdr:from>
    <xdr:to>
      <xdr:col>67</xdr:col>
      <xdr:colOff>122464</xdr:colOff>
      <xdr:row>298</xdr:row>
      <xdr:rowOff>95250</xdr:rowOff>
    </xdr:to>
    <xdr:cxnSp macro="">
      <xdr:nvCxnSpPr>
        <xdr:cNvPr id="323" name="직선 화살표 연결선 322"/>
        <xdr:cNvCxnSpPr/>
      </xdr:nvCxnSpPr>
      <xdr:spPr>
        <a:xfrm>
          <a:off x="14966224" y="5685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297</xdr:row>
      <xdr:rowOff>38100</xdr:rowOff>
    </xdr:from>
    <xdr:to>
      <xdr:col>69</xdr:col>
      <xdr:colOff>21681</xdr:colOff>
      <xdr:row>297</xdr:row>
      <xdr:rowOff>152400</xdr:rowOff>
    </xdr:to>
    <xdr:sp macro="" textlink="">
      <xdr:nvSpPr>
        <xdr:cNvPr id="324" name="294"/>
        <xdr:cNvSpPr/>
      </xdr:nvSpPr>
      <xdr:spPr>
        <a:xfrm>
          <a:off x="14843760" y="566089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297</xdr:row>
      <xdr:rowOff>95250</xdr:rowOff>
    </xdr:from>
    <xdr:to>
      <xdr:col>67</xdr:col>
      <xdr:colOff>0</xdr:colOff>
      <xdr:row>297</xdr:row>
      <xdr:rowOff>95250</xdr:rowOff>
    </xdr:to>
    <xdr:cxnSp macro="">
      <xdr:nvCxnSpPr>
        <xdr:cNvPr id="325" name="직선 화살표 연결선 324"/>
        <xdr:cNvCxnSpPr/>
      </xdr:nvCxnSpPr>
      <xdr:spPr>
        <a:xfrm>
          <a:off x="14843760" y="5666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296</xdr:row>
      <xdr:rowOff>38100</xdr:rowOff>
    </xdr:from>
    <xdr:to>
      <xdr:col>69</xdr:col>
      <xdr:colOff>21681</xdr:colOff>
      <xdr:row>296</xdr:row>
      <xdr:rowOff>152400</xdr:rowOff>
    </xdr:to>
    <xdr:sp macro="" textlink="">
      <xdr:nvSpPr>
        <xdr:cNvPr id="326" name="293"/>
        <xdr:cNvSpPr/>
      </xdr:nvSpPr>
      <xdr:spPr>
        <a:xfrm>
          <a:off x="14843760" y="564184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296</xdr:row>
      <xdr:rowOff>95250</xdr:rowOff>
    </xdr:from>
    <xdr:to>
      <xdr:col>67</xdr:col>
      <xdr:colOff>0</xdr:colOff>
      <xdr:row>296</xdr:row>
      <xdr:rowOff>95250</xdr:rowOff>
    </xdr:to>
    <xdr:cxnSp macro="">
      <xdr:nvCxnSpPr>
        <xdr:cNvPr id="327" name="직선 화살표 연결선 326"/>
        <xdr:cNvCxnSpPr/>
      </xdr:nvCxnSpPr>
      <xdr:spPr>
        <a:xfrm>
          <a:off x="14843760" y="5647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102054</xdr:colOff>
      <xdr:row>295</xdr:row>
      <xdr:rowOff>38100</xdr:rowOff>
    </xdr:from>
    <xdr:to>
      <xdr:col>72</xdr:col>
      <xdr:colOff>21681</xdr:colOff>
      <xdr:row>295</xdr:row>
      <xdr:rowOff>152400</xdr:rowOff>
    </xdr:to>
    <xdr:sp macro="" textlink="">
      <xdr:nvSpPr>
        <xdr:cNvPr id="328" name="292"/>
        <xdr:cNvSpPr/>
      </xdr:nvSpPr>
      <xdr:spPr>
        <a:xfrm>
          <a:off x="15380154" y="56227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102054</xdr:colOff>
      <xdr:row>295</xdr:row>
      <xdr:rowOff>95250</xdr:rowOff>
    </xdr:from>
    <xdr:to>
      <xdr:col>70</xdr:col>
      <xdr:colOff>102054</xdr:colOff>
      <xdr:row>295</xdr:row>
      <xdr:rowOff>95250</xdr:rowOff>
    </xdr:to>
    <xdr:cxnSp macro="">
      <xdr:nvCxnSpPr>
        <xdr:cNvPr id="329" name="직선 화살표 연결선 328"/>
        <xdr:cNvCxnSpPr/>
      </xdr:nvCxnSpPr>
      <xdr:spPr>
        <a:xfrm>
          <a:off x="15380154" y="5628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102054</xdr:colOff>
      <xdr:row>294</xdr:row>
      <xdr:rowOff>38100</xdr:rowOff>
    </xdr:from>
    <xdr:to>
      <xdr:col>72</xdr:col>
      <xdr:colOff>21681</xdr:colOff>
      <xdr:row>294</xdr:row>
      <xdr:rowOff>152400</xdr:rowOff>
    </xdr:to>
    <xdr:sp macro="" textlink="">
      <xdr:nvSpPr>
        <xdr:cNvPr id="330" name="291"/>
        <xdr:cNvSpPr/>
      </xdr:nvSpPr>
      <xdr:spPr>
        <a:xfrm>
          <a:off x="15235374" y="56037480"/>
          <a:ext cx="3539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102054</xdr:colOff>
      <xdr:row>294</xdr:row>
      <xdr:rowOff>95250</xdr:rowOff>
    </xdr:from>
    <xdr:to>
      <xdr:col>69</xdr:col>
      <xdr:colOff>102054</xdr:colOff>
      <xdr:row>294</xdr:row>
      <xdr:rowOff>95250</xdr:rowOff>
    </xdr:to>
    <xdr:cxnSp macro="">
      <xdr:nvCxnSpPr>
        <xdr:cNvPr id="331" name="직선 화살표 연결선 330"/>
        <xdr:cNvCxnSpPr/>
      </xdr:nvCxnSpPr>
      <xdr:spPr>
        <a:xfrm>
          <a:off x="15235374" y="5609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102054</xdr:colOff>
      <xdr:row>293</xdr:row>
      <xdr:rowOff>38100</xdr:rowOff>
    </xdr:from>
    <xdr:to>
      <xdr:col>72</xdr:col>
      <xdr:colOff>21681</xdr:colOff>
      <xdr:row>293</xdr:row>
      <xdr:rowOff>152400</xdr:rowOff>
    </xdr:to>
    <xdr:sp macro="" textlink="">
      <xdr:nvSpPr>
        <xdr:cNvPr id="332" name="290"/>
        <xdr:cNvSpPr/>
      </xdr:nvSpPr>
      <xdr:spPr>
        <a:xfrm>
          <a:off x="15235374" y="55846980"/>
          <a:ext cx="35396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102054</xdr:colOff>
      <xdr:row>293</xdr:row>
      <xdr:rowOff>95250</xdr:rowOff>
    </xdr:from>
    <xdr:to>
      <xdr:col>69</xdr:col>
      <xdr:colOff>102054</xdr:colOff>
      <xdr:row>293</xdr:row>
      <xdr:rowOff>95250</xdr:rowOff>
    </xdr:to>
    <xdr:cxnSp macro="">
      <xdr:nvCxnSpPr>
        <xdr:cNvPr id="333" name="직선 화살표 연결선 332"/>
        <xdr:cNvCxnSpPr/>
      </xdr:nvCxnSpPr>
      <xdr:spPr>
        <a:xfrm>
          <a:off x="15235374" y="5590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81643</xdr:colOff>
      <xdr:row>292</xdr:row>
      <xdr:rowOff>38100</xdr:rowOff>
    </xdr:from>
    <xdr:to>
      <xdr:col>64</xdr:col>
      <xdr:colOff>123734</xdr:colOff>
      <xdr:row>292</xdr:row>
      <xdr:rowOff>152400</xdr:rowOff>
    </xdr:to>
    <xdr:sp macro="" textlink="">
      <xdr:nvSpPr>
        <xdr:cNvPr id="334" name="289"/>
        <xdr:cNvSpPr/>
      </xdr:nvSpPr>
      <xdr:spPr>
        <a:xfrm>
          <a:off x="14346283" y="55656480"/>
          <a:ext cx="1868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81643</xdr:colOff>
      <xdr:row>292</xdr:row>
      <xdr:rowOff>95250</xdr:rowOff>
    </xdr:from>
    <xdr:to>
      <xdr:col>63</xdr:col>
      <xdr:colOff>81643</xdr:colOff>
      <xdr:row>292</xdr:row>
      <xdr:rowOff>95250</xdr:rowOff>
    </xdr:to>
    <xdr:cxnSp macro="">
      <xdr:nvCxnSpPr>
        <xdr:cNvPr id="335" name="직선 화살표 연결선 334"/>
        <xdr:cNvCxnSpPr/>
      </xdr:nvCxnSpPr>
      <xdr:spPr>
        <a:xfrm>
          <a:off x="14346283" y="5571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102054</xdr:colOff>
      <xdr:row>291</xdr:row>
      <xdr:rowOff>38100</xdr:rowOff>
    </xdr:from>
    <xdr:to>
      <xdr:col>64</xdr:col>
      <xdr:colOff>123734</xdr:colOff>
      <xdr:row>291</xdr:row>
      <xdr:rowOff>152400</xdr:rowOff>
    </xdr:to>
    <xdr:sp macro="" textlink="">
      <xdr:nvSpPr>
        <xdr:cNvPr id="336" name="288"/>
        <xdr:cNvSpPr/>
      </xdr:nvSpPr>
      <xdr:spPr>
        <a:xfrm>
          <a:off x="14221914" y="55465980"/>
          <a:ext cx="31124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102054</xdr:colOff>
      <xdr:row>291</xdr:row>
      <xdr:rowOff>95250</xdr:rowOff>
    </xdr:from>
    <xdr:to>
      <xdr:col>62</xdr:col>
      <xdr:colOff>102054</xdr:colOff>
      <xdr:row>291</xdr:row>
      <xdr:rowOff>95250</xdr:rowOff>
    </xdr:to>
    <xdr:cxnSp macro="">
      <xdr:nvCxnSpPr>
        <xdr:cNvPr id="337" name="직선 화살표 연결선 336"/>
        <xdr:cNvCxnSpPr/>
      </xdr:nvCxnSpPr>
      <xdr:spPr>
        <a:xfrm>
          <a:off x="14221914" y="5552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102054</xdr:colOff>
      <xdr:row>290</xdr:row>
      <xdr:rowOff>38100</xdr:rowOff>
    </xdr:from>
    <xdr:to>
      <xdr:col>64</xdr:col>
      <xdr:colOff>123734</xdr:colOff>
      <xdr:row>290</xdr:row>
      <xdr:rowOff>152400</xdr:rowOff>
    </xdr:to>
    <xdr:sp macro="" textlink="">
      <xdr:nvSpPr>
        <xdr:cNvPr id="338" name="287"/>
        <xdr:cNvSpPr/>
      </xdr:nvSpPr>
      <xdr:spPr>
        <a:xfrm>
          <a:off x="14221914" y="55275480"/>
          <a:ext cx="31124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102054</xdr:colOff>
      <xdr:row>290</xdr:row>
      <xdr:rowOff>95250</xdr:rowOff>
    </xdr:from>
    <xdr:to>
      <xdr:col>62</xdr:col>
      <xdr:colOff>102054</xdr:colOff>
      <xdr:row>290</xdr:row>
      <xdr:rowOff>95250</xdr:rowOff>
    </xdr:to>
    <xdr:cxnSp macro="">
      <xdr:nvCxnSpPr>
        <xdr:cNvPr id="339" name="직선 화살표 연결선 338"/>
        <xdr:cNvCxnSpPr/>
      </xdr:nvCxnSpPr>
      <xdr:spPr>
        <a:xfrm>
          <a:off x="14221914" y="5533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81643</xdr:colOff>
      <xdr:row>289</xdr:row>
      <xdr:rowOff>38100</xdr:rowOff>
    </xdr:from>
    <xdr:to>
      <xdr:col>64</xdr:col>
      <xdr:colOff>123734</xdr:colOff>
      <xdr:row>289</xdr:row>
      <xdr:rowOff>152400</xdr:rowOff>
    </xdr:to>
    <xdr:sp macro="" textlink="">
      <xdr:nvSpPr>
        <xdr:cNvPr id="340" name="286"/>
        <xdr:cNvSpPr/>
      </xdr:nvSpPr>
      <xdr:spPr>
        <a:xfrm>
          <a:off x="14346283" y="55084980"/>
          <a:ext cx="1868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81643</xdr:colOff>
      <xdr:row>289</xdr:row>
      <xdr:rowOff>95250</xdr:rowOff>
    </xdr:from>
    <xdr:to>
      <xdr:col>63</xdr:col>
      <xdr:colOff>81643</xdr:colOff>
      <xdr:row>289</xdr:row>
      <xdr:rowOff>95250</xdr:rowOff>
    </xdr:to>
    <xdr:cxnSp macro="">
      <xdr:nvCxnSpPr>
        <xdr:cNvPr id="341" name="직선 화살표 연결선 340"/>
        <xdr:cNvCxnSpPr/>
      </xdr:nvCxnSpPr>
      <xdr:spPr>
        <a:xfrm>
          <a:off x="14346283" y="5514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102054</xdr:colOff>
      <xdr:row>288</xdr:row>
      <xdr:rowOff>38100</xdr:rowOff>
    </xdr:from>
    <xdr:to>
      <xdr:col>64</xdr:col>
      <xdr:colOff>123734</xdr:colOff>
      <xdr:row>288</xdr:row>
      <xdr:rowOff>152400</xdr:rowOff>
    </xdr:to>
    <xdr:sp macro="" textlink="">
      <xdr:nvSpPr>
        <xdr:cNvPr id="342" name="285"/>
        <xdr:cNvSpPr/>
      </xdr:nvSpPr>
      <xdr:spPr>
        <a:xfrm>
          <a:off x="14221914" y="54894480"/>
          <a:ext cx="31124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102054</xdr:colOff>
      <xdr:row>288</xdr:row>
      <xdr:rowOff>95250</xdr:rowOff>
    </xdr:from>
    <xdr:to>
      <xdr:col>62</xdr:col>
      <xdr:colOff>102054</xdr:colOff>
      <xdr:row>288</xdr:row>
      <xdr:rowOff>95250</xdr:rowOff>
    </xdr:to>
    <xdr:cxnSp macro="">
      <xdr:nvCxnSpPr>
        <xdr:cNvPr id="343" name="직선 화살표 연결선 342"/>
        <xdr:cNvCxnSpPr/>
      </xdr:nvCxnSpPr>
      <xdr:spPr>
        <a:xfrm>
          <a:off x="14221914" y="5495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102054</xdr:colOff>
      <xdr:row>287</xdr:row>
      <xdr:rowOff>38100</xdr:rowOff>
    </xdr:from>
    <xdr:to>
      <xdr:col>64</xdr:col>
      <xdr:colOff>123734</xdr:colOff>
      <xdr:row>287</xdr:row>
      <xdr:rowOff>152400</xdr:rowOff>
    </xdr:to>
    <xdr:sp macro="" textlink="">
      <xdr:nvSpPr>
        <xdr:cNvPr id="344" name="284"/>
        <xdr:cNvSpPr/>
      </xdr:nvSpPr>
      <xdr:spPr>
        <a:xfrm>
          <a:off x="14221914" y="54703980"/>
          <a:ext cx="31124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102054</xdr:colOff>
      <xdr:row>287</xdr:row>
      <xdr:rowOff>95250</xdr:rowOff>
    </xdr:from>
    <xdr:to>
      <xdr:col>62</xdr:col>
      <xdr:colOff>102054</xdr:colOff>
      <xdr:row>287</xdr:row>
      <xdr:rowOff>95250</xdr:rowOff>
    </xdr:to>
    <xdr:cxnSp macro="">
      <xdr:nvCxnSpPr>
        <xdr:cNvPr id="345" name="직선 화살표 연결선 344"/>
        <xdr:cNvCxnSpPr/>
      </xdr:nvCxnSpPr>
      <xdr:spPr>
        <a:xfrm>
          <a:off x="14221914" y="5476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122464</xdr:colOff>
      <xdr:row>286</xdr:row>
      <xdr:rowOff>38100</xdr:rowOff>
    </xdr:from>
    <xdr:to>
      <xdr:col>69</xdr:col>
      <xdr:colOff>21681</xdr:colOff>
      <xdr:row>286</xdr:row>
      <xdr:rowOff>152400</xdr:rowOff>
    </xdr:to>
    <xdr:sp macro="" textlink="">
      <xdr:nvSpPr>
        <xdr:cNvPr id="346" name="283"/>
        <xdr:cNvSpPr/>
      </xdr:nvSpPr>
      <xdr:spPr>
        <a:xfrm>
          <a:off x="14966224" y="54513480"/>
          <a:ext cx="18877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122464</xdr:colOff>
      <xdr:row>286</xdr:row>
      <xdr:rowOff>95250</xdr:rowOff>
    </xdr:from>
    <xdr:to>
      <xdr:col>67</xdr:col>
      <xdr:colOff>122464</xdr:colOff>
      <xdr:row>286</xdr:row>
      <xdr:rowOff>95250</xdr:rowOff>
    </xdr:to>
    <xdr:cxnSp macro="">
      <xdr:nvCxnSpPr>
        <xdr:cNvPr id="347" name="직선 화살표 연결선 346"/>
        <xdr:cNvCxnSpPr/>
      </xdr:nvCxnSpPr>
      <xdr:spPr>
        <a:xfrm>
          <a:off x="14966224" y="5457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285</xdr:row>
      <xdr:rowOff>38100</xdr:rowOff>
    </xdr:from>
    <xdr:to>
      <xdr:col>69</xdr:col>
      <xdr:colOff>21681</xdr:colOff>
      <xdr:row>285</xdr:row>
      <xdr:rowOff>152400</xdr:rowOff>
    </xdr:to>
    <xdr:sp macro="" textlink="">
      <xdr:nvSpPr>
        <xdr:cNvPr id="348" name="282"/>
        <xdr:cNvSpPr/>
      </xdr:nvSpPr>
      <xdr:spPr>
        <a:xfrm>
          <a:off x="14843760" y="543229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285</xdr:row>
      <xdr:rowOff>95250</xdr:rowOff>
    </xdr:from>
    <xdr:to>
      <xdr:col>67</xdr:col>
      <xdr:colOff>0</xdr:colOff>
      <xdr:row>285</xdr:row>
      <xdr:rowOff>95250</xdr:rowOff>
    </xdr:to>
    <xdr:cxnSp macro="">
      <xdr:nvCxnSpPr>
        <xdr:cNvPr id="349" name="직선 화살표 연결선 348"/>
        <xdr:cNvCxnSpPr/>
      </xdr:nvCxnSpPr>
      <xdr:spPr>
        <a:xfrm>
          <a:off x="14843760" y="5438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284</xdr:row>
      <xdr:rowOff>38100</xdr:rowOff>
    </xdr:from>
    <xdr:to>
      <xdr:col>69</xdr:col>
      <xdr:colOff>21681</xdr:colOff>
      <xdr:row>284</xdr:row>
      <xdr:rowOff>152400</xdr:rowOff>
    </xdr:to>
    <xdr:sp macro="" textlink="">
      <xdr:nvSpPr>
        <xdr:cNvPr id="350" name="281"/>
        <xdr:cNvSpPr/>
      </xdr:nvSpPr>
      <xdr:spPr>
        <a:xfrm>
          <a:off x="14843760" y="541324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284</xdr:row>
      <xdr:rowOff>95250</xdr:rowOff>
    </xdr:from>
    <xdr:to>
      <xdr:col>67</xdr:col>
      <xdr:colOff>0</xdr:colOff>
      <xdr:row>284</xdr:row>
      <xdr:rowOff>95250</xdr:rowOff>
    </xdr:to>
    <xdr:cxnSp macro="">
      <xdr:nvCxnSpPr>
        <xdr:cNvPr id="351" name="직선 화살표 연결선 350"/>
        <xdr:cNvCxnSpPr/>
      </xdr:nvCxnSpPr>
      <xdr:spPr>
        <a:xfrm>
          <a:off x="14843760" y="5418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102054</xdr:colOff>
      <xdr:row>283</xdr:row>
      <xdr:rowOff>38100</xdr:rowOff>
    </xdr:from>
    <xdr:to>
      <xdr:col>72</xdr:col>
      <xdr:colOff>21681</xdr:colOff>
      <xdr:row>283</xdr:row>
      <xdr:rowOff>152400</xdr:rowOff>
    </xdr:to>
    <xdr:sp macro="" textlink="">
      <xdr:nvSpPr>
        <xdr:cNvPr id="352" name="280"/>
        <xdr:cNvSpPr/>
      </xdr:nvSpPr>
      <xdr:spPr>
        <a:xfrm>
          <a:off x="14221914" y="53941980"/>
          <a:ext cx="136742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102054</xdr:colOff>
      <xdr:row>283</xdr:row>
      <xdr:rowOff>95250</xdr:rowOff>
    </xdr:from>
    <xdr:to>
      <xdr:col>62</xdr:col>
      <xdr:colOff>102054</xdr:colOff>
      <xdr:row>283</xdr:row>
      <xdr:rowOff>95250</xdr:rowOff>
    </xdr:to>
    <xdr:cxnSp macro="">
      <xdr:nvCxnSpPr>
        <xdr:cNvPr id="353" name="직선 화살표 연결선 352"/>
        <xdr:cNvCxnSpPr/>
      </xdr:nvCxnSpPr>
      <xdr:spPr>
        <a:xfrm>
          <a:off x="14221914" y="5399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122464</xdr:colOff>
      <xdr:row>282</xdr:row>
      <xdr:rowOff>38100</xdr:rowOff>
    </xdr:from>
    <xdr:to>
      <xdr:col>82</xdr:col>
      <xdr:colOff>1270</xdr:colOff>
      <xdr:row>282</xdr:row>
      <xdr:rowOff>152400</xdr:rowOff>
    </xdr:to>
    <xdr:sp macro="" textlink="">
      <xdr:nvSpPr>
        <xdr:cNvPr id="354" name="279"/>
        <xdr:cNvSpPr/>
      </xdr:nvSpPr>
      <xdr:spPr>
        <a:xfrm>
          <a:off x="16848364" y="53751480"/>
          <a:ext cx="168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122464</xdr:colOff>
      <xdr:row>282</xdr:row>
      <xdr:rowOff>95250</xdr:rowOff>
    </xdr:from>
    <xdr:to>
      <xdr:col>80</xdr:col>
      <xdr:colOff>122464</xdr:colOff>
      <xdr:row>282</xdr:row>
      <xdr:rowOff>95250</xdr:rowOff>
    </xdr:to>
    <xdr:cxnSp macro="">
      <xdr:nvCxnSpPr>
        <xdr:cNvPr id="355" name="직선 화살표 연결선 354"/>
        <xdr:cNvCxnSpPr/>
      </xdr:nvCxnSpPr>
      <xdr:spPr>
        <a:xfrm>
          <a:off x="16848364" y="5380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281</xdr:row>
      <xdr:rowOff>38100</xdr:rowOff>
    </xdr:from>
    <xdr:to>
      <xdr:col>82</xdr:col>
      <xdr:colOff>1270</xdr:colOff>
      <xdr:row>281</xdr:row>
      <xdr:rowOff>152400</xdr:rowOff>
    </xdr:to>
    <xdr:sp macro="" textlink="">
      <xdr:nvSpPr>
        <xdr:cNvPr id="356" name="278"/>
        <xdr:cNvSpPr/>
      </xdr:nvSpPr>
      <xdr:spPr>
        <a:xfrm>
          <a:off x="16725900" y="535609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0</xdr:colOff>
      <xdr:row>281</xdr:row>
      <xdr:rowOff>95250</xdr:rowOff>
    </xdr:from>
    <xdr:to>
      <xdr:col>80</xdr:col>
      <xdr:colOff>0</xdr:colOff>
      <xdr:row>281</xdr:row>
      <xdr:rowOff>95250</xdr:rowOff>
    </xdr:to>
    <xdr:cxnSp macro="">
      <xdr:nvCxnSpPr>
        <xdr:cNvPr id="357" name="직선 화살표 연결선 356"/>
        <xdr:cNvCxnSpPr/>
      </xdr:nvCxnSpPr>
      <xdr:spPr>
        <a:xfrm>
          <a:off x="16725900" y="5361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280</xdr:row>
      <xdr:rowOff>38100</xdr:rowOff>
    </xdr:from>
    <xdr:to>
      <xdr:col>82</xdr:col>
      <xdr:colOff>1270</xdr:colOff>
      <xdr:row>280</xdr:row>
      <xdr:rowOff>152400</xdr:rowOff>
    </xdr:to>
    <xdr:sp macro="" textlink="">
      <xdr:nvSpPr>
        <xdr:cNvPr id="358" name="277"/>
        <xdr:cNvSpPr/>
      </xdr:nvSpPr>
      <xdr:spPr>
        <a:xfrm>
          <a:off x="16725900" y="53370480"/>
          <a:ext cx="29083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0</xdr:colOff>
      <xdr:row>280</xdr:row>
      <xdr:rowOff>95250</xdr:rowOff>
    </xdr:from>
    <xdr:to>
      <xdr:col>80</xdr:col>
      <xdr:colOff>0</xdr:colOff>
      <xdr:row>280</xdr:row>
      <xdr:rowOff>95250</xdr:rowOff>
    </xdr:to>
    <xdr:cxnSp macro="">
      <xdr:nvCxnSpPr>
        <xdr:cNvPr id="359" name="직선 화살표 연결선 358"/>
        <xdr:cNvCxnSpPr/>
      </xdr:nvCxnSpPr>
      <xdr:spPr>
        <a:xfrm>
          <a:off x="16725900" y="5342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40821</xdr:colOff>
      <xdr:row>279</xdr:row>
      <xdr:rowOff>38100</xdr:rowOff>
    </xdr:from>
    <xdr:to>
      <xdr:col>82</xdr:col>
      <xdr:colOff>103324</xdr:colOff>
      <xdr:row>279</xdr:row>
      <xdr:rowOff>152400</xdr:rowOff>
    </xdr:to>
    <xdr:sp macro="" textlink="">
      <xdr:nvSpPr>
        <xdr:cNvPr id="360" name="276"/>
        <xdr:cNvSpPr/>
      </xdr:nvSpPr>
      <xdr:spPr>
        <a:xfrm>
          <a:off x="16911501" y="53179980"/>
          <a:ext cx="20728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81</xdr:col>
      <xdr:colOff>40821</xdr:colOff>
      <xdr:row>279</xdr:row>
      <xdr:rowOff>95250</xdr:rowOff>
    </xdr:from>
    <xdr:to>
      <xdr:col>81</xdr:col>
      <xdr:colOff>40821</xdr:colOff>
      <xdr:row>279</xdr:row>
      <xdr:rowOff>95250</xdr:rowOff>
    </xdr:to>
    <xdr:cxnSp macro="">
      <xdr:nvCxnSpPr>
        <xdr:cNvPr id="361" name="직선 화살표 연결선 360"/>
        <xdr:cNvCxnSpPr/>
      </xdr:nvCxnSpPr>
      <xdr:spPr>
        <a:xfrm>
          <a:off x="16911501" y="5323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278</xdr:row>
      <xdr:rowOff>38100</xdr:rowOff>
    </xdr:from>
    <xdr:to>
      <xdr:col>82</xdr:col>
      <xdr:colOff>103324</xdr:colOff>
      <xdr:row>278</xdr:row>
      <xdr:rowOff>152400</xdr:rowOff>
    </xdr:to>
    <xdr:sp macro="" textlink="">
      <xdr:nvSpPr>
        <xdr:cNvPr id="362" name="275"/>
        <xdr:cNvSpPr/>
      </xdr:nvSpPr>
      <xdr:spPr>
        <a:xfrm>
          <a:off x="16725900" y="52989480"/>
          <a:ext cx="39288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0</xdr:colOff>
      <xdr:row>278</xdr:row>
      <xdr:rowOff>95250</xdr:rowOff>
    </xdr:from>
    <xdr:to>
      <xdr:col>80</xdr:col>
      <xdr:colOff>0</xdr:colOff>
      <xdr:row>278</xdr:row>
      <xdr:rowOff>95250</xdr:rowOff>
    </xdr:to>
    <xdr:cxnSp macro="">
      <xdr:nvCxnSpPr>
        <xdr:cNvPr id="363" name="직선 화살표 연결선 362"/>
        <xdr:cNvCxnSpPr/>
      </xdr:nvCxnSpPr>
      <xdr:spPr>
        <a:xfrm>
          <a:off x="16725900" y="5304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277</xdr:row>
      <xdr:rowOff>38100</xdr:rowOff>
    </xdr:from>
    <xdr:to>
      <xdr:col>82</xdr:col>
      <xdr:colOff>103324</xdr:colOff>
      <xdr:row>277</xdr:row>
      <xdr:rowOff>152400</xdr:rowOff>
    </xdr:to>
    <xdr:sp macro="" textlink="">
      <xdr:nvSpPr>
        <xdr:cNvPr id="364" name="274"/>
        <xdr:cNvSpPr/>
      </xdr:nvSpPr>
      <xdr:spPr>
        <a:xfrm>
          <a:off x="16725900" y="52798980"/>
          <a:ext cx="39288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0</xdr:colOff>
      <xdr:row>277</xdr:row>
      <xdr:rowOff>95250</xdr:rowOff>
    </xdr:from>
    <xdr:to>
      <xdr:col>80</xdr:col>
      <xdr:colOff>0</xdr:colOff>
      <xdr:row>277</xdr:row>
      <xdr:rowOff>95250</xdr:rowOff>
    </xdr:to>
    <xdr:cxnSp macro="">
      <xdr:nvCxnSpPr>
        <xdr:cNvPr id="365" name="직선 화살표 연결선 364"/>
        <xdr:cNvCxnSpPr/>
      </xdr:nvCxnSpPr>
      <xdr:spPr>
        <a:xfrm>
          <a:off x="16725900" y="5285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122464</xdr:colOff>
      <xdr:row>276</xdr:row>
      <xdr:rowOff>38100</xdr:rowOff>
    </xdr:from>
    <xdr:to>
      <xdr:col>82</xdr:col>
      <xdr:colOff>1270</xdr:colOff>
      <xdr:row>276</xdr:row>
      <xdr:rowOff>152400</xdr:rowOff>
    </xdr:to>
    <xdr:sp macro="" textlink="">
      <xdr:nvSpPr>
        <xdr:cNvPr id="366" name="273"/>
        <xdr:cNvSpPr/>
      </xdr:nvSpPr>
      <xdr:spPr>
        <a:xfrm>
          <a:off x="16848364" y="52608480"/>
          <a:ext cx="1683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122464</xdr:colOff>
      <xdr:row>276</xdr:row>
      <xdr:rowOff>95250</xdr:rowOff>
    </xdr:from>
    <xdr:to>
      <xdr:col>80</xdr:col>
      <xdr:colOff>122464</xdr:colOff>
      <xdr:row>276</xdr:row>
      <xdr:rowOff>95250</xdr:rowOff>
    </xdr:to>
    <xdr:cxnSp macro="">
      <xdr:nvCxnSpPr>
        <xdr:cNvPr id="367" name="직선 화살표 연결선 366"/>
        <xdr:cNvCxnSpPr/>
      </xdr:nvCxnSpPr>
      <xdr:spPr>
        <a:xfrm>
          <a:off x="16848364" y="5266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275</xdr:row>
      <xdr:rowOff>38100</xdr:rowOff>
    </xdr:from>
    <xdr:to>
      <xdr:col>82</xdr:col>
      <xdr:colOff>1270</xdr:colOff>
      <xdr:row>275</xdr:row>
      <xdr:rowOff>152400</xdr:rowOff>
    </xdr:to>
    <xdr:sp macro="" textlink="">
      <xdr:nvSpPr>
        <xdr:cNvPr id="368" name="272"/>
        <xdr:cNvSpPr/>
      </xdr:nvSpPr>
      <xdr:spPr>
        <a:xfrm>
          <a:off x="16725900" y="524179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0</xdr:colOff>
      <xdr:row>275</xdr:row>
      <xdr:rowOff>95250</xdr:rowOff>
    </xdr:from>
    <xdr:to>
      <xdr:col>80</xdr:col>
      <xdr:colOff>0</xdr:colOff>
      <xdr:row>275</xdr:row>
      <xdr:rowOff>95250</xdr:rowOff>
    </xdr:to>
    <xdr:cxnSp macro="">
      <xdr:nvCxnSpPr>
        <xdr:cNvPr id="369" name="직선 화살표 연결선 368"/>
        <xdr:cNvCxnSpPr/>
      </xdr:nvCxnSpPr>
      <xdr:spPr>
        <a:xfrm>
          <a:off x="16725900" y="5247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80</xdr:col>
      <xdr:colOff>0</xdr:colOff>
      <xdr:row>274</xdr:row>
      <xdr:rowOff>38100</xdr:rowOff>
    </xdr:from>
    <xdr:to>
      <xdr:col>82</xdr:col>
      <xdr:colOff>1270</xdr:colOff>
      <xdr:row>274</xdr:row>
      <xdr:rowOff>152400</xdr:rowOff>
    </xdr:to>
    <xdr:sp macro="" textlink="">
      <xdr:nvSpPr>
        <xdr:cNvPr id="370" name="271"/>
        <xdr:cNvSpPr/>
      </xdr:nvSpPr>
      <xdr:spPr>
        <a:xfrm>
          <a:off x="16725900" y="52227480"/>
          <a:ext cx="29083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80</xdr:col>
      <xdr:colOff>0</xdr:colOff>
      <xdr:row>274</xdr:row>
      <xdr:rowOff>95250</xdr:rowOff>
    </xdr:from>
    <xdr:to>
      <xdr:col>80</xdr:col>
      <xdr:colOff>0</xdr:colOff>
      <xdr:row>274</xdr:row>
      <xdr:rowOff>95250</xdr:rowOff>
    </xdr:to>
    <xdr:cxnSp macro="">
      <xdr:nvCxnSpPr>
        <xdr:cNvPr id="371" name="직선 화살표 연결선 370"/>
        <xdr:cNvCxnSpPr/>
      </xdr:nvCxnSpPr>
      <xdr:spPr>
        <a:xfrm>
          <a:off x="16725900" y="5228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61232</xdr:colOff>
      <xdr:row>273</xdr:row>
      <xdr:rowOff>38100</xdr:rowOff>
    </xdr:from>
    <xdr:to>
      <xdr:col>77</xdr:col>
      <xdr:colOff>103324</xdr:colOff>
      <xdr:row>273</xdr:row>
      <xdr:rowOff>152400</xdr:rowOff>
    </xdr:to>
    <xdr:sp macro="" textlink="">
      <xdr:nvSpPr>
        <xdr:cNvPr id="372" name="270"/>
        <xdr:cNvSpPr/>
      </xdr:nvSpPr>
      <xdr:spPr>
        <a:xfrm>
          <a:off x="16208012" y="52036980"/>
          <a:ext cx="1868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61232</xdr:colOff>
      <xdr:row>273</xdr:row>
      <xdr:rowOff>95250</xdr:rowOff>
    </xdr:from>
    <xdr:to>
      <xdr:col>76</xdr:col>
      <xdr:colOff>61232</xdr:colOff>
      <xdr:row>273</xdr:row>
      <xdr:rowOff>95250</xdr:rowOff>
    </xdr:to>
    <xdr:cxnSp macro="">
      <xdr:nvCxnSpPr>
        <xdr:cNvPr id="373" name="직선 화살표 연결선 372"/>
        <xdr:cNvCxnSpPr/>
      </xdr:nvCxnSpPr>
      <xdr:spPr>
        <a:xfrm>
          <a:off x="16208012" y="5209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272</xdr:row>
      <xdr:rowOff>38100</xdr:rowOff>
    </xdr:from>
    <xdr:to>
      <xdr:col>77</xdr:col>
      <xdr:colOff>103324</xdr:colOff>
      <xdr:row>272</xdr:row>
      <xdr:rowOff>152400</xdr:rowOff>
    </xdr:to>
    <xdr:sp macro="" textlink="">
      <xdr:nvSpPr>
        <xdr:cNvPr id="374" name="269"/>
        <xdr:cNvSpPr/>
      </xdr:nvSpPr>
      <xdr:spPr>
        <a:xfrm>
          <a:off x="16083643" y="518464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272</xdr:row>
      <xdr:rowOff>95250</xdr:rowOff>
    </xdr:from>
    <xdr:to>
      <xdr:col>75</xdr:col>
      <xdr:colOff>81643</xdr:colOff>
      <xdr:row>272</xdr:row>
      <xdr:rowOff>95250</xdr:rowOff>
    </xdr:to>
    <xdr:cxnSp macro="">
      <xdr:nvCxnSpPr>
        <xdr:cNvPr id="375" name="직선 화살표 연결선 374"/>
        <xdr:cNvCxnSpPr/>
      </xdr:nvCxnSpPr>
      <xdr:spPr>
        <a:xfrm>
          <a:off x="16083643" y="5190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271</xdr:row>
      <xdr:rowOff>38100</xdr:rowOff>
    </xdr:from>
    <xdr:to>
      <xdr:col>77</xdr:col>
      <xdr:colOff>103324</xdr:colOff>
      <xdr:row>271</xdr:row>
      <xdr:rowOff>152400</xdr:rowOff>
    </xdr:to>
    <xdr:sp macro="" textlink="">
      <xdr:nvSpPr>
        <xdr:cNvPr id="376" name="268"/>
        <xdr:cNvSpPr/>
      </xdr:nvSpPr>
      <xdr:spPr>
        <a:xfrm>
          <a:off x="16083643" y="516559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271</xdr:row>
      <xdr:rowOff>95250</xdr:rowOff>
    </xdr:from>
    <xdr:to>
      <xdr:col>75</xdr:col>
      <xdr:colOff>81643</xdr:colOff>
      <xdr:row>271</xdr:row>
      <xdr:rowOff>95250</xdr:rowOff>
    </xdr:to>
    <xdr:cxnSp macro="">
      <xdr:nvCxnSpPr>
        <xdr:cNvPr id="377" name="직선 화살표 연결선 376"/>
        <xdr:cNvCxnSpPr/>
      </xdr:nvCxnSpPr>
      <xdr:spPr>
        <a:xfrm>
          <a:off x="16083643" y="5171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61232</xdr:colOff>
      <xdr:row>270</xdr:row>
      <xdr:rowOff>38100</xdr:rowOff>
    </xdr:from>
    <xdr:to>
      <xdr:col>77</xdr:col>
      <xdr:colOff>103324</xdr:colOff>
      <xdr:row>270</xdr:row>
      <xdr:rowOff>152400</xdr:rowOff>
    </xdr:to>
    <xdr:sp macro="" textlink="">
      <xdr:nvSpPr>
        <xdr:cNvPr id="378" name="267"/>
        <xdr:cNvSpPr/>
      </xdr:nvSpPr>
      <xdr:spPr>
        <a:xfrm>
          <a:off x="16208012" y="51465480"/>
          <a:ext cx="1868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61232</xdr:colOff>
      <xdr:row>270</xdr:row>
      <xdr:rowOff>95250</xdr:rowOff>
    </xdr:from>
    <xdr:to>
      <xdr:col>76</xdr:col>
      <xdr:colOff>61232</xdr:colOff>
      <xdr:row>270</xdr:row>
      <xdr:rowOff>95250</xdr:rowOff>
    </xdr:to>
    <xdr:cxnSp macro="">
      <xdr:nvCxnSpPr>
        <xdr:cNvPr id="379" name="직선 화살표 연결선 378"/>
        <xdr:cNvCxnSpPr/>
      </xdr:nvCxnSpPr>
      <xdr:spPr>
        <a:xfrm>
          <a:off x="16208012" y="5152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269</xdr:row>
      <xdr:rowOff>38100</xdr:rowOff>
    </xdr:from>
    <xdr:to>
      <xdr:col>77</xdr:col>
      <xdr:colOff>103324</xdr:colOff>
      <xdr:row>269</xdr:row>
      <xdr:rowOff>152400</xdr:rowOff>
    </xdr:to>
    <xdr:sp macro="" textlink="">
      <xdr:nvSpPr>
        <xdr:cNvPr id="380" name="266"/>
        <xdr:cNvSpPr/>
      </xdr:nvSpPr>
      <xdr:spPr>
        <a:xfrm>
          <a:off x="16083643" y="512749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269</xdr:row>
      <xdr:rowOff>95250</xdr:rowOff>
    </xdr:from>
    <xdr:to>
      <xdr:col>75</xdr:col>
      <xdr:colOff>81643</xdr:colOff>
      <xdr:row>269</xdr:row>
      <xdr:rowOff>95250</xdr:rowOff>
    </xdr:to>
    <xdr:cxnSp macro="">
      <xdr:nvCxnSpPr>
        <xdr:cNvPr id="381" name="직선 화살표 연결선 380"/>
        <xdr:cNvCxnSpPr/>
      </xdr:nvCxnSpPr>
      <xdr:spPr>
        <a:xfrm>
          <a:off x="16083643" y="5133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268</xdr:row>
      <xdr:rowOff>38100</xdr:rowOff>
    </xdr:from>
    <xdr:to>
      <xdr:col>77</xdr:col>
      <xdr:colOff>103324</xdr:colOff>
      <xdr:row>268</xdr:row>
      <xdr:rowOff>152400</xdr:rowOff>
    </xdr:to>
    <xdr:sp macro="" textlink="">
      <xdr:nvSpPr>
        <xdr:cNvPr id="382" name="265"/>
        <xdr:cNvSpPr/>
      </xdr:nvSpPr>
      <xdr:spPr>
        <a:xfrm>
          <a:off x="16083643" y="510844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268</xdr:row>
      <xdr:rowOff>95250</xdr:rowOff>
    </xdr:from>
    <xdr:to>
      <xdr:col>75</xdr:col>
      <xdr:colOff>81643</xdr:colOff>
      <xdr:row>268</xdr:row>
      <xdr:rowOff>95250</xdr:rowOff>
    </xdr:to>
    <xdr:cxnSp macro="">
      <xdr:nvCxnSpPr>
        <xdr:cNvPr id="383" name="직선 화살표 연결선 382"/>
        <xdr:cNvCxnSpPr/>
      </xdr:nvCxnSpPr>
      <xdr:spPr>
        <a:xfrm>
          <a:off x="16083643" y="5114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267</xdr:row>
      <xdr:rowOff>38100</xdr:rowOff>
    </xdr:from>
    <xdr:to>
      <xdr:col>79</xdr:col>
      <xdr:colOff>123734</xdr:colOff>
      <xdr:row>267</xdr:row>
      <xdr:rowOff>152400</xdr:rowOff>
    </xdr:to>
    <xdr:sp macro="" textlink="">
      <xdr:nvSpPr>
        <xdr:cNvPr id="384" name="264"/>
        <xdr:cNvSpPr/>
      </xdr:nvSpPr>
      <xdr:spPr>
        <a:xfrm>
          <a:off x="16083643" y="50893980"/>
          <a:ext cx="6212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267</xdr:row>
      <xdr:rowOff>95250</xdr:rowOff>
    </xdr:from>
    <xdr:to>
      <xdr:col>75</xdr:col>
      <xdr:colOff>81643</xdr:colOff>
      <xdr:row>267</xdr:row>
      <xdr:rowOff>95250</xdr:rowOff>
    </xdr:to>
    <xdr:cxnSp macro="">
      <xdr:nvCxnSpPr>
        <xdr:cNvPr id="385" name="직선 화살표 연결선 384"/>
        <xdr:cNvCxnSpPr/>
      </xdr:nvCxnSpPr>
      <xdr:spPr>
        <a:xfrm>
          <a:off x="16083643" y="5095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40821</xdr:colOff>
      <xdr:row>266</xdr:row>
      <xdr:rowOff>38100</xdr:rowOff>
    </xdr:from>
    <xdr:to>
      <xdr:col>84</xdr:col>
      <xdr:colOff>42090</xdr:colOff>
      <xdr:row>266</xdr:row>
      <xdr:rowOff>152400</xdr:rowOff>
    </xdr:to>
    <xdr:sp macro="" textlink="">
      <xdr:nvSpPr>
        <xdr:cNvPr id="386" name="263"/>
        <xdr:cNvSpPr/>
      </xdr:nvSpPr>
      <xdr:spPr>
        <a:xfrm>
          <a:off x="15463701" y="50703480"/>
          <a:ext cx="18834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40821</xdr:colOff>
      <xdr:row>266</xdr:row>
      <xdr:rowOff>95250</xdr:rowOff>
    </xdr:from>
    <xdr:to>
      <xdr:col>71</xdr:col>
      <xdr:colOff>40821</xdr:colOff>
      <xdr:row>266</xdr:row>
      <xdr:rowOff>95250</xdr:rowOff>
    </xdr:to>
    <xdr:cxnSp macro="">
      <xdr:nvCxnSpPr>
        <xdr:cNvPr id="387" name="직선 화살표 연결선 386"/>
        <xdr:cNvCxnSpPr/>
      </xdr:nvCxnSpPr>
      <xdr:spPr>
        <a:xfrm>
          <a:off x="15463701" y="5076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40821</xdr:colOff>
      <xdr:row>265</xdr:row>
      <xdr:rowOff>38100</xdr:rowOff>
    </xdr:from>
    <xdr:to>
      <xdr:col>84</xdr:col>
      <xdr:colOff>42090</xdr:colOff>
      <xdr:row>265</xdr:row>
      <xdr:rowOff>152400</xdr:rowOff>
    </xdr:to>
    <xdr:sp macro="" textlink="">
      <xdr:nvSpPr>
        <xdr:cNvPr id="388" name="262"/>
        <xdr:cNvSpPr/>
      </xdr:nvSpPr>
      <xdr:spPr>
        <a:xfrm>
          <a:off x="15463701" y="50512980"/>
          <a:ext cx="188340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40821</xdr:colOff>
      <xdr:row>265</xdr:row>
      <xdr:rowOff>95250</xdr:rowOff>
    </xdr:from>
    <xdr:to>
      <xdr:col>71</xdr:col>
      <xdr:colOff>40821</xdr:colOff>
      <xdr:row>265</xdr:row>
      <xdr:rowOff>95250</xdr:rowOff>
    </xdr:to>
    <xdr:cxnSp macro="">
      <xdr:nvCxnSpPr>
        <xdr:cNvPr id="389" name="직선 화살표 연결선 388"/>
        <xdr:cNvCxnSpPr/>
      </xdr:nvCxnSpPr>
      <xdr:spPr>
        <a:xfrm>
          <a:off x="15463701" y="5057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76</xdr:col>
      <xdr:colOff>61232</xdr:colOff>
      <xdr:row>264</xdr:row>
      <xdr:rowOff>38100</xdr:rowOff>
    </xdr:from>
    <xdr:to>
      <xdr:col>77</xdr:col>
      <xdr:colOff>103324</xdr:colOff>
      <xdr:row>264</xdr:row>
      <xdr:rowOff>152400</xdr:rowOff>
    </xdr:to>
    <xdr:sp macro="" textlink="">
      <xdr:nvSpPr>
        <xdr:cNvPr id="390" name="261"/>
        <xdr:cNvSpPr/>
      </xdr:nvSpPr>
      <xdr:spPr>
        <a:xfrm>
          <a:off x="16208012" y="50322480"/>
          <a:ext cx="18687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76</xdr:col>
      <xdr:colOff>61232</xdr:colOff>
      <xdr:row>264</xdr:row>
      <xdr:rowOff>95250</xdr:rowOff>
    </xdr:from>
    <xdr:to>
      <xdr:col>76</xdr:col>
      <xdr:colOff>61232</xdr:colOff>
      <xdr:row>264</xdr:row>
      <xdr:rowOff>95250</xdr:rowOff>
    </xdr:to>
    <xdr:cxnSp macro="">
      <xdr:nvCxnSpPr>
        <xdr:cNvPr id="391" name="직선 화살표 연결선 390"/>
        <xdr:cNvCxnSpPr/>
      </xdr:nvCxnSpPr>
      <xdr:spPr>
        <a:xfrm>
          <a:off x="16208012" y="5037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263</xdr:row>
      <xdr:rowOff>38100</xdr:rowOff>
    </xdr:from>
    <xdr:to>
      <xdr:col>77</xdr:col>
      <xdr:colOff>103324</xdr:colOff>
      <xdr:row>263</xdr:row>
      <xdr:rowOff>152400</xdr:rowOff>
    </xdr:to>
    <xdr:sp macro="" textlink="">
      <xdr:nvSpPr>
        <xdr:cNvPr id="392" name="260"/>
        <xdr:cNvSpPr/>
      </xdr:nvSpPr>
      <xdr:spPr>
        <a:xfrm>
          <a:off x="16083643" y="501319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263</xdr:row>
      <xdr:rowOff>95250</xdr:rowOff>
    </xdr:from>
    <xdr:to>
      <xdr:col>75</xdr:col>
      <xdr:colOff>81643</xdr:colOff>
      <xdr:row>263</xdr:row>
      <xdr:rowOff>95250</xdr:rowOff>
    </xdr:to>
    <xdr:cxnSp macro="">
      <xdr:nvCxnSpPr>
        <xdr:cNvPr id="393" name="직선 화살표 연결선 392"/>
        <xdr:cNvCxnSpPr/>
      </xdr:nvCxnSpPr>
      <xdr:spPr>
        <a:xfrm>
          <a:off x="16083643" y="5018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262</xdr:row>
      <xdr:rowOff>38100</xdr:rowOff>
    </xdr:from>
    <xdr:to>
      <xdr:col>77</xdr:col>
      <xdr:colOff>103324</xdr:colOff>
      <xdr:row>262</xdr:row>
      <xdr:rowOff>152400</xdr:rowOff>
    </xdr:to>
    <xdr:sp macro="" textlink="">
      <xdr:nvSpPr>
        <xdr:cNvPr id="394" name="259"/>
        <xdr:cNvSpPr/>
      </xdr:nvSpPr>
      <xdr:spPr>
        <a:xfrm>
          <a:off x="16083643" y="499414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262</xdr:row>
      <xdr:rowOff>95250</xdr:rowOff>
    </xdr:from>
    <xdr:to>
      <xdr:col>75</xdr:col>
      <xdr:colOff>81643</xdr:colOff>
      <xdr:row>262</xdr:row>
      <xdr:rowOff>95250</xdr:rowOff>
    </xdr:to>
    <xdr:cxnSp macro="">
      <xdr:nvCxnSpPr>
        <xdr:cNvPr id="395" name="직선 화살표 연결선 394"/>
        <xdr:cNvCxnSpPr/>
      </xdr:nvCxnSpPr>
      <xdr:spPr>
        <a:xfrm>
          <a:off x="16083643" y="4999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40821</xdr:colOff>
      <xdr:row>261</xdr:row>
      <xdr:rowOff>38100</xdr:rowOff>
    </xdr:from>
    <xdr:to>
      <xdr:col>84</xdr:col>
      <xdr:colOff>42090</xdr:colOff>
      <xdr:row>261</xdr:row>
      <xdr:rowOff>152400</xdr:rowOff>
    </xdr:to>
    <xdr:sp macro="" textlink="">
      <xdr:nvSpPr>
        <xdr:cNvPr id="396" name="258"/>
        <xdr:cNvSpPr/>
      </xdr:nvSpPr>
      <xdr:spPr>
        <a:xfrm>
          <a:off x="15463701" y="49750980"/>
          <a:ext cx="188340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40821</xdr:colOff>
      <xdr:row>261</xdr:row>
      <xdr:rowOff>95250</xdr:rowOff>
    </xdr:from>
    <xdr:to>
      <xdr:col>71</xdr:col>
      <xdr:colOff>40821</xdr:colOff>
      <xdr:row>261</xdr:row>
      <xdr:rowOff>95250</xdr:rowOff>
    </xdr:to>
    <xdr:cxnSp macro="">
      <xdr:nvCxnSpPr>
        <xdr:cNvPr id="397" name="직선 화살표 연결선 396"/>
        <xdr:cNvCxnSpPr/>
      </xdr:nvCxnSpPr>
      <xdr:spPr>
        <a:xfrm>
          <a:off x="15463701" y="4980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70</xdr:col>
      <xdr:colOff>20411</xdr:colOff>
      <xdr:row>260</xdr:row>
      <xdr:rowOff>38100</xdr:rowOff>
    </xdr:from>
    <xdr:to>
      <xdr:col>71</xdr:col>
      <xdr:colOff>42090</xdr:colOff>
      <xdr:row>260</xdr:row>
      <xdr:rowOff>152400</xdr:rowOff>
    </xdr:to>
    <xdr:sp macro="" textlink="">
      <xdr:nvSpPr>
        <xdr:cNvPr id="398" name="257"/>
        <xdr:cNvSpPr/>
      </xdr:nvSpPr>
      <xdr:spPr>
        <a:xfrm>
          <a:off x="15298511" y="49560480"/>
          <a:ext cx="16645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70</xdr:col>
      <xdr:colOff>20411</xdr:colOff>
      <xdr:row>260</xdr:row>
      <xdr:rowOff>95250</xdr:rowOff>
    </xdr:from>
    <xdr:to>
      <xdr:col>70</xdr:col>
      <xdr:colOff>20411</xdr:colOff>
      <xdr:row>260</xdr:row>
      <xdr:rowOff>95250</xdr:rowOff>
    </xdr:to>
    <xdr:cxnSp macro="">
      <xdr:nvCxnSpPr>
        <xdr:cNvPr id="399" name="직선 화살표 연결선 398"/>
        <xdr:cNvCxnSpPr/>
      </xdr:nvCxnSpPr>
      <xdr:spPr>
        <a:xfrm>
          <a:off x="15298511" y="4961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259</xdr:row>
      <xdr:rowOff>38100</xdr:rowOff>
    </xdr:from>
    <xdr:to>
      <xdr:col>71</xdr:col>
      <xdr:colOff>42090</xdr:colOff>
      <xdr:row>259</xdr:row>
      <xdr:rowOff>152400</xdr:rowOff>
    </xdr:to>
    <xdr:sp macro="" textlink="">
      <xdr:nvSpPr>
        <xdr:cNvPr id="400" name="256"/>
        <xdr:cNvSpPr/>
      </xdr:nvSpPr>
      <xdr:spPr>
        <a:xfrm>
          <a:off x="15133320" y="49369980"/>
          <a:ext cx="3316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259</xdr:row>
      <xdr:rowOff>95250</xdr:rowOff>
    </xdr:from>
    <xdr:to>
      <xdr:col>69</xdr:col>
      <xdr:colOff>0</xdr:colOff>
      <xdr:row>259</xdr:row>
      <xdr:rowOff>95250</xdr:rowOff>
    </xdr:to>
    <xdr:cxnSp macro="">
      <xdr:nvCxnSpPr>
        <xdr:cNvPr id="401" name="직선 화살표 연결선 400"/>
        <xdr:cNvCxnSpPr/>
      </xdr:nvCxnSpPr>
      <xdr:spPr>
        <a:xfrm>
          <a:off x="15133320" y="4942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258</xdr:row>
      <xdr:rowOff>38100</xdr:rowOff>
    </xdr:from>
    <xdr:to>
      <xdr:col>71</xdr:col>
      <xdr:colOff>42090</xdr:colOff>
      <xdr:row>258</xdr:row>
      <xdr:rowOff>152400</xdr:rowOff>
    </xdr:to>
    <xdr:sp macro="" textlink="">
      <xdr:nvSpPr>
        <xdr:cNvPr id="402" name="255"/>
        <xdr:cNvSpPr/>
      </xdr:nvSpPr>
      <xdr:spPr>
        <a:xfrm>
          <a:off x="15133320" y="49179480"/>
          <a:ext cx="33165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258</xdr:row>
      <xdr:rowOff>95250</xdr:rowOff>
    </xdr:from>
    <xdr:to>
      <xdr:col>69</xdr:col>
      <xdr:colOff>0</xdr:colOff>
      <xdr:row>258</xdr:row>
      <xdr:rowOff>95250</xdr:rowOff>
    </xdr:to>
    <xdr:cxnSp macro="">
      <xdr:nvCxnSpPr>
        <xdr:cNvPr id="403" name="직선 화살표 연결선 402"/>
        <xdr:cNvCxnSpPr/>
      </xdr:nvCxnSpPr>
      <xdr:spPr>
        <a:xfrm>
          <a:off x="15133320" y="4923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102054</xdr:colOff>
      <xdr:row>257</xdr:row>
      <xdr:rowOff>38100</xdr:rowOff>
    </xdr:from>
    <xdr:to>
      <xdr:col>74</xdr:col>
      <xdr:colOff>21681</xdr:colOff>
      <xdr:row>257</xdr:row>
      <xdr:rowOff>152400</xdr:rowOff>
    </xdr:to>
    <xdr:sp macro="" textlink="">
      <xdr:nvSpPr>
        <xdr:cNvPr id="404" name="254"/>
        <xdr:cNvSpPr/>
      </xdr:nvSpPr>
      <xdr:spPr>
        <a:xfrm>
          <a:off x="15669714" y="489889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102054</xdr:colOff>
      <xdr:row>257</xdr:row>
      <xdr:rowOff>95250</xdr:rowOff>
    </xdr:from>
    <xdr:to>
      <xdr:col>72</xdr:col>
      <xdr:colOff>102054</xdr:colOff>
      <xdr:row>257</xdr:row>
      <xdr:rowOff>95250</xdr:rowOff>
    </xdr:to>
    <xdr:cxnSp macro="">
      <xdr:nvCxnSpPr>
        <xdr:cNvPr id="405" name="직선 화살표 연결선 404"/>
        <xdr:cNvCxnSpPr/>
      </xdr:nvCxnSpPr>
      <xdr:spPr>
        <a:xfrm>
          <a:off x="15669714" y="4904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256</xdr:row>
      <xdr:rowOff>38100</xdr:rowOff>
    </xdr:from>
    <xdr:to>
      <xdr:col>74</xdr:col>
      <xdr:colOff>21681</xdr:colOff>
      <xdr:row>256</xdr:row>
      <xdr:rowOff>152400</xdr:rowOff>
    </xdr:to>
    <xdr:sp macro="" textlink="">
      <xdr:nvSpPr>
        <xdr:cNvPr id="406" name="253"/>
        <xdr:cNvSpPr/>
      </xdr:nvSpPr>
      <xdr:spPr>
        <a:xfrm>
          <a:off x="15484112" y="48798480"/>
          <a:ext cx="39478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256</xdr:row>
      <xdr:rowOff>95250</xdr:rowOff>
    </xdr:from>
    <xdr:to>
      <xdr:col>71</xdr:col>
      <xdr:colOff>61232</xdr:colOff>
      <xdr:row>256</xdr:row>
      <xdr:rowOff>95250</xdr:rowOff>
    </xdr:to>
    <xdr:cxnSp macro="">
      <xdr:nvCxnSpPr>
        <xdr:cNvPr id="407" name="직선 화살표 연결선 406"/>
        <xdr:cNvCxnSpPr/>
      </xdr:nvCxnSpPr>
      <xdr:spPr>
        <a:xfrm>
          <a:off x="15484112" y="4885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255</xdr:row>
      <xdr:rowOff>38100</xdr:rowOff>
    </xdr:from>
    <xdr:to>
      <xdr:col>74</xdr:col>
      <xdr:colOff>21681</xdr:colOff>
      <xdr:row>255</xdr:row>
      <xdr:rowOff>152400</xdr:rowOff>
    </xdr:to>
    <xdr:sp macro="" textlink="">
      <xdr:nvSpPr>
        <xdr:cNvPr id="408" name="252"/>
        <xdr:cNvSpPr/>
      </xdr:nvSpPr>
      <xdr:spPr>
        <a:xfrm>
          <a:off x="15484112" y="48607980"/>
          <a:ext cx="3947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255</xdr:row>
      <xdr:rowOff>95250</xdr:rowOff>
    </xdr:from>
    <xdr:to>
      <xdr:col>71</xdr:col>
      <xdr:colOff>61232</xdr:colOff>
      <xdr:row>255</xdr:row>
      <xdr:rowOff>95250</xdr:rowOff>
    </xdr:to>
    <xdr:cxnSp macro="">
      <xdr:nvCxnSpPr>
        <xdr:cNvPr id="409" name="직선 화살표 연결선 408"/>
        <xdr:cNvCxnSpPr/>
      </xdr:nvCxnSpPr>
      <xdr:spPr>
        <a:xfrm>
          <a:off x="15484112" y="4866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102054</xdr:colOff>
      <xdr:row>254</xdr:row>
      <xdr:rowOff>38100</xdr:rowOff>
    </xdr:from>
    <xdr:to>
      <xdr:col>71</xdr:col>
      <xdr:colOff>42090</xdr:colOff>
      <xdr:row>254</xdr:row>
      <xdr:rowOff>152400</xdr:rowOff>
    </xdr:to>
    <xdr:sp macro="" textlink="">
      <xdr:nvSpPr>
        <xdr:cNvPr id="410" name="251"/>
        <xdr:cNvSpPr/>
      </xdr:nvSpPr>
      <xdr:spPr>
        <a:xfrm>
          <a:off x="15235374" y="48417480"/>
          <a:ext cx="2295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102054</xdr:colOff>
      <xdr:row>254</xdr:row>
      <xdr:rowOff>95250</xdr:rowOff>
    </xdr:from>
    <xdr:to>
      <xdr:col>69</xdr:col>
      <xdr:colOff>102054</xdr:colOff>
      <xdr:row>254</xdr:row>
      <xdr:rowOff>95250</xdr:rowOff>
    </xdr:to>
    <xdr:cxnSp macro="">
      <xdr:nvCxnSpPr>
        <xdr:cNvPr id="411" name="직선 화살표 연결선 410"/>
        <xdr:cNvCxnSpPr/>
      </xdr:nvCxnSpPr>
      <xdr:spPr>
        <a:xfrm>
          <a:off x="15235374" y="4847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253</xdr:row>
      <xdr:rowOff>38100</xdr:rowOff>
    </xdr:from>
    <xdr:to>
      <xdr:col>71</xdr:col>
      <xdr:colOff>42090</xdr:colOff>
      <xdr:row>253</xdr:row>
      <xdr:rowOff>152400</xdr:rowOff>
    </xdr:to>
    <xdr:sp macro="" textlink="">
      <xdr:nvSpPr>
        <xdr:cNvPr id="412" name="250"/>
        <xdr:cNvSpPr/>
      </xdr:nvSpPr>
      <xdr:spPr>
        <a:xfrm>
          <a:off x="15133320" y="48226980"/>
          <a:ext cx="3316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253</xdr:row>
      <xdr:rowOff>95250</xdr:rowOff>
    </xdr:from>
    <xdr:to>
      <xdr:col>69</xdr:col>
      <xdr:colOff>0</xdr:colOff>
      <xdr:row>253</xdr:row>
      <xdr:rowOff>95250</xdr:rowOff>
    </xdr:to>
    <xdr:cxnSp macro="">
      <xdr:nvCxnSpPr>
        <xdr:cNvPr id="413" name="직선 화살표 연결선 412"/>
        <xdr:cNvCxnSpPr/>
      </xdr:nvCxnSpPr>
      <xdr:spPr>
        <a:xfrm>
          <a:off x="15133320" y="4828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252</xdr:row>
      <xdr:rowOff>38100</xdr:rowOff>
    </xdr:from>
    <xdr:to>
      <xdr:col>71</xdr:col>
      <xdr:colOff>42090</xdr:colOff>
      <xdr:row>252</xdr:row>
      <xdr:rowOff>152400</xdr:rowOff>
    </xdr:to>
    <xdr:sp macro="" textlink="">
      <xdr:nvSpPr>
        <xdr:cNvPr id="414" name="249"/>
        <xdr:cNvSpPr/>
      </xdr:nvSpPr>
      <xdr:spPr>
        <a:xfrm>
          <a:off x="15133320" y="48036480"/>
          <a:ext cx="33165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252</xdr:row>
      <xdr:rowOff>95250</xdr:rowOff>
    </xdr:from>
    <xdr:to>
      <xdr:col>69</xdr:col>
      <xdr:colOff>0</xdr:colOff>
      <xdr:row>252</xdr:row>
      <xdr:rowOff>95250</xdr:rowOff>
    </xdr:to>
    <xdr:cxnSp macro="">
      <xdr:nvCxnSpPr>
        <xdr:cNvPr id="415" name="직선 화살표 연결선 414"/>
        <xdr:cNvCxnSpPr/>
      </xdr:nvCxnSpPr>
      <xdr:spPr>
        <a:xfrm>
          <a:off x="15133320" y="4809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122464</xdr:colOff>
      <xdr:row>251</xdr:row>
      <xdr:rowOff>38100</xdr:rowOff>
    </xdr:from>
    <xdr:to>
      <xdr:col>69</xdr:col>
      <xdr:colOff>21681</xdr:colOff>
      <xdr:row>251</xdr:row>
      <xdr:rowOff>152400</xdr:rowOff>
    </xdr:to>
    <xdr:sp macro="" textlink="">
      <xdr:nvSpPr>
        <xdr:cNvPr id="416" name="248"/>
        <xdr:cNvSpPr/>
      </xdr:nvSpPr>
      <xdr:spPr>
        <a:xfrm>
          <a:off x="14966224" y="47845980"/>
          <a:ext cx="18877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122464</xdr:colOff>
      <xdr:row>251</xdr:row>
      <xdr:rowOff>95250</xdr:rowOff>
    </xdr:from>
    <xdr:to>
      <xdr:col>67</xdr:col>
      <xdr:colOff>122464</xdr:colOff>
      <xdr:row>251</xdr:row>
      <xdr:rowOff>95250</xdr:rowOff>
    </xdr:to>
    <xdr:cxnSp macro="">
      <xdr:nvCxnSpPr>
        <xdr:cNvPr id="417" name="직선 화살표 연결선 416"/>
        <xdr:cNvCxnSpPr/>
      </xdr:nvCxnSpPr>
      <xdr:spPr>
        <a:xfrm>
          <a:off x="14966224" y="4790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250</xdr:row>
      <xdr:rowOff>38100</xdr:rowOff>
    </xdr:from>
    <xdr:to>
      <xdr:col>69</xdr:col>
      <xdr:colOff>21681</xdr:colOff>
      <xdr:row>250</xdr:row>
      <xdr:rowOff>152400</xdr:rowOff>
    </xdr:to>
    <xdr:sp macro="" textlink="">
      <xdr:nvSpPr>
        <xdr:cNvPr id="418" name="247"/>
        <xdr:cNvSpPr/>
      </xdr:nvSpPr>
      <xdr:spPr>
        <a:xfrm>
          <a:off x="14843760" y="476554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250</xdr:row>
      <xdr:rowOff>95250</xdr:rowOff>
    </xdr:from>
    <xdr:to>
      <xdr:col>67</xdr:col>
      <xdr:colOff>0</xdr:colOff>
      <xdr:row>250</xdr:row>
      <xdr:rowOff>95250</xdr:rowOff>
    </xdr:to>
    <xdr:cxnSp macro="">
      <xdr:nvCxnSpPr>
        <xdr:cNvPr id="419" name="직선 화살표 연결선 418"/>
        <xdr:cNvCxnSpPr/>
      </xdr:nvCxnSpPr>
      <xdr:spPr>
        <a:xfrm>
          <a:off x="14843760" y="4771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249</xdr:row>
      <xdr:rowOff>38100</xdr:rowOff>
    </xdr:from>
    <xdr:to>
      <xdr:col>69</xdr:col>
      <xdr:colOff>21681</xdr:colOff>
      <xdr:row>249</xdr:row>
      <xdr:rowOff>152400</xdr:rowOff>
    </xdr:to>
    <xdr:sp macro="" textlink="">
      <xdr:nvSpPr>
        <xdr:cNvPr id="420" name="246"/>
        <xdr:cNvSpPr/>
      </xdr:nvSpPr>
      <xdr:spPr>
        <a:xfrm>
          <a:off x="14843760" y="474649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249</xdr:row>
      <xdr:rowOff>95250</xdr:rowOff>
    </xdr:from>
    <xdr:to>
      <xdr:col>67</xdr:col>
      <xdr:colOff>0</xdr:colOff>
      <xdr:row>249</xdr:row>
      <xdr:rowOff>95250</xdr:rowOff>
    </xdr:to>
    <xdr:cxnSp macro="">
      <xdr:nvCxnSpPr>
        <xdr:cNvPr id="421" name="직선 화살표 연결선 420"/>
        <xdr:cNvCxnSpPr/>
      </xdr:nvCxnSpPr>
      <xdr:spPr>
        <a:xfrm>
          <a:off x="14843760" y="4752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122464</xdr:colOff>
      <xdr:row>248</xdr:row>
      <xdr:rowOff>38100</xdr:rowOff>
    </xdr:from>
    <xdr:to>
      <xdr:col>69</xdr:col>
      <xdr:colOff>21681</xdr:colOff>
      <xdr:row>248</xdr:row>
      <xdr:rowOff>152400</xdr:rowOff>
    </xdr:to>
    <xdr:sp macro="" textlink="">
      <xdr:nvSpPr>
        <xdr:cNvPr id="422" name="245"/>
        <xdr:cNvSpPr/>
      </xdr:nvSpPr>
      <xdr:spPr>
        <a:xfrm>
          <a:off x="14966224" y="47274480"/>
          <a:ext cx="18877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122464</xdr:colOff>
      <xdr:row>248</xdr:row>
      <xdr:rowOff>95250</xdr:rowOff>
    </xdr:from>
    <xdr:to>
      <xdr:col>67</xdr:col>
      <xdr:colOff>122464</xdr:colOff>
      <xdr:row>248</xdr:row>
      <xdr:rowOff>95250</xdr:rowOff>
    </xdr:to>
    <xdr:cxnSp macro="">
      <xdr:nvCxnSpPr>
        <xdr:cNvPr id="423" name="직선 화살표 연결선 422"/>
        <xdr:cNvCxnSpPr/>
      </xdr:nvCxnSpPr>
      <xdr:spPr>
        <a:xfrm>
          <a:off x="14966224" y="4733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247</xdr:row>
      <xdr:rowOff>38100</xdr:rowOff>
    </xdr:from>
    <xdr:to>
      <xdr:col>69</xdr:col>
      <xdr:colOff>21681</xdr:colOff>
      <xdr:row>247</xdr:row>
      <xdr:rowOff>152400</xdr:rowOff>
    </xdr:to>
    <xdr:sp macro="" textlink="">
      <xdr:nvSpPr>
        <xdr:cNvPr id="424" name="244"/>
        <xdr:cNvSpPr/>
      </xdr:nvSpPr>
      <xdr:spPr>
        <a:xfrm>
          <a:off x="14843760" y="470839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247</xdr:row>
      <xdr:rowOff>95250</xdr:rowOff>
    </xdr:from>
    <xdr:to>
      <xdr:col>67</xdr:col>
      <xdr:colOff>0</xdr:colOff>
      <xdr:row>247</xdr:row>
      <xdr:rowOff>95250</xdr:rowOff>
    </xdr:to>
    <xdr:cxnSp macro="">
      <xdr:nvCxnSpPr>
        <xdr:cNvPr id="425" name="직선 화살표 연결선 424"/>
        <xdr:cNvCxnSpPr/>
      </xdr:nvCxnSpPr>
      <xdr:spPr>
        <a:xfrm>
          <a:off x="14843760" y="4714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246</xdr:row>
      <xdr:rowOff>38100</xdr:rowOff>
    </xdr:from>
    <xdr:to>
      <xdr:col>69</xdr:col>
      <xdr:colOff>21681</xdr:colOff>
      <xdr:row>246</xdr:row>
      <xdr:rowOff>152400</xdr:rowOff>
    </xdr:to>
    <xdr:sp macro="" textlink="">
      <xdr:nvSpPr>
        <xdr:cNvPr id="426" name="243"/>
        <xdr:cNvSpPr/>
      </xdr:nvSpPr>
      <xdr:spPr>
        <a:xfrm>
          <a:off x="14843760" y="468934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246</xdr:row>
      <xdr:rowOff>95250</xdr:rowOff>
    </xdr:from>
    <xdr:to>
      <xdr:col>67</xdr:col>
      <xdr:colOff>0</xdr:colOff>
      <xdr:row>246</xdr:row>
      <xdr:rowOff>95250</xdr:rowOff>
    </xdr:to>
    <xdr:cxnSp macro="">
      <xdr:nvCxnSpPr>
        <xdr:cNvPr id="427" name="직선 화살표 연결선 426"/>
        <xdr:cNvCxnSpPr/>
      </xdr:nvCxnSpPr>
      <xdr:spPr>
        <a:xfrm>
          <a:off x="14843760" y="4695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40821</xdr:colOff>
      <xdr:row>245</xdr:row>
      <xdr:rowOff>38100</xdr:rowOff>
    </xdr:from>
    <xdr:to>
      <xdr:col>73</xdr:col>
      <xdr:colOff>62502</xdr:colOff>
      <xdr:row>245</xdr:row>
      <xdr:rowOff>152400</xdr:rowOff>
    </xdr:to>
    <xdr:sp macro="" textlink="">
      <xdr:nvSpPr>
        <xdr:cNvPr id="428" name="242"/>
        <xdr:cNvSpPr/>
      </xdr:nvSpPr>
      <xdr:spPr>
        <a:xfrm>
          <a:off x="15608481" y="46702980"/>
          <a:ext cx="16646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40821</xdr:colOff>
      <xdr:row>245</xdr:row>
      <xdr:rowOff>95250</xdr:rowOff>
    </xdr:from>
    <xdr:to>
      <xdr:col>72</xdr:col>
      <xdr:colOff>40821</xdr:colOff>
      <xdr:row>245</xdr:row>
      <xdr:rowOff>95250</xdr:rowOff>
    </xdr:to>
    <xdr:cxnSp macro="">
      <xdr:nvCxnSpPr>
        <xdr:cNvPr id="429" name="직선 화살표 연결선 428"/>
        <xdr:cNvCxnSpPr/>
      </xdr:nvCxnSpPr>
      <xdr:spPr>
        <a:xfrm>
          <a:off x="15608481" y="4676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244</xdr:row>
      <xdr:rowOff>38100</xdr:rowOff>
    </xdr:from>
    <xdr:to>
      <xdr:col>73</xdr:col>
      <xdr:colOff>62502</xdr:colOff>
      <xdr:row>244</xdr:row>
      <xdr:rowOff>152400</xdr:rowOff>
    </xdr:to>
    <xdr:sp macro="" textlink="">
      <xdr:nvSpPr>
        <xdr:cNvPr id="430" name="241"/>
        <xdr:cNvSpPr/>
      </xdr:nvSpPr>
      <xdr:spPr>
        <a:xfrm>
          <a:off x="15484112" y="465124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244</xdr:row>
      <xdr:rowOff>95250</xdr:rowOff>
    </xdr:from>
    <xdr:to>
      <xdr:col>71</xdr:col>
      <xdr:colOff>61232</xdr:colOff>
      <xdr:row>244</xdr:row>
      <xdr:rowOff>95250</xdr:rowOff>
    </xdr:to>
    <xdr:cxnSp macro="">
      <xdr:nvCxnSpPr>
        <xdr:cNvPr id="431" name="직선 화살표 연결선 430"/>
        <xdr:cNvCxnSpPr/>
      </xdr:nvCxnSpPr>
      <xdr:spPr>
        <a:xfrm>
          <a:off x="15484112" y="4656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61232</xdr:colOff>
      <xdr:row>243</xdr:row>
      <xdr:rowOff>38100</xdr:rowOff>
    </xdr:from>
    <xdr:to>
      <xdr:col>73</xdr:col>
      <xdr:colOff>62502</xdr:colOff>
      <xdr:row>243</xdr:row>
      <xdr:rowOff>152400</xdr:rowOff>
    </xdr:to>
    <xdr:sp macro="" textlink="">
      <xdr:nvSpPr>
        <xdr:cNvPr id="432" name="240"/>
        <xdr:cNvSpPr/>
      </xdr:nvSpPr>
      <xdr:spPr>
        <a:xfrm>
          <a:off x="15484112" y="46321980"/>
          <a:ext cx="29083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61232</xdr:colOff>
      <xdr:row>243</xdr:row>
      <xdr:rowOff>95250</xdr:rowOff>
    </xdr:from>
    <xdr:to>
      <xdr:col>71</xdr:col>
      <xdr:colOff>61232</xdr:colOff>
      <xdr:row>243</xdr:row>
      <xdr:rowOff>95250</xdr:rowOff>
    </xdr:to>
    <xdr:cxnSp macro="">
      <xdr:nvCxnSpPr>
        <xdr:cNvPr id="433" name="직선 화살표 연결선 432"/>
        <xdr:cNvCxnSpPr/>
      </xdr:nvCxnSpPr>
      <xdr:spPr>
        <a:xfrm>
          <a:off x="15484112" y="4637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122464</xdr:colOff>
      <xdr:row>242</xdr:row>
      <xdr:rowOff>38100</xdr:rowOff>
    </xdr:from>
    <xdr:to>
      <xdr:col>69</xdr:col>
      <xdr:colOff>21681</xdr:colOff>
      <xdr:row>242</xdr:row>
      <xdr:rowOff>152400</xdr:rowOff>
    </xdr:to>
    <xdr:sp macro="" textlink="">
      <xdr:nvSpPr>
        <xdr:cNvPr id="434" name="239"/>
        <xdr:cNvSpPr/>
      </xdr:nvSpPr>
      <xdr:spPr>
        <a:xfrm>
          <a:off x="14966224" y="46131480"/>
          <a:ext cx="18877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122464</xdr:colOff>
      <xdr:row>242</xdr:row>
      <xdr:rowOff>95250</xdr:rowOff>
    </xdr:from>
    <xdr:to>
      <xdr:col>67</xdr:col>
      <xdr:colOff>122464</xdr:colOff>
      <xdr:row>242</xdr:row>
      <xdr:rowOff>95250</xdr:rowOff>
    </xdr:to>
    <xdr:cxnSp macro="">
      <xdr:nvCxnSpPr>
        <xdr:cNvPr id="435" name="직선 화살표 연결선 434"/>
        <xdr:cNvCxnSpPr/>
      </xdr:nvCxnSpPr>
      <xdr:spPr>
        <a:xfrm>
          <a:off x="14966224" y="4618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241</xdr:row>
      <xdr:rowOff>38100</xdr:rowOff>
    </xdr:from>
    <xdr:to>
      <xdr:col>69</xdr:col>
      <xdr:colOff>21681</xdr:colOff>
      <xdr:row>241</xdr:row>
      <xdr:rowOff>152400</xdr:rowOff>
    </xdr:to>
    <xdr:sp macro="" textlink="">
      <xdr:nvSpPr>
        <xdr:cNvPr id="436" name="238"/>
        <xdr:cNvSpPr/>
      </xdr:nvSpPr>
      <xdr:spPr>
        <a:xfrm>
          <a:off x="14843760" y="459409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241</xdr:row>
      <xdr:rowOff>95250</xdr:rowOff>
    </xdr:from>
    <xdr:to>
      <xdr:col>67</xdr:col>
      <xdr:colOff>0</xdr:colOff>
      <xdr:row>241</xdr:row>
      <xdr:rowOff>95250</xdr:rowOff>
    </xdr:to>
    <xdr:cxnSp macro="">
      <xdr:nvCxnSpPr>
        <xdr:cNvPr id="437" name="직선 화살표 연결선 436"/>
        <xdr:cNvCxnSpPr/>
      </xdr:nvCxnSpPr>
      <xdr:spPr>
        <a:xfrm>
          <a:off x="14843760" y="4599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240</xdr:row>
      <xdr:rowOff>38100</xdr:rowOff>
    </xdr:from>
    <xdr:to>
      <xdr:col>69</xdr:col>
      <xdr:colOff>21681</xdr:colOff>
      <xdr:row>240</xdr:row>
      <xdr:rowOff>152400</xdr:rowOff>
    </xdr:to>
    <xdr:sp macro="" textlink="">
      <xdr:nvSpPr>
        <xdr:cNvPr id="438" name="237"/>
        <xdr:cNvSpPr/>
      </xdr:nvSpPr>
      <xdr:spPr>
        <a:xfrm>
          <a:off x="14843760" y="45750480"/>
          <a:ext cx="3112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240</xdr:row>
      <xdr:rowOff>95250</xdr:rowOff>
    </xdr:from>
    <xdr:to>
      <xdr:col>67</xdr:col>
      <xdr:colOff>0</xdr:colOff>
      <xdr:row>240</xdr:row>
      <xdr:rowOff>95250</xdr:rowOff>
    </xdr:to>
    <xdr:cxnSp macro="">
      <xdr:nvCxnSpPr>
        <xdr:cNvPr id="439" name="직선 화살표 연결선 438"/>
        <xdr:cNvCxnSpPr/>
      </xdr:nvCxnSpPr>
      <xdr:spPr>
        <a:xfrm>
          <a:off x="14843760" y="4580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239</xdr:row>
      <xdr:rowOff>38100</xdr:rowOff>
    </xdr:from>
    <xdr:to>
      <xdr:col>74</xdr:col>
      <xdr:colOff>21681</xdr:colOff>
      <xdr:row>239</xdr:row>
      <xdr:rowOff>152400</xdr:rowOff>
    </xdr:to>
    <xdr:sp macro="" textlink="">
      <xdr:nvSpPr>
        <xdr:cNvPr id="440" name="236"/>
        <xdr:cNvSpPr/>
      </xdr:nvSpPr>
      <xdr:spPr>
        <a:xfrm>
          <a:off x="14843760" y="45559980"/>
          <a:ext cx="103514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239</xdr:row>
      <xdr:rowOff>95250</xdr:rowOff>
    </xdr:from>
    <xdr:to>
      <xdr:col>67</xdr:col>
      <xdr:colOff>0</xdr:colOff>
      <xdr:row>239</xdr:row>
      <xdr:rowOff>95250</xdr:rowOff>
    </xdr:to>
    <xdr:cxnSp macro="">
      <xdr:nvCxnSpPr>
        <xdr:cNvPr id="441" name="직선 화살표 연결선 440"/>
        <xdr:cNvCxnSpPr/>
      </xdr:nvCxnSpPr>
      <xdr:spPr>
        <a:xfrm>
          <a:off x="14843760" y="4561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20411</xdr:colOff>
      <xdr:row>238</xdr:row>
      <xdr:rowOff>38100</xdr:rowOff>
    </xdr:from>
    <xdr:to>
      <xdr:col>75</xdr:col>
      <xdr:colOff>103324</xdr:colOff>
      <xdr:row>238</xdr:row>
      <xdr:rowOff>152400</xdr:rowOff>
    </xdr:to>
    <xdr:sp macro="" textlink="">
      <xdr:nvSpPr>
        <xdr:cNvPr id="442" name="235"/>
        <xdr:cNvSpPr/>
      </xdr:nvSpPr>
      <xdr:spPr>
        <a:xfrm>
          <a:off x="15877631" y="45369480"/>
          <a:ext cx="2276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20411</xdr:colOff>
      <xdr:row>238</xdr:row>
      <xdr:rowOff>95250</xdr:rowOff>
    </xdr:from>
    <xdr:to>
      <xdr:col>74</xdr:col>
      <xdr:colOff>20411</xdr:colOff>
      <xdr:row>238</xdr:row>
      <xdr:rowOff>95250</xdr:rowOff>
    </xdr:to>
    <xdr:cxnSp macro="">
      <xdr:nvCxnSpPr>
        <xdr:cNvPr id="443" name="직선 화살표 연결선 442"/>
        <xdr:cNvCxnSpPr/>
      </xdr:nvCxnSpPr>
      <xdr:spPr>
        <a:xfrm>
          <a:off x="15877631" y="4542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20411</xdr:colOff>
      <xdr:row>237</xdr:row>
      <xdr:rowOff>38100</xdr:rowOff>
    </xdr:from>
    <xdr:to>
      <xdr:col>75</xdr:col>
      <xdr:colOff>103324</xdr:colOff>
      <xdr:row>237</xdr:row>
      <xdr:rowOff>152400</xdr:rowOff>
    </xdr:to>
    <xdr:sp macro="" textlink="">
      <xdr:nvSpPr>
        <xdr:cNvPr id="444" name="234"/>
        <xdr:cNvSpPr/>
      </xdr:nvSpPr>
      <xdr:spPr>
        <a:xfrm>
          <a:off x="15877631" y="45178980"/>
          <a:ext cx="22769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20411</xdr:colOff>
      <xdr:row>237</xdr:row>
      <xdr:rowOff>95250</xdr:rowOff>
    </xdr:from>
    <xdr:to>
      <xdr:col>74</xdr:col>
      <xdr:colOff>20411</xdr:colOff>
      <xdr:row>237</xdr:row>
      <xdr:rowOff>95250</xdr:rowOff>
    </xdr:to>
    <xdr:cxnSp macro="">
      <xdr:nvCxnSpPr>
        <xdr:cNvPr id="445" name="직선 화살표 연결선 444"/>
        <xdr:cNvCxnSpPr/>
      </xdr:nvCxnSpPr>
      <xdr:spPr>
        <a:xfrm>
          <a:off x="15877631" y="4523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81643</xdr:colOff>
      <xdr:row>236</xdr:row>
      <xdr:rowOff>38100</xdr:rowOff>
    </xdr:from>
    <xdr:to>
      <xdr:col>79</xdr:col>
      <xdr:colOff>1270</xdr:colOff>
      <xdr:row>236</xdr:row>
      <xdr:rowOff>152400</xdr:rowOff>
    </xdr:to>
    <xdr:sp macro="" textlink="">
      <xdr:nvSpPr>
        <xdr:cNvPr id="446" name="233"/>
        <xdr:cNvSpPr/>
      </xdr:nvSpPr>
      <xdr:spPr>
        <a:xfrm>
          <a:off x="16373203" y="44988480"/>
          <a:ext cx="2091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81643</xdr:colOff>
      <xdr:row>236</xdr:row>
      <xdr:rowOff>95250</xdr:rowOff>
    </xdr:from>
    <xdr:to>
      <xdr:col>77</xdr:col>
      <xdr:colOff>81643</xdr:colOff>
      <xdr:row>236</xdr:row>
      <xdr:rowOff>95250</xdr:rowOff>
    </xdr:to>
    <xdr:cxnSp macro="">
      <xdr:nvCxnSpPr>
        <xdr:cNvPr id="447" name="직선 화살표 연결선 446"/>
        <xdr:cNvCxnSpPr/>
      </xdr:nvCxnSpPr>
      <xdr:spPr>
        <a:xfrm>
          <a:off x="16373203" y="4504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81643</xdr:colOff>
      <xdr:row>235</xdr:row>
      <xdr:rowOff>38100</xdr:rowOff>
    </xdr:from>
    <xdr:to>
      <xdr:col>79</xdr:col>
      <xdr:colOff>1270</xdr:colOff>
      <xdr:row>235</xdr:row>
      <xdr:rowOff>152400</xdr:rowOff>
    </xdr:to>
    <xdr:sp macro="" textlink="">
      <xdr:nvSpPr>
        <xdr:cNvPr id="448" name="232"/>
        <xdr:cNvSpPr/>
      </xdr:nvSpPr>
      <xdr:spPr>
        <a:xfrm>
          <a:off x="16373203" y="44797980"/>
          <a:ext cx="20918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81643</xdr:colOff>
      <xdr:row>235</xdr:row>
      <xdr:rowOff>95250</xdr:rowOff>
    </xdr:from>
    <xdr:to>
      <xdr:col>77</xdr:col>
      <xdr:colOff>81643</xdr:colOff>
      <xdr:row>235</xdr:row>
      <xdr:rowOff>95250</xdr:rowOff>
    </xdr:to>
    <xdr:cxnSp macro="">
      <xdr:nvCxnSpPr>
        <xdr:cNvPr id="449" name="직선 화살표 연결선 448"/>
        <xdr:cNvCxnSpPr/>
      </xdr:nvCxnSpPr>
      <xdr:spPr>
        <a:xfrm>
          <a:off x="16373203" y="4485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234</xdr:row>
      <xdr:rowOff>38100</xdr:rowOff>
    </xdr:from>
    <xdr:to>
      <xdr:col>75</xdr:col>
      <xdr:colOff>82913</xdr:colOff>
      <xdr:row>234</xdr:row>
      <xdr:rowOff>152400</xdr:rowOff>
    </xdr:to>
    <xdr:sp macro="" textlink="">
      <xdr:nvSpPr>
        <xdr:cNvPr id="450" name="231"/>
        <xdr:cNvSpPr/>
      </xdr:nvSpPr>
      <xdr:spPr>
        <a:xfrm>
          <a:off x="15857220" y="44607480"/>
          <a:ext cx="22769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0</xdr:colOff>
      <xdr:row>234</xdr:row>
      <xdr:rowOff>95250</xdr:rowOff>
    </xdr:from>
    <xdr:to>
      <xdr:col>74</xdr:col>
      <xdr:colOff>0</xdr:colOff>
      <xdr:row>234</xdr:row>
      <xdr:rowOff>95250</xdr:rowOff>
    </xdr:to>
    <xdr:cxnSp macro="">
      <xdr:nvCxnSpPr>
        <xdr:cNvPr id="451" name="직선 화살표 연결선 450"/>
        <xdr:cNvCxnSpPr/>
      </xdr:nvCxnSpPr>
      <xdr:spPr>
        <a:xfrm>
          <a:off x="15857220" y="4466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233</xdr:row>
      <xdr:rowOff>38100</xdr:rowOff>
    </xdr:from>
    <xdr:to>
      <xdr:col>75</xdr:col>
      <xdr:colOff>82913</xdr:colOff>
      <xdr:row>233</xdr:row>
      <xdr:rowOff>152400</xdr:rowOff>
    </xdr:to>
    <xdr:sp macro="" textlink="">
      <xdr:nvSpPr>
        <xdr:cNvPr id="452" name="230"/>
        <xdr:cNvSpPr/>
      </xdr:nvSpPr>
      <xdr:spPr>
        <a:xfrm>
          <a:off x="15857220" y="44416980"/>
          <a:ext cx="22769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0</xdr:colOff>
      <xdr:row>233</xdr:row>
      <xdr:rowOff>95250</xdr:rowOff>
    </xdr:from>
    <xdr:to>
      <xdr:col>74</xdr:col>
      <xdr:colOff>0</xdr:colOff>
      <xdr:row>233</xdr:row>
      <xdr:rowOff>95250</xdr:rowOff>
    </xdr:to>
    <xdr:cxnSp macro="">
      <xdr:nvCxnSpPr>
        <xdr:cNvPr id="453" name="직선 화살표 연결선 452"/>
        <xdr:cNvCxnSpPr/>
      </xdr:nvCxnSpPr>
      <xdr:spPr>
        <a:xfrm>
          <a:off x="15857220" y="4447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20411</xdr:colOff>
      <xdr:row>232</xdr:row>
      <xdr:rowOff>38100</xdr:rowOff>
    </xdr:from>
    <xdr:to>
      <xdr:col>73</xdr:col>
      <xdr:colOff>62502</xdr:colOff>
      <xdr:row>232</xdr:row>
      <xdr:rowOff>152400</xdr:rowOff>
    </xdr:to>
    <xdr:sp macro="" textlink="">
      <xdr:nvSpPr>
        <xdr:cNvPr id="454" name="229"/>
        <xdr:cNvSpPr/>
      </xdr:nvSpPr>
      <xdr:spPr>
        <a:xfrm>
          <a:off x="15588071" y="44226480"/>
          <a:ext cx="1868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20411</xdr:colOff>
      <xdr:row>232</xdr:row>
      <xdr:rowOff>95250</xdr:rowOff>
    </xdr:from>
    <xdr:to>
      <xdr:col>72</xdr:col>
      <xdr:colOff>20411</xdr:colOff>
      <xdr:row>232</xdr:row>
      <xdr:rowOff>95250</xdr:rowOff>
    </xdr:to>
    <xdr:cxnSp macro="">
      <xdr:nvCxnSpPr>
        <xdr:cNvPr id="455" name="직선 화살표 연결선 454"/>
        <xdr:cNvCxnSpPr/>
      </xdr:nvCxnSpPr>
      <xdr:spPr>
        <a:xfrm>
          <a:off x="15588071" y="4428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20411</xdr:colOff>
      <xdr:row>231</xdr:row>
      <xdr:rowOff>38100</xdr:rowOff>
    </xdr:from>
    <xdr:to>
      <xdr:col>73</xdr:col>
      <xdr:colOff>62502</xdr:colOff>
      <xdr:row>231</xdr:row>
      <xdr:rowOff>152400</xdr:rowOff>
    </xdr:to>
    <xdr:sp macro="" textlink="">
      <xdr:nvSpPr>
        <xdr:cNvPr id="456" name="228"/>
        <xdr:cNvSpPr/>
      </xdr:nvSpPr>
      <xdr:spPr>
        <a:xfrm>
          <a:off x="15588071" y="44035980"/>
          <a:ext cx="1868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20411</xdr:colOff>
      <xdr:row>231</xdr:row>
      <xdr:rowOff>95250</xdr:rowOff>
    </xdr:from>
    <xdr:to>
      <xdr:col>72</xdr:col>
      <xdr:colOff>20411</xdr:colOff>
      <xdr:row>231</xdr:row>
      <xdr:rowOff>95250</xdr:rowOff>
    </xdr:to>
    <xdr:cxnSp macro="">
      <xdr:nvCxnSpPr>
        <xdr:cNvPr id="457" name="직선 화살표 연결선 456"/>
        <xdr:cNvCxnSpPr/>
      </xdr:nvCxnSpPr>
      <xdr:spPr>
        <a:xfrm>
          <a:off x="15588071" y="4409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20411</xdr:colOff>
      <xdr:row>230</xdr:row>
      <xdr:rowOff>38100</xdr:rowOff>
    </xdr:from>
    <xdr:to>
      <xdr:col>73</xdr:col>
      <xdr:colOff>62502</xdr:colOff>
      <xdr:row>230</xdr:row>
      <xdr:rowOff>152400</xdr:rowOff>
    </xdr:to>
    <xdr:sp macro="" textlink="">
      <xdr:nvSpPr>
        <xdr:cNvPr id="458" name="227"/>
        <xdr:cNvSpPr/>
      </xdr:nvSpPr>
      <xdr:spPr>
        <a:xfrm>
          <a:off x="15588071" y="43845480"/>
          <a:ext cx="1868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20411</xdr:colOff>
      <xdr:row>230</xdr:row>
      <xdr:rowOff>95250</xdr:rowOff>
    </xdr:from>
    <xdr:to>
      <xdr:col>72</xdr:col>
      <xdr:colOff>20411</xdr:colOff>
      <xdr:row>230</xdr:row>
      <xdr:rowOff>95250</xdr:rowOff>
    </xdr:to>
    <xdr:cxnSp macro="">
      <xdr:nvCxnSpPr>
        <xdr:cNvPr id="459" name="직선 화살표 연결선 458"/>
        <xdr:cNvCxnSpPr/>
      </xdr:nvCxnSpPr>
      <xdr:spPr>
        <a:xfrm>
          <a:off x="15588071" y="4390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20411</xdr:colOff>
      <xdr:row>229</xdr:row>
      <xdr:rowOff>38100</xdr:rowOff>
    </xdr:from>
    <xdr:to>
      <xdr:col>73</xdr:col>
      <xdr:colOff>62502</xdr:colOff>
      <xdr:row>229</xdr:row>
      <xdr:rowOff>152400</xdr:rowOff>
    </xdr:to>
    <xdr:sp macro="" textlink="">
      <xdr:nvSpPr>
        <xdr:cNvPr id="460" name="226"/>
        <xdr:cNvSpPr/>
      </xdr:nvSpPr>
      <xdr:spPr>
        <a:xfrm>
          <a:off x="15588071" y="43654980"/>
          <a:ext cx="1868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20411</xdr:colOff>
      <xdr:row>229</xdr:row>
      <xdr:rowOff>95250</xdr:rowOff>
    </xdr:from>
    <xdr:to>
      <xdr:col>72</xdr:col>
      <xdr:colOff>20411</xdr:colOff>
      <xdr:row>229</xdr:row>
      <xdr:rowOff>95250</xdr:rowOff>
    </xdr:to>
    <xdr:cxnSp macro="">
      <xdr:nvCxnSpPr>
        <xdr:cNvPr id="461" name="직선 화살표 연결선 460"/>
        <xdr:cNvCxnSpPr/>
      </xdr:nvCxnSpPr>
      <xdr:spPr>
        <a:xfrm>
          <a:off x="15588071" y="4371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228</xdr:row>
      <xdr:rowOff>38100</xdr:rowOff>
    </xdr:from>
    <xdr:to>
      <xdr:col>76</xdr:col>
      <xdr:colOff>123734</xdr:colOff>
      <xdr:row>228</xdr:row>
      <xdr:rowOff>152400</xdr:rowOff>
    </xdr:to>
    <xdr:sp macro="" textlink="">
      <xdr:nvSpPr>
        <xdr:cNvPr id="462" name="225"/>
        <xdr:cNvSpPr/>
      </xdr:nvSpPr>
      <xdr:spPr>
        <a:xfrm>
          <a:off x="16083643" y="43464480"/>
          <a:ext cx="1868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228</xdr:row>
      <xdr:rowOff>95250</xdr:rowOff>
    </xdr:from>
    <xdr:to>
      <xdr:col>75</xdr:col>
      <xdr:colOff>81643</xdr:colOff>
      <xdr:row>228</xdr:row>
      <xdr:rowOff>95250</xdr:rowOff>
    </xdr:to>
    <xdr:cxnSp macro="">
      <xdr:nvCxnSpPr>
        <xdr:cNvPr id="463" name="직선 화살표 연결선 462"/>
        <xdr:cNvCxnSpPr/>
      </xdr:nvCxnSpPr>
      <xdr:spPr>
        <a:xfrm>
          <a:off x="16083643" y="4352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227</xdr:row>
      <xdr:rowOff>38100</xdr:rowOff>
    </xdr:from>
    <xdr:to>
      <xdr:col>76</xdr:col>
      <xdr:colOff>123734</xdr:colOff>
      <xdr:row>227</xdr:row>
      <xdr:rowOff>152400</xdr:rowOff>
    </xdr:to>
    <xdr:sp macro="" textlink="">
      <xdr:nvSpPr>
        <xdr:cNvPr id="464" name="224"/>
        <xdr:cNvSpPr/>
      </xdr:nvSpPr>
      <xdr:spPr>
        <a:xfrm>
          <a:off x="16083643" y="43273980"/>
          <a:ext cx="1868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227</xdr:row>
      <xdr:rowOff>95250</xdr:rowOff>
    </xdr:from>
    <xdr:to>
      <xdr:col>75</xdr:col>
      <xdr:colOff>81643</xdr:colOff>
      <xdr:row>227</xdr:row>
      <xdr:rowOff>95250</xdr:rowOff>
    </xdr:to>
    <xdr:cxnSp macro="">
      <xdr:nvCxnSpPr>
        <xdr:cNvPr id="465" name="직선 화살표 연결선 464"/>
        <xdr:cNvCxnSpPr/>
      </xdr:nvCxnSpPr>
      <xdr:spPr>
        <a:xfrm>
          <a:off x="16083643" y="4333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20411</xdr:colOff>
      <xdr:row>226</xdr:row>
      <xdr:rowOff>38100</xdr:rowOff>
    </xdr:from>
    <xdr:to>
      <xdr:col>73</xdr:col>
      <xdr:colOff>62502</xdr:colOff>
      <xdr:row>226</xdr:row>
      <xdr:rowOff>152400</xdr:rowOff>
    </xdr:to>
    <xdr:sp macro="" textlink="">
      <xdr:nvSpPr>
        <xdr:cNvPr id="466" name="223"/>
        <xdr:cNvSpPr/>
      </xdr:nvSpPr>
      <xdr:spPr>
        <a:xfrm>
          <a:off x="15588071" y="43083480"/>
          <a:ext cx="1868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20411</xdr:colOff>
      <xdr:row>226</xdr:row>
      <xdr:rowOff>95250</xdr:rowOff>
    </xdr:from>
    <xdr:to>
      <xdr:col>72</xdr:col>
      <xdr:colOff>20411</xdr:colOff>
      <xdr:row>226</xdr:row>
      <xdr:rowOff>95250</xdr:rowOff>
    </xdr:to>
    <xdr:cxnSp macro="">
      <xdr:nvCxnSpPr>
        <xdr:cNvPr id="467" name="직선 화살표 연결선 466"/>
        <xdr:cNvCxnSpPr/>
      </xdr:nvCxnSpPr>
      <xdr:spPr>
        <a:xfrm>
          <a:off x="15588071" y="4314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20411</xdr:colOff>
      <xdr:row>225</xdr:row>
      <xdr:rowOff>38100</xdr:rowOff>
    </xdr:from>
    <xdr:to>
      <xdr:col>73</xdr:col>
      <xdr:colOff>62502</xdr:colOff>
      <xdr:row>225</xdr:row>
      <xdr:rowOff>152400</xdr:rowOff>
    </xdr:to>
    <xdr:sp macro="" textlink="">
      <xdr:nvSpPr>
        <xdr:cNvPr id="468" name="222"/>
        <xdr:cNvSpPr/>
      </xdr:nvSpPr>
      <xdr:spPr>
        <a:xfrm>
          <a:off x="15588071" y="42892980"/>
          <a:ext cx="1868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20411</xdr:colOff>
      <xdr:row>225</xdr:row>
      <xdr:rowOff>95250</xdr:rowOff>
    </xdr:from>
    <xdr:to>
      <xdr:col>72</xdr:col>
      <xdr:colOff>20411</xdr:colOff>
      <xdr:row>225</xdr:row>
      <xdr:rowOff>95250</xdr:rowOff>
    </xdr:to>
    <xdr:cxnSp macro="">
      <xdr:nvCxnSpPr>
        <xdr:cNvPr id="469" name="직선 화살표 연결선 468"/>
        <xdr:cNvCxnSpPr/>
      </xdr:nvCxnSpPr>
      <xdr:spPr>
        <a:xfrm>
          <a:off x="15588071" y="4295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20411</xdr:colOff>
      <xdr:row>224</xdr:row>
      <xdr:rowOff>38100</xdr:rowOff>
    </xdr:from>
    <xdr:to>
      <xdr:col>79</xdr:col>
      <xdr:colOff>1270</xdr:colOff>
      <xdr:row>224</xdr:row>
      <xdr:rowOff>152400</xdr:rowOff>
    </xdr:to>
    <xdr:sp macro="" textlink="">
      <xdr:nvSpPr>
        <xdr:cNvPr id="470" name="221"/>
        <xdr:cNvSpPr/>
      </xdr:nvSpPr>
      <xdr:spPr>
        <a:xfrm>
          <a:off x="15588071" y="42702480"/>
          <a:ext cx="99431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72</xdr:col>
      <xdr:colOff>20411</xdr:colOff>
      <xdr:row>224</xdr:row>
      <xdr:rowOff>95250</xdr:rowOff>
    </xdr:from>
    <xdr:to>
      <xdr:col>72</xdr:col>
      <xdr:colOff>20411</xdr:colOff>
      <xdr:row>224</xdr:row>
      <xdr:rowOff>95250</xdr:rowOff>
    </xdr:to>
    <xdr:cxnSp macro="">
      <xdr:nvCxnSpPr>
        <xdr:cNvPr id="471" name="직선 화살표 연결선 470"/>
        <xdr:cNvCxnSpPr/>
      </xdr:nvCxnSpPr>
      <xdr:spPr>
        <a:xfrm>
          <a:off x="15588071" y="4275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61232</xdr:colOff>
      <xdr:row>223</xdr:row>
      <xdr:rowOff>38100</xdr:rowOff>
    </xdr:from>
    <xdr:to>
      <xdr:col>67</xdr:col>
      <xdr:colOff>1270</xdr:colOff>
      <xdr:row>223</xdr:row>
      <xdr:rowOff>152400</xdr:rowOff>
    </xdr:to>
    <xdr:sp macro="" textlink="">
      <xdr:nvSpPr>
        <xdr:cNvPr id="472" name="220"/>
        <xdr:cNvSpPr/>
      </xdr:nvSpPr>
      <xdr:spPr>
        <a:xfrm>
          <a:off x="14615432" y="42511980"/>
          <a:ext cx="229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61232</xdr:colOff>
      <xdr:row>223</xdr:row>
      <xdr:rowOff>95250</xdr:rowOff>
    </xdr:from>
    <xdr:to>
      <xdr:col>65</xdr:col>
      <xdr:colOff>61232</xdr:colOff>
      <xdr:row>223</xdr:row>
      <xdr:rowOff>95250</xdr:rowOff>
    </xdr:to>
    <xdr:cxnSp macro="">
      <xdr:nvCxnSpPr>
        <xdr:cNvPr id="473" name="직선 화살표 연결선 472"/>
        <xdr:cNvCxnSpPr/>
      </xdr:nvCxnSpPr>
      <xdr:spPr>
        <a:xfrm>
          <a:off x="14615432" y="4256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61232</xdr:colOff>
      <xdr:row>222</xdr:row>
      <xdr:rowOff>38100</xdr:rowOff>
    </xdr:from>
    <xdr:to>
      <xdr:col>67</xdr:col>
      <xdr:colOff>1270</xdr:colOff>
      <xdr:row>222</xdr:row>
      <xdr:rowOff>152400</xdr:rowOff>
    </xdr:to>
    <xdr:sp macro="" textlink="">
      <xdr:nvSpPr>
        <xdr:cNvPr id="474" name="219"/>
        <xdr:cNvSpPr/>
      </xdr:nvSpPr>
      <xdr:spPr>
        <a:xfrm>
          <a:off x="14615432" y="42321480"/>
          <a:ext cx="2295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61232</xdr:colOff>
      <xdr:row>222</xdr:row>
      <xdr:rowOff>95250</xdr:rowOff>
    </xdr:from>
    <xdr:to>
      <xdr:col>65</xdr:col>
      <xdr:colOff>61232</xdr:colOff>
      <xdr:row>222</xdr:row>
      <xdr:rowOff>95250</xdr:rowOff>
    </xdr:to>
    <xdr:cxnSp macro="">
      <xdr:nvCxnSpPr>
        <xdr:cNvPr id="475" name="직선 화살표 연결선 474"/>
        <xdr:cNvCxnSpPr/>
      </xdr:nvCxnSpPr>
      <xdr:spPr>
        <a:xfrm>
          <a:off x="14615432" y="4237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221</xdr:row>
      <xdr:rowOff>38100</xdr:rowOff>
    </xdr:from>
    <xdr:to>
      <xdr:col>70</xdr:col>
      <xdr:colOff>62502</xdr:colOff>
      <xdr:row>221</xdr:row>
      <xdr:rowOff>152400</xdr:rowOff>
    </xdr:to>
    <xdr:sp macro="" textlink="">
      <xdr:nvSpPr>
        <xdr:cNvPr id="476" name="218"/>
        <xdr:cNvSpPr/>
      </xdr:nvSpPr>
      <xdr:spPr>
        <a:xfrm>
          <a:off x="15133320" y="42130980"/>
          <a:ext cx="20728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221</xdr:row>
      <xdr:rowOff>95250</xdr:rowOff>
    </xdr:from>
    <xdr:to>
      <xdr:col>69</xdr:col>
      <xdr:colOff>0</xdr:colOff>
      <xdr:row>221</xdr:row>
      <xdr:rowOff>95250</xdr:rowOff>
    </xdr:to>
    <xdr:cxnSp macro="">
      <xdr:nvCxnSpPr>
        <xdr:cNvPr id="477" name="직선 화살표 연결선 476"/>
        <xdr:cNvCxnSpPr/>
      </xdr:nvCxnSpPr>
      <xdr:spPr>
        <a:xfrm>
          <a:off x="15133320" y="4218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220</xdr:row>
      <xdr:rowOff>38100</xdr:rowOff>
    </xdr:from>
    <xdr:to>
      <xdr:col>70</xdr:col>
      <xdr:colOff>62502</xdr:colOff>
      <xdr:row>220</xdr:row>
      <xdr:rowOff>152400</xdr:rowOff>
    </xdr:to>
    <xdr:sp macro="" textlink="">
      <xdr:nvSpPr>
        <xdr:cNvPr id="478" name="217"/>
        <xdr:cNvSpPr/>
      </xdr:nvSpPr>
      <xdr:spPr>
        <a:xfrm>
          <a:off x="15133320" y="41940480"/>
          <a:ext cx="20728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220</xdr:row>
      <xdr:rowOff>95250</xdr:rowOff>
    </xdr:from>
    <xdr:to>
      <xdr:col>69</xdr:col>
      <xdr:colOff>0</xdr:colOff>
      <xdr:row>220</xdr:row>
      <xdr:rowOff>95250</xdr:rowOff>
    </xdr:to>
    <xdr:cxnSp macro="">
      <xdr:nvCxnSpPr>
        <xdr:cNvPr id="479" name="직선 화살표 연결선 478"/>
        <xdr:cNvCxnSpPr/>
      </xdr:nvCxnSpPr>
      <xdr:spPr>
        <a:xfrm>
          <a:off x="15133320" y="4199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61232</xdr:colOff>
      <xdr:row>219</xdr:row>
      <xdr:rowOff>38100</xdr:rowOff>
    </xdr:from>
    <xdr:to>
      <xdr:col>67</xdr:col>
      <xdr:colOff>1270</xdr:colOff>
      <xdr:row>219</xdr:row>
      <xdr:rowOff>152400</xdr:rowOff>
    </xdr:to>
    <xdr:sp macro="" textlink="">
      <xdr:nvSpPr>
        <xdr:cNvPr id="480" name="216"/>
        <xdr:cNvSpPr/>
      </xdr:nvSpPr>
      <xdr:spPr>
        <a:xfrm>
          <a:off x="14615432" y="41749980"/>
          <a:ext cx="22959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61232</xdr:colOff>
      <xdr:row>219</xdr:row>
      <xdr:rowOff>95250</xdr:rowOff>
    </xdr:from>
    <xdr:to>
      <xdr:col>65</xdr:col>
      <xdr:colOff>61232</xdr:colOff>
      <xdr:row>219</xdr:row>
      <xdr:rowOff>95250</xdr:rowOff>
    </xdr:to>
    <xdr:cxnSp macro="">
      <xdr:nvCxnSpPr>
        <xdr:cNvPr id="481" name="직선 화살표 연결선 480"/>
        <xdr:cNvCxnSpPr/>
      </xdr:nvCxnSpPr>
      <xdr:spPr>
        <a:xfrm>
          <a:off x="14615432" y="4180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61232</xdr:colOff>
      <xdr:row>218</xdr:row>
      <xdr:rowOff>38100</xdr:rowOff>
    </xdr:from>
    <xdr:to>
      <xdr:col>67</xdr:col>
      <xdr:colOff>1270</xdr:colOff>
      <xdr:row>218</xdr:row>
      <xdr:rowOff>152400</xdr:rowOff>
    </xdr:to>
    <xdr:sp macro="" textlink="">
      <xdr:nvSpPr>
        <xdr:cNvPr id="482" name="215"/>
        <xdr:cNvSpPr/>
      </xdr:nvSpPr>
      <xdr:spPr>
        <a:xfrm>
          <a:off x="14615432" y="41559480"/>
          <a:ext cx="22959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61232</xdr:colOff>
      <xdr:row>218</xdr:row>
      <xdr:rowOff>95250</xdr:rowOff>
    </xdr:from>
    <xdr:to>
      <xdr:col>65</xdr:col>
      <xdr:colOff>61232</xdr:colOff>
      <xdr:row>218</xdr:row>
      <xdr:rowOff>95250</xdr:rowOff>
    </xdr:to>
    <xdr:cxnSp macro="">
      <xdr:nvCxnSpPr>
        <xdr:cNvPr id="483" name="직선 화살표 연결선 482"/>
        <xdr:cNvCxnSpPr/>
      </xdr:nvCxnSpPr>
      <xdr:spPr>
        <a:xfrm>
          <a:off x="14615432" y="4161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81643</xdr:colOff>
      <xdr:row>217</xdr:row>
      <xdr:rowOff>38100</xdr:rowOff>
    </xdr:from>
    <xdr:to>
      <xdr:col>64</xdr:col>
      <xdr:colOff>123734</xdr:colOff>
      <xdr:row>217</xdr:row>
      <xdr:rowOff>152400</xdr:rowOff>
    </xdr:to>
    <xdr:sp macro="" textlink="">
      <xdr:nvSpPr>
        <xdr:cNvPr id="484" name="214"/>
        <xdr:cNvSpPr/>
      </xdr:nvSpPr>
      <xdr:spPr>
        <a:xfrm>
          <a:off x="14346283" y="41368980"/>
          <a:ext cx="1868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81643</xdr:colOff>
      <xdr:row>217</xdr:row>
      <xdr:rowOff>95250</xdr:rowOff>
    </xdr:from>
    <xdr:to>
      <xdr:col>63</xdr:col>
      <xdr:colOff>81643</xdr:colOff>
      <xdr:row>217</xdr:row>
      <xdr:rowOff>95250</xdr:rowOff>
    </xdr:to>
    <xdr:cxnSp macro="">
      <xdr:nvCxnSpPr>
        <xdr:cNvPr id="485" name="직선 화살표 연결선 484"/>
        <xdr:cNvCxnSpPr/>
      </xdr:nvCxnSpPr>
      <xdr:spPr>
        <a:xfrm>
          <a:off x="14346283" y="4142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81643</xdr:colOff>
      <xdr:row>216</xdr:row>
      <xdr:rowOff>38100</xdr:rowOff>
    </xdr:from>
    <xdr:to>
      <xdr:col>64</xdr:col>
      <xdr:colOff>123734</xdr:colOff>
      <xdr:row>216</xdr:row>
      <xdr:rowOff>152400</xdr:rowOff>
    </xdr:to>
    <xdr:sp macro="" textlink="">
      <xdr:nvSpPr>
        <xdr:cNvPr id="486" name="213"/>
        <xdr:cNvSpPr/>
      </xdr:nvSpPr>
      <xdr:spPr>
        <a:xfrm>
          <a:off x="14346283" y="41178480"/>
          <a:ext cx="1868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81643</xdr:colOff>
      <xdr:row>216</xdr:row>
      <xdr:rowOff>95250</xdr:rowOff>
    </xdr:from>
    <xdr:to>
      <xdr:col>63</xdr:col>
      <xdr:colOff>81643</xdr:colOff>
      <xdr:row>216</xdr:row>
      <xdr:rowOff>95250</xdr:rowOff>
    </xdr:to>
    <xdr:cxnSp macro="">
      <xdr:nvCxnSpPr>
        <xdr:cNvPr id="487" name="직선 화살표 연결선 486"/>
        <xdr:cNvCxnSpPr/>
      </xdr:nvCxnSpPr>
      <xdr:spPr>
        <a:xfrm>
          <a:off x="14346283" y="4123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81643</xdr:colOff>
      <xdr:row>215</xdr:row>
      <xdr:rowOff>38100</xdr:rowOff>
    </xdr:from>
    <xdr:to>
      <xdr:col>64</xdr:col>
      <xdr:colOff>123734</xdr:colOff>
      <xdr:row>215</xdr:row>
      <xdr:rowOff>152400</xdr:rowOff>
    </xdr:to>
    <xdr:sp macro="" textlink="">
      <xdr:nvSpPr>
        <xdr:cNvPr id="488" name="212"/>
        <xdr:cNvSpPr/>
      </xdr:nvSpPr>
      <xdr:spPr>
        <a:xfrm>
          <a:off x="14346283" y="40987980"/>
          <a:ext cx="1868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81643</xdr:colOff>
      <xdr:row>215</xdr:row>
      <xdr:rowOff>95250</xdr:rowOff>
    </xdr:from>
    <xdr:to>
      <xdr:col>63</xdr:col>
      <xdr:colOff>81643</xdr:colOff>
      <xdr:row>215</xdr:row>
      <xdr:rowOff>95250</xdr:rowOff>
    </xdr:to>
    <xdr:cxnSp macro="">
      <xdr:nvCxnSpPr>
        <xdr:cNvPr id="489" name="직선 화살표 연결선 488"/>
        <xdr:cNvCxnSpPr/>
      </xdr:nvCxnSpPr>
      <xdr:spPr>
        <a:xfrm>
          <a:off x="14346283" y="4104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81643</xdr:colOff>
      <xdr:row>214</xdr:row>
      <xdr:rowOff>38100</xdr:rowOff>
    </xdr:from>
    <xdr:to>
      <xdr:col>64</xdr:col>
      <xdr:colOff>123734</xdr:colOff>
      <xdr:row>214</xdr:row>
      <xdr:rowOff>152400</xdr:rowOff>
    </xdr:to>
    <xdr:sp macro="" textlink="">
      <xdr:nvSpPr>
        <xdr:cNvPr id="490" name="211"/>
        <xdr:cNvSpPr/>
      </xdr:nvSpPr>
      <xdr:spPr>
        <a:xfrm>
          <a:off x="14346283" y="40797480"/>
          <a:ext cx="1868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81643</xdr:colOff>
      <xdr:row>214</xdr:row>
      <xdr:rowOff>95250</xdr:rowOff>
    </xdr:from>
    <xdr:to>
      <xdr:col>63</xdr:col>
      <xdr:colOff>81643</xdr:colOff>
      <xdr:row>214</xdr:row>
      <xdr:rowOff>95250</xdr:rowOff>
    </xdr:to>
    <xdr:cxnSp macro="">
      <xdr:nvCxnSpPr>
        <xdr:cNvPr id="491" name="직선 화살표 연결선 490"/>
        <xdr:cNvCxnSpPr/>
      </xdr:nvCxnSpPr>
      <xdr:spPr>
        <a:xfrm>
          <a:off x="14346283" y="4085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213</xdr:row>
      <xdr:rowOff>38100</xdr:rowOff>
    </xdr:from>
    <xdr:to>
      <xdr:col>68</xdr:col>
      <xdr:colOff>42090</xdr:colOff>
      <xdr:row>213</xdr:row>
      <xdr:rowOff>152400</xdr:rowOff>
    </xdr:to>
    <xdr:sp macro="" textlink="">
      <xdr:nvSpPr>
        <xdr:cNvPr id="492" name="210"/>
        <xdr:cNvSpPr/>
      </xdr:nvSpPr>
      <xdr:spPr>
        <a:xfrm>
          <a:off x="14843760" y="40606980"/>
          <a:ext cx="18687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213</xdr:row>
      <xdr:rowOff>95250</xdr:rowOff>
    </xdr:from>
    <xdr:to>
      <xdr:col>67</xdr:col>
      <xdr:colOff>0</xdr:colOff>
      <xdr:row>213</xdr:row>
      <xdr:rowOff>95250</xdr:rowOff>
    </xdr:to>
    <xdr:cxnSp macro="">
      <xdr:nvCxnSpPr>
        <xdr:cNvPr id="493" name="직선 화살표 연결선 492"/>
        <xdr:cNvCxnSpPr/>
      </xdr:nvCxnSpPr>
      <xdr:spPr>
        <a:xfrm>
          <a:off x="14843760" y="4066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212</xdr:row>
      <xdr:rowOff>38100</xdr:rowOff>
    </xdr:from>
    <xdr:to>
      <xdr:col>68</xdr:col>
      <xdr:colOff>42090</xdr:colOff>
      <xdr:row>212</xdr:row>
      <xdr:rowOff>152400</xdr:rowOff>
    </xdr:to>
    <xdr:sp macro="" textlink="">
      <xdr:nvSpPr>
        <xdr:cNvPr id="494" name="209"/>
        <xdr:cNvSpPr/>
      </xdr:nvSpPr>
      <xdr:spPr>
        <a:xfrm>
          <a:off x="14843760" y="40416480"/>
          <a:ext cx="18687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212</xdr:row>
      <xdr:rowOff>95250</xdr:rowOff>
    </xdr:from>
    <xdr:to>
      <xdr:col>67</xdr:col>
      <xdr:colOff>0</xdr:colOff>
      <xdr:row>212</xdr:row>
      <xdr:rowOff>95250</xdr:rowOff>
    </xdr:to>
    <xdr:cxnSp macro="">
      <xdr:nvCxnSpPr>
        <xdr:cNvPr id="495" name="직선 화살표 연결선 494"/>
        <xdr:cNvCxnSpPr/>
      </xdr:nvCxnSpPr>
      <xdr:spPr>
        <a:xfrm>
          <a:off x="14843760" y="4047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81643</xdr:colOff>
      <xdr:row>211</xdr:row>
      <xdr:rowOff>38100</xdr:rowOff>
    </xdr:from>
    <xdr:to>
      <xdr:col>64</xdr:col>
      <xdr:colOff>123734</xdr:colOff>
      <xdr:row>211</xdr:row>
      <xdr:rowOff>152400</xdr:rowOff>
    </xdr:to>
    <xdr:sp macro="" textlink="">
      <xdr:nvSpPr>
        <xdr:cNvPr id="496" name="208"/>
        <xdr:cNvSpPr/>
      </xdr:nvSpPr>
      <xdr:spPr>
        <a:xfrm>
          <a:off x="14346283" y="40225980"/>
          <a:ext cx="18687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81643</xdr:colOff>
      <xdr:row>211</xdr:row>
      <xdr:rowOff>95250</xdr:rowOff>
    </xdr:from>
    <xdr:to>
      <xdr:col>63</xdr:col>
      <xdr:colOff>81643</xdr:colOff>
      <xdr:row>211</xdr:row>
      <xdr:rowOff>95250</xdr:rowOff>
    </xdr:to>
    <xdr:cxnSp macro="">
      <xdr:nvCxnSpPr>
        <xdr:cNvPr id="497" name="직선 화살표 연결선 496"/>
        <xdr:cNvCxnSpPr/>
      </xdr:nvCxnSpPr>
      <xdr:spPr>
        <a:xfrm>
          <a:off x="14346283" y="4028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81643</xdr:colOff>
      <xdr:row>210</xdr:row>
      <xdr:rowOff>38100</xdr:rowOff>
    </xdr:from>
    <xdr:to>
      <xdr:col>64</xdr:col>
      <xdr:colOff>123734</xdr:colOff>
      <xdr:row>210</xdr:row>
      <xdr:rowOff>152400</xdr:rowOff>
    </xdr:to>
    <xdr:sp macro="" textlink="">
      <xdr:nvSpPr>
        <xdr:cNvPr id="498" name="207"/>
        <xdr:cNvSpPr/>
      </xdr:nvSpPr>
      <xdr:spPr>
        <a:xfrm>
          <a:off x="14346283" y="40035480"/>
          <a:ext cx="18687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81643</xdr:colOff>
      <xdr:row>210</xdr:row>
      <xdr:rowOff>95250</xdr:rowOff>
    </xdr:from>
    <xdr:to>
      <xdr:col>63</xdr:col>
      <xdr:colOff>81643</xdr:colOff>
      <xdr:row>210</xdr:row>
      <xdr:rowOff>95250</xdr:rowOff>
    </xdr:to>
    <xdr:cxnSp macro="">
      <xdr:nvCxnSpPr>
        <xdr:cNvPr id="499" name="직선 화살표 연결선 498"/>
        <xdr:cNvCxnSpPr/>
      </xdr:nvCxnSpPr>
      <xdr:spPr>
        <a:xfrm>
          <a:off x="14346283" y="4009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81643</xdr:colOff>
      <xdr:row>209</xdr:row>
      <xdr:rowOff>38100</xdr:rowOff>
    </xdr:from>
    <xdr:to>
      <xdr:col>70</xdr:col>
      <xdr:colOff>62502</xdr:colOff>
      <xdr:row>209</xdr:row>
      <xdr:rowOff>152400</xdr:rowOff>
    </xdr:to>
    <xdr:sp macro="" textlink="">
      <xdr:nvSpPr>
        <xdr:cNvPr id="500" name="206"/>
        <xdr:cNvSpPr/>
      </xdr:nvSpPr>
      <xdr:spPr>
        <a:xfrm>
          <a:off x="14346283" y="39844980"/>
          <a:ext cx="99431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63</xdr:col>
      <xdr:colOff>81643</xdr:colOff>
      <xdr:row>209</xdr:row>
      <xdr:rowOff>95250</xdr:rowOff>
    </xdr:from>
    <xdr:to>
      <xdr:col>63</xdr:col>
      <xdr:colOff>81643</xdr:colOff>
      <xdr:row>209</xdr:row>
      <xdr:rowOff>95250</xdr:rowOff>
    </xdr:to>
    <xdr:cxnSp macro="">
      <xdr:nvCxnSpPr>
        <xdr:cNvPr id="501" name="직선 화살표 연결선 500"/>
        <xdr:cNvCxnSpPr/>
      </xdr:nvCxnSpPr>
      <xdr:spPr>
        <a:xfrm>
          <a:off x="14346283" y="3990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102054</xdr:colOff>
      <xdr:row>208</xdr:row>
      <xdr:rowOff>38100</xdr:rowOff>
    </xdr:from>
    <xdr:to>
      <xdr:col>84</xdr:col>
      <xdr:colOff>42090</xdr:colOff>
      <xdr:row>208</xdr:row>
      <xdr:rowOff>152400</xdr:rowOff>
    </xdr:to>
    <xdr:sp macro="" textlink="">
      <xdr:nvSpPr>
        <xdr:cNvPr id="502" name="205"/>
        <xdr:cNvSpPr/>
      </xdr:nvSpPr>
      <xdr:spPr>
        <a:xfrm>
          <a:off x="14221914" y="39654480"/>
          <a:ext cx="312519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102054</xdr:colOff>
      <xdr:row>208</xdr:row>
      <xdr:rowOff>95250</xdr:rowOff>
    </xdr:from>
    <xdr:to>
      <xdr:col>62</xdr:col>
      <xdr:colOff>102054</xdr:colOff>
      <xdr:row>208</xdr:row>
      <xdr:rowOff>95250</xdr:rowOff>
    </xdr:to>
    <xdr:cxnSp macro="">
      <xdr:nvCxnSpPr>
        <xdr:cNvPr id="503" name="직선 화살표 연결선 502"/>
        <xdr:cNvCxnSpPr/>
      </xdr:nvCxnSpPr>
      <xdr:spPr>
        <a:xfrm>
          <a:off x="14221914" y="3971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102054</xdr:colOff>
      <xdr:row>207</xdr:row>
      <xdr:rowOff>38100</xdr:rowOff>
    </xdr:from>
    <xdr:to>
      <xdr:col>84</xdr:col>
      <xdr:colOff>42090</xdr:colOff>
      <xdr:row>207</xdr:row>
      <xdr:rowOff>152400</xdr:rowOff>
    </xdr:to>
    <xdr:sp macro="" textlink="">
      <xdr:nvSpPr>
        <xdr:cNvPr id="504" name="204"/>
        <xdr:cNvSpPr/>
      </xdr:nvSpPr>
      <xdr:spPr>
        <a:xfrm>
          <a:off x="14221914" y="39463980"/>
          <a:ext cx="3125196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102054</xdr:colOff>
      <xdr:row>207</xdr:row>
      <xdr:rowOff>95250</xdr:rowOff>
    </xdr:from>
    <xdr:to>
      <xdr:col>62</xdr:col>
      <xdr:colOff>102054</xdr:colOff>
      <xdr:row>207</xdr:row>
      <xdr:rowOff>95250</xdr:rowOff>
    </xdr:to>
    <xdr:cxnSp macro="">
      <xdr:nvCxnSpPr>
        <xdr:cNvPr id="505" name="직선 화살표 연결선 504"/>
        <xdr:cNvCxnSpPr/>
      </xdr:nvCxnSpPr>
      <xdr:spPr>
        <a:xfrm>
          <a:off x="14221914" y="3952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206</xdr:row>
      <xdr:rowOff>38100</xdr:rowOff>
    </xdr:from>
    <xdr:to>
      <xdr:col>78</xdr:col>
      <xdr:colOff>62502</xdr:colOff>
      <xdr:row>206</xdr:row>
      <xdr:rowOff>152400</xdr:rowOff>
    </xdr:to>
    <xdr:sp macro="" textlink="">
      <xdr:nvSpPr>
        <xdr:cNvPr id="506" name="203"/>
        <xdr:cNvSpPr/>
      </xdr:nvSpPr>
      <xdr:spPr>
        <a:xfrm>
          <a:off x="15857220" y="39273480"/>
          <a:ext cx="64162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74</xdr:col>
      <xdr:colOff>0</xdr:colOff>
      <xdr:row>206</xdr:row>
      <xdr:rowOff>95250</xdr:rowOff>
    </xdr:from>
    <xdr:to>
      <xdr:col>74</xdr:col>
      <xdr:colOff>0</xdr:colOff>
      <xdr:row>206</xdr:row>
      <xdr:rowOff>95250</xdr:rowOff>
    </xdr:to>
    <xdr:cxnSp macro="">
      <xdr:nvCxnSpPr>
        <xdr:cNvPr id="507" name="직선 화살표 연결선 506"/>
        <xdr:cNvCxnSpPr/>
      </xdr:nvCxnSpPr>
      <xdr:spPr>
        <a:xfrm>
          <a:off x="15857220" y="3933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122464</xdr:colOff>
      <xdr:row>205</xdr:row>
      <xdr:rowOff>38100</xdr:rowOff>
    </xdr:from>
    <xdr:to>
      <xdr:col>74</xdr:col>
      <xdr:colOff>21681</xdr:colOff>
      <xdr:row>205</xdr:row>
      <xdr:rowOff>152400</xdr:rowOff>
    </xdr:to>
    <xdr:sp macro="" textlink="">
      <xdr:nvSpPr>
        <xdr:cNvPr id="508" name="202"/>
        <xdr:cNvSpPr/>
      </xdr:nvSpPr>
      <xdr:spPr>
        <a:xfrm>
          <a:off x="15111004" y="39082980"/>
          <a:ext cx="76789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122464</xdr:colOff>
      <xdr:row>205</xdr:row>
      <xdr:rowOff>95250</xdr:rowOff>
    </xdr:from>
    <xdr:to>
      <xdr:col>68</xdr:col>
      <xdr:colOff>122464</xdr:colOff>
      <xdr:row>205</xdr:row>
      <xdr:rowOff>95250</xdr:rowOff>
    </xdr:to>
    <xdr:cxnSp macro="">
      <xdr:nvCxnSpPr>
        <xdr:cNvPr id="509" name="직선 화살표 연결선 508"/>
        <xdr:cNvCxnSpPr/>
      </xdr:nvCxnSpPr>
      <xdr:spPr>
        <a:xfrm>
          <a:off x="15111004" y="3914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61232</xdr:colOff>
      <xdr:row>204</xdr:row>
      <xdr:rowOff>38100</xdr:rowOff>
    </xdr:from>
    <xdr:to>
      <xdr:col>71</xdr:col>
      <xdr:colOff>21681</xdr:colOff>
      <xdr:row>204</xdr:row>
      <xdr:rowOff>152400</xdr:rowOff>
    </xdr:to>
    <xdr:sp macro="" textlink="">
      <xdr:nvSpPr>
        <xdr:cNvPr id="510" name="201"/>
        <xdr:cNvSpPr/>
      </xdr:nvSpPr>
      <xdr:spPr>
        <a:xfrm>
          <a:off x="12588512" y="38892480"/>
          <a:ext cx="285604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61232</xdr:colOff>
      <xdr:row>204</xdr:row>
      <xdr:rowOff>95250</xdr:rowOff>
    </xdr:from>
    <xdr:to>
      <xdr:col>51</xdr:col>
      <xdr:colOff>61232</xdr:colOff>
      <xdr:row>204</xdr:row>
      <xdr:rowOff>95250</xdr:rowOff>
    </xdr:to>
    <xdr:cxnSp macro="">
      <xdr:nvCxnSpPr>
        <xdr:cNvPr id="511" name="직선 화살표 연결선 510"/>
        <xdr:cNvCxnSpPr/>
      </xdr:nvCxnSpPr>
      <xdr:spPr>
        <a:xfrm>
          <a:off x="12588512" y="3894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203</xdr:row>
      <xdr:rowOff>38100</xdr:rowOff>
    </xdr:from>
    <xdr:to>
      <xdr:col>71</xdr:col>
      <xdr:colOff>21681</xdr:colOff>
      <xdr:row>203</xdr:row>
      <xdr:rowOff>152400</xdr:rowOff>
    </xdr:to>
    <xdr:sp macro="" textlink="">
      <xdr:nvSpPr>
        <xdr:cNvPr id="512" name="200"/>
        <xdr:cNvSpPr/>
      </xdr:nvSpPr>
      <xdr:spPr>
        <a:xfrm>
          <a:off x="11369040" y="38701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203</xdr:row>
      <xdr:rowOff>95250</xdr:rowOff>
    </xdr:from>
    <xdr:to>
      <xdr:col>43</xdr:col>
      <xdr:colOff>0</xdr:colOff>
      <xdr:row>203</xdr:row>
      <xdr:rowOff>95250</xdr:rowOff>
    </xdr:to>
    <xdr:cxnSp macro="">
      <xdr:nvCxnSpPr>
        <xdr:cNvPr id="513" name="직선 화살표 연결선 512"/>
        <xdr:cNvCxnSpPr/>
      </xdr:nvCxnSpPr>
      <xdr:spPr>
        <a:xfrm>
          <a:off x="11369040" y="3875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202</xdr:row>
      <xdr:rowOff>38100</xdr:rowOff>
    </xdr:from>
    <xdr:to>
      <xdr:col>78</xdr:col>
      <xdr:colOff>62502</xdr:colOff>
      <xdr:row>202</xdr:row>
      <xdr:rowOff>152400</xdr:rowOff>
    </xdr:to>
    <xdr:sp macro="" textlink="">
      <xdr:nvSpPr>
        <xdr:cNvPr id="514" name="199"/>
        <xdr:cNvSpPr/>
      </xdr:nvSpPr>
      <xdr:spPr>
        <a:xfrm>
          <a:off x="11369040" y="38511480"/>
          <a:ext cx="512980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202</xdr:row>
      <xdr:rowOff>95250</xdr:rowOff>
    </xdr:from>
    <xdr:to>
      <xdr:col>43</xdr:col>
      <xdr:colOff>0</xdr:colOff>
      <xdr:row>202</xdr:row>
      <xdr:rowOff>95250</xdr:rowOff>
    </xdr:to>
    <xdr:cxnSp macro="">
      <xdr:nvCxnSpPr>
        <xdr:cNvPr id="515" name="직선 화살표 연결선 514"/>
        <xdr:cNvCxnSpPr/>
      </xdr:nvCxnSpPr>
      <xdr:spPr>
        <a:xfrm>
          <a:off x="11369040" y="3856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40821</xdr:colOff>
      <xdr:row>201</xdr:row>
      <xdr:rowOff>38100</xdr:rowOff>
    </xdr:from>
    <xdr:to>
      <xdr:col>75</xdr:col>
      <xdr:colOff>82913</xdr:colOff>
      <xdr:row>201</xdr:row>
      <xdr:rowOff>152400</xdr:rowOff>
    </xdr:to>
    <xdr:sp macro="" textlink="">
      <xdr:nvSpPr>
        <xdr:cNvPr id="516" name="198"/>
        <xdr:cNvSpPr/>
      </xdr:nvSpPr>
      <xdr:spPr>
        <a:xfrm>
          <a:off x="15463701" y="38320980"/>
          <a:ext cx="6212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40821</xdr:colOff>
      <xdr:row>201</xdr:row>
      <xdr:rowOff>95250</xdr:rowOff>
    </xdr:from>
    <xdr:to>
      <xdr:col>71</xdr:col>
      <xdr:colOff>40821</xdr:colOff>
      <xdr:row>201</xdr:row>
      <xdr:rowOff>95250</xdr:rowOff>
    </xdr:to>
    <xdr:cxnSp macro="">
      <xdr:nvCxnSpPr>
        <xdr:cNvPr id="517" name="직선 화살표 연결선 516"/>
        <xdr:cNvCxnSpPr/>
      </xdr:nvCxnSpPr>
      <xdr:spPr>
        <a:xfrm>
          <a:off x="15463701" y="3837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61232</xdr:colOff>
      <xdr:row>200</xdr:row>
      <xdr:rowOff>38100</xdr:rowOff>
    </xdr:from>
    <xdr:to>
      <xdr:col>73</xdr:col>
      <xdr:colOff>62502</xdr:colOff>
      <xdr:row>200</xdr:row>
      <xdr:rowOff>152400</xdr:rowOff>
    </xdr:to>
    <xdr:sp macro="" textlink="">
      <xdr:nvSpPr>
        <xdr:cNvPr id="518" name="197"/>
        <xdr:cNvSpPr/>
      </xdr:nvSpPr>
      <xdr:spPr>
        <a:xfrm>
          <a:off x="14470652" y="38130480"/>
          <a:ext cx="13042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61232</xdr:colOff>
      <xdr:row>200</xdr:row>
      <xdr:rowOff>95250</xdr:rowOff>
    </xdr:from>
    <xdr:to>
      <xdr:col>64</xdr:col>
      <xdr:colOff>61232</xdr:colOff>
      <xdr:row>200</xdr:row>
      <xdr:rowOff>95250</xdr:rowOff>
    </xdr:to>
    <xdr:cxnSp macro="">
      <xdr:nvCxnSpPr>
        <xdr:cNvPr id="519" name="직선 화살표 연결선 518"/>
        <xdr:cNvCxnSpPr/>
      </xdr:nvCxnSpPr>
      <xdr:spPr>
        <a:xfrm>
          <a:off x="14470652" y="3818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61232</xdr:colOff>
      <xdr:row>199</xdr:row>
      <xdr:rowOff>38100</xdr:rowOff>
    </xdr:from>
    <xdr:to>
      <xdr:col>66</xdr:col>
      <xdr:colOff>103324</xdr:colOff>
      <xdr:row>199</xdr:row>
      <xdr:rowOff>152400</xdr:rowOff>
    </xdr:to>
    <xdr:sp macro="" textlink="">
      <xdr:nvSpPr>
        <xdr:cNvPr id="520" name="196"/>
        <xdr:cNvSpPr/>
      </xdr:nvSpPr>
      <xdr:spPr>
        <a:xfrm>
          <a:off x="12588512" y="37939980"/>
          <a:ext cx="22137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61232</xdr:colOff>
      <xdr:row>199</xdr:row>
      <xdr:rowOff>95250</xdr:rowOff>
    </xdr:from>
    <xdr:to>
      <xdr:col>51</xdr:col>
      <xdr:colOff>61232</xdr:colOff>
      <xdr:row>199</xdr:row>
      <xdr:rowOff>95250</xdr:rowOff>
    </xdr:to>
    <xdr:cxnSp macro="">
      <xdr:nvCxnSpPr>
        <xdr:cNvPr id="521" name="직선 화살표 연결선 520"/>
        <xdr:cNvCxnSpPr/>
      </xdr:nvCxnSpPr>
      <xdr:spPr>
        <a:xfrm>
          <a:off x="12588512" y="3799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198</xdr:row>
      <xdr:rowOff>38100</xdr:rowOff>
    </xdr:from>
    <xdr:to>
      <xdr:col>71</xdr:col>
      <xdr:colOff>21681</xdr:colOff>
      <xdr:row>198</xdr:row>
      <xdr:rowOff>152400</xdr:rowOff>
    </xdr:to>
    <xdr:sp macro="" textlink="">
      <xdr:nvSpPr>
        <xdr:cNvPr id="522" name="195"/>
        <xdr:cNvSpPr/>
      </xdr:nvSpPr>
      <xdr:spPr>
        <a:xfrm>
          <a:off x="11369040" y="37749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198</xdr:row>
      <xdr:rowOff>95250</xdr:rowOff>
    </xdr:from>
    <xdr:to>
      <xdr:col>43</xdr:col>
      <xdr:colOff>0</xdr:colOff>
      <xdr:row>198</xdr:row>
      <xdr:rowOff>95250</xdr:rowOff>
    </xdr:to>
    <xdr:cxnSp macro="">
      <xdr:nvCxnSpPr>
        <xdr:cNvPr id="523" name="직선 화살표 연결선 522"/>
        <xdr:cNvCxnSpPr/>
      </xdr:nvCxnSpPr>
      <xdr:spPr>
        <a:xfrm>
          <a:off x="11369040" y="3780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197</xdr:row>
      <xdr:rowOff>38100</xdr:rowOff>
    </xdr:from>
    <xdr:to>
      <xdr:col>75</xdr:col>
      <xdr:colOff>82913</xdr:colOff>
      <xdr:row>197</xdr:row>
      <xdr:rowOff>152400</xdr:rowOff>
    </xdr:to>
    <xdr:sp macro="" textlink="">
      <xdr:nvSpPr>
        <xdr:cNvPr id="524" name="194"/>
        <xdr:cNvSpPr/>
      </xdr:nvSpPr>
      <xdr:spPr>
        <a:xfrm>
          <a:off x="11369040" y="37558980"/>
          <a:ext cx="47158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197</xdr:row>
      <xdr:rowOff>95250</xdr:rowOff>
    </xdr:from>
    <xdr:to>
      <xdr:col>43</xdr:col>
      <xdr:colOff>0</xdr:colOff>
      <xdr:row>197</xdr:row>
      <xdr:rowOff>95250</xdr:rowOff>
    </xdr:to>
    <xdr:cxnSp macro="">
      <xdr:nvCxnSpPr>
        <xdr:cNvPr id="525" name="직선 화살표 연결선 524"/>
        <xdr:cNvCxnSpPr/>
      </xdr:nvCxnSpPr>
      <xdr:spPr>
        <a:xfrm>
          <a:off x="11369040" y="3761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196</xdr:row>
      <xdr:rowOff>38100</xdr:rowOff>
    </xdr:from>
    <xdr:to>
      <xdr:col>78</xdr:col>
      <xdr:colOff>62502</xdr:colOff>
      <xdr:row>196</xdr:row>
      <xdr:rowOff>152400</xdr:rowOff>
    </xdr:to>
    <xdr:sp macro="" textlink="">
      <xdr:nvSpPr>
        <xdr:cNvPr id="526" name="193"/>
        <xdr:cNvSpPr/>
      </xdr:nvSpPr>
      <xdr:spPr>
        <a:xfrm>
          <a:off x="15753261" y="37368480"/>
          <a:ext cx="7455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196</xdr:row>
      <xdr:rowOff>95250</xdr:rowOff>
    </xdr:from>
    <xdr:to>
      <xdr:col>73</xdr:col>
      <xdr:colOff>40821</xdr:colOff>
      <xdr:row>196</xdr:row>
      <xdr:rowOff>95250</xdr:rowOff>
    </xdr:to>
    <xdr:cxnSp macro="">
      <xdr:nvCxnSpPr>
        <xdr:cNvPr id="527" name="직선 화살표 연결선 526"/>
        <xdr:cNvCxnSpPr/>
      </xdr:nvCxnSpPr>
      <xdr:spPr>
        <a:xfrm>
          <a:off x="15753261" y="3742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122464</xdr:colOff>
      <xdr:row>195</xdr:row>
      <xdr:rowOff>38100</xdr:rowOff>
    </xdr:from>
    <xdr:to>
      <xdr:col>75</xdr:col>
      <xdr:colOff>82913</xdr:colOff>
      <xdr:row>195</xdr:row>
      <xdr:rowOff>152400</xdr:rowOff>
    </xdr:to>
    <xdr:sp macro="" textlink="">
      <xdr:nvSpPr>
        <xdr:cNvPr id="528" name="192"/>
        <xdr:cNvSpPr/>
      </xdr:nvSpPr>
      <xdr:spPr>
        <a:xfrm>
          <a:off x="15111004" y="37177980"/>
          <a:ext cx="9739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122464</xdr:colOff>
      <xdr:row>195</xdr:row>
      <xdr:rowOff>95250</xdr:rowOff>
    </xdr:from>
    <xdr:to>
      <xdr:col>68</xdr:col>
      <xdr:colOff>122464</xdr:colOff>
      <xdr:row>195</xdr:row>
      <xdr:rowOff>95250</xdr:rowOff>
    </xdr:to>
    <xdr:cxnSp macro="">
      <xdr:nvCxnSpPr>
        <xdr:cNvPr id="529" name="직선 화살표 연결선 528"/>
        <xdr:cNvCxnSpPr/>
      </xdr:nvCxnSpPr>
      <xdr:spPr>
        <a:xfrm>
          <a:off x="15111004" y="3723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61232</xdr:colOff>
      <xdr:row>194</xdr:row>
      <xdr:rowOff>38100</xdr:rowOff>
    </xdr:from>
    <xdr:to>
      <xdr:col>71</xdr:col>
      <xdr:colOff>21681</xdr:colOff>
      <xdr:row>194</xdr:row>
      <xdr:rowOff>152400</xdr:rowOff>
    </xdr:to>
    <xdr:sp macro="" textlink="">
      <xdr:nvSpPr>
        <xdr:cNvPr id="530" name="191"/>
        <xdr:cNvSpPr/>
      </xdr:nvSpPr>
      <xdr:spPr>
        <a:xfrm>
          <a:off x="12588512" y="36987480"/>
          <a:ext cx="285604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61232</xdr:colOff>
      <xdr:row>194</xdr:row>
      <xdr:rowOff>95250</xdr:rowOff>
    </xdr:from>
    <xdr:to>
      <xdr:col>51</xdr:col>
      <xdr:colOff>61232</xdr:colOff>
      <xdr:row>194</xdr:row>
      <xdr:rowOff>95250</xdr:rowOff>
    </xdr:to>
    <xdr:cxnSp macro="">
      <xdr:nvCxnSpPr>
        <xdr:cNvPr id="531" name="직선 화살표 연결선 530"/>
        <xdr:cNvCxnSpPr/>
      </xdr:nvCxnSpPr>
      <xdr:spPr>
        <a:xfrm>
          <a:off x="12588512" y="3704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193</xdr:row>
      <xdr:rowOff>38100</xdr:rowOff>
    </xdr:from>
    <xdr:to>
      <xdr:col>71</xdr:col>
      <xdr:colOff>21681</xdr:colOff>
      <xdr:row>193</xdr:row>
      <xdr:rowOff>152400</xdr:rowOff>
    </xdr:to>
    <xdr:sp macro="" textlink="">
      <xdr:nvSpPr>
        <xdr:cNvPr id="532" name="190"/>
        <xdr:cNvSpPr/>
      </xdr:nvSpPr>
      <xdr:spPr>
        <a:xfrm>
          <a:off x="11369040" y="36796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193</xdr:row>
      <xdr:rowOff>95250</xdr:rowOff>
    </xdr:from>
    <xdr:to>
      <xdr:col>43</xdr:col>
      <xdr:colOff>0</xdr:colOff>
      <xdr:row>193</xdr:row>
      <xdr:rowOff>95250</xdr:rowOff>
    </xdr:to>
    <xdr:cxnSp macro="">
      <xdr:nvCxnSpPr>
        <xdr:cNvPr id="533" name="직선 화살표 연결선 532"/>
        <xdr:cNvCxnSpPr/>
      </xdr:nvCxnSpPr>
      <xdr:spPr>
        <a:xfrm>
          <a:off x="11369040" y="3685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192</xdr:row>
      <xdr:rowOff>38100</xdr:rowOff>
    </xdr:from>
    <xdr:to>
      <xdr:col>78</xdr:col>
      <xdr:colOff>62502</xdr:colOff>
      <xdr:row>192</xdr:row>
      <xdr:rowOff>152400</xdr:rowOff>
    </xdr:to>
    <xdr:sp macro="" textlink="">
      <xdr:nvSpPr>
        <xdr:cNvPr id="534" name="189"/>
        <xdr:cNvSpPr/>
      </xdr:nvSpPr>
      <xdr:spPr>
        <a:xfrm>
          <a:off x="11369040" y="36606480"/>
          <a:ext cx="512980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192</xdr:row>
      <xdr:rowOff>95250</xdr:rowOff>
    </xdr:from>
    <xdr:to>
      <xdr:col>43</xdr:col>
      <xdr:colOff>0</xdr:colOff>
      <xdr:row>192</xdr:row>
      <xdr:rowOff>95250</xdr:rowOff>
    </xdr:to>
    <xdr:cxnSp macro="">
      <xdr:nvCxnSpPr>
        <xdr:cNvPr id="535" name="직선 화살표 연결선 534"/>
        <xdr:cNvCxnSpPr/>
      </xdr:nvCxnSpPr>
      <xdr:spPr>
        <a:xfrm>
          <a:off x="11369040" y="3666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122464</xdr:colOff>
      <xdr:row>191</xdr:row>
      <xdr:rowOff>38100</xdr:rowOff>
    </xdr:from>
    <xdr:to>
      <xdr:col>71</xdr:col>
      <xdr:colOff>21681</xdr:colOff>
      <xdr:row>191</xdr:row>
      <xdr:rowOff>152400</xdr:rowOff>
    </xdr:to>
    <xdr:sp macro="" textlink="">
      <xdr:nvSpPr>
        <xdr:cNvPr id="536" name="188"/>
        <xdr:cNvSpPr/>
      </xdr:nvSpPr>
      <xdr:spPr>
        <a:xfrm>
          <a:off x="14821444" y="36415980"/>
          <a:ext cx="6231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122464</xdr:colOff>
      <xdr:row>191</xdr:row>
      <xdr:rowOff>95250</xdr:rowOff>
    </xdr:from>
    <xdr:to>
      <xdr:col>66</xdr:col>
      <xdr:colOff>122464</xdr:colOff>
      <xdr:row>191</xdr:row>
      <xdr:rowOff>95250</xdr:rowOff>
    </xdr:to>
    <xdr:cxnSp macro="">
      <xdr:nvCxnSpPr>
        <xdr:cNvPr id="537" name="직선 화살표 연결선 536"/>
        <xdr:cNvCxnSpPr/>
      </xdr:nvCxnSpPr>
      <xdr:spPr>
        <a:xfrm>
          <a:off x="14821444" y="3647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40821</xdr:colOff>
      <xdr:row>190</xdr:row>
      <xdr:rowOff>38100</xdr:rowOff>
    </xdr:from>
    <xdr:to>
      <xdr:col>71</xdr:col>
      <xdr:colOff>21681</xdr:colOff>
      <xdr:row>190</xdr:row>
      <xdr:rowOff>152400</xdr:rowOff>
    </xdr:to>
    <xdr:sp macro="" textlink="">
      <xdr:nvSpPr>
        <xdr:cNvPr id="538" name="187"/>
        <xdr:cNvSpPr/>
      </xdr:nvSpPr>
      <xdr:spPr>
        <a:xfrm>
          <a:off x="14160681" y="36225480"/>
          <a:ext cx="12838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40821</xdr:colOff>
      <xdr:row>190</xdr:row>
      <xdr:rowOff>95250</xdr:rowOff>
    </xdr:from>
    <xdr:to>
      <xdr:col>62</xdr:col>
      <xdr:colOff>40821</xdr:colOff>
      <xdr:row>190</xdr:row>
      <xdr:rowOff>95250</xdr:rowOff>
    </xdr:to>
    <xdr:cxnSp macro="">
      <xdr:nvCxnSpPr>
        <xdr:cNvPr id="539" name="직선 화살표 연결선 538"/>
        <xdr:cNvCxnSpPr/>
      </xdr:nvCxnSpPr>
      <xdr:spPr>
        <a:xfrm>
          <a:off x="14160681" y="3628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61232</xdr:colOff>
      <xdr:row>189</xdr:row>
      <xdr:rowOff>38100</xdr:rowOff>
    </xdr:from>
    <xdr:to>
      <xdr:col>64</xdr:col>
      <xdr:colOff>82913</xdr:colOff>
      <xdr:row>189</xdr:row>
      <xdr:rowOff>152400</xdr:rowOff>
    </xdr:to>
    <xdr:sp macro="" textlink="">
      <xdr:nvSpPr>
        <xdr:cNvPr id="540" name="186"/>
        <xdr:cNvSpPr/>
      </xdr:nvSpPr>
      <xdr:spPr>
        <a:xfrm>
          <a:off x="12588512" y="36034980"/>
          <a:ext cx="19038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61232</xdr:colOff>
      <xdr:row>189</xdr:row>
      <xdr:rowOff>95250</xdr:rowOff>
    </xdr:from>
    <xdr:to>
      <xdr:col>51</xdr:col>
      <xdr:colOff>61232</xdr:colOff>
      <xdr:row>189</xdr:row>
      <xdr:rowOff>95250</xdr:rowOff>
    </xdr:to>
    <xdr:cxnSp macro="">
      <xdr:nvCxnSpPr>
        <xdr:cNvPr id="541" name="직선 화살표 연결선 540"/>
        <xdr:cNvCxnSpPr/>
      </xdr:nvCxnSpPr>
      <xdr:spPr>
        <a:xfrm>
          <a:off x="12588512" y="3609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188</xdr:row>
      <xdr:rowOff>38100</xdr:rowOff>
    </xdr:from>
    <xdr:to>
      <xdr:col>71</xdr:col>
      <xdr:colOff>21681</xdr:colOff>
      <xdr:row>188</xdr:row>
      <xdr:rowOff>152400</xdr:rowOff>
    </xdr:to>
    <xdr:sp macro="" textlink="">
      <xdr:nvSpPr>
        <xdr:cNvPr id="542" name="185"/>
        <xdr:cNvSpPr/>
      </xdr:nvSpPr>
      <xdr:spPr>
        <a:xfrm>
          <a:off x="11369040" y="35844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188</xdr:row>
      <xdr:rowOff>95250</xdr:rowOff>
    </xdr:from>
    <xdr:to>
      <xdr:col>43</xdr:col>
      <xdr:colOff>0</xdr:colOff>
      <xdr:row>188</xdr:row>
      <xdr:rowOff>95250</xdr:rowOff>
    </xdr:to>
    <xdr:cxnSp macro="">
      <xdr:nvCxnSpPr>
        <xdr:cNvPr id="543" name="직선 화살표 연결선 542"/>
        <xdr:cNvCxnSpPr/>
      </xdr:nvCxnSpPr>
      <xdr:spPr>
        <a:xfrm>
          <a:off x="11369040" y="3590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187</xdr:row>
      <xdr:rowOff>38100</xdr:rowOff>
    </xdr:from>
    <xdr:to>
      <xdr:col>71</xdr:col>
      <xdr:colOff>21681</xdr:colOff>
      <xdr:row>187</xdr:row>
      <xdr:rowOff>152400</xdr:rowOff>
    </xdr:to>
    <xdr:sp macro="" textlink="">
      <xdr:nvSpPr>
        <xdr:cNvPr id="544" name="184"/>
        <xdr:cNvSpPr/>
      </xdr:nvSpPr>
      <xdr:spPr>
        <a:xfrm>
          <a:off x="11369040" y="35653980"/>
          <a:ext cx="407552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187</xdr:row>
      <xdr:rowOff>95250</xdr:rowOff>
    </xdr:from>
    <xdr:to>
      <xdr:col>43</xdr:col>
      <xdr:colOff>0</xdr:colOff>
      <xdr:row>187</xdr:row>
      <xdr:rowOff>95250</xdr:rowOff>
    </xdr:to>
    <xdr:cxnSp macro="">
      <xdr:nvCxnSpPr>
        <xdr:cNvPr id="545" name="직선 화살표 연결선 544"/>
        <xdr:cNvCxnSpPr/>
      </xdr:nvCxnSpPr>
      <xdr:spPr>
        <a:xfrm>
          <a:off x="11369040" y="3571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122464</xdr:colOff>
      <xdr:row>186</xdr:row>
      <xdr:rowOff>38100</xdr:rowOff>
    </xdr:from>
    <xdr:to>
      <xdr:col>71</xdr:col>
      <xdr:colOff>21681</xdr:colOff>
      <xdr:row>186</xdr:row>
      <xdr:rowOff>152400</xdr:rowOff>
    </xdr:to>
    <xdr:sp macro="" textlink="">
      <xdr:nvSpPr>
        <xdr:cNvPr id="546" name="183"/>
        <xdr:cNvSpPr/>
      </xdr:nvSpPr>
      <xdr:spPr>
        <a:xfrm>
          <a:off x="14821444" y="35463480"/>
          <a:ext cx="62311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122464</xdr:colOff>
      <xdr:row>186</xdr:row>
      <xdr:rowOff>95250</xdr:rowOff>
    </xdr:from>
    <xdr:to>
      <xdr:col>66</xdr:col>
      <xdr:colOff>122464</xdr:colOff>
      <xdr:row>186</xdr:row>
      <xdr:rowOff>95250</xdr:rowOff>
    </xdr:to>
    <xdr:cxnSp macro="">
      <xdr:nvCxnSpPr>
        <xdr:cNvPr id="547" name="직선 화살표 연결선 546"/>
        <xdr:cNvCxnSpPr/>
      </xdr:nvCxnSpPr>
      <xdr:spPr>
        <a:xfrm>
          <a:off x="14821444" y="3552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40821</xdr:colOff>
      <xdr:row>185</xdr:row>
      <xdr:rowOff>38100</xdr:rowOff>
    </xdr:from>
    <xdr:to>
      <xdr:col>71</xdr:col>
      <xdr:colOff>21681</xdr:colOff>
      <xdr:row>185</xdr:row>
      <xdr:rowOff>152400</xdr:rowOff>
    </xdr:to>
    <xdr:sp macro="" textlink="">
      <xdr:nvSpPr>
        <xdr:cNvPr id="548" name="182"/>
        <xdr:cNvSpPr/>
      </xdr:nvSpPr>
      <xdr:spPr>
        <a:xfrm>
          <a:off x="14160681" y="35272980"/>
          <a:ext cx="12838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40821</xdr:colOff>
      <xdr:row>185</xdr:row>
      <xdr:rowOff>95250</xdr:rowOff>
    </xdr:from>
    <xdr:to>
      <xdr:col>62</xdr:col>
      <xdr:colOff>40821</xdr:colOff>
      <xdr:row>185</xdr:row>
      <xdr:rowOff>95250</xdr:rowOff>
    </xdr:to>
    <xdr:cxnSp macro="">
      <xdr:nvCxnSpPr>
        <xdr:cNvPr id="549" name="직선 화살표 연결선 548"/>
        <xdr:cNvCxnSpPr/>
      </xdr:nvCxnSpPr>
      <xdr:spPr>
        <a:xfrm>
          <a:off x="14160681" y="3533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61232</xdr:colOff>
      <xdr:row>184</xdr:row>
      <xdr:rowOff>38100</xdr:rowOff>
    </xdr:from>
    <xdr:to>
      <xdr:col>64</xdr:col>
      <xdr:colOff>82913</xdr:colOff>
      <xdr:row>184</xdr:row>
      <xdr:rowOff>152400</xdr:rowOff>
    </xdr:to>
    <xdr:sp macro="" textlink="">
      <xdr:nvSpPr>
        <xdr:cNvPr id="550" name="181"/>
        <xdr:cNvSpPr/>
      </xdr:nvSpPr>
      <xdr:spPr>
        <a:xfrm>
          <a:off x="12588512" y="35082480"/>
          <a:ext cx="19038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61232</xdr:colOff>
      <xdr:row>184</xdr:row>
      <xdr:rowOff>95250</xdr:rowOff>
    </xdr:from>
    <xdr:to>
      <xdr:col>51</xdr:col>
      <xdr:colOff>61232</xdr:colOff>
      <xdr:row>184</xdr:row>
      <xdr:rowOff>95250</xdr:rowOff>
    </xdr:to>
    <xdr:cxnSp macro="">
      <xdr:nvCxnSpPr>
        <xdr:cNvPr id="551" name="직선 화살표 연결선 550"/>
        <xdr:cNvCxnSpPr/>
      </xdr:nvCxnSpPr>
      <xdr:spPr>
        <a:xfrm>
          <a:off x="12588512" y="3513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183</xdr:row>
      <xdr:rowOff>38100</xdr:rowOff>
    </xdr:from>
    <xdr:to>
      <xdr:col>71</xdr:col>
      <xdr:colOff>21681</xdr:colOff>
      <xdr:row>183</xdr:row>
      <xdr:rowOff>152400</xdr:rowOff>
    </xdr:to>
    <xdr:sp macro="" textlink="">
      <xdr:nvSpPr>
        <xdr:cNvPr id="552" name="180"/>
        <xdr:cNvSpPr/>
      </xdr:nvSpPr>
      <xdr:spPr>
        <a:xfrm>
          <a:off x="11369040" y="34891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183</xdr:row>
      <xdr:rowOff>95250</xdr:rowOff>
    </xdr:from>
    <xdr:to>
      <xdr:col>43</xdr:col>
      <xdr:colOff>0</xdr:colOff>
      <xdr:row>183</xdr:row>
      <xdr:rowOff>95250</xdr:rowOff>
    </xdr:to>
    <xdr:cxnSp macro="">
      <xdr:nvCxnSpPr>
        <xdr:cNvPr id="553" name="직선 화살표 연결선 552"/>
        <xdr:cNvCxnSpPr/>
      </xdr:nvCxnSpPr>
      <xdr:spPr>
        <a:xfrm>
          <a:off x="11369040" y="3494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182</xdr:row>
      <xdr:rowOff>38100</xdr:rowOff>
    </xdr:from>
    <xdr:to>
      <xdr:col>71</xdr:col>
      <xdr:colOff>21681</xdr:colOff>
      <xdr:row>182</xdr:row>
      <xdr:rowOff>152400</xdr:rowOff>
    </xdr:to>
    <xdr:sp macro="" textlink="">
      <xdr:nvSpPr>
        <xdr:cNvPr id="554" name="179"/>
        <xdr:cNvSpPr/>
      </xdr:nvSpPr>
      <xdr:spPr>
        <a:xfrm>
          <a:off x="11369040" y="34701480"/>
          <a:ext cx="407552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182</xdr:row>
      <xdr:rowOff>95250</xdr:rowOff>
    </xdr:from>
    <xdr:to>
      <xdr:col>43</xdr:col>
      <xdr:colOff>0</xdr:colOff>
      <xdr:row>182</xdr:row>
      <xdr:rowOff>95250</xdr:rowOff>
    </xdr:to>
    <xdr:cxnSp macro="">
      <xdr:nvCxnSpPr>
        <xdr:cNvPr id="555" name="직선 화살표 연결선 554"/>
        <xdr:cNvCxnSpPr/>
      </xdr:nvCxnSpPr>
      <xdr:spPr>
        <a:xfrm>
          <a:off x="11369040" y="3475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40821</xdr:colOff>
      <xdr:row>181</xdr:row>
      <xdr:rowOff>38100</xdr:rowOff>
    </xdr:from>
    <xdr:to>
      <xdr:col>75</xdr:col>
      <xdr:colOff>82913</xdr:colOff>
      <xdr:row>181</xdr:row>
      <xdr:rowOff>152400</xdr:rowOff>
    </xdr:to>
    <xdr:sp macro="" textlink="">
      <xdr:nvSpPr>
        <xdr:cNvPr id="556" name="178"/>
        <xdr:cNvSpPr/>
      </xdr:nvSpPr>
      <xdr:spPr>
        <a:xfrm>
          <a:off x="15463701" y="34510980"/>
          <a:ext cx="6212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71</xdr:col>
      <xdr:colOff>40821</xdr:colOff>
      <xdr:row>181</xdr:row>
      <xdr:rowOff>95250</xdr:rowOff>
    </xdr:from>
    <xdr:to>
      <xdr:col>71</xdr:col>
      <xdr:colOff>40821</xdr:colOff>
      <xdr:row>181</xdr:row>
      <xdr:rowOff>95250</xdr:rowOff>
    </xdr:to>
    <xdr:cxnSp macro="">
      <xdr:nvCxnSpPr>
        <xdr:cNvPr id="557" name="직선 화살표 연결선 556"/>
        <xdr:cNvCxnSpPr/>
      </xdr:nvCxnSpPr>
      <xdr:spPr>
        <a:xfrm>
          <a:off x="15463701" y="3456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61232</xdr:colOff>
      <xdr:row>180</xdr:row>
      <xdr:rowOff>38100</xdr:rowOff>
    </xdr:from>
    <xdr:to>
      <xdr:col>73</xdr:col>
      <xdr:colOff>62502</xdr:colOff>
      <xdr:row>180</xdr:row>
      <xdr:rowOff>152400</xdr:rowOff>
    </xdr:to>
    <xdr:sp macro="" textlink="">
      <xdr:nvSpPr>
        <xdr:cNvPr id="558" name="177"/>
        <xdr:cNvSpPr/>
      </xdr:nvSpPr>
      <xdr:spPr>
        <a:xfrm>
          <a:off x="14470652" y="34320480"/>
          <a:ext cx="13042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61232</xdr:colOff>
      <xdr:row>180</xdr:row>
      <xdr:rowOff>95250</xdr:rowOff>
    </xdr:from>
    <xdr:to>
      <xdr:col>64</xdr:col>
      <xdr:colOff>61232</xdr:colOff>
      <xdr:row>180</xdr:row>
      <xdr:rowOff>95250</xdr:rowOff>
    </xdr:to>
    <xdr:cxnSp macro="">
      <xdr:nvCxnSpPr>
        <xdr:cNvPr id="559" name="직선 화살표 연결선 558"/>
        <xdr:cNvCxnSpPr/>
      </xdr:nvCxnSpPr>
      <xdr:spPr>
        <a:xfrm>
          <a:off x="14470652" y="3437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61232</xdr:colOff>
      <xdr:row>179</xdr:row>
      <xdr:rowOff>38100</xdr:rowOff>
    </xdr:from>
    <xdr:to>
      <xdr:col>66</xdr:col>
      <xdr:colOff>103324</xdr:colOff>
      <xdr:row>179</xdr:row>
      <xdr:rowOff>152400</xdr:rowOff>
    </xdr:to>
    <xdr:sp macro="" textlink="">
      <xdr:nvSpPr>
        <xdr:cNvPr id="560" name="176"/>
        <xdr:cNvSpPr/>
      </xdr:nvSpPr>
      <xdr:spPr>
        <a:xfrm>
          <a:off x="12588512" y="34129980"/>
          <a:ext cx="22137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61232</xdr:colOff>
      <xdr:row>179</xdr:row>
      <xdr:rowOff>95250</xdr:rowOff>
    </xdr:from>
    <xdr:to>
      <xdr:col>51</xdr:col>
      <xdr:colOff>61232</xdr:colOff>
      <xdr:row>179</xdr:row>
      <xdr:rowOff>95250</xdr:rowOff>
    </xdr:to>
    <xdr:cxnSp macro="">
      <xdr:nvCxnSpPr>
        <xdr:cNvPr id="561" name="직선 화살표 연결선 560"/>
        <xdr:cNvCxnSpPr/>
      </xdr:nvCxnSpPr>
      <xdr:spPr>
        <a:xfrm>
          <a:off x="12588512" y="3418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178</xdr:row>
      <xdr:rowOff>38100</xdr:rowOff>
    </xdr:from>
    <xdr:to>
      <xdr:col>71</xdr:col>
      <xdr:colOff>21681</xdr:colOff>
      <xdr:row>178</xdr:row>
      <xdr:rowOff>152400</xdr:rowOff>
    </xdr:to>
    <xdr:sp macro="" textlink="">
      <xdr:nvSpPr>
        <xdr:cNvPr id="562" name="175"/>
        <xdr:cNvSpPr/>
      </xdr:nvSpPr>
      <xdr:spPr>
        <a:xfrm>
          <a:off x="11369040" y="33939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178</xdr:row>
      <xdr:rowOff>95250</xdr:rowOff>
    </xdr:from>
    <xdr:to>
      <xdr:col>43</xdr:col>
      <xdr:colOff>0</xdr:colOff>
      <xdr:row>178</xdr:row>
      <xdr:rowOff>95250</xdr:rowOff>
    </xdr:to>
    <xdr:cxnSp macro="">
      <xdr:nvCxnSpPr>
        <xdr:cNvPr id="563" name="직선 화살표 연결선 562"/>
        <xdr:cNvCxnSpPr/>
      </xdr:nvCxnSpPr>
      <xdr:spPr>
        <a:xfrm>
          <a:off x="11369040" y="3399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177</xdr:row>
      <xdr:rowOff>38100</xdr:rowOff>
    </xdr:from>
    <xdr:to>
      <xdr:col>75</xdr:col>
      <xdr:colOff>82913</xdr:colOff>
      <xdr:row>177</xdr:row>
      <xdr:rowOff>152400</xdr:rowOff>
    </xdr:to>
    <xdr:sp macro="" textlink="">
      <xdr:nvSpPr>
        <xdr:cNvPr id="564" name="174"/>
        <xdr:cNvSpPr/>
      </xdr:nvSpPr>
      <xdr:spPr>
        <a:xfrm>
          <a:off x="11369040" y="33748980"/>
          <a:ext cx="47158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177</xdr:row>
      <xdr:rowOff>95250</xdr:rowOff>
    </xdr:from>
    <xdr:to>
      <xdr:col>43</xdr:col>
      <xdr:colOff>0</xdr:colOff>
      <xdr:row>177</xdr:row>
      <xdr:rowOff>95250</xdr:rowOff>
    </xdr:to>
    <xdr:cxnSp macro="">
      <xdr:nvCxnSpPr>
        <xdr:cNvPr id="565" name="직선 화살표 연결선 564"/>
        <xdr:cNvCxnSpPr/>
      </xdr:nvCxnSpPr>
      <xdr:spPr>
        <a:xfrm>
          <a:off x="11369040" y="3380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176</xdr:row>
      <xdr:rowOff>38100</xdr:rowOff>
    </xdr:from>
    <xdr:to>
      <xdr:col>78</xdr:col>
      <xdr:colOff>62502</xdr:colOff>
      <xdr:row>176</xdr:row>
      <xdr:rowOff>152400</xdr:rowOff>
    </xdr:to>
    <xdr:sp macro="" textlink="">
      <xdr:nvSpPr>
        <xdr:cNvPr id="566" name="173"/>
        <xdr:cNvSpPr/>
      </xdr:nvSpPr>
      <xdr:spPr>
        <a:xfrm>
          <a:off x="11369040" y="33558480"/>
          <a:ext cx="512980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176</xdr:row>
      <xdr:rowOff>95250</xdr:rowOff>
    </xdr:from>
    <xdr:to>
      <xdr:col>43</xdr:col>
      <xdr:colOff>0</xdr:colOff>
      <xdr:row>176</xdr:row>
      <xdr:rowOff>95250</xdr:rowOff>
    </xdr:to>
    <xdr:cxnSp macro="">
      <xdr:nvCxnSpPr>
        <xdr:cNvPr id="567" name="직선 화살표 연결선 566"/>
        <xdr:cNvCxnSpPr/>
      </xdr:nvCxnSpPr>
      <xdr:spPr>
        <a:xfrm>
          <a:off x="11369040" y="3361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61232</xdr:colOff>
      <xdr:row>175</xdr:row>
      <xdr:rowOff>38100</xdr:rowOff>
    </xdr:from>
    <xdr:to>
      <xdr:col>69</xdr:col>
      <xdr:colOff>123734</xdr:colOff>
      <xdr:row>175</xdr:row>
      <xdr:rowOff>152400</xdr:rowOff>
    </xdr:to>
    <xdr:sp macro="" textlink="">
      <xdr:nvSpPr>
        <xdr:cNvPr id="568" name="172"/>
        <xdr:cNvSpPr/>
      </xdr:nvSpPr>
      <xdr:spPr>
        <a:xfrm>
          <a:off x="14615432" y="33367980"/>
          <a:ext cx="64162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65</xdr:col>
      <xdr:colOff>61232</xdr:colOff>
      <xdr:row>175</xdr:row>
      <xdr:rowOff>95250</xdr:rowOff>
    </xdr:from>
    <xdr:to>
      <xdr:col>65</xdr:col>
      <xdr:colOff>61232</xdr:colOff>
      <xdr:row>175</xdr:row>
      <xdr:rowOff>95250</xdr:rowOff>
    </xdr:to>
    <xdr:cxnSp macro="">
      <xdr:nvCxnSpPr>
        <xdr:cNvPr id="569" name="직선 화살표 연결선 568"/>
        <xdr:cNvCxnSpPr/>
      </xdr:nvCxnSpPr>
      <xdr:spPr>
        <a:xfrm>
          <a:off x="14615432" y="3342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40821</xdr:colOff>
      <xdr:row>174</xdr:row>
      <xdr:rowOff>38100</xdr:rowOff>
    </xdr:from>
    <xdr:to>
      <xdr:col>65</xdr:col>
      <xdr:colOff>82913</xdr:colOff>
      <xdr:row>174</xdr:row>
      <xdr:rowOff>152400</xdr:rowOff>
    </xdr:to>
    <xdr:sp macro="" textlink="">
      <xdr:nvSpPr>
        <xdr:cNvPr id="570" name="171"/>
        <xdr:cNvSpPr/>
      </xdr:nvSpPr>
      <xdr:spPr>
        <a:xfrm>
          <a:off x="13871121" y="33177480"/>
          <a:ext cx="76599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40821</xdr:colOff>
      <xdr:row>174</xdr:row>
      <xdr:rowOff>95250</xdr:rowOff>
    </xdr:from>
    <xdr:to>
      <xdr:col>60</xdr:col>
      <xdr:colOff>40821</xdr:colOff>
      <xdr:row>174</xdr:row>
      <xdr:rowOff>95250</xdr:rowOff>
    </xdr:to>
    <xdr:cxnSp macro="">
      <xdr:nvCxnSpPr>
        <xdr:cNvPr id="571" name="직선 화살표 연결선 570"/>
        <xdr:cNvCxnSpPr/>
      </xdr:nvCxnSpPr>
      <xdr:spPr>
        <a:xfrm>
          <a:off x="13871121" y="3323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173</xdr:row>
      <xdr:rowOff>38100</xdr:rowOff>
    </xdr:from>
    <xdr:to>
      <xdr:col>62</xdr:col>
      <xdr:colOff>82913</xdr:colOff>
      <xdr:row>173</xdr:row>
      <xdr:rowOff>152400</xdr:rowOff>
    </xdr:to>
    <xdr:sp macro="" textlink="">
      <xdr:nvSpPr>
        <xdr:cNvPr id="572" name="170"/>
        <xdr:cNvSpPr/>
      </xdr:nvSpPr>
      <xdr:spPr>
        <a:xfrm>
          <a:off x="11346725" y="32986980"/>
          <a:ext cx="28560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173</xdr:row>
      <xdr:rowOff>95250</xdr:rowOff>
    </xdr:from>
    <xdr:to>
      <xdr:col>42</xdr:col>
      <xdr:colOff>122465</xdr:colOff>
      <xdr:row>173</xdr:row>
      <xdr:rowOff>95250</xdr:rowOff>
    </xdr:to>
    <xdr:cxnSp macro="">
      <xdr:nvCxnSpPr>
        <xdr:cNvPr id="573" name="직선 화살표 연결선 572"/>
        <xdr:cNvCxnSpPr/>
      </xdr:nvCxnSpPr>
      <xdr:spPr>
        <a:xfrm>
          <a:off x="11346725" y="3304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172</xdr:row>
      <xdr:rowOff>38100</xdr:rowOff>
    </xdr:from>
    <xdr:to>
      <xdr:col>62</xdr:col>
      <xdr:colOff>82913</xdr:colOff>
      <xdr:row>172</xdr:row>
      <xdr:rowOff>152400</xdr:rowOff>
    </xdr:to>
    <xdr:sp macro="" textlink="">
      <xdr:nvSpPr>
        <xdr:cNvPr id="574" name="169"/>
        <xdr:cNvSpPr/>
      </xdr:nvSpPr>
      <xdr:spPr>
        <a:xfrm>
          <a:off x="10127252" y="32796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172</xdr:row>
      <xdr:rowOff>95250</xdr:rowOff>
    </xdr:from>
    <xdr:to>
      <xdr:col>34</xdr:col>
      <xdr:colOff>61232</xdr:colOff>
      <xdr:row>172</xdr:row>
      <xdr:rowOff>95250</xdr:rowOff>
    </xdr:to>
    <xdr:cxnSp macro="">
      <xdr:nvCxnSpPr>
        <xdr:cNvPr id="575" name="직선 화살표 연결선 574"/>
        <xdr:cNvCxnSpPr/>
      </xdr:nvCxnSpPr>
      <xdr:spPr>
        <a:xfrm>
          <a:off x="10127252" y="3285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171</xdr:row>
      <xdr:rowOff>38100</xdr:rowOff>
    </xdr:from>
    <xdr:to>
      <xdr:col>69</xdr:col>
      <xdr:colOff>123734</xdr:colOff>
      <xdr:row>171</xdr:row>
      <xdr:rowOff>152400</xdr:rowOff>
    </xdr:to>
    <xdr:sp macro="" textlink="">
      <xdr:nvSpPr>
        <xdr:cNvPr id="576" name="168"/>
        <xdr:cNvSpPr/>
      </xdr:nvSpPr>
      <xdr:spPr>
        <a:xfrm>
          <a:off x="10127252" y="32605980"/>
          <a:ext cx="512980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171</xdr:row>
      <xdr:rowOff>95250</xdr:rowOff>
    </xdr:from>
    <xdr:to>
      <xdr:col>34</xdr:col>
      <xdr:colOff>61232</xdr:colOff>
      <xdr:row>171</xdr:row>
      <xdr:rowOff>95250</xdr:rowOff>
    </xdr:to>
    <xdr:cxnSp macro="">
      <xdr:nvCxnSpPr>
        <xdr:cNvPr id="577" name="직선 화살표 연결선 576"/>
        <xdr:cNvCxnSpPr/>
      </xdr:nvCxnSpPr>
      <xdr:spPr>
        <a:xfrm>
          <a:off x="10127252" y="3266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102054</xdr:colOff>
      <xdr:row>170</xdr:row>
      <xdr:rowOff>38100</xdr:rowOff>
    </xdr:from>
    <xdr:to>
      <xdr:col>67</xdr:col>
      <xdr:colOff>1270</xdr:colOff>
      <xdr:row>170</xdr:row>
      <xdr:rowOff>152400</xdr:rowOff>
    </xdr:to>
    <xdr:sp macro="" textlink="">
      <xdr:nvSpPr>
        <xdr:cNvPr id="578" name="167"/>
        <xdr:cNvSpPr/>
      </xdr:nvSpPr>
      <xdr:spPr>
        <a:xfrm>
          <a:off x="14221914" y="32415480"/>
          <a:ext cx="6231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102054</xdr:colOff>
      <xdr:row>170</xdr:row>
      <xdr:rowOff>95250</xdr:rowOff>
    </xdr:from>
    <xdr:to>
      <xdr:col>62</xdr:col>
      <xdr:colOff>102054</xdr:colOff>
      <xdr:row>170</xdr:row>
      <xdr:rowOff>95250</xdr:rowOff>
    </xdr:to>
    <xdr:cxnSp macro="">
      <xdr:nvCxnSpPr>
        <xdr:cNvPr id="579" name="직선 화살표 연결선 578"/>
        <xdr:cNvCxnSpPr/>
      </xdr:nvCxnSpPr>
      <xdr:spPr>
        <a:xfrm>
          <a:off x="14221914" y="3247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122464</xdr:colOff>
      <xdr:row>169</xdr:row>
      <xdr:rowOff>38100</xdr:rowOff>
    </xdr:from>
    <xdr:to>
      <xdr:col>64</xdr:col>
      <xdr:colOff>123734</xdr:colOff>
      <xdr:row>169</xdr:row>
      <xdr:rowOff>152400</xdr:rowOff>
    </xdr:to>
    <xdr:sp macro="" textlink="">
      <xdr:nvSpPr>
        <xdr:cNvPr id="580" name="166"/>
        <xdr:cNvSpPr/>
      </xdr:nvSpPr>
      <xdr:spPr>
        <a:xfrm>
          <a:off x="13228864" y="32224980"/>
          <a:ext cx="13042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122464</xdr:colOff>
      <xdr:row>169</xdr:row>
      <xdr:rowOff>95250</xdr:rowOff>
    </xdr:from>
    <xdr:to>
      <xdr:col>55</xdr:col>
      <xdr:colOff>122464</xdr:colOff>
      <xdr:row>169</xdr:row>
      <xdr:rowOff>95250</xdr:rowOff>
    </xdr:to>
    <xdr:cxnSp macro="">
      <xdr:nvCxnSpPr>
        <xdr:cNvPr id="581" name="직선 화살표 연결선 580"/>
        <xdr:cNvCxnSpPr/>
      </xdr:nvCxnSpPr>
      <xdr:spPr>
        <a:xfrm>
          <a:off x="13228864" y="3228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168</xdr:row>
      <xdr:rowOff>38100</xdr:rowOff>
    </xdr:from>
    <xdr:to>
      <xdr:col>58</xdr:col>
      <xdr:colOff>21681</xdr:colOff>
      <xdr:row>168</xdr:row>
      <xdr:rowOff>152400</xdr:rowOff>
    </xdr:to>
    <xdr:sp macro="" textlink="">
      <xdr:nvSpPr>
        <xdr:cNvPr id="582" name="165"/>
        <xdr:cNvSpPr/>
      </xdr:nvSpPr>
      <xdr:spPr>
        <a:xfrm>
          <a:off x="11346725" y="32034480"/>
          <a:ext cx="22156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168</xdr:row>
      <xdr:rowOff>95250</xdr:rowOff>
    </xdr:from>
    <xdr:to>
      <xdr:col>42</xdr:col>
      <xdr:colOff>122465</xdr:colOff>
      <xdr:row>168</xdr:row>
      <xdr:rowOff>95250</xdr:rowOff>
    </xdr:to>
    <xdr:cxnSp macro="">
      <xdr:nvCxnSpPr>
        <xdr:cNvPr id="583" name="직선 화살표 연결선 582"/>
        <xdr:cNvCxnSpPr/>
      </xdr:nvCxnSpPr>
      <xdr:spPr>
        <a:xfrm>
          <a:off x="11346725" y="3209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167</xdr:row>
      <xdr:rowOff>38100</xdr:rowOff>
    </xdr:from>
    <xdr:to>
      <xdr:col>62</xdr:col>
      <xdr:colOff>82913</xdr:colOff>
      <xdr:row>167</xdr:row>
      <xdr:rowOff>152400</xdr:rowOff>
    </xdr:to>
    <xdr:sp macro="" textlink="">
      <xdr:nvSpPr>
        <xdr:cNvPr id="584" name="164"/>
        <xdr:cNvSpPr/>
      </xdr:nvSpPr>
      <xdr:spPr>
        <a:xfrm>
          <a:off x="10127252" y="31843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167</xdr:row>
      <xdr:rowOff>95250</xdr:rowOff>
    </xdr:from>
    <xdr:to>
      <xdr:col>34</xdr:col>
      <xdr:colOff>61232</xdr:colOff>
      <xdr:row>167</xdr:row>
      <xdr:rowOff>95250</xdr:rowOff>
    </xdr:to>
    <xdr:cxnSp macro="">
      <xdr:nvCxnSpPr>
        <xdr:cNvPr id="585" name="직선 화살표 연결선 584"/>
        <xdr:cNvCxnSpPr/>
      </xdr:nvCxnSpPr>
      <xdr:spPr>
        <a:xfrm>
          <a:off x="10127252" y="3190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166</xdr:row>
      <xdr:rowOff>38100</xdr:rowOff>
    </xdr:from>
    <xdr:to>
      <xdr:col>67</xdr:col>
      <xdr:colOff>1270</xdr:colOff>
      <xdr:row>166</xdr:row>
      <xdr:rowOff>152400</xdr:rowOff>
    </xdr:to>
    <xdr:sp macro="" textlink="">
      <xdr:nvSpPr>
        <xdr:cNvPr id="586" name="163"/>
        <xdr:cNvSpPr/>
      </xdr:nvSpPr>
      <xdr:spPr>
        <a:xfrm>
          <a:off x="10127252" y="31653480"/>
          <a:ext cx="47177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166</xdr:row>
      <xdr:rowOff>95250</xdr:rowOff>
    </xdr:from>
    <xdr:to>
      <xdr:col>34</xdr:col>
      <xdr:colOff>61232</xdr:colOff>
      <xdr:row>166</xdr:row>
      <xdr:rowOff>95250</xdr:rowOff>
    </xdr:to>
    <xdr:cxnSp macro="">
      <xdr:nvCxnSpPr>
        <xdr:cNvPr id="587" name="직선 화살표 연결선 586"/>
        <xdr:cNvCxnSpPr/>
      </xdr:nvCxnSpPr>
      <xdr:spPr>
        <a:xfrm>
          <a:off x="10127252" y="3171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165</xdr:row>
      <xdr:rowOff>38100</xdr:rowOff>
    </xdr:from>
    <xdr:to>
      <xdr:col>69</xdr:col>
      <xdr:colOff>123734</xdr:colOff>
      <xdr:row>165</xdr:row>
      <xdr:rowOff>152400</xdr:rowOff>
    </xdr:to>
    <xdr:sp macro="" textlink="">
      <xdr:nvSpPr>
        <xdr:cNvPr id="588" name="162"/>
        <xdr:cNvSpPr/>
      </xdr:nvSpPr>
      <xdr:spPr>
        <a:xfrm>
          <a:off x="14511474" y="31462980"/>
          <a:ext cx="7455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165</xdr:row>
      <xdr:rowOff>95250</xdr:rowOff>
    </xdr:from>
    <xdr:to>
      <xdr:col>64</xdr:col>
      <xdr:colOff>102054</xdr:colOff>
      <xdr:row>165</xdr:row>
      <xdr:rowOff>95250</xdr:rowOff>
    </xdr:to>
    <xdr:cxnSp macro="">
      <xdr:nvCxnSpPr>
        <xdr:cNvPr id="589" name="직선 화살표 연결선 588"/>
        <xdr:cNvCxnSpPr/>
      </xdr:nvCxnSpPr>
      <xdr:spPr>
        <a:xfrm>
          <a:off x="14511474" y="3152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40821</xdr:colOff>
      <xdr:row>164</xdr:row>
      <xdr:rowOff>38100</xdr:rowOff>
    </xdr:from>
    <xdr:to>
      <xdr:col>67</xdr:col>
      <xdr:colOff>1270</xdr:colOff>
      <xdr:row>164</xdr:row>
      <xdr:rowOff>152400</xdr:rowOff>
    </xdr:to>
    <xdr:sp macro="" textlink="">
      <xdr:nvSpPr>
        <xdr:cNvPr id="590" name="161"/>
        <xdr:cNvSpPr/>
      </xdr:nvSpPr>
      <xdr:spPr>
        <a:xfrm>
          <a:off x="13871121" y="31272480"/>
          <a:ext cx="97390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40821</xdr:colOff>
      <xdr:row>164</xdr:row>
      <xdr:rowOff>95250</xdr:rowOff>
    </xdr:from>
    <xdr:to>
      <xdr:col>60</xdr:col>
      <xdr:colOff>40821</xdr:colOff>
      <xdr:row>164</xdr:row>
      <xdr:rowOff>95250</xdr:rowOff>
    </xdr:to>
    <xdr:cxnSp macro="">
      <xdr:nvCxnSpPr>
        <xdr:cNvPr id="591" name="직선 화살표 연결선 590"/>
        <xdr:cNvCxnSpPr/>
      </xdr:nvCxnSpPr>
      <xdr:spPr>
        <a:xfrm>
          <a:off x="13871121" y="3132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163</xdr:row>
      <xdr:rowOff>38100</xdr:rowOff>
    </xdr:from>
    <xdr:to>
      <xdr:col>62</xdr:col>
      <xdr:colOff>82913</xdr:colOff>
      <xdr:row>163</xdr:row>
      <xdr:rowOff>152400</xdr:rowOff>
    </xdr:to>
    <xdr:sp macro="" textlink="">
      <xdr:nvSpPr>
        <xdr:cNvPr id="592" name="160"/>
        <xdr:cNvSpPr/>
      </xdr:nvSpPr>
      <xdr:spPr>
        <a:xfrm>
          <a:off x="11346725" y="31081980"/>
          <a:ext cx="285604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163</xdr:row>
      <xdr:rowOff>95250</xdr:rowOff>
    </xdr:from>
    <xdr:to>
      <xdr:col>42</xdr:col>
      <xdr:colOff>122465</xdr:colOff>
      <xdr:row>163</xdr:row>
      <xdr:rowOff>95250</xdr:rowOff>
    </xdr:to>
    <xdr:cxnSp macro="">
      <xdr:nvCxnSpPr>
        <xdr:cNvPr id="593" name="직선 화살표 연결선 592"/>
        <xdr:cNvCxnSpPr/>
      </xdr:nvCxnSpPr>
      <xdr:spPr>
        <a:xfrm>
          <a:off x="11346725" y="3113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162</xdr:row>
      <xdr:rowOff>38100</xdr:rowOff>
    </xdr:from>
    <xdr:to>
      <xdr:col>62</xdr:col>
      <xdr:colOff>82913</xdr:colOff>
      <xdr:row>162</xdr:row>
      <xdr:rowOff>152400</xdr:rowOff>
    </xdr:to>
    <xdr:sp macro="" textlink="">
      <xdr:nvSpPr>
        <xdr:cNvPr id="594" name="159"/>
        <xdr:cNvSpPr/>
      </xdr:nvSpPr>
      <xdr:spPr>
        <a:xfrm>
          <a:off x="10127252" y="30891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162</xdr:row>
      <xdr:rowOff>95250</xdr:rowOff>
    </xdr:from>
    <xdr:to>
      <xdr:col>34</xdr:col>
      <xdr:colOff>61232</xdr:colOff>
      <xdr:row>162</xdr:row>
      <xdr:rowOff>95250</xdr:rowOff>
    </xdr:to>
    <xdr:cxnSp macro="">
      <xdr:nvCxnSpPr>
        <xdr:cNvPr id="595" name="직선 화살표 연결선 594"/>
        <xdr:cNvCxnSpPr/>
      </xdr:nvCxnSpPr>
      <xdr:spPr>
        <a:xfrm>
          <a:off x="10127252" y="3094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161</xdr:row>
      <xdr:rowOff>38100</xdr:rowOff>
    </xdr:from>
    <xdr:to>
      <xdr:col>69</xdr:col>
      <xdr:colOff>123734</xdr:colOff>
      <xdr:row>161</xdr:row>
      <xdr:rowOff>152400</xdr:rowOff>
    </xdr:to>
    <xdr:sp macro="" textlink="">
      <xdr:nvSpPr>
        <xdr:cNvPr id="596" name="158"/>
        <xdr:cNvSpPr/>
      </xdr:nvSpPr>
      <xdr:spPr>
        <a:xfrm>
          <a:off x="10127252" y="30700980"/>
          <a:ext cx="512980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161</xdr:row>
      <xdr:rowOff>95250</xdr:rowOff>
    </xdr:from>
    <xdr:to>
      <xdr:col>34</xdr:col>
      <xdr:colOff>61232</xdr:colOff>
      <xdr:row>161</xdr:row>
      <xdr:rowOff>95250</xdr:rowOff>
    </xdr:to>
    <xdr:cxnSp macro="">
      <xdr:nvCxnSpPr>
        <xdr:cNvPr id="597" name="직선 화살표 연결선 596"/>
        <xdr:cNvCxnSpPr/>
      </xdr:nvCxnSpPr>
      <xdr:spPr>
        <a:xfrm>
          <a:off x="10127252" y="3075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40821</xdr:colOff>
      <xdr:row>160</xdr:row>
      <xdr:rowOff>38100</xdr:rowOff>
    </xdr:from>
    <xdr:to>
      <xdr:col>62</xdr:col>
      <xdr:colOff>82913</xdr:colOff>
      <xdr:row>160</xdr:row>
      <xdr:rowOff>152400</xdr:rowOff>
    </xdr:to>
    <xdr:sp macro="" textlink="">
      <xdr:nvSpPr>
        <xdr:cNvPr id="598" name="157"/>
        <xdr:cNvSpPr/>
      </xdr:nvSpPr>
      <xdr:spPr>
        <a:xfrm>
          <a:off x="13581561" y="30510480"/>
          <a:ext cx="6212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40821</xdr:colOff>
      <xdr:row>160</xdr:row>
      <xdr:rowOff>95250</xdr:rowOff>
    </xdr:from>
    <xdr:to>
      <xdr:col>58</xdr:col>
      <xdr:colOff>40821</xdr:colOff>
      <xdr:row>160</xdr:row>
      <xdr:rowOff>95250</xdr:rowOff>
    </xdr:to>
    <xdr:cxnSp macro="">
      <xdr:nvCxnSpPr>
        <xdr:cNvPr id="599" name="직선 화살표 연결선 598"/>
        <xdr:cNvCxnSpPr/>
      </xdr:nvCxnSpPr>
      <xdr:spPr>
        <a:xfrm>
          <a:off x="13581561" y="3056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102053</xdr:colOff>
      <xdr:row>159</xdr:row>
      <xdr:rowOff>38100</xdr:rowOff>
    </xdr:from>
    <xdr:to>
      <xdr:col>62</xdr:col>
      <xdr:colOff>82913</xdr:colOff>
      <xdr:row>159</xdr:row>
      <xdr:rowOff>152400</xdr:rowOff>
    </xdr:to>
    <xdr:sp macro="" textlink="">
      <xdr:nvSpPr>
        <xdr:cNvPr id="600" name="156"/>
        <xdr:cNvSpPr/>
      </xdr:nvSpPr>
      <xdr:spPr>
        <a:xfrm>
          <a:off x="12918893" y="30319980"/>
          <a:ext cx="12838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102053</xdr:colOff>
      <xdr:row>159</xdr:row>
      <xdr:rowOff>95250</xdr:rowOff>
    </xdr:from>
    <xdr:to>
      <xdr:col>53</xdr:col>
      <xdr:colOff>102053</xdr:colOff>
      <xdr:row>159</xdr:row>
      <xdr:rowOff>95250</xdr:rowOff>
    </xdr:to>
    <xdr:cxnSp macro="">
      <xdr:nvCxnSpPr>
        <xdr:cNvPr id="601" name="직선 화살표 연결선 600"/>
        <xdr:cNvCxnSpPr/>
      </xdr:nvCxnSpPr>
      <xdr:spPr>
        <a:xfrm>
          <a:off x="12918893" y="3037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158</xdr:row>
      <xdr:rowOff>38100</xdr:rowOff>
    </xdr:from>
    <xdr:to>
      <xdr:col>56</xdr:col>
      <xdr:colOff>1270</xdr:colOff>
      <xdr:row>158</xdr:row>
      <xdr:rowOff>152400</xdr:rowOff>
    </xdr:to>
    <xdr:sp macro="" textlink="">
      <xdr:nvSpPr>
        <xdr:cNvPr id="602" name="155"/>
        <xdr:cNvSpPr/>
      </xdr:nvSpPr>
      <xdr:spPr>
        <a:xfrm>
          <a:off x="11346725" y="30129480"/>
          <a:ext cx="19057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158</xdr:row>
      <xdr:rowOff>95250</xdr:rowOff>
    </xdr:from>
    <xdr:to>
      <xdr:col>42</xdr:col>
      <xdr:colOff>122465</xdr:colOff>
      <xdr:row>158</xdr:row>
      <xdr:rowOff>95250</xdr:rowOff>
    </xdr:to>
    <xdr:cxnSp macro="">
      <xdr:nvCxnSpPr>
        <xdr:cNvPr id="603" name="직선 화살표 연결선 602"/>
        <xdr:cNvCxnSpPr/>
      </xdr:nvCxnSpPr>
      <xdr:spPr>
        <a:xfrm>
          <a:off x="11346725" y="3018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157</xdr:row>
      <xdr:rowOff>38100</xdr:rowOff>
    </xdr:from>
    <xdr:to>
      <xdr:col>62</xdr:col>
      <xdr:colOff>82913</xdr:colOff>
      <xdr:row>157</xdr:row>
      <xdr:rowOff>152400</xdr:rowOff>
    </xdr:to>
    <xdr:sp macro="" textlink="">
      <xdr:nvSpPr>
        <xdr:cNvPr id="604" name="154"/>
        <xdr:cNvSpPr/>
      </xdr:nvSpPr>
      <xdr:spPr>
        <a:xfrm>
          <a:off x="10127252" y="29938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157</xdr:row>
      <xdr:rowOff>95250</xdr:rowOff>
    </xdr:from>
    <xdr:to>
      <xdr:col>34</xdr:col>
      <xdr:colOff>61232</xdr:colOff>
      <xdr:row>157</xdr:row>
      <xdr:rowOff>95250</xdr:rowOff>
    </xdr:to>
    <xdr:cxnSp macro="">
      <xdr:nvCxnSpPr>
        <xdr:cNvPr id="605" name="직선 화살표 연결선 604"/>
        <xdr:cNvCxnSpPr/>
      </xdr:nvCxnSpPr>
      <xdr:spPr>
        <a:xfrm>
          <a:off x="10127252" y="2999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156</xdr:row>
      <xdr:rowOff>38100</xdr:rowOff>
    </xdr:from>
    <xdr:to>
      <xdr:col>62</xdr:col>
      <xdr:colOff>82913</xdr:colOff>
      <xdr:row>156</xdr:row>
      <xdr:rowOff>152400</xdr:rowOff>
    </xdr:to>
    <xdr:sp macro="" textlink="">
      <xdr:nvSpPr>
        <xdr:cNvPr id="606" name="153"/>
        <xdr:cNvSpPr/>
      </xdr:nvSpPr>
      <xdr:spPr>
        <a:xfrm>
          <a:off x="10127252" y="29748480"/>
          <a:ext cx="407552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156</xdr:row>
      <xdr:rowOff>95250</xdr:rowOff>
    </xdr:from>
    <xdr:to>
      <xdr:col>34</xdr:col>
      <xdr:colOff>61232</xdr:colOff>
      <xdr:row>156</xdr:row>
      <xdr:rowOff>95250</xdr:rowOff>
    </xdr:to>
    <xdr:cxnSp macro="">
      <xdr:nvCxnSpPr>
        <xdr:cNvPr id="607" name="직선 화살표 연결선 606"/>
        <xdr:cNvCxnSpPr/>
      </xdr:nvCxnSpPr>
      <xdr:spPr>
        <a:xfrm>
          <a:off x="10127252" y="2980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40821</xdr:colOff>
      <xdr:row>155</xdr:row>
      <xdr:rowOff>38100</xdr:rowOff>
    </xdr:from>
    <xdr:to>
      <xdr:col>62</xdr:col>
      <xdr:colOff>82913</xdr:colOff>
      <xdr:row>155</xdr:row>
      <xdr:rowOff>152400</xdr:rowOff>
    </xdr:to>
    <xdr:sp macro="" textlink="">
      <xdr:nvSpPr>
        <xdr:cNvPr id="608" name="152"/>
        <xdr:cNvSpPr/>
      </xdr:nvSpPr>
      <xdr:spPr>
        <a:xfrm>
          <a:off x="13581561" y="29557980"/>
          <a:ext cx="62121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40821</xdr:colOff>
      <xdr:row>155</xdr:row>
      <xdr:rowOff>95250</xdr:rowOff>
    </xdr:from>
    <xdr:to>
      <xdr:col>58</xdr:col>
      <xdr:colOff>40821</xdr:colOff>
      <xdr:row>155</xdr:row>
      <xdr:rowOff>95250</xdr:rowOff>
    </xdr:to>
    <xdr:cxnSp macro="">
      <xdr:nvCxnSpPr>
        <xdr:cNvPr id="609" name="직선 화살표 연결선 608"/>
        <xdr:cNvCxnSpPr/>
      </xdr:nvCxnSpPr>
      <xdr:spPr>
        <a:xfrm>
          <a:off x="13581561" y="2961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102053</xdr:colOff>
      <xdr:row>154</xdr:row>
      <xdr:rowOff>38100</xdr:rowOff>
    </xdr:from>
    <xdr:to>
      <xdr:col>62</xdr:col>
      <xdr:colOff>82913</xdr:colOff>
      <xdr:row>154</xdr:row>
      <xdr:rowOff>152400</xdr:rowOff>
    </xdr:to>
    <xdr:sp macro="" textlink="">
      <xdr:nvSpPr>
        <xdr:cNvPr id="610" name="151"/>
        <xdr:cNvSpPr/>
      </xdr:nvSpPr>
      <xdr:spPr>
        <a:xfrm>
          <a:off x="12918893" y="29367480"/>
          <a:ext cx="128388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102053</xdr:colOff>
      <xdr:row>154</xdr:row>
      <xdr:rowOff>95250</xdr:rowOff>
    </xdr:from>
    <xdr:to>
      <xdr:col>53</xdr:col>
      <xdr:colOff>102053</xdr:colOff>
      <xdr:row>154</xdr:row>
      <xdr:rowOff>95250</xdr:rowOff>
    </xdr:to>
    <xdr:cxnSp macro="">
      <xdr:nvCxnSpPr>
        <xdr:cNvPr id="611" name="직선 화살표 연결선 610"/>
        <xdr:cNvCxnSpPr/>
      </xdr:nvCxnSpPr>
      <xdr:spPr>
        <a:xfrm>
          <a:off x="12918893" y="2942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153</xdr:row>
      <xdr:rowOff>38100</xdr:rowOff>
    </xdr:from>
    <xdr:to>
      <xdr:col>56</xdr:col>
      <xdr:colOff>1270</xdr:colOff>
      <xdr:row>153</xdr:row>
      <xdr:rowOff>152400</xdr:rowOff>
    </xdr:to>
    <xdr:sp macro="" textlink="">
      <xdr:nvSpPr>
        <xdr:cNvPr id="612" name="150"/>
        <xdr:cNvSpPr/>
      </xdr:nvSpPr>
      <xdr:spPr>
        <a:xfrm>
          <a:off x="11346725" y="29176980"/>
          <a:ext cx="190572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153</xdr:row>
      <xdr:rowOff>95250</xdr:rowOff>
    </xdr:from>
    <xdr:to>
      <xdr:col>42</xdr:col>
      <xdr:colOff>122465</xdr:colOff>
      <xdr:row>153</xdr:row>
      <xdr:rowOff>95250</xdr:rowOff>
    </xdr:to>
    <xdr:cxnSp macro="">
      <xdr:nvCxnSpPr>
        <xdr:cNvPr id="613" name="직선 화살표 연결선 612"/>
        <xdr:cNvCxnSpPr/>
      </xdr:nvCxnSpPr>
      <xdr:spPr>
        <a:xfrm>
          <a:off x="11346725" y="2923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152</xdr:row>
      <xdr:rowOff>38100</xdr:rowOff>
    </xdr:from>
    <xdr:to>
      <xdr:col>62</xdr:col>
      <xdr:colOff>82913</xdr:colOff>
      <xdr:row>152</xdr:row>
      <xdr:rowOff>152400</xdr:rowOff>
    </xdr:to>
    <xdr:sp macro="" textlink="">
      <xdr:nvSpPr>
        <xdr:cNvPr id="614" name="149"/>
        <xdr:cNvSpPr/>
      </xdr:nvSpPr>
      <xdr:spPr>
        <a:xfrm>
          <a:off x="10127252" y="28986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152</xdr:row>
      <xdr:rowOff>95250</xdr:rowOff>
    </xdr:from>
    <xdr:to>
      <xdr:col>34</xdr:col>
      <xdr:colOff>61232</xdr:colOff>
      <xdr:row>152</xdr:row>
      <xdr:rowOff>95250</xdr:rowOff>
    </xdr:to>
    <xdr:cxnSp macro="">
      <xdr:nvCxnSpPr>
        <xdr:cNvPr id="615" name="직선 화살표 연결선 614"/>
        <xdr:cNvCxnSpPr/>
      </xdr:nvCxnSpPr>
      <xdr:spPr>
        <a:xfrm>
          <a:off x="10127252" y="2904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151</xdr:row>
      <xdr:rowOff>38100</xdr:rowOff>
    </xdr:from>
    <xdr:to>
      <xdr:col>62</xdr:col>
      <xdr:colOff>82913</xdr:colOff>
      <xdr:row>151</xdr:row>
      <xdr:rowOff>152400</xdr:rowOff>
    </xdr:to>
    <xdr:sp macro="" textlink="">
      <xdr:nvSpPr>
        <xdr:cNvPr id="616" name="148"/>
        <xdr:cNvSpPr/>
      </xdr:nvSpPr>
      <xdr:spPr>
        <a:xfrm>
          <a:off x="10127252" y="28795980"/>
          <a:ext cx="407552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151</xdr:row>
      <xdr:rowOff>95250</xdr:rowOff>
    </xdr:from>
    <xdr:to>
      <xdr:col>34</xdr:col>
      <xdr:colOff>61232</xdr:colOff>
      <xdr:row>151</xdr:row>
      <xdr:rowOff>95250</xdr:rowOff>
    </xdr:to>
    <xdr:cxnSp macro="">
      <xdr:nvCxnSpPr>
        <xdr:cNvPr id="617" name="직선 화살표 연결선 616"/>
        <xdr:cNvCxnSpPr/>
      </xdr:nvCxnSpPr>
      <xdr:spPr>
        <a:xfrm>
          <a:off x="10127252" y="2885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102054</xdr:colOff>
      <xdr:row>150</xdr:row>
      <xdr:rowOff>38100</xdr:rowOff>
    </xdr:from>
    <xdr:to>
      <xdr:col>67</xdr:col>
      <xdr:colOff>1270</xdr:colOff>
      <xdr:row>150</xdr:row>
      <xdr:rowOff>152400</xdr:rowOff>
    </xdr:to>
    <xdr:sp macro="" textlink="">
      <xdr:nvSpPr>
        <xdr:cNvPr id="618" name="147"/>
        <xdr:cNvSpPr/>
      </xdr:nvSpPr>
      <xdr:spPr>
        <a:xfrm>
          <a:off x="14221914" y="28605480"/>
          <a:ext cx="62311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102054</xdr:colOff>
      <xdr:row>150</xdr:row>
      <xdr:rowOff>95250</xdr:rowOff>
    </xdr:from>
    <xdr:to>
      <xdr:col>62</xdr:col>
      <xdr:colOff>102054</xdr:colOff>
      <xdr:row>150</xdr:row>
      <xdr:rowOff>95250</xdr:rowOff>
    </xdr:to>
    <xdr:cxnSp macro="">
      <xdr:nvCxnSpPr>
        <xdr:cNvPr id="619" name="직선 화살표 연결선 618"/>
        <xdr:cNvCxnSpPr/>
      </xdr:nvCxnSpPr>
      <xdr:spPr>
        <a:xfrm>
          <a:off x="14221914" y="2866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122464</xdr:colOff>
      <xdr:row>149</xdr:row>
      <xdr:rowOff>38100</xdr:rowOff>
    </xdr:from>
    <xdr:to>
      <xdr:col>64</xdr:col>
      <xdr:colOff>123734</xdr:colOff>
      <xdr:row>149</xdr:row>
      <xdr:rowOff>152400</xdr:rowOff>
    </xdr:to>
    <xdr:sp macro="" textlink="">
      <xdr:nvSpPr>
        <xdr:cNvPr id="620" name="146"/>
        <xdr:cNvSpPr/>
      </xdr:nvSpPr>
      <xdr:spPr>
        <a:xfrm>
          <a:off x="13228864" y="28414980"/>
          <a:ext cx="13042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55</xdr:col>
      <xdr:colOff>122464</xdr:colOff>
      <xdr:row>149</xdr:row>
      <xdr:rowOff>95250</xdr:rowOff>
    </xdr:from>
    <xdr:to>
      <xdr:col>55</xdr:col>
      <xdr:colOff>122464</xdr:colOff>
      <xdr:row>149</xdr:row>
      <xdr:rowOff>95250</xdr:rowOff>
    </xdr:to>
    <xdr:cxnSp macro="">
      <xdr:nvCxnSpPr>
        <xdr:cNvPr id="621" name="직선 화살표 연결선 620"/>
        <xdr:cNvCxnSpPr/>
      </xdr:nvCxnSpPr>
      <xdr:spPr>
        <a:xfrm>
          <a:off x="13228864" y="2847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122465</xdr:colOff>
      <xdr:row>148</xdr:row>
      <xdr:rowOff>38100</xdr:rowOff>
    </xdr:from>
    <xdr:to>
      <xdr:col>58</xdr:col>
      <xdr:colOff>21681</xdr:colOff>
      <xdr:row>148</xdr:row>
      <xdr:rowOff>152400</xdr:rowOff>
    </xdr:to>
    <xdr:sp macro="" textlink="">
      <xdr:nvSpPr>
        <xdr:cNvPr id="622" name="145"/>
        <xdr:cNvSpPr/>
      </xdr:nvSpPr>
      <xdr:spPr>
        <a:xfrm>
          <a:off x="11346725" y="28224480"/>
          <a:ext cx="221569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42</xdr:col>
      <xdr:colOff>122465</xdr:colOff>
      <xdr:row>148</xdr:row>
      <xdr:rowOff>95250</xdr:rowOff>
    </xdr:from>
    <xdr:to>
      <xdr:col>42</xdr:col>
      <xdr:colOff>122465</xdr:colOff>
      <xdr:row>148</xdr:row>
      <xdr:rowOff>95250</xdr:rowOff>
    </xdr:to>
    <xdr:cxnSp macro="">
      <xdr:nvCxnSpPr>
        <xdr:cNvPr id="623" name="직선 화살표 연결선 622"/>
        <xdr:cNvCxnSpPr/>
      </xdr:nvCxnSpPr>
      <xdr:spPr>
        <a:xfrm>
          <a:off x="11346725" y="2828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147</xdr:row>
      <xdr:rowOff>38100</xdr:rowOff>
    </xdr:from>
    <xdr:to>
      <xdr:col>62</xdr:col>
      <xdr:colOff>82913</xdr:colOff>
      <xdr:row>147</xdr:row>
      <xdr:rowOff>152400</xdr:rowOff>
    </xdr:to>
    <xdr:sp macro="" textlink="">
      <xdr:nvSpPr>
        <xdr:cNvPr id="624" name="144"/>
        <xdr:cNvSpPr/>
      </xdr:nvSpPr>
      <xdr:spPr>
        <a:xfrm>
          <a:off x="10127252" y="28033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147</xdr:row>
      <xdr:rowOff>95250</xdr:rowOff>
    </xdr:from>
    <xdr:to>
      <xdr:col>34</xdr:col>
      <xdr:colOff>61232</xdr:colOff>
      <xdr:row>147</xdr:row>
      <xdr:rowOff>95250</xdr:rowOff>
    </xdr:to>
    <xdr:cxnSp macro="">
      <xdr:nvCxnSpPr>
        <xdr:cNvPr id="625" name="직선 화살표 연결선 624"/>
        <xdr:cNvCxnSpPr/>
      </xdr:nvCxnSpPr>
      <xdr:spPr>
        <a:xfrm>
          <a:off x="10127252" y="2809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146</xdr:row>
      <xdr:rowOff>38100</xdr:rowOff>
    </xdr:from>
    <xdr:to>
      <xdr:col>67</xdr:col>
      <xdr:colOff>1270</xdr:colOff>
      <xdr:row>146</xdr:row>
      <xdr:rowOff>152400</xdr:rowOff>
    </xdr:to>
    <xdr:sp macro="" textlink="">
      <xdr:nvSpPr>
        <xdr:cNvPr id="626" name="143"/>
        <xdr:cNvSpPr/>
      </xdr:nvSpPr>
      <xdr:spPr>
        <a:xfrm>
          <a:off x="10127252" y="27843480"/>
          <a:ext cx="47177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146</xdr:row>
      <xdr:rowOff>95250</xdr:rowOff>
    </xdr:from>
    <xdr:to>
      <xdr:col>34</xdr:col>
      <xdr:colOff>61232</xdr:colOff>
      <xdr:row>146</xdr:row>
      <xdr:rowOff>95250</xdr:rowOff>
    </xdr:to>
    <xdr:cxnSp macro="">
      <xdr:nvCxnSpPr>
        <xdr:cNvPr id="627" name="직선 화살표 연결선 626"/>
        <xdr:cNvCxnSpPr/>
      </xdr:nvCxnSpPr>
      <xdr:spPr>
        <a:xfrm>
          <a:off x="10127252" y="2790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145</xdr:row>
      <xdr:rowOff>38100</xdr:rowOff>
    </xdr:from>
    <xdr:to>
      <xdr:col>69</xdr:col>
      <xdr:colOff>123734</xdr:colOff>
      <xdr:row>145</xdr:row>
      <xdr:rowOff>152400</xdr:rowOff>
    </xdr:to>
    <xdr:sp macro="" textlink="">
      <xdr:nvSpPr>
        <xdr:cNvPr id="628" name="142"/>
        <xdr:cNvSpPr/>
      </xdr:nvSpPr>
      <xdr:spPr>
        <a:xfrm>
          <a:off x="10127252" y="27652980"/>
          <a:ext cx="512980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145</xdr:row>
      <xdr:rowOff>95250</xdr:rowOff>
    </xdr:from>
    <xdr:to>
      <xdr:col>34</xdr:col>
      <xdr:colOff>61232</xdr:colOff>
      <xdr:row>145</xdr:row>
      <xdr:rowOff>95250</xdr:rowOff>
    </xdr:to>
    <xdr:cxnSp macro="">
      <xdr:nvCxnSpPr>
        <xdr:cNvPr id="629" name="직선 화살표 연결선 628"/>
        <xdr:cNvCxnSpPr/>
      </xdr:nvCxnSpPr>
      <xdr:spPr>
        <a:xfrm>
          <a:off x="10127252" y="2771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102054</xdr:colOff>
      <xdr:row>144</xdr:row>
      <xdr:rowOff>38100</xdr:rowOff>
    </xdr:from>
    <xdr:to>
      <xdr:col>75</xdr:col>
      <xdr:colOff>103324</xdr:colOff>
      <xdr:row>144</xdr:row>
      <xdr:rowOff>152400</xdr:rowOff>
    </xdr:to>
    <xdr:sp macro="" textlink="">
      <xdr:nvSpPr>
        <xdr:cNvPr id="630" name="141"/>
        <xdr:cNvSpPr/>
      </xdr:nvSpPr>
      <xdr:spPr>
        <a:xfrm>
          <a:off x="14221914" y="27462480"/>
          <a:ext cx="18834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102054</xdr:colOff>
      <xdr:row>144</xdr:row>
      <xdr:rowOff>95250</xdr:rowOff>
    </xdr:from>
    <xdr:to>
      <xdr:col>62</xdr:col>
      <xdr:colOff>102054</xdr:colOff>
      <xdr:row>144</xdr:row>
      <xdr:rowOff>95250</xdr:rowOff>
    </xdr:to>
    <xdr:cxnSp macro="">
      <xdr:nvCxnSpPr>
        <xdr:cNvPr id="631" name="직선 화살표 연결선 630"/>
        <xdr:cNvCxnSpPr/>
      </xdr:nvCxnSpPr>
      <xdr:spPr>
        <a:xfrm>
          <a:off x="14221914" y="2751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143</xdr:row>
      <xdr:rowOff>38100</xdr:rowOff>
    </xdr:from>
    <xdr:to>
      <xdr:col>71</xdr:col>
      <xdr:colOff>42090</xdr:colOff>
      <xdr:row>143</xdr:row>
      <xdr:rowOff>152400</xdr:rowOff>
    </xdr:to>
    <xdr:sp macro="" textlink="">
      <xdr:nvSpPr>
        <xdr:cNvPr id="632" name="140"/>
        <xdr:cNvSpPr/>
      </xdr:nvSpPr>
      <xdr:spPr>
        <a:xfrm>
          <a:off x="12319363" y="27271980"/>
          <a:ext cx="314560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143</xdr:row>
      <xdr:rowOff>95250</xdr:rowOff>
    </xdr:from>
    <xdr:to>
      <xdr:col>49</xdr:col>
      <xdr:colOff>81643</xdr:colOff>
      <xdr:row>143</xdr:row>
      <xdr:rowOff>95250</xdr:rowOff>
    </xdr:to>
    <xdr:cxnSp macro="">
      <xdr:nvCxnSpPr>
        <xdr:cNvPr id="633" name="직선 화살표 연결선 632"/>
        <xdr:cNvCxnSpPr/>
      </xdr:nvCxnSpPr>
      <xdr:spPr>
        <a:xfrm>
          <a:off x="12319363" y="2732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142</xdr:row>
      <xdr:rowOff>38100</xdr:rowOff>
    </xdr:from>
    <xdr:to>
      <xdr:col>66</xdr:col>
      <xdr:colOff>103324</xdr:colOff>
      <xdr:row>142</xdr:row>
      <xdr:rowOff>152400</xdr:rowOff>
    </xdr:to>
    <xdr:sp macro="" textlink="">
      <xdr:nvSpPr>
        <xdr:cNvPr id="634" name="139"/>
        <xdr:cNvSpPr/>
      </xdr:nvSpPr>
      <xdr:spPr>
        <a:xfrm>
          <a:off x="13561151" y="27081480"/>
          <a:ext cx="12411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142</xdr:row>
      <xdr:rowOff>95250</xdr:rowOff>
    </xdr:from>
    <xdr:to>
      <xdr:col>58</xdr:col>
      <xdr:colOff>20411</xdr:colOff>
      <xdr:row>142</xdr:row>
      <xdr:rowOff>95250</xdr:rowOff>
    </xdr:to>
    <xdr:cxnSp macro="">
      <xdr:nvCxnSpPr>
        <xdr:cNvPr id="635" name="직선 화살표 연결선 634"/>
        <xdr:cNvCxnSpPr/>
      </xdr:nvCxnSpPr>
      <xdr:spPr>
        <a:xfrm>
          <a:off x="13561151" y="2713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141</xdr:row>
      <xdr:rowOff>38100</xdr:rowOff>
    </xdr:from>
    <xdr:to>
      <xdr:col>60</xdr:col>
      <xdr:colOff>62502</xdr:colOff>
      <xdr:row>141</xdr:row>
      <xdr:rowOff>152400</xdr:rowOff>
    </xdr:to>
    <xdr:sp macro="" textlink="">
      <xdr:nvSpPr>
        <xdr:cNvPr id="636" name="138"/>
        <xdr:cNvSpPr/>
      </xdr:nvSpPr>
      <xdr:spPr>
        <a:xfrm>
          <a:off x="10127252" y="268909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141</xdr:row>
      <xdr:rowOff>95250</xdr:rowOff>
    </xdr:from>
    <xdr:to>
      <xdr:col>34</xdr:col>
      <xdr:colOff>61232</xdr:colOff>
      <xdr:row>141</xdr:row>
      <xdr:rowOff>95250</xdr:rowOff>
    </xdr:to>
    <xdr:cxnSp macro="">
      <xdr:nvCxnSpPr>
        <xdr:cNvPr id="637" name="직선 화살표 연결선 636"/>
        <xdr:cNvCxnSpPr/>
      </xdr:nvCxnSpPr>
      <xdr:spPr>
        <a:xfrm>
          <a:off x="10127252" y="2694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140</xdr:row>
      <xdr:rowOff>38100</xdr:rowOff>
    </xdr:from>
    <xdr:to>
      <xdr:col>75</xdr:col>
      <xdr:colOff>103324</xdr:colOff>
      <xdr:row>140</xdr:row>
      <xdr:rowOff>152400</xdr:rowOff>
    </xdr:to>
    <xdr:sp macro="" textlink="">
      <xdr:nvSpPr>
        <xdr:cNvPr id="638" name="137"/>
        <xdr:cNvSpPr/>
      </xdr:nvSpPr>
      <xdr:spPr>
        <a:xfrm>
          <a:off x="10127252" y="26700480"/>
          <a:ext cx="597807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140</xdr:row>
      <xdr:rowOff>95250</xdr:rowOff>
    </xdr:from>
    <xdr:to>
      <xdr:col>34</xdr:col>
      <xdr:colOff>61232</xdr:colOff>
      <xdr:row>140</xdr:row>
      <xdr:rowOff>95250</xdr:rowOff>
    </xdr:to>
    <xdr:cxnSp macro="">
      <xdr:nvCxnSpPr>
        <xdr:cNvPr id="639" name="직선 화살표 연결선 638"/>
        <xdr:cNvCxnSpPr/>
      </xdr:nvCxnSpPr>
      <xdr:spPr>
        <a:xfrm>
          <a:off x="10127252" y="2675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81643</xdr:colOff>
      <xdr:row>139</xdr:row>
      <xdr:rowOff>38100</xdr:rowOff>
    </xdr:from>
    <xdr:to>
      <xdr:col>79</xdr:col>
      <xdr:colOff>123734</xdr:colOff>
      <xdr:row>139</xdr:row>
      <xdr:rowOff>152400</xdr:rowOff>
    </xdr:to>
    <xdr:sp macro="" textlink="">
      <xdr:nvSpPr>
        <xdr:cNvPr id="640" name="136"/>
        <xdr:cNvSpPr/>
      </xdr:nvSpPr>
      <xdr:spPr>
        <a:xfrm>
          <a:off x="16373203" y="26509980"/>
          <a:ext cx="33165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77</xdr:col>
      <xdr:colOff>81643</xdr:colOff>
      <xdr:row>139</xdr:row>
      <xdr:rowOff>95250</xdr:rowOff>
    </xdr:from>
    <xdr:to>
      <xdr:col>77</xdr:col>
      <xdr:colOff>81643</xdr:colOff>
      <xdr:row>139</xdr:row>
      <xdr:rowOff>95250</xdr:rowOff>
    </xdr:to>
    <xdr:cxnSp macro="">
      <xdr:nvCxnSpPr>
        <xdr:cNvPr id="641" name="직선 화살표 연결선 640"/>
        <xdr:cNvCxnSpPr/>
      </xdr:nvCxnSpPr>
      <xdr:spPr>
        <a:xfrm>
          <a:off x="16373203" y="2656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138</xdr:row>
      <xdr:rowOff>38100</xdr:rowOff>
    </xdr:from>
    <xdr:to>
      <xdr:col>77</xdr:col>
      <xdr:colOff>103324</xdr:colOff>
      <xdr:row>138</xdr:row>
      <xdr:rowOff>152400</xdr:rowOff>
    </xdr:to>
    <xdr:sp macro="" textlink="">
      <xdr:nvSpPr>
        <xdr:cNvPr id="642" name="135"/>
        <xdr:cNvSpPr/>
      </xdr:nvSpPr>
      <xdr:spPr>
        <a:xfrm>
          <a:off x="13561151" y="26319480"/>
          <a:ext cx="283373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138</xdr:row>
      <xdr:rowOff>95250</xdr:rowOff>
    </xdr:from>
    <xdr:to>
      <xdr:col>58</xdr:col>
      <xdr:colOff>20411</xdr:colOff>
      <xdr:row>138</xdr:row>
      <xdr:rowOff>95250</xdr:rowOff>
    </xdr:to>
    <xdr:cxnSp macro="">
      <xdr:nvCxnSpPr>
        <xdr:cNvPr id="643" name="직선 화살표 연결선 642"/>
        <xdr:cNvCxnSpPr/>
      </xdr:nvCxnSpPr>
      <xdr:spPr>
        <a:xfrm>
          <a:off x="13561151" y="2637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137</xdr:row>
      <xdr:rowOff>38100</xdr:rowOff>
    </xdr:from>
    <xdr:to>
      <xdr:col>69</xdr:col>
      <xdr:colOff>1270</xdr:colOff>
      <xdr:row>137</xdr:row>
      <xdr:rowOff>152400</xdr:rowOff>
    </xdr:to>
    <xdr:sp macro="" textlink="">
      <xdr:nvSpPr>
        <xdr:cNvPr id="644" name="134"/>
        <xdr:cNvSpPr/>
      </xdr:nvSpPr>
      <xdr:spPr>
        <a:xfrm>
          <a:off x="13561151" y="26128980"/>
          <a:ext cx="157343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137</xdr:row>
      <xdr:rowOff>95250</xdr:rowOff>
    </xdr:from>
    <xdr:to>
      <xdr:col>58</xdr:col>
      <xdr:colOff>20411</xdr:colOff>
      <xdr:row>137</xdr:row>
      <xdr:rowOff>95250</xdr:rowOff>
    </xdr:to>
    <xdr:cxnSp macro="">
      <xdr:nvCxnSpPr>
        <xdr:cNvPr id="645" name="직선 화살표 연결선 644"/>
        <xdr:cNvCxnSpPr/>
      </xdr:nvCxnSpPr>
      <xdr:spPr>
        <a:xfrm>
          <a:off x="13561151" y="2618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136</xdr:row>
      <xdr:rowOff>38100</xdr:rowOff>
    </xdr:from>
    <xdr:to>
      <xdr:col>71</xdr:col>
      <xdr:colOff>21681</xdr:colOff>
      <xdr:row>136</xdr:row>
      <xdr:rowOff>152400</xdr:rowOff>
    </xdr:to>
    <xdr:sp macro="" textlink="">
      <xdr:nvSpPr>
        <xdr:cNvPr id="646" name="133"/>
        <xdr:cNvSpPr/>
      </xdr:nvSpPr>
      <xdr:spPr>
        <a:xfrm>
          <a:off x="11369040" y="25938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136</xdr:row>
      <xdr:rowOff>95250</xdr:rowOff>
    </xdr:from>
    <xdr:to>
      <xdr:col>43</xdr:col>
      <xdr:colOff>0</xdr:colOff>
      <xdr:row>136</xdr:row>
      <xdr:rowOff>95250</xdr:rowOff>
    </xdr:to>
    <xdr:cxnSp macro="">
      <xdr:nvCxnSpPr>
        <xdr:cNvPr id="647" name="직선 화살표 연결선 646"/>
        <xdr:cNvCxnSpPr/>
      </xdr:nvCxnSpPr>
      <xdr:spPr>
        <a:xfrm>
          <a:off x="11369040" y="2599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135</xdr:row>
      <xdr:rowOff>38100</xdr:rowOff>
    </xdr:from>
    <xdr:to>
      <xdr:col>79</xdr:col>
      <xdr:colOff>123734</xdr:colOff>
      <xdr:row>135</xdr:row>
      <xdr:rowOff>152400</xdr:rowOff>
    </xdr:to>
    <xdr:sp macro="" textlink="">
      <xdr:nvSpPr>
        <xdr:cNvPr id="648" name="132"/>
        <xdr:cNvSpPr/>
      </xdr:nvSpPr>
      <xdr:spPr>
        <a:xfrm>
          <a:off x="11369040" y="25747980"/>
          <a:ext cx="533581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135</xdr:row>
      <xdr:rowOff>95250</xdr:rowOff>
    </xdr:from>
    <xdr:to>
      <xdr:col>43</xdr:col>
      <xdr:colOff>0</xdr:colOff>
      <xdr:row>135</xdr:row>
      <xdr:rowOff>95250</xdr:rowOff>
    </xdr:to>
    <xdr:cxnSp macro="">
      <xdr:nvCxnSpPr>
        <xdr:cNvPr id="649" name="직선 화살표 연결선 648"/>
        <xdr:cNvCxnSpPr/>
      </xdr:nvCxnSpPr>
      <xdr:spPr>
        <a:xfrm>
          <a:off x="11369040" y="2580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134</xdr:row>
      <xdr:rowOff>38100</xdr:rowOff>
    </xdr:from>
    <xdr:to>
      <xdr:col>79</xdr:col>
      <xdr:colOff>123734</xdr:colOff>
      <xdr:row>134</xdr:row>
      <xdr:rowOff>152400</xdr:rowOff>
    </xdr:to>
    <xdr:sp macro="" textlink="">
      <xdr:nvSpPr>
        <xdr:cNvPr id="650" name="131"/>
        <xdr:cNvSpPr/>
      </xdr:nvSpPr>
      <xdr:spPr>
        <a:xfrm>
          <a:off x="16083643" y="25557480"/>
          <a:ext cx="62121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75</xdr:col>
      <xdr:colOff>81643</xdr:colOff>
      <xdr:row>134</xdr:row>
      <xdr:rowOff>95250</xdr:rowOff>
    </xdr:from>
    <xdr:to>
      <xdr:col>75</xdr:col>
      <xdr:colOff>81643</xdr:colOff>
      <xdr:row>134</xdr:row>
      <xdr:rowOff>95250</xdr:rowOff>
    </xdr:to>
    <xdr:cxnSp macro="">
      <xdr:nvCxnSpPr>
        <xdr:cNvPr id="651" name="직선 화살표 연결선 650"/>
        <xdr:cNvCxnSpPr/>
      </xdr:nvCxnSpPr>
      <xdr:spPr>
        <a:xfrm>
          <a:off x="16083643" y="2561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133</xdr:row>
      <xdr:rowOff>38100</xdr:rowOff>
    </xdr:from>
    <xdr:to>
      <xdr:col>75</xdr:col>
      <xdr:colOff>82913</xdr:colOff>
      <xdr:row>133</xdr:row>
      <xdr:rowOff>152400</xdr:rowOff>
    </xdr:to>
    <xdr:sp macro="" textlink="">
      <xdr:nvSpPr>
        <xdr:cNvPr id="652" name="130"/>
        <xdr:cNvSpPr/>
      </xdr:nvSpPr>
      <xdr:spPr>
        <a:xfrm>
          <a:off x="13561151" y="25366980"/>
          <a:ext cx="252376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133</xdr:row>
      <xdr:rowOff>95250</xdr:rowOff>
    </xdr:from>
    <xdr:to>
      <xdr:col>58</xdr:col>
      <xdr:colOff>20411</xdr:colOff>
      <xdr:row>133</xdr:row>
      <xdr:rowOff>95250</xdr:rowOff>
    </xdr:to>
    <xdr:cxnSp macro="">
      <xdr:nvCxnSpPr>
        <xdr:cNvPr id="653" name="직선 화살표 연결선 652"/>
        <xdr:cNvCxnSpPr/>
      </xdr:nvCxnSpPr>
      <xdr:spPr>
        <a:xfrm>
          <a:off x="13561151" y="2542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81643</xdr:colOff>
      <xdr:row>132</xdr:row>
      <xdr:rowOff>38100</xdr:rowOff>
    </xdr:from>
    <xdr:to>
      <xdr:col>66</xdr:col>
      <xdr:colOff>103324</xdr:colOff>
      <xdr:row>132</xdr:row>
      <xdr:rowOff>152400</xdr:rowOff>
    </xdr:to>
    <xdr:sp macro="" textlink="">
      <xdr:nvSpPr>
        <xdr:cNvPr id="654" name="129"/>
        <xdr:cNvSpPr/>
      </xdr:nvSpPr>
      <xdr:spPr>
        <a:xfrm>
          <a:off x="12898483" y="25176480"/>
          <a:ext cx="19038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81643</xdr:colOff>
      <xdr:row>132</xdr:row>
      <xdr:rowOff>95250</xdr:rowOff>
    </xdr:from>
    <xdr:to>
      <xdr:col>53</xdr:col>
      <xdr:colOff>81643</xdr:colOff>
      <xdr:row>132</xdr:row>
      <xdr:rowOff>95250</xdr:rowOff>
    </xdr:to>
    <xdr:cxnSp macro="">
      <xdr:nvCxnSpPr>
        <xdr:cNvPr id="655" name="직선 화살표 연결선 654"/>
        <xdr:cNvCxnSpPr/>
      </xdr:nvCxnSpPr>
      <xdr:spPr>
        <a:xfrm>
          <a:off x="12898483" y="2523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131</xdr:row>
      <xdr:rowOff>38100</xdr:rowOff>
    </xdr:from>
    <xdr:to>
      <xdr:col>71</xdr:col>
      <xdr:colOff>21681</xdr:colOff>
      <xdr:row>131</xdr:row>
      <xdr:rowOff>152400</xdr:rowOff>
    </xdr:to>
    <xdr:sp macro="" textlink="">
      <xdr:nvSpPr>
        <xdr:cNvPr id="656" name="128"/>
        <xdr:cNvSpPr/>
      </xdr:nvSpPr>
      <xdr:spPr>
        <a:xfrm>
          <a:off x="11369040" y="24985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131</xdr:row>
      <xdr:rowOff>95250</xdr:rowOff>
    </xdr:from>
    <xdr:to>
      <xdr:col>43</xdr:col>
      <xdr:colOff>0</xdr:colOff>
      <xdr:row>131</xdr:row>
      <xdr:rowOff>95250</xdr:rowOff>
    </xdr:to>
    <xdr:cxnSp macro="">
      <xdr:nvCxnSpPr>
        <xdr:cNvPr id="657" name="직선 화살표 연결선 656"/>
        <xdr:cNvCxnSpPr/>
      </xdr:nvCxnSpPr>
      <xdr:spPr>
        <a:xfrm>
          <a:off x="11369040" y="2504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130</xdr:row>
      <xdr:rowOff>38100</xdr:rowOff>
    </xdr:from>
    <xdr:to>
      <xdr:col>79</xdr:col>
      <xdr:colOff>123734</xdr:colOff>
      <xdr:row>130</xdr:row>
      <xdr:rowOff>152400</xdr:rowOff>
    </xdr:to>
    <xdr:sp macro="" textlink="">
      <xdr:nvSpPr>
        <xdr:cNvPr id="658" name="127"/>
        <xdr:cNvSpPr/>
      </xdr:nvSpPr>
      <xdr:spPr>
        <a:xfrm>
          <a:off x="11369040" y="24795480"/>
          <a:ext cx="5335814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130</xdr:row>
      <xdr:rowOff>95250</xdr:rowOff>
    </xdr:from>
    <xdr:to>
      <xdr:col>43</xdr:col>
      <xdr:colOff>0</xdr:colOff>
      <xdr:row>130</xdr:row>
      <xdr:rowOff>95250</xdr:rowOff>
    </xdr:to>
    <xdr:cxnSp macro="">
      <xdr:nvCxnSpPr>
        <xdr:cNvPr id="659" name="직선 화살표 연결선 658"/>
        <xdr:cNvCxnSpPr/>
      </xdr:nvCxnSpPr>
      <xdr:spPr>
        <a:xfrm>
          <a:off x="11369040" y="2485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129</xdr:row>
      <xdr:rowOff>38100</xdr:rowOff>
    </xdr:from>
    <xdr:to>
      <xdr:col>75</xdr:col>
      <xdr:colOff>82913</xdr:colOff>
      <xdr:row>129</xdr:row>
      <xdr:rowOff>152400</xdr:rowOff>
    </xdr:to>
    <xdr:sp macro="" textlink="">
      <xdr:nvSpPr>
        <xdr:cNvPr id="660" name="126"/>
        <xdr:cNvSpPr/>
      </xdr:nvSpPr>
      <xdr:spPr>
        <a:xfrm>
          <a:off x="15753261" y="24604980"/>
          <a:ext cx="3316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129</xdr:row>
      <xdr:rowOff>95250</xdr:rowOff>
    </xdr:from>
    <xdr:to>
      <xdr:col>73</xdr:col>
      <xdr:colOff>40821</xdr:colOff>
      <xdr:row>129</xdr:row>
      <xdr:rowOff>95250</xdr:rowOff>
    </xdr:to>
    <xdr:cxnSp macro="">
      <xdr:nvCxnSpPr>
        <xdr:cNvPr id="661" name="직선 화살표 연결선 660"/>
        <xdr:cNvCxnSpPr/>
      </xdr:nvCxnSpPr>
      <xdr:spPr>
        <a:xfrm>
          <a:off x="15753261" y="2466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128</xdr:row>
      <xdr:rowOff>38100</xdr:rowOff>
    </xdr:from>
    <xdr:to>
      <xdr:col>73</xdr:col>
      <xdr:colOff>62502</xdr:colOff>
      <xdr:row>128</xdr:row>
      <xdr:rowOff>152400</xdr:rowOff>
    </xdr:to>
    <xdr:sp macro="" textlink="">
      <xdr:nvSpPr>
        <xdr:cNvPr id="662" name="125"/>
        <xdr:cNvSpPr/>
      </xdr:nvSpPr>
      <xdr:spPr>
        <a:xfrm>
          <a:off x="13561151" y="24414480"/>
          <a:ext cx="22137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128</xdr:row>
      <xdr:rowOff>95250</xdr:rowOff>
    </xdr:from>
    <xdr:to>
      <xdr:col>58</xdr:col>
      <xdr:colOff>20411</xdr:colOff>
      <xdr:row>128</xdr:row>
      <xdr:rowOff>95250</xdr:rowOff>
    </xdr:to>
    <xdr:cxnSp macro="">
      <xdr:nvCxnSpPr>
        <xdr:cNvPr id="663" name="직선 화살표 연결선 662"/>
        <xdr:cNvCxnSpPr/>
      </xdr:nvCxnSpPr>
      <xdr:spPr>
        <a:xfrm>
          <a:off x="13561151" y="2447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81643</xdr:colOff>
      <xdr:row>127</xdr:row>
      <xdr:rowOff>38100</xdr:rowOff>
    </xdr:from>
    <xdr:to>
      <xdr:col>66</xdr:col>
      <xdr:colOff>103324</xdr:colOff>
      <xdr:row>127</xdr:row>
      <xdr:rowOff>152400</xdr:rowOff>
    </xdr:to>
    <xdr:sp macro="" textlink="">
      <xdr:nvSpPr>
        <xdr:cNvPr id="664" name="124"/>
        <xdr:cNvSpPr/>
      </xdr:nvSpPr>
      <xdr:spPr>
        <a:xfrm>
          <a:off x="12898483" y="24223980"/>
          <a:ext cx="19038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81643</xdr:colOff>
      <xdr:row>127</xdr:row>
      <xdr:rowOff>95250</xdr:rowOff>
    </xdr:from>
    <xdr:to>
      <xdr:col>53</xdr:col>
      <xdr:colOff>81643</xdr:colOff>
      <xdr:row>127</xdr:row>
      <xdr:rowOff>95250</xdr:rowOff>
    </xdr:to>
    <xdr:cxnSp macro="">
      <xdr:nvCxnSpPr>
        <xdr:cNvPr id="665" name="직선 화살표 연결선 664"/>
        <xdr:cNvCxnSpPr/>
      </xdr:nvCxnSpPr>
      <xdr:spPr>
        <a:xfrm>
          <a:off x="12898483" y="2428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126</xdr:row>
      <xdr:rowOff>38100</xdr:rowOff>
    </xdr:from>
    <xdr:to>
      <xdr:col>71</xdr:col>
      <xdr:colOff>21681</xdr:colOff>
      <xdr:row>126</xdr:row>
      <xdr:rowOff>152400</xdr:rowOff>
    </xdr:to>
    <xdr:sp macro="" textlink="">
      <xdr:nvSpPr>
        <xdr:cNvPr id="666" name="123"/>
        <xdr:cNvSpPr/>
      </xdr:nvSpPr>
      <xdr:spPr>
        <a:xfrm>
          <a:off x="11369040" y="24033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126</xdr:row>
      <xdr:rowOff>95250</xdr:rowOff>
    </xdr:from>
    <xdr:to>
      <xdr:col>43</xdr:col>
      <xdr:colOff>0</xdr:colOff>
      <xdr:row>126</xdr:row>
      <xdr:rowOff>95250</xdr:rowOff>
    </xdr:to>
    <xdr:cxnSp macro="">
      <xdr:nvCxnSpPr>
        <xdr:cNvPr id="667" name="직선 화살표 연결선 666"/>
        <xdr:cNvCxnSpPr/>
      </xdr:nvCxnSpPr>
      <xdr:spPr>
        <a:xfrm>
          <a:off x="11369040" y="2409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125</xdr:row>
      <xdr:rowOff>38100</xdr:rowOff>
    </xdr:from>
    <xdr:to>
      <xdr:col>75</xdr:col>
      <xdr:colOff>82913</xdr:colOff>
      <xdr:row>125</xdr:row>
      <xdr:rowOff>152400</xdr:rowOff>
    </xdr:to>
    <xdr:sp macro="" textlink="">
      <xdr:nvSpPr>
        <xdr:cNvPr id="668" name="122"/>
        <xdr:cNvSpPr/>
      </xdr:nvSpPr>
      <xdr:spPr>
        <a:xfrm>
          <a:off x="11369040" y="23842980"/>
          <a:ext cx="47158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125</xdr:row>
      <xdr:rowOff>95250</xdr:rowOff>
    </xdr:from>
    <xdr:to>
      <xdr:col>43</xdr:col>
      <xdr:colOff>0</xdr:colOff>
      <xdr:row>125</xdr:row>
      <xdr:rowOff>95250</xdr:rowOff>
    </xdr:to>
    <xdr:cxnSp macro="">
      <xdr:nvCxnSpPr>
        <xdr:cNvPr id="669" name="직선 화살표 연결선 668"/>
        <xdr:cNvCxnSpPr/>
      </xdr:nvCxnSpPr>
      <xdr:spPr>
        <a:xfrm>
          <a:off x="11369040" y="2390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124</xdr:row>
      <xdr:rowOff>38100</xdr:rowOff>
    </xdr:from>
    <xdr:to>
      <xdr:col>75</xdr:col>
      <xdr:colOff>82913</xdr:colOff>
      <xdr:row>124</xdr:row>
      <xdr:rowOff>152400</xdr:rowOff>
    </xdr:to>
    <xdr:sp macro="" textlink="">
      <xdr:nvSpPr>
        <xdr:cNvPr id="670" name="121"/>
        <xdr:cNvSpPr/>
      </xdr:nvSpPr>
      <xdr:spPr>
        <a:xfrm>
          <a:off x="15753261" y="23652480"/>
          <a:ext cx="3316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124</xdr:row>
      <xdr:rowOff>95250</xdr:rowOff>
    </xdr:from>
    <xdr:to>
      <xdr:col>73</xdr:col>
      <xdr:colOff>40821</xdr:colOff>
      <xdr:row>124</xdr:row>
      <xdr:rowOff>95250</xdr:rowOff>
    </xdr:to>
    <xdr:cxnSp macro="">
      <xdr:nvCxnSpPr>
        <xdr:cNvPr id="671" name="직선 화살표 연결선 670"/>
        <xdr:cNvCxnSpPr/>
      </xdr:nvCxnSpPr>
      <xdr:spPr>
        <a:xfrm>
          <a:off x="15753261" y="2370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123</xdr:row>
      <xdr:rowOff>38100</xdr:rowOff>
    </xdr:from>
    <xdr:to>
      <xdr:col>73</xdr:col>
      <xdr:colOff>62502</xdr:colOff>
      <xdr:row>123</xdr:row>
      <xdr:rowOff>152400</xdr:rowOff>
    </xdr:to>
    <xdr:sp macro="" textlink="">
      <xdr:nvSpPr>
        <xdr:cNvPr id="672" name="120"/>
        <xdr:cNvSpPr/>
      </xdr:nvSpPr>
      <xdr:spPr>
        <a:xfrm>
          <a:off x="13561151" y="23461980"/>
          <a:ext cx="22137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123</xdr:row>
      <xdr:rowOff>95250</xdr:rowOff>
    </xdr:from>
    <xdr:to>
      <xdr:col>58</xdr:col>
      <xdr:colOff>20411</xdr:colOff>
      <xdr:row>123</xdr:row>
      <xdr:rowOff>95250</xdr:rowOff>
    </xdr:to>
    <xdr:cxnSp macro="">
      <xdr:nvCxnSpPr>
        <xdr:cNvPr id="673" name="직선 화살표 연결선 672"/>
        <xdr:cNvCxnSpPr/>
      </xdr:nvCxnSpPr>
      <xdr:spPr>
        <a:xfrm>
          <a:off x="13561151" y="2351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81643</xdr:colOff>
      <xdr:row>122</xdr:row>
      <xdr:rowOff>38100</xdr:rowOff>
    </xdr:from>
    <xdr:to>
      <xdr:col>66</xdr:col>
      <xdr:colOff>103324</xdr:colOff>
      <xdr:row>122</xdr:row>
      <xdr:rowOff>152400</xdr:rowOff>
    </xdr:to>
    <xdr:sp macro="" textlink="">
      <xdr:nvSpPr>
        <xdr:cNvPr id="674" name="119"/>
        <xdr:cNvSpPr/>
      </xdr:nvSpPr>
      <xdr:spPr>
        <a:xfrm>
          <a:off x="12898483" y="23271480"/>
          <a:ext cx="19038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81643</xdr:colOff>
      <xdr:row>122</xdr:row>
      <xdr:rowOff>95250</xdr:rowOff>
    </xdr:from>
    <xdr:to>
      <xdr:col>53</xdr:col>
      <xdr:colOff>81643</xdr:colOff>
      <xdr:row>122</xdr:row>
      <xdr:rowOff>95250</xdr:rowOff>
    </xdr:to>
    <xdr:cxnSp macro="">
      <xdr:nvCxnSpPr>
        <xdr:cNvPr id="675" name="직선 화살표 연결선 674"/>
        <xdr:cNvCxnSpPr/>
      </xdr:nvCxnSpPr>
      <xdr:spPr>
        <a:xfrm>
          <a:off x="12898483" y="2332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121</xdr:row>
      <xdr:rowOff>38100</xdr:rowOff>
    </xdr:from>
    <xdr:to>
      <xdr:col>71</xdr:col>
      <xdr:colOff>21681</xdr:colOff>
      <xdr:row>121</xdr:row>
      <xdr:rowOff>152400</xdr:rowOff>
    </xdr:to>
    <xdr:sp macro="" textlink="">
      <xdr:nvSpPr>
        <xdr:cNvPr id="676" name="118"/>
        <xdr:cNvSpPr/>
      </xdr:nvSpPr>
      <xdr:spPr>
        <a:xfrm>
          <a:off x="11369040" y="23080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121</xdr:row>
      <xdr:rowOff>95250</xdr:rowOff>
    </xdr:from>
    <xdr:to>
      <xdr:col>43</xdr:col>
      <xdr:colOff>0</xdr:colOff>
      <xdr:row>121</xdr:row>
      <xdr:rowOff>95250</xdr:rowOff>
    </xdr:to>
    <xdr:cxnSp macro="">
      <xdr:nvCxnSpPr>
        <xdr:cNvPr id="677" name="직선 화살표 연결선 676"/>
        <xdr:cNvCxnSpPr/>
      </xdr:nvCxnSpPr>
      <xdr:spPr>
        <a:xfrm>
          <a:off x="11369040" y="2313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120</xdr:row>
      <xdr:rowOff>38100</xdr:rowOff>
    </xdr:from>
    <xdr:to>
      <xdr:col>75</xdr:col>
      <xdr:colOff>82913</xdr:colOff>
      <xdr:row>120</xdr:row>
      <xdr:rowOff>152400</xdr:rowOff>
    </xdr:to>
    <xdr:sp macro="" textlink="">
      <xdr:nvSpPr>
        <xdr:cNvPr id="678" name="117"/>
        <xdr:cNvSpPr/>
      </xdr:nvSpPr>
      <xdr:spPr>
        <a:xfrm>
          <a:off x="11369040" y="22890480"/>
          <a:ext cx="47158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120</xdr:row>
      <xdr:rowOff>95250</xdr:rowOff>
    </xdr:from>
    <xdr:to>
      <xdr:col>43</xdr:col>
      <xdr:colOff>0</xdr:colOff>
      <xdr:row>120</xdr:row>
      <xdr:rowOff>95250</xdr:rowOff>
    </xdr:to>
    <xdr:cxnSp macro="">
      <xdr:nvCxnSpPr>
        <xdr:cNvPr id="679" name="직선 화살표 연결선 678"/>
        <xdr:cNvCxnSpPr/>
      </xdr:nvCxnSpPr>
      <xdr:spPr>
        <a:xfrm>
          <a:off x="11369040" y="2294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122464</xdr:colOff>
      <xdr:row>119</xdr:row>
      <xdr:rowOff>38100</xdr:rowOff>
    </xdr:from>
    <xdr:to>
      <xdr:col>84</xdr:col>
      <xdr:colOff>42090</xdr:colOff>
      <xdr:row>119</xdr:row>
      <xdr:rowOff>152400</xdr:rowOff>
    </xdr:to>
    <xdr:sp macro="" textlink="">
      <xdr:nvSpPr>
        <xdr:cNvPr id="680" name="116"/>
        <xdr:cNvSpPr/>
      </xdr:nvSpPr>
      <xdr:spPr>
        <a:xfrm>
          <a:off x="14821444" y="22699980"/>
          <a:ext cx="252566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122464</xdr:colOff>
      <xdr:row>119</xdr:row>
      <xdr:rowOff>95250</xdr:rowOff>
    </xdr:from>
    <xdr:to>
      <xdr:col>66</xdr:col>
      <xdr:colOff>122464</xdr:colOff>
      <xdr:row>119</xdr:row>
      <xdr:rowOff>95250</xdr:rowOff>
    </xdr:to>
    <xdr:cxnSp macro="">
      <xdr:nvCxnSpPr>
        <xdr:cNvPr id="681" name="직선 화살표 연결선 680"/>
        <xdr:cNvCxnSpPr/>
      </xdr:nvCxnSpPr>
      <xdr:spPr>
        <a:xfrm>
          <a:off x="14821444" y="2275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118</xdr:row>
      <xdr:rowOff>38100</xdr:rowOff>
    </xdr:from>
    <xdr:to>
      <xdr:col>75</xdr:col>
      <xdr:colOff>82913</xdr:colOff>
      <xdr:row>118</xdr:row>
      <xdr:rowOff>152400</xdr:rowOff>
    </xdr:to>
    <xdr:sp macro="" textlink="">
      <xdr:nvSpPr>
        <xdr:cNvPr id="682" name="115"/>
        <xdr:cNvSpPr/>
      </xdr:nvSpPr>
      <xdr:spPr>
        <a:xfrm>
          <a:off x="13561151" y="22509480"/>
          <a:ext cx="252376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118</xdr:row>
      <xdr:rowOff>95250</xdr:rowOff>
    </xdr:from>
    <xdr:to>
      <xdr:col>58</xdr:col>
      <xdr:colOff>20411</xdr:colOff>
      <xdr:row>118</xdr:row>
      <xdr:rowOff>95250</xdr:rowOff>
    </xdr:to>
    <xdr:cxnSp macro="">
      <xdr:nvCxnSpPr>
        <xdr:cNvPr id="683" name="직선 화살표 연결선 682"/>
        <xdr:cNvCxnSpPr/>
      </xdr:nvCxnSpPr>
      <xdr:spPr>
        <a:xfrm>
          <a:off x="13561151" y="2256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117</xdr:row>
      <xdr:rowOff>38100</xdr:rowOff>
    </xdr:from>
    <xdr:to>
      <xdr:col>66</xdr:col>
      <xdr:colOff>103324</xdr:colOff>
      <xdr:row>117</xdr:row>
      <xdr:rowOff>152400</xdr:rowOff>
    </xdr:to>
    <xdr:sp macro="" textlink="">
      <xdr:nvSpPr>
        <xdr:cNvPr id="684" name="114"/>
        <xdr:cNvSpPr/>
      </xdr:nvSpPr>
      <xdr:spPr>
        <a:xfrm>
          <a:off x="13561151" y="22318980"/>
          <a:ext cx="124115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117</xdr:row>
      <xdr:rowOff>95250</xdr:rowOff>
    </xdr:from>
    <xdr:to>
      <xdr:col>58</xdr:col>
      <xdr:colOff>20411</xdr:colOff>
      <xdr:row>117</xdr:row>
      <xdr:rowOff>95250</xdr:rowOff>
    </xdr:to>
    <xdr:cxnSp macro="">
      <xdr:nvCxnSpPr>
        <xdr:cNvPr id="685" name="직선 화살표 연결선 684"/>
        <xdr:cNvCxnSpPr/>
      </xdr:nvCxnSpPr>
      <xdr:spPr>
        <a:xfrm>
          <a:off x="13561151" y="2237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116</xdr:row>
      <xdr:rowOff>38100</xdr:rowOff>
    </xdr:from>
    <xdr:to>
      <xdr:col>69</xdr:col>
      <xdr:colOff>1270</xdr:colOff>
      <xdr:row>116</xdr:row>
      <xdr:rowOff>152400</xdr:rowOff>
    </xdr:to>
    <xdr:sp macro="" textlink="">
      <xdr:nvSpPr>
        <xdr:cNvPr id="686" name="113"/>
        <xdr:cNvSpPr/>
      </xdr:nvSpPr>
      <xdr:spPr>
        <a:xfrm>
          <a:off x="11369040" y="221284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116</xdr:row>
      <xdr:rowOff>95250</xdr:rowOff>
    </xdr:from>
    <xdr:to>
      <xdr:col>43</xdr:col>
      <xdr:colOff>0</xdr:colOff>
      <xdr:row>116</xdr:row>
      <xdr:rowOff>95250</xdr:rowOff>
    </xdr:to>
    <xdr:cxnSp macro="">
      <xdr:nvCxnSpPr>
        <xdr:cNvPr id="687" name="직선 화살표 연결선 686"/>
        <xdr:cNvCxnSpPr/>
      </xdr:nvCxnSpPr>
      <xdr:spPr>
        <a:xfrm>
          <a:off x="11369040" y="2218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115</xdr:row>
      <xdr:rowOff>38100</xdr:rowOff>
    </xdr:from>
    <xdr:to>
      <xdr:col>84</xdr:col>
      <xdr:colOff>42090</xdr:colOff>
      <xdr:row>115</xdr:row>
      <xdr:rowOff>152400</xdr:rowOff>
    </xdr:to>
    <xdr:sp macro="" textlink="">
      <xdr:nvSpPr>
        <xdr:cNvPr id="688" name="112"/>
        <xdr:cNvSpPr/>
      </xdr:nvSpPr>
      <xdr:spPr>
        <a:xfrm>
          <a:off x="11369040" y="21937980"/>
          <a:ext cx="597807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115</xdr:row>
      <xdr:rowOff>95250</xdr:rowOff>
    </xdr:from>
    <xdr:to>
      <xdr:col>43</xdr:col>
      <xdr:colOff>0</xdr:colOff>
      <xdr:row>115</xdr:row>
      <xdr:rowOff>95250</xdr:rowOff>
    </xdr:to>
    <xdr:cxnSp macro="">
      <xdr:nvCxnSpPr>
        <xdr:cNvPr id="689" name="직선 화살표 연결선 688"/>
        <xdr:cNvCxnSpPr/>
      </xdr:nvCxnSpPr>
      <xdr:spPr>
        <a:xfrm>
          <a:off x="11369040" y="2199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40821</xdr:colOff>
      <xdr:row>114</xdr:row>
      <xdr:rowOff>38100</xdr:rowOff>
    </xdr:from>
    <xdr:to>
      <xdr:col>75</xdr:col>
      <xdr:colOff>82913</xdr:colOff>
      <xdr:row>114</xdr:row>
      <xdr:rowOff>152400</xdr:rowOff>
    </xdr:to>
    <xdr:sp macro="" textlink="">
      <xdr:nvSpPr>
        <xdr:cNvPr id="690" name="111"/>
        <xdr:cNvSpPr/>
      </xdr:nvSpPr>
      <xdr:spPr>
        <a:xfrm>
          <a:off x="15753261" y="21747480"/>
          <a:ext cx="33165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73</xdr:col>
      <xdr:colOff>40821</xdr:colOff>
      <xdr:row>114</xdr:row>
      <xdr:rowOff>95250</xdr:rowOff>
    </xdr:from>
    <xdr:to>
      <xdr:col>73</xdr:col>
      <xdr:colOff>40821</xdr:colOff>
      <xdr:row>114</xdr:row>
      <xdr:rowOff>95250</xdr:rowOff>
    </xdr:to>
    <xdr:cxnSp macro="">
      <xdr:nvCxnSpPr>
        <xdr:cNvPr id="691" name="직선 화살표 연결선 690"/>
        <xdr:cNvCxnSpPr/>
      </xdr:nvCxnSpPr>
      <xdr:spPr>
        <a:xfrm>
          <a:off x="15753261" y="2180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113</xdr:row>
      <xdr:rowOff>38100</xdr:rowOff>
    </xdr:from>
    <xdr:to>
      <xdr:col>73</xdr:col>
      <xdr:colOff>62502</xdr:colOff>
      <xdr:row>113</xdr:row>
      <xdr:rowOff>152400</xdr:rowOff>
    </xdr:to>
    <xdr:sp macro="" textlink="">
      <xdr:nvSpPr>
        <xdr:cNvPr id="692" name="110"/>
        <xdr:cNvSpPr/>
      </xdr:nvSpPr>
      <xdr:spPr>
        <a:xfrm>
          <a:off x="13561151" y="21556980"/>
          <a:ext cx="22137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113</xdr:row>
      <xdr:rowOff>95250</xdr:rowOff>
    </xdr:from>
    <xdr:to>
      <xdr:col>58</xdr:col>
      <xdr:colOff>20411</xdr:colOff>
      <xdr:row>113</xdr:row>
      <xdr:rowOff>95250</xdr:rowOff>
    </xdr:to>
    <xdr:cxnSp macro="">
      <xdr:nvCxnSpPr>
        <xdr:cNvPr id="693" name="직선 화살표 연결선 692"/>
        <xdr:cNvCxnSpPr/>
      </xdr:nvCxnSpPr>
      <xdr:spPr>
        <a:xfrm>
          <a:off x="13561151" y="2161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81643</xdr:colOff>
      <xdr:row>112</xdr:row>
      <xdr:rowOff>38100</xdr:rowOff>
    </xdr:from>
    <xdr:to>
      <xdr:col>66</xdr:col>
      <xdr:colOff>103324</xdr:colOff>
      <xdr:row>112</xdr:row>
      <xdr:rowOff>152400</xdr:rowOff>
    </xdr:to>
    <xdr:sp macro="" textlink="">
      <xdr:nvSpPr>
        <xdr:cNvPr id="694" name="109"/>
        <xdr:cNvSpPr/>
      </xdr:nvSpPr>
      <xdr:spPr>
        <a:xfrm>
          <a:off x="12898483" y="21366480"/>
          <a:ext cx="19038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53</xdr:col>
      <xdr:colOff>81643</xdr:colOff>
      <xdr:row>112</xdr:row>
      <xdr:rowOff>95250</xdr:rowOff>
    </xdr:from>
    <xdr:to>
      <xdr:col>53</xdr:col>
      <xdr:colOff>81643</xdr:colOff>
      <xdr:row>112</xdr:row>
      <xdr:rowOff>95250</xdr:rowOff>
    </xdr:to>
    <xdr:cxnSp macro="">
      <xdr:nvCxnSpPr>
        <xdr:cNvPr id="695" name="직선 화살표 연결선 694"/>
        <xdr:cNvCxnSpPr/>
      </xdr:nvCxnSpPr>
      <xdr:spPr>
        <a:xfrm>
          <a:off x="12898483" y="2142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111</xdr:row>
      <xdr:rowOff>38100</xdr:rowOff>
    </xdr:from>
    <xdr:to>
      <xdr:col>71</xdr:col>
      <xdr:colOff>21681</xdr:colOff>
      <xdr:row>111</xdr:row>
      <xdr:rowOff>152400</xdr:rowOff>
    </xdr:to>
    <xdr:sp macro="" textlink="">
      <xdr:nvSpPr>
        <xdr:cNvPr id="696" name="108"/>
        <xdr:cNvSpPr/>
      </xdr:nvSpPr>
      <xdr:spPr>
        <a:xfrm>
          <a:off x="11369040" y="21175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111</xdr:row>
      <xdr:rowOff>95250</xdr:rowOff>
    </xdr:from>
    <xdr:to>
      <xdr:col>43</xdr:col>
      <xdr:colOff>0</xdr:colOff>
      <xdr:row>111</xdr:row>
      <xdr:rowOff>95250</xdr:rowOff>
    </xdr:to>
    <xdr:cxnSp macro="">
      <xdr:nvCxnSpPr>
        <xdr:cNvPr id="697" name="직선 화살표 연결선 696"/>
        <xdr:cNvCxnSpPr/>
      </xdr:nvCxnSpPr>
      <xdr:spPr>
        <a:xfrm>
          <a:off x="11369040" y="2123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0</xdr:colOff>
      <xdr:row>110</xdr:row>
      <xdr:rowOff>38100</xdr:rowOff>
    </xdr:from>
    <xdr:to>
      <xdr:col>75</xdr:col>
      <xdr:colOff>82913</xdr:colOff>
      <xdr:row>110</xdr:row>
      <xdr:rowOff>152400</xdr:rowOff>
    </xdr:to>
    <xdr:sp macro="" textlink="">
      <xdr:nvSpPr>
        <xdr:cNvPr id="698" name="107"/>
        <xdr:cNvSpPr/>
      </xdr:nvSpPr>
      <xdr:spPr>
        <a:xfrm>
          <a:off x="11369040" y="20985480"/>
          <a:ext cx="47158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43</xdr:col>
      <xdr:colOff>0</xdr:colOff>
      <xdr:row>110</xdr:row>
      <xdr:rowOff>95250</xdr:rowOff>
    </xdr:from>
    <xdr:to>
      <xdr:col>43</xdr:col>
      <xdr:colOff>0</xdr:colOff>
      <xdr:row>110</xdr:row>
      <xdr:rowOff>95250</xdr:rowOff>
    </xdr:to>
    <xdr:cxnSp macro="">
      <xdr:nvCxnSpPr>
        <xdr:cNvPr id="699" name="직선 화살표 연결선 698"/>
        <xdr:cNvCxnSpPr/>
      </xdr:nvCxnSpPr>
      <xdr:spPr>
        <a:xfrm>
          <a:off x="11369040" y="2104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109</xdr:row>
      <xdr:rowOff>38100</xdr:rowOff>
    </xdr:from>
    <xdr:to>
      <xdr:col>84</xdr:col>
      <xdr:colOff>42090</xdr:colOff>
      <xdr:row>109</xdr:row>
      <xdr:rowOff>152400</xdr:rowOff>
    </xdr:to>
    <xdr:sp macro="" textlink="">
      <xdr:nvSpPr>
        <xdr:cNvPr id="700" name="106"/>
        <xdr:cNvSpPr/>
      </xdr:nvSpPr>
      <xdr:spPr>
        <a:xfrm>
          <a:off x="10127252" y="20794980"/>
          <a:ext cx="721985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109</xdr:row>
      <xdr:rowOff>95250</xdr:rowOff>
    </xdr:from>
    <xdr:to>
      <xdr:col>34</xdr:col>
      <xdr:colOff>61232</xdr:colOff>
      <xdr:row>109</xdr:row>
      <xdr:rowOff>95250</xdr:rowOff>
    </xdr:to>
    <xdr:cxnSp macro="">
      <xdr:nvCxnSpPr>
        <xdr:cNvPr id="701" name="직선 화살표 연결선 700"/>
        <xdr:cNvCxnSpPr/>
      </xdr:nvCxnSpPr>
      <xdr:spPr>
        <a:xfrm>
          <a:off x="10127252" y="2085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102054</xdr:colOff>
      <xdr:row>108</xdr:row>
      <xdr:rowOff>38100</xdr:rowOff>
    </xdr:from>
    <xdr:to>
      <xdr:col>69</xdr:col>
      <xdr:colOff>21681</xdr:colOff>
      <xdr:row>108</xdr:row>
      <xdr:rowOff>152400</xdr:rowOff>
    </xdr:to>
    <xdr:sp macro="" textlink="">
      <xdr:nvSpPr>
        <xdr:cNvPr id="702" name="105"/>
        <xdr:cNvSpPr/>
      </xdr:nvSpPr>
      <xdr:spPr>
        <a:xfrm>
          <a:off x="14221914" y="20604480"/>
          <a:ext cx="93308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62</xdr:col>
      <xdr:colOff>102054</xdr:colOff>
      <xdr:row>108</xdr:row>
      <xdr:rowOff>95250</xdr:rowOff>
    </xdr:from>
    <xdr:to>
      <xdr:col>62</xdr:col>
      <xdr:colOff>102054</xdr:colOff>
      <xdr:row>108</xdr:row>
      <xdr:rowOff>95250</xdr:rowOff>
    </xdr:to>
    <xdr:cxnSp macro="">
      <xdr:nvCxnSpPr>
        <xdr:cNvPr id="703" name="직선 화살표 연결선 702"/>
        <xdr:cNvCxnSpPr/>
      </xdr:nvCxnSpPr>
      <xdr:spPr>
        <a:xfrm>
          <a:off x="14221914" y="2066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107</xdr:row>
      <xdr:rowOff>38100</xdr:rowOff>
    </xdr:from>
    <xdr:to>
      <xdr:col>64</xdr:col>
      <xdr:colOff>123734</xdr:colOff>
      <xdr:row>107</xdr:row>
      <xdr:rowOff>152400</xdr:rowOff>
    </xdr:to>
    <xdr:sp macro="" textlink="">
      <xdr:nvSpPr>
        <xdr:cNvPr id="704" name="104"/>
        <xdr:cNvSpPr/>
      </xdr:nvSpPr>
      <xdr:spPr>
        <a:xfrm>
          <a:off x="12319363" y="20413980"/>
          <a:ext cx="22137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107</xdr:row>
      <xdr:rowOff>95250</xdr:rowOff>
    </xdr:from>
    <xdr:to>
      <xdr:col>49</xdr:col>
      <xdr:colOff>81643</xdr:colOff>
      <xdr:row>107</xdr:row>
      <xdr:rowOff>95250</xdr:rowOff>
    </xdr:to>
    <xdr:cxnSp macro="">
      <xdr:nvCxnSpPr>
        <xdr:cNvPr id="705" name="직선 화살표 연결선 704"/>
        <xdr:cNvCxnSpPr/>
      </xdr:nvCxnSpPr>
      <xdr:spPr>
        <a:xfrm>
          <a:off x="12319363" y="2047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106</xdr:row>
      <xdr:rowOff>38100</xdr:rowOff>
    </xdr:from>
    <xdr:to>
      <xdr:col>58</xdr:col>
      <xdr:colOff>21681</xdr:colOff>
      <xdr:row>106</xdr:row>
      <xdr:rowOff>152400</xdr:rowOff>
    </xdr:to>
    <xdr:sp macro="" textlink="">
      <xdr:nvSpPr>
        <xdr:cNvPr id="706" name="103"/>
        <xdr:cNvSpPr/>
      </xdr:nvSpPr>
      <xdr:spPr>
        <a:xfrm>
          <a:off x="11658600" y="20223480"/>
          <a:ext cx="19038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0</xdr:colOff>
      <xdr:row>106</xdr:row>
      <xdr:rowOff>95250</xdr:rowOff>
    </xdr:from>
    <xdr:to>
      <xdr:col>45</xdr:col>
      <xdr:colOff>0</xdr:colOff>
      <xdr:row>106</xdr:row>
      <xdr:rowOff>95250</xdr:rowOff>
    </xdr:to>
    <xdr:cxnSp macro="">
      <xdr:nvCxnSpPr>
        <xdr:cNvPr id="707" name="직선 화살표 연결선 706"/>
        <xdr:cNvCxnSpPr/>
      </xdr:nvCxnSpPr>
      <xdr:spPr>
        <a:xfrm>
          <a:off x="11658600" y="2028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105</xdr:row>
      <xdr:rowOff>38100</xdr:rowOff>
    </xdr:from>
    <xdr:to>
      <xdr:col>62</xdr:col>
      <xdr:colOff>82913</xdr:colOff>
      <xdr:row>105</xdr:row>
      <xdr:rowOff>152400</xdr:rowOff>
    </xdr:to>
    <xdr:sp macro="" textlink="">
      <xdr:nvSpPr>
        <xdr:cNvPr id="708" name="102"/>
        <xdr:cNvSpPr/>
      </xdr:nvSpPr>
      <xdr:spPr>
        <a:xfrm>
          <a:off x="10127252" y="20032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105</xdr:row>
      <xdr:rowOff>95250</xdr:rowOff>
    </xdr:from>
    <xdr:to>
      <xdr:col>34</xdr:col>
      <xdr:colOff>61232</xdr:colOff>
      <xdr:row>105</xdr:row>
      <xdr:rowOff>95250</xdr:rowOff>
    </xdr:to>
    <xdr:cxnSp macro="">
      <xdr:nvCxnSpPr>
        <xdr:cNvPr id="709" name="직선 화살표 연결선 708"/>
        <xdr:cNvCxnSpPr/>
      </xdr:nvCxnSpPr>
      <xdr:spPr>
        <a:xfrm>
          <a:off x="10127252" y="2009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104</xdr:row>
      <xdr:rowOff>38100</xdr:rowOff>
    </xdr:from>
    <xdr:to>
      <xdr:col>69</xdr:col>
      <xdr:colOff>21681</xdr:colOff>
      <xdr:row>104</xdr:row>
      <xdr:rowOff>152400</xdr:rowOff>
    </xdr:to>
    <xdr:sp macro="" textlink="">
      <xdr:nvSpPr>
        <xdr:cNvPr id="710" name="101"/>
        <xdr:cNvSpPr/>
      </xdr:nvSpPr>
      <xdr:spPr>
        <a:xfrm>
          <a:off x="10127252" y="19842480"/>
          <a:ext cx="50277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104</xdr:row>
      <xdr:rowOff>95250</xdr:rowOff>
    </xdr:from>
    <xdr:to>
      <xdr:col>34</xdr:col>
      <xdr:colOff>61232</xdr:colOff>
      <xdr:row>104</xdr:row>
      <xdr:rowOff>95250</xdr:rowOff>
    </xdr:to>
    <xdr:cxnSp macro="">
      <xdr:nvCxnSpPr>
        <xdr:cNvPr id="711" name="직선 화살표 연결선 710"/>
        <xdr:cNvCxnSpPr/>
      </xdr:nvCxnSpPr>
      <xdr:spPr>
        <a:xfrm>
          <a:off x="10127252" y="1989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0</xdr:colOff>
      <xdr:row>103</xdr:row>
      <xdr:rowOff>38100</xdr:rowOff>
    </xdr:from>
    <xdr:to>
      <xdr:col>71</xdr:col>
      <xdr:colOff>42090</xdr:colOff>
      <xdr:row>103</xdr:row>
      <xdr:rowOff>152400</xdr:rowOff>
    </xdr:to>
    <xdr:sp macro="" textlink="">
      <xdr:nvSpPr>
        <xdr:cNvPr id="712" name="100"/>
        <xdr:cNvSpPr/>
      </xdr:nvSpPr>
      <xdr:spPr>
        <a:xfrm>
          <a:off x="15133320" y="19651980"/>
          <a:ext cx="3316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0</xdr:colOff>
      <xdr:row>103</xdr:row>
      <xdr:rowOff>95250</xdr:rowOff>
    </xdr:from>
    <xdr:to>
      <xdr:col>69</xdr:col>
      <xdr:colOff>0</xdr:colOff>
      <xdr:row>103</xdr:row>
      <xdr:rowOff>95250</xdr:rowOff>
    </xdr:to>
    <xdr:cxnSp macro="">
      <xdr:nvCxnSpPr>
        <xdr:cNvPr id="713" name="직선 화살표 연결선 712"/>
        <xdr:cNvCxnSpPr/>
      </xdr:nvCxnSpPr>
      <xdr:spPr>
        <a:xfrm>
          <a:off x="15133320" y="1970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102</xdr:row>
      <xdr:rowOff>38100</xdr:rowOff>
    </xdr:from>
    <xdr:to>
      <xdr:col>69</xdr:col>
      <xdr:colOff>21681</xdr:colOff>
      <xdr:row>102</xdr:row>
      <xdr:rowOff>152400</xdr:rowOff>
    </xdr:to>
    <xdr:sp macro="" textlink="">
      <xdr:nvSpPr>
        <xdr:cNvPr id="714" name="99"/>
        <xdr:cNvSpPr/>
      </xdr:nvSpPr>
      <xdr:spPr>
        <a:xfrm>
          <a:off x="12319363" y="19461480"/>
          <a:ext cx="283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102</xdr:row>
      <xdr:rowOff>95250</xdr:rowOff>
    </xdr:from>
    <xdr:to>
      <xdr:col>49</xdr:col>
      <xdr:colOff>81643</xdr:colOff>
      <xdr:row>102</xdr:row>
      <xdr:rowOff>95250</xdr:rowOff>
    </xdr:to>
    <xdr:cxnSp macro="">
      <xdr:nvCxnSpPr>
        <xdr:cNvPr id="715" name="직선 화살표 연결선 714"/>
        <xdr:cNvCxnSpPr/>
      </xdr:nvCxnSpPr>
      <xdr:spPr>
        <a:xfrm>
          <a:off x="12319363" y="1951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101</xdr:row>
      <xdr:rowOff>38100</xdr:rowOff>
    </xdr:from>
    <xdr:to>
      <xdr:col>60</xdr:col>
      <xdr:colOff>62502</xdr:colOff>
      <xdr:row>101</xdr:row>
      <xdr:rowOff>152400</xdr:rowOff>
    </xdr:to>
    <xdr:sp macro="" textlink="">
      <xdr:nvSpPr>
        <xdr:cNvPr id="716" name="98"/>
        <xdr:cNvSpPr/>
      </xdr:nvSpPr>
      <xdr:spPr>
        <a:xfrm>
          <a:off x="11658600" y="19270980"/>
          <a:ext cx="223420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0</xdr:colOff>
      <xdr:row>101</xdr:row>
      <xdr:rowOff>95250</xdr:rowOff>
    </xdr:from>
    <xdr:to>
      <xdr:col>45</xdr:col>
      <xdr:colOff>0</xdr:colOff>
      <xdr:row>101</xdr:row>
      <xdr:rowOff>95250</xdr:rowOff>
    </xdr:to>
    <xdr:cxnSp macro="">
      <xdr:nvCxnSpPr>
        <xdr:cNvPr id="717" name="직선 화살표 연결선 716"/>
        <xdr:cNvCxnSpPr/>
      </xdr:nvCxnSpPr>
      <xdr:spPr>
        <a:xfrm>
          <a:off x="11658600" y="1932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100</xdr:row>
      <xdr:rowOff>38100</xdr:rowOff>
    </xdr:from>
    <xdr:to>
      <xdr:col>62</xdr:col>
      <xdr:colOff>82913</xdr:colOff>
      <xdr:row>100</xdr:row>
      <xdr:rowOff>152400</xdr:rowOff>
    </xdr:to>
    <xdr:sp macro="" textlink="">
      <xdr:nvSpPr>
        <xdr:cNvPr id="718" name="97"/>
        <xdr:cNvSpPr/>
      </xdr:nvSpPr>
      <xdr:spPr>
        <a:xfrm>
          <a:off x="10127252" y="19080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100</xdr:row>
      <xdr:rowOff>95250</xdr:rowOff>
    </xdr:from>
    <xdr:to>
      <xdr:col>34</xdr:col>
      <xdr:colOff>61232</xdr:colOff>
      <xdr:row>100</xdr:row>
      <xdr:rowOff>95250</xdr:rowOff>
    </xdr:to>
    <xdr:cxnSp macro="">
      <xdr:nvCxnSpPr>
        <xdr:cNvPr id="719" name="직선 화살표 연결선 718"/>
        <xdr:cNvCxnSpPr/>
      </xdr:nvCxnSpPr>
      <xdr:spPr>
        <a:xfrm>
          <a:off x="10127252" y="1913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99</xdr:row>
      <xdr:rowOff>38100</xdr:rowOff>
    </xdr:from>
    <xdr:to>
      <xdr:col>71</xdr:col>
      <xdr:colOff>42090</xdr:colOff>
      <xdr:row>99</xdr:row>
      <xdr:rowOff>152400</xdr:rowOff>
    </xdr:to>
    <xdr:sp macro="" textlink="">
      <xdr:nvSpPr>
        <xdr:cNvPr id="720" name="96"/>
        <xdr:cNvSpPr/>
      </xdr:nvSpPr>
      <xdr:spPr>
        <a:xfrm>
          <a:off x="10127252" y="18889980"/>
          <a:ext cx="533771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99</xdr:row>
      <xdr:rowOff>95250</xdr:rowOff>
    </xdr:from>
    <xdr:to>
      <xdr:col>34</xdr:col>
      <xdr:colOff>61232</xdr:colOff>
      <xdr:row>99</xdr:row>
      <xdr:rowOff>95250</xdr:rowOff>
    </xdr:to>
    <xdr:cxnSp macro="">
      <xdr:nvCxnSpPr>
        <xdr:cNvPr id="721" name="직선 화살표 연결선 720"/>
        <xdr:cNvCxnSpPr/>
      </xdr:nvCxnSpPr>
      <xdr:spPr>
        <a:xfrm>
          <a:off x="10127252" y="1894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98</xdr:row>
      <xdr:rowOff>38100</xdr:rowOff>
    </xdr:from>
    <xdr:to>
      <xdr:col>69</xdr:col>
      <xdr:colOff>21681</xdr:colOff>
      <xdr:row>98</xdr:row>
      <xdr:rowOff>152400</xdr:rowOff>
    </xdr:to>
    <xdr:sp macro="" textlink="">
      <xdr:nvSpPr>
        <xdr:cNvPr id="722" name="95"/>
        <xdr:cNvSpPr/>
      </xdr:nvSpPr>
      <xdr:spPr>
        <a:xfrm>
          <a:off x="14511474" y="18699480"/>
          <a:ext cx="64352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98</xdr:row>
      <xdr:rowOff>95250</xdr:rowOff>
    </xdr:from>
    <xdr:to>
      <xdr:col>64</xdr:col>
      <xdr:colOff>102054</xdr:colOff>
      <xdr:row>98</xdr:row>
      <xdr:rowOff>95250</xdr:rowOff>
    </xdr:to>
    <xdr:cxnSp macro="">
      <xdr:nvCxnSpPr>
        <xdr:cNvPr id="723" name="직선 화살표 연결선 722"/>
        <xdr:cNvCxnSpPr/>
      </xdr:nvCxnSpPr>
      <xdr:spPr>
        <a:xfrm>
          <a:off x="14511474" y="1875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97</xdr:row>
      <xdr:rowOff>38100</xdr:rowOff>
    </xdr:from>
    <xdr:to>
      <xdr:col>67</xdr:col>
      <xdr:colOff>1270</xdr:colOff>
      <xdr:row>97</xdr:row>
      <xdr:rowOff>152400</xdr:rowOff>
    </xdr:to>
    <xdr:sp macro="" textlink="">
      <xdr:nvSpPr>
        <xdr:cNvPr id="724" name="94"/>
        <xdr:cNvSpPr/>
      </xdr:nvSpPr>
      <xdr:spPr>
        <a:xfrm>
          <a:off x="12319363" y="18508980"/>
          <a:ext cx="25256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97</xdr:row>
      <xdr:rowOff>95250</xdr:rowOff>
    </xdr:from>
    <xdr:to>
      <xdr:col>49</xdr:col>
      <xdr:colOff>81643</xdr:colOff>
      <xdr:row>97</xdr:row>
      <xdr:rowOff>95250</xdr:rowOff>
    </xdr:to>
    <xdr:cxnSp macro="">
      <xdr:nvCxnSpPr>
        <xdr:cNvPr id="725" name="직선 화살표 연결선 724"/>
        <xdr:cNvCxnSpPr/>
      </xdr:nvCxnSpPr>
      <xdr:spPr>
        <a:xfrm>
          <a:off x="12319363" y="1856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96</xdr:row>
      <xdr:rowOff>38100</xdr:rowOff>
    </xdr:from>
    <xdr:to>
      <xdr:col>58</xdr:col>
      <xdr:colOff>21681</xdr:colOff>
      <xdr:row>96</xdr:row>
      <xdr:rowOff>152400</xdr:rowOff>
    </xdr:to>
    <xdr:sp macro="" textlink="">
      <xdr:nvSpPr>
        <xdr:cNvPr id="726" name="93"/>
        <xdr:cNvSpPr/>
      </xdr:nvSpPr>
      <xdr:spPr>
        <a:xfrm>
          <a:off x="11658600" y="18318480"/>
          <a:ext cx="19038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0</xdr:colOff>
      <xdr:row>96</xdr:row>
      <xdr:rowOff>95250</xdr:rowOff>
    </xdr:from>
    <xdr:to>
      <xdr:col>45</xdr:col>
      <xdr:colOff>0</xdr:colOff>
      <xdr:row>96</xdr:row>
      <xdr:rowOff>95250</xdr:rowOff>
    </xdr:to>
    <xdr:cxnSp macro="">
      <xdr:nvCxnSpPr>
        <xdr:cNvPr id="727" name="직선 화살표 연결선 726"/>
        <xdr:cNvCxnSpPr/>
      </xdr:nvCxnSpPr>
      <xdr:spPr>
        <a:xfrm>
          <a:off x="11658600" y="1837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95</xdr:row>
      <xdr:rowOff>38100</xdr:rowOff>
    </xdr:from>
    <xdr:to>
      <xdr:col>62</xdr:col>
      <xdr:colOff>82913</xdr:colOff>
      <xdr:row>95</xdr:row>
      <xdr:rowOff>152400</xdr:rowOff>
    </xdr:to>
    <xdr:sp macro="" textlink="">
      <xdr:nvSpPr>
        <xdr:cNvPr id="728" name="92"/>
        <xdr:cNvSpPr/>
      </xdr:nvSpPr>
      <xdr:spPr>
        <a:xfrm>
          <a:off x="10127252" y="18127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95</xdr:row>
      <xdr:rowOff>95250</xdr:rowOff>
    </xdr:from>
    <xdr:to>
      <xdr:col>34</xdr:col>
      <xdr:colOff>61232</xdr:colOff>
      <xdr:row>95</xdr:row>
      <xdr:rowOff>95250</xdr:rowOff>
    </xdr:to>
    <xdr:cxnSp macro="">
      <xdr:nvCxnSpPr>
        <xdr:cNvPr id="729" name="직선 화살표 연결선 728"/>
        <xdr:cNvCxnSpPr/>
      </xdr:nvCxnSpPr>
      <xdr:spPr>
        <a:xfrm>
          <a:off x="10127252" y="1818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94</xdr:row>
      <xdr:rowOff>38100</xdr:rowOff>
    </xdr:from>
    <xdr:to>
      <xdr:col>69</xdr:col>
      <xdr:colOff>21681</xdr:colOff>
      <xdr:row>94</xdr:row>
      <xdr:rowOff>152400</xdr:rowOff>
    </xdr:to>
    <xdr:sp macro="" textlink="">
      <xdr:nvSpPr>
        <xdr:cNvPr id="730" name="91"/>
        <xdr:cNvSpPr/>
      </xdr:nvSpPr>
      <xdr:spPr>
        <a:xfrm>
          <a:off x="10127252" y="17937480"/>
          <a:ext cx="502774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94</xdr:row>
      <xdr:rowOff>95250</xdr:rowOff>
    </xdr:from>
    <xdr:to>
      <xdr:col>34</xdr:col>
      <xdr:colOff>61232</xdr:colOff>
      <xdr:row>94</xdr:row>
      <xdr:rowOff>95250</xdr:rowOff>
    </xdr:to>
    <xdr:cxnSp macro="">
      <xdr:nvCxnSpPr>
        <xdr:cNvPr id="731" name="직선 화살표 연결선 730"/>
        <xdr:cNvCxnSpPr/>
      </xdr:nvCxnSpPr>
      <xdr:spPr>
        <a:xfrm>
          <a:off x="10127252" y="1799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93</xdr:row>
      <xdr:rowOff>38100</xdr:rowOff>
    </xdr:from>
    <xdr:to>
      <xdr:col>67</xdr:col>
      <xdr:colOff>1270</xdr:colOff>
      <xdr:row>93</xdr:row>
      <xdr:rowOff>152400</xdr:rowOff>
    </xdr:to>
    <xdr:sp macro="" textlink="">
      <xdr:nvSpPr>
        <xdr:cNvPr id="732" name="90"/>
        <xdr:cNvSpPr/>
      </xdr:nvSpPr>
      <xdr:spPr>
        <a:xfrm>
          <a:off x="14511474" y="17746980"/>
          <a:ext cx="3335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93</xdr:row>
      <xdr:rowOff>95250</xdr:rowOff>
    </xdr:from>
    <xdr:to>
      <xdr:col>64</xdr:col>
      <xdr:colOff>102054</xdr:colOff>
      <xdr:row>93</xdr:row>
      <xdr:rowOff>95250</xdr:rowOff>
    </xdr:to>
    <xdr:cxnSp macro="">
      <xdr:nvCxnSpPr>
        <xdr:cNvPr id="733" name="직선 화살표 연결선 732"/>
        <xdr:cNvCxnSpPr/>
      </xdr:nvCxnSpPr>
      <xdr:spPr>
        <a:xfrm>
          <a:off x="14511474" y="1780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92</xdr:row>
      <xdr:rowOff>38100</xdr:rowOff>
    </xdr:from>
    <xdr:to>
      <xdr:col>64</xdr:col>
      <xdr:colOff>123734</xdr:colOff>
      <xdr:row>92</xdr:row>
      <xdr:rowOff>152400</xdr:rowOff>
    </xdr:to>
    <xdr:sp macro="" textlink="">
      <xdr:nvSpPr>
        <xdr:cNvPr id="734" name="89"/>
        <xdr:cNvSpPr/>
      </xdr:nvSpPr>
      <xdr:spPr>
        <a:xfrm>
          <a:off x="12319363" y="17556480"/>
          <a:ext cx="22137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92</xdr:row>
      <xdr:rowOff>95250</xdr:rowOff>
    </xdr:from>
    <xdr:to>
      <xdr:col>49</xdr:col>
      <xdr:colOff>81643</xdr:colOff>
      <xdr:row>92</xdr:row>
      <xdr:rowOff>95250</xdr:rowOff>
    </xdr:to>
    <xdr:cxnSp macro="">
      <xdr:nvCxnSpPr>
        <xdr:cNvPr id="735" name="직선 화살표 연결선 734"/>
        <xdr:cNvCxnSpPr/>
      </xdr:nvCxnSpPr>
      <xdr:spPr>
        <a:xfrm>
          <a:off x="12319363" y="1761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91</xdr:row>
      <xdr:rowOff>38100</xdr:rowOff>
    </xdr:from>
    <xdr:to>
      <xdr:col>64</xdr:col>
      <xdr:colOff>123734</xdr:colOff>
      <xdr:row>91</xdr:row>
      <xdr:rowOff>152400</xdr:rowOff>
    </xdr:to>
    <xdr:sp macro="" textlink="">
      <xdr:nvSpPr>
        <xdr:cNvPr id="736" name="88"/>
        <xdr:cNvSpPr/>
      </xdr:nvSpPr>
      <xdr:spPr>
        <a:xfrm>
          <a:off x="11658600" y="17365980"/>
          <a:ext cx="28745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0</xdr:colOff>
      <xdr:row>91</xdr:row>
      <xdr:rowOff>95250</xdr:rowOff>
    </xdr:from>
    <xdr:to>
      <xdr:col>45</xdr:col>
      <xdr:colOff>0</xdr:colOff>
      <xdr:row>91</xdr:row>
      <xdr:rowOff>95250</xdr:rowOff>
    </xdr:to>
    <xdr:cxnSp macro="">
      <xdr:nvCxnSpPr>
        <xdr:cNvPr id="737" name="직선 화살표 연결선 736"/>
        <xdr:cNvCxnSpPr/>
      </xdr:nvCxnSpPr>
      <xdr:spPr>
        <a:xfrm>
          <a:off x="11658600" y="1742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90</xdr:row>
      <xdr:rowOff>38100</xdr:rowOff>
    </xdr:from>
    <xdr:to>
      <xdr:col>62</xdr:col>
      <xdr:colOff>82913</xdr:colOff>
      <xdr:row>90</xdr:row>
      <xdr:rowOff>152400</xdr:rowOff>
    </xdr:to>
    <xdr:sp macro="" textlink="">
      <xdr:nvSpPr>
        <xdr:cNvPr id="738" name="87"/>
        <xdr:cNvSpPr/>
      </xdr:nvSpPr>
      <xdr:spPr>
        <a:xfrm>
          <a:off x="10127252" y="171754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90</xdr:row>
      <xdr:rowOff>95250</xdr:rowOff>
    </xdr:from>
    <xdr:to>
      <xdr:col>34</xdr:col>
      <xdr:colOff>61232</xdr:colOff>
      <xdr:row>90</xdr:row>
      <xdr:rowOff>95250</xdr:rowOff>
    </xdr:to>
    <xdr:cxnSp macro="">
      <xdr:nvCxnSpPr>
        <xdr:cNvPr id="739" name="직선 화살표 연결선 738"/>
        <xdr:cNvCxnSpPr/>
      </xdr:nvCxnSpPr>
      <xdr:spPr>
        <a:xfrm>
          <a:off x="10127252" y="1723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89</xdr:row>
      <xdr:rowOff>38100</xdr:rowOff>
    </xdr:from>
    <xdr:to>
      <xdr:col>67</xdr:col>
      <xdr:colOff>1270</xdr:colOff>
      <xdr:row>89</xdr:row>
      <xdr:rowOff>152400</xdr:rowOff>
    </xdr:to>
    <xdr:sp macro="" textlink="">
      <xdr:nvSpPr>
        <xdr:cNvPr id="740" name="86"/>
        <xdr:cNvSpPr/>
      </xdr:nvSpPr>
      <xdr:spPr>
        <a:xfrm>
          <a:off x="10127252" y="16984980"/>
          <a:ext cx="47177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89</xdr:row>
      <xdr:rowOff>95250</xdr:rowOff>
    </xdr:from>
    <xdr:to>
      <xdr:col>34</xdr:col>
      <xdr:colOff>61232</xdr:colOff>
      <xdr:row>89</xdr:row>
      <xdr:rowOff>95250</xdr:rowOff>
    </xdr:to>
    <xdr:cxnSp macro="">
      <xdr:nvCxnSpPr>
        <xdr:cNvPr id="741" name="직선 화살표 연결선 740"/>
        <xdr:cNvCxnSpPr/>
      </xdr:nvCxnSpPr>
      <xdr:spPr>
        <a:xfrm>
          <a:off x="10127252" y="1704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88</xdr:row>
      <xdr:rowOff>38100</xdr:rowOff>
    </xdr:from>
    <xdr:to>
      <xdr:col>67</xdr:col>
      <xdr:colOff>1270</xdr:colOff>
      <xdr:row>88</xdr:row>
      <xdr:rowOff>152400</xdr:rowOff>
    </xdr:to>
    <xdr:sp macro="" textlink="">
      <xdr:nvSpPr>
        <xdr:cNvPr id="742" name="85"/>
        <xdr:cNvSpPr/>
      </xdr:nvSpPr>
      <xdr:spPr>
        <a:xfrm>
          <a:off x="14511474" y="16794480"/>
          <a:ext cx="3335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88</xdr:row>
      <xdr:rowOff>95250</xdr:rowOff>
    </xdr:from>
    <xdr:to>
      <xdr:col>64</xdr:col>
      <xdr:colOff>102054</xdr:colOff>
      <xdr:row>88</xdr:row>
      <xdr:rowOff>95250</xdr:rowOff>
    </xdr:to>
    <xdr:cxnSp macro="">
      <xdr:nvCxnSpPr>
        <xdr:cNvPr id="743" name="직선 화살표 연결선 742"/>
        <xdr:cNvCxnSpPr/>
      </xdr:nvCxnSpPr>
      <xdr:spPr>
        <a:xfrm>
          <a:off x="14511474" y="1685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87</xdr:row>
      <xdr:rowOff>38100</xdr:rowOff>
    </xdr:from>
    <xdr:to>
      <xdr:col>64</xdr:col>
      <xdr:colOff>123734</xdr:colOff>
      <xdr:row>87</xdr:row>
      <xdr:rowOff>152400</xdr:rowOff>
    </xdr:to>
    <xdr:sp macro="" textlink="">
      <xdr:nvSpPr>
        <xdr:cNvPr id="744" name="84"/>
        <xdr:cNvSpPr/>
      </xdr:nvSpPr>
      <xdr:spPr>
        <a:xfrm>
          <a:off x="12319363" y="16603980"/>
          <a:ext cx="22137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87</xdr:row>
      <xdr:rowOff>95250</xdr:rowOff>
    </xdr:from>
    <xdr:to>
      <xdr:col>49</xdr:col>
      <xdr:colOff>81643</xdr:colOff>
      <xdr:row>87</xdr:row>
      <xdr:rowOff>95250</xdr:rowOff>
    </xdr:to>
    <xdr:cxnSp macro="">
      <xdr:nvCxnSpPr>
        <xdr:cNvPr id="745" name="직선 화살표 연결선 744"/>
        <xdr:cNvCxnSpPr/>
      </xdr:nvCxnSpPr>
      <xdr:spPr>
        <a:xfrm>
          <a:off x="12319363" y="1666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86</xdr:row>
      <xdr:rowOff>38100</xdr:rowOff>
    </xdr:from>
    <xdr:to>
      <xdr:col>64</xdr:col>
      <xdr:colOff>123734</xdr:colOff>
      <xdr:row>86</xdr:row>
      <xdr:rowOff>152400</xdr:rowOff>
    </xdr:to>
    <xdr:sp macro="" textlink="">
      <xdr:nvSpPr>
        <xdr:cNvPr id="746" name="83"/>
        <xdr:cNvSpPr/>
      </xdr:nvSpPr>
      <xdr:spPr>
        <a:xfrm>
          <a:off x="11658600" y="16413480"/>
          <a:ext cx="28745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0</xdr:colOff>
      <xdr:row>86</xdr:row>
      <xdr:rowOff>95250</xdr:rowOff>
    </xdr:from>
    <xdr:to>
      <xdr:col>45</xdr:col>
      <xdr:colOff>0</xdr:colOff>
      <xdr:row>86</xdr:row>
      <xdr:rowOff>95250</xdr:rowOff>
    </xdr:to>
    <xdr:cxnSp macro="">
      <xdr:nvCxnSpPr>
        <xdr:cNvPr id="747" name="직선 화살표 연결선 746"/>
        <xdr:cNvCxnSpPr/>
      </xdr:nvCxnSpPr>
      <xdr:spPr>
        <a:xfrm>
          <a:off x="11658600" y="1647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85</xdr:row>
      <xdr:rowOff>38100</xdr:rowOff>
    </xdr:from>
    <xdr:to>
      <xdr:col>62</xdr:col>
      <xdr:colOff>82913</xdr:colOff>
      <xdr:row>85</xdr:row>
      <xdr:rowOff>152400</xdr:rowOff>
    </xdr:to>
    <xdr:sp macro="" textlink="">
      <xdr:nvSpPr>
        <xdr:cNvPr id="748" name="82"/>
        <xdr:cNvSpPr/>
      </xdr:nvSpPr>
      <xdr:spPr>
        <a:xfrm>
          <a:off x="10127252" y="16222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85</xdr:row>
      <xdr:rowOff>95250</xdr:rowOff>
    </xdr:from>
    <xdr:to>
      <xdr:col>34</xdr:col>
      <xdr:colOff>61232</xdr:colOff>
      <xdr:row>85</xdr:row>
      <xdr:rowOff>95250</xdr:rowOff>
    </xdr:to>
    <xdr:cxnSp macro="">
      <xdr:nvCxnSpPr>
        <xdr:cNvPr id="749" name="직선 화살표 연결선 748"/>
        <xdr:cNvCxnSpPr/>
      </xdr:nvCxnSpPr>
      <xdr:spPr>
        <a:xfrm>
          <a:off x="10127252" y="1628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84</xdr:row>
      <xdr:rowOff>38100</xdr:rowOff>
    </xdr:from>
    <xdr:to>
      <xdr:col>67</xdr:col>
      <xdr:colOff>1270</xdr:colOff>
      <xdr:row>84</xdr:row>
      <xdr:rowOff>152400</xdr:rowOff>
    </xdr:to>
    <xdr:sp macro="" textlink="">
      <xdr:nvSpPr>
        <xdr:cNvPr id="750" name="81"/>
        <xdr:cNvSpPr/>
      </xdr:nvSpPr>
      <xdr:spPr>
        <a:xfrm>
          <a:off x="10127252" y="16032480"/>
          <a:ext cx="47177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84</xdr:row>
      <xdr:rowOff>95250</xdr:rowOff>
    </xdr:from>
    <xdr:to>
      <xdr:col>34</xdr:col>
      <xdr:colOff>61232</xdr:colOff>
      <xdr:row>84</xdr:row>
      <xdr:rowOff>95250</xdr:rowOff>
    </xdr:to>
    <xdr:cxnSp macro="">
      <xdr:nvCxnSpPr>
        <xdr:cNvPr id="751" name="직선 화살표 연결선 750"/>
        <xdr:cNvCxnSpPr/>
      </xdr:nvCxnSpPr>
      <xdr:spPr>
        <a:xfrm>
          <a:off x="10127252" y="1608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83</xdr:row>
      <xdr:rowOff>38100</xdr:rowOff>
    </xdr:from>
    <xdr:to>
      <xdr:col>71</xdr:col>
      <xdr:colOff>42090</xdr:colOff>
      <xdr:row>83</xdr:row>
      <xdr:rowOff>152400</xdr:rowOff>
    </xdr:to>
    <xdr:sp macro="" textlink="">
      <xdr:nvSpPr>
        <xdr:cNvPr id="752" name="80"/>
        <xdr:cNvSpPr/>
      </xdr:nvSpPr>
      <xdr:spPr>
        <a:xfrm>
          <a:off x="14843760" y="15841980"/>
          <a:ext cx="6212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67</xdr:col>
      <xdr:colOff>0</xdr:colOff>
      <xdr:row>83</xdr:row>
      <xdr:rowOff>95250</xdr:rowOff>
    </xdr:from>
    <xdr:to>
      <xdr:col>67</xdr:col>
      <xdr:colOff>0</xdr:colOff>
      <xdr:row>83</xdr:row>
      <xdr:rowOff>95250</xdr:rowOff>
    </xdr:to>
    <xdr:cxnSp macro="">
      <xdr:nvCxnSpPr>
        <xdr:cNvPr id="753" name="직선 화살표 연결선 752"/>
        <xdr:cNvCxnSpPr/>
      </xdr:nvCxnSpPr>
      <xdr:spPr>
        <a:xfrm>
          <a:off x="14843760" y="1589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82</xdr:row>
      <xdr:rowOff>38100</xdr:rowOff>
    </xdr:from>
    <xdr:to>
      <xdr:col>69</xdr:col>
      <xdr:colOff>21681</xdr:colOff>
      <xdr:row>82</xdr:row>
      <xdr:rowOff>152400</xdr:rowOff>
    </xdr:to>
    <xdr:sp macro="" textlink="">
      <xdr:nvSpPr>
        <xdr:cNvPr id="754" name="79"/>
        <xdr:cNvSpPr/>
      </xdr:nvSpPr>
      <xdr:spPr>
        <a:xfrm>
          <a:off x="12319363" y="15651480"/>
          <a:ext cx="28356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82</xdr:row>
      <xdr:rowOff>95250</xdr:rowOff>
    </xdr:from>
    <xdr:to>
      <xdr:col>49</xdr:col>
      <xdr:colOff>81643</xdr:colOff>
      <xdr:row>82</xdr:row>
      <xdr:rowOff>95250</xdr:rowOff>
    </xdr:to>
    <xdr:cxnSp macro="">
      <xdr:nvCxnSpPr>
        <xdr:cNvPr id="755" name="직선 화살표 연결선 754"/>
        <xdr:cNvCxnSpPr/>
      </xdr:nvCxnSpPr>
      <xdr:spPr>
        <a:xfrm>
          <a:off x="12319363" y="1570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81</xdr:row>
      <xdr:rowOff>38100</xdr:rowOff>
    </xdr:from>
    <xdr:to>
      <xdr:col>58</xdr:col>
      <xdr:colOff>21681</xdr:colOff>
      <xdr:row>81</xdr:row>
      <xdr:rowOff>152400</xdr:rowOff>
    </xdr:to>
    <xdr:sp macro="" textlink="">
      <xdr:nvSpPr>
        <xdr:cNvPr id="756" name="78"/>
        <xdr:cNvSpPr/>
      </xdr:nvSpPr>
      <xdr:spPr>
        <a:xfrm>
          <a:off x="11658600" y="15460980"/>
          <a:ext cx="19038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0</xdr:colOff>
      <xdr:row>81</xdr:row>
      <xdr:rowOff>95250</xdr:rowOff>
    </xdr:from>
    <xdr:to>
      <xdr:col>45</xdr:col>
      <xdr:colOff>0</xdr:colOff>
      <xdr:row>81</xdr:row>
      <xdr:rowOff>95250</xdr:rowOff>
    </xdr:to>
    <xdr:cxnSp macro="">
      <xdr:nvCxnSpPr>
        <xdr:cNvPr id="757" name="직선 화살표 연결선 756"/>
        <xdr:cNvCxnSpPr/>
      </xdr:nvCxnSpPr>
      <xdr:spPr>
        <a:xfrm>
          <a:off x="11658600" y="1551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80</xdr:row>
      <xdr:rowOff>38100</xdr:rowOff>
    </xdr:from>
    <xdr:to>
      <xdr:col>60</xdr:col>
      <xdr:colOff>62502</xdr:colOff>
      <xdr:row>80</xdr:row>
      <xdr:rowOff>152400</xdr:rowOff>
    </xdr:to>
    <xdr:sp macro="" textlink="">
      <xdr:nvSpPr>
        <xdr:cNvPr id="758" name="77"/>
        <xdr:cNvSpPr/>
      </xdr:nvSpPr>
      <xdr:spPr>
        <a:xfrm>
          <a:off x="10127252" y="15270480"/>
          <a:ext cx="37655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80</xdr:row>
      <xdr:rowOff>95250</xdr:rowOff>
    </xdr:from>
    <xdr:to>
      <xdr:col>34</xdr:col>
      <xdr:colOff>61232</xdr:colOff>
      <xdr:row>80</xdr:row>
      <xdr:rowOff>95250</xdr:rowOff>
    </xdr:to>
    <xdr:cxnSp macro="">
      <xdr:nvCxnSpPr>
        <xdr:cNvPr id="759" name="직선 화살표 연결선 758"/>
        <xdr:cNvCxnSpPr/>
      </xdr:nvCxnSpPr>
      <xdr:spPr>
        <a:xfrm>
          <a:off x="10127252" y="1532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79</xdr:row>
      <xdr:rowOff>38100</xdr:rowOff>
    </xdr:from>
    <xdr:to>
      <xdr:col>71</xdr:col>
      <xdr:colOff>42090</xdr:colOff>
      <xdr:row>79</xdr:row>
      <xdr:rowOff>152400</xdr:rowOff>
    </xdr:to>
    <xdr:sp macro="" textlink="">
      <xdr:nvSpPr>
        <xdr:cNvPr id="760" name="76"/>
        <xdr:cNvSpPr/>
      </xdr:nvSpPr>
      <xdr:spPr>
        <a:xfrm>
          <a:off x="10127252" y="15079980"/>
          <a:ext cx="533771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79</xdr:row>
      <xdr:rowOff>95250</xdr:rowOff>
    </xdr:from>
    <xdr:to>
      <xdr:col>34</xdr:col>
      <xdr:colOff>61232</xdr:colOff>
      <xdr:row>79</xdr:row>
      <xdr:rowOff>95250</xdr:rowOff>
    </xdr:to>
    <xdr:cxnSp macro="">
      <xdr:nvCxnSpPr>
        <xdr:cNvPr id="761" name="직선 화살표 연결선 760"/>
        <xdr:cNvCxnSpPr/>
      </xdr:nvCxnSpPr>
      <xdr:spPr>
        <a:xfrm>
          <a:off x="10127252" y="1513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102054</xdr:colOff>
      <xdr:row>78</xdr:row>
      <xdr:rowOff>38100</xdr:rowOff>
    </xdr:from>
    <xdr:to>
      <xdr:col>67</xdr:col>
      <xdr:colOff>1270</xdr:colOff>
      <xdr:row>78</xdr:row>
      <xdr:rowOff>152400</xdr:rowOff>
    </xdr:to>
    <xdr:sp macro="" textlink="">
      <xdr:nvSpPr>
        <xdr:cNvPr id="762" name="75"/>
        <xdr:cNvSpPr/>
      </xdr:nvSpPr>
      <xdr:spPr>
        <a:xfrm>
          <a:off x="14511474" y="14889480"/>
          <a:ext cx="33355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64</xdr:col>
      <xdr:colOff>102054</xdr:colOff>
      <xdr:row>78</xdr:row>
      <xdr:rowOff>95250</xdr:rowOff>
    </xdr:from>
    <xdr:to>
      <xdr:col>64</xdr:col>
      <xdr:colOff>102054</xdr:colOff>
      <xdr:row>78</xdr:row>
      <xdr:rowOff>95250</xdr:rowOff>
    </xdr:to>
    <xdr:cxnSp macro="">
      <xdr:nvCxnSpPr>
        <xdr:cNvPr id="763" name="직선 화살표 연결선 762"/>
        <xdr:cNvCxnSpPr/>
      </xdr:nvCxnSpPr>
      <xdr:spPr>
        <a:xfrm>
          <a:off x="14511474" y="1494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77</xdr:row>
      <xdr:rowOff>38100</xdr:rowOff>
    </xdr:from>
    <xdr:to>
      <xdr:col>64</xdr:col>
      <xdr:colOff>123734</xdr:colOff>
      <xdr:row>77</xdr:row>
      <xdr:rowOff>152400</xdr:rowOff>
    </xdr:to>
    <xdr:sp macro="" textlink="">
      <xdr:nvSpPr>
        <xdr:cNvPr id="764" name="74"/>
        <xdr:cNvSpPr/>
      </xdr:nvSpPr>
      <xdr:spPr>
        <a:xfrm>
          <a:off x="12319363" y="14698980"/>
          <a:ext cx="221379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77</xdr:row>
      <xdr:rowOff>95250</xdr:rowOff>
    </xdr:from>
    <xdr:to>
      <xdr:col>49</xdr:col>
      <xdr:colOff>81643</xdr:colOff>
      <xdr:row>77</xdr:row>
      <xdr:rowOff>95250</xdr:rowOff>
    </xdr:to>
    <xdr:cxnSp macro="">
      <xdr:nvCxnSpPr>
        <xdr:cNvPr id="765" name="직선 화살표 연결선 764"/>
        <xdr:cNvCxnSpPr/>
      </xdr:nvCxnSpPr>
      <xdr:spPr>
        <a:xfrm>
          <a:off x="12319363" y="1475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76</xdr:row>
      <xdr:rowOff>38100</xdr:rowOff>
    </xdr:from>
    <xdr:to>
      <xdr:col>64</xdr:col>
      <xdr:colOff>123734</xdr:colOff>
      <xdr:row>76</xdr:row>
      <xdr:rowOff>152400</xdr:rowOff>
    </xdr:to>
    <xdr:sp macro="" textlink="">
      <xdr:nvSpPr>
        <xdr:cNvPr id="766" name="73"/>
        <xdr:cNvSpPr/>
      </xdr:nvSpPr>
      <xdr:spPr>
        <a:xfrm>
          <a:off x="11658600" y="14508480"/>
          <a:ext cx="2874554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45</xdr:col>
      <xdr:colOff>0</xdr:colOff>
      <xdr:row>76</xdr:row>
      <xdr:rowOff>95250</xdr:rowOff>
    </xdr:from>
    <xdr:to>
      <xdr:col>45</xdr:col>
      <xdr:colOff>0</xdr:colOff>
      <xdr:row>76</xdr:row>
      <xdr:rowOff>95250</xdr:rowOff>
    </xdr:to>
    <xdr:cxnSp macro="">
      <xdr:nvCxnSpPr>
        <xdr:cNvPr id="767" name="직선 화살표 연결선 766"/>
        <xdr:cNvCxnSpPr/>
      </xdr:nvCxnSpPr>
      <xdr:spPr>
        <a:xfrm>
          <a:off x="11658600" y="1456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75</xdr:row>
      <xdr:rowOff>38100</xdr:rowOff>
    </xdr:from>
    <xdr:to>
      <xdr:col>62</xdr:col>
      <xdr:colOff>82913</xdr:colOff>
      <xdr:row>75</xdr:row>
      <xdr:rowOff>152400</xdr:rowOff>
    </xdr:to>
    <xdr:sp macro="" textlink="">
      <xdr:nvSpPr>
        <xdr:cNvPr id="768" name="72"/>
        <xdr:cNvSpPr/>
      </xdr:nvSpPr>
      <xdr:spPr>
        <a:xfrm>
          <a:off x="10127252" y="14317980"/>
          <a:ext cx="407552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75</xdr:row>
      <xdr:rowOff>95250</xdr:rowOff>
    </xdr:from>
    <xdr:to>
      <xdr:col>34</xdr:col>
      <xdr:colOff>61232</xdr:colOff>
      <xdr:row>75</xdr:row>
      <xdr:rowOff>95250</xdr:rowOff>
    </xdr:to>
    <xdr:cxnSp macro="">
      <xdr:nvCxnSpPr>
        <xdr:cNvPr id="769" name="직선 화살표 연결선 768"/>
        <xdr:cNvCxnSpPr/>
      </xdr:nvCxnSpPr>
      <xdr:spPr>
        <a:xfrm>
          <a:off x="10127252" y="1437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74</xdr:row>
      <xdr:rowOff>38100</xdr:rowOff>
    </xdr:from>
    <xdr:to>
      <xdr:col>67</xdr:col>
      <xdr:colOff>1270</xdr:colOff>
      <xdr:row>74</xdr:row>
      <xdr:rowOff>152400</xdr:rowOff>
    </xdr:to>
    <xdr:sp macro="" textlink="">
      <xdr:nvSpPr>
        <xdr:cNvPr id="770" name="71"/>
        <xdr:cNvSpPr/>
      </xdr:nvSpPr>
      <xdr:spPr>
        <a:xfrm>
          <a:off x="10127252" y="14127480"/>
          <a:ext cx="47177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74</xdr:row>
      <xdr:rowOff>95250</xdr:rowOff>
    </xdr:from>
    <xdr:to>
      <xdr:col>34</xdr:col>
      <xdr:colOff>61232</xdr:colOff>
      <xdr:row>74</xdr:row>
      <xdr:rowOff>95250</xdr:rowOff>
    </xdr:to>
    <xdr:cxnSp macro="">
      <xdr:nvCxnSpPr>
        <xdr:cNvPr id="771" name="직선 화살표 연결선 770"/>
        <xdr:cNvCxnSpPr/>
      </xdr:nvCxnSpPr>
      <xdr:spPr>
        <a:xfrm>
          <a:off x="10127252" y="1418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73</xdr:row>
      <xdr:rowOff>38100</xdr:rowOff>
    </xdr:from>
    <xdr:to>
      <xdr:col>71</xdr:col>
      <xdr:colOff>42090</xdr:colOff>
      <xdr:row>73</xdr:row>
      <xdr:rowOff>152400</xdr:rowOff>
    </xdr:to>
    <xdr:sp macro="" textlink="">
      <xdr:nvSpPr>
        <xdr:cNvPr id="772" name="70"/>
        <xdr:cNvSpPr/>
      </xdr:nvSpPr>
      <xdr:spPr>
        <a:xfrm>
          <a:off x="10127252" y="13936980"/>
          <a:ext cx="533771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73</xdr:row>
      <xdr:rowOff>95250</xdr:rowOff>
    </xdr:from>
    <xdr:to>
      <xdr:col>34</xdr:col>
      <xdr:colOff>61232</xdr:colOff>
      <xdr:row>73</xdr:row>
      <xdr:rowOff>95250</xdr:rowOff>
    </xdr:to>
    <xdr:cxnSp macro="">
      <xdr:nvCxnSpPr>
        <xdr:cNvPr id="773" name="직선 화살표 연결선 772"/>
        <xdr:cNvCxnSpPr/>
      </xdr:nvCxnSpPr>
      <xdr:spPr>
        <a:xfrm>
          <a:off x="10127252" y="1399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20411</xdr:colOff>
      <xdr:row>72</xdr:row>
      <xdr:rowOff>38100</xdr:rowOff>
    </xdr:from>
    <xdr:to>
      <xdr:col>74</xdr:col>
      <xdr:colOff>21681</xdr:colOff>
      <xdr:row>72</xdr:row>
      <xdr:rowOff>152400</xdr:rowOff>
    </xdr:to>
    <xdr:sp macro="" textlink="">
      <xdr:nvSpPr>
        <xdr:cNvPr id="774" name="69"/>
        <xdr:cNvSpPr/>
      </xdr:nvSpPr>
      <xdr:spPr>
        <a:xfrm>
          <a:off x="15008951" y="137464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20411</xdr:colOff>
      <xdr:row>72</xdr:row>
      <xdr:rowOff>95250</xdr:rowOff>
    </xdr:from>
    <xdr:to>
      <xdr:col>68</xdr:col>
      <xdr:colOff>20411</xdr:colOff>
      <xdr:row>72</xdr:row>
      <xdr:rowOff>95250</xdr:rowOff>
    </xdr:to>
    <xdr:cxnSp macro="">
      <xdr:nvCxnSpPr>
        <xdr:cNvPr id="775" name="직선 화살표 연결선 774"/>
        <xdr:cNvCxnSpPr/>
      </xdr:nvCxnSpPr>
      <xdr:spPr>
        <a:xfrm>
          <a:off x="15008951" y="1380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71</xdr:row>
      <xdr:rowOff>38100</xdr:rowOff>
    </xdr:from>
    <xdr:to>
      <xdr:col>68</xdr:col>
      <xdr:colOff>42090</xdr:colOff>
      <xdr:row>71</xdr:row>
      <xdr:rowOff>152400</xdr:rowOff>
    </xdr:to>
    <xdr:sp macro="" textlink="">
      <xdr:nvSpPr>
        <xdr:cNvPr id="776" name="68"/>
        <xdr:cNvSpPr/>
      </xdr:nvSpPr>
      <xdr:spPr>
        <a:xfrm>
          <a:off x="13561151" y="13555980"/>
          <a:ext cx="14694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71</xdr:row>
      <xdr:rowOff>95250</xdr:rowOff>
    </xdr:from>
    <xdr:to>
      <xdr:col>58</xdr:col>
      <xdr:colOff>20411</xdr:colOff>
      <xdr:row>71</xdr:row>
      <xdr:rowOff>95250</xdr:rowOff>
    </xdr:to>
    <xdr:cxnSp macro="">
      <xdr:nvCxnSpPr>
        <xdr:cNvPr id="777" name="직선 화살표 연결선 776"/>
        <xdr:cNvCxnSpPr/>
      </xdr:nvCxnSpPr>
      <xdr:spPr>
        <a:xfrm>
          <a:off x="13561151" y="1361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70</xdr:row>
      <xdr:rowOff>38100</xdr:rowOff>
    </xdr:from>
    <xdr:to>
      <xdr:col>74</xdr:col>
      <xdr:colOff>21681</xdr:colOff>
      <xdr:row>70</xdr:row>
      <xdr:rowOff>152400</xdr:rowOff>
    </xdr:to>
    <xdr:sp macro="" textlink="">
      <xdr:nvSpPr>
        <xdr:cNvPr id="778" name="67"/>
        <xdr:cNvSpPr/>
      </xdr:nvSpPr>
      <xdr:spPr>
        <a:xfrm>
          <a:off x="13561151" y="13365480"/>
          <a:ext cx="231775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70</xdr:row>
      <xdr:rowOff>95250</xdr:rowOff>
    </xdr:from>
    <xdr:to>
      <xdr:col>58</xdr:col>
      <xdr:colOff>20411</xdr:colOff>
      <xdr:row>70</xdr:row>
      <xdr:rowOff>95250</xdr:rowOff>
    </xdr:to>
    <xdr:cxnSp macro="">
      <xdr:nvCxnSpPr>
        <xdr:cNvPr id="779" name="직선 화살표 연결선 778"/>
        <xdr:cNvCxnSpPr/>
      </xdr:nvCxnSpPr>
      <xdr:spPr>
        <a:xfrm>
          <a:off x="13561151" y="1342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102054</xdr:colOff>
      <xdr:row>69</xdr:row>
      <xdr:rowOff>38100</xdr:rowOff>
    </xdr:from>
    <xdr:to>
      <xdr:col>77</xdr:col>
      <xdr:colOff>103324</xdr:colOff>
      <xdr:row>69</xdr:row>
      <xdr:rowOff>152400</xdr:rowOff>
    </xdr:to>
    <xdr:sp macro="" textlink="">
      <xdr:nvSpPr>
        <xdr:cNvPr id="780" name="66"/>
        <xdr:cNvSpPr/>
      </xdr:nvSpPr>
      <xdr:spPr>
        <a:xfrm>
          <a:off x="15235374" y="13174980"/>
          <a:ext cx="11595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69</xdr:col>
      <xdr:colOff>102054</xdr:colOff>
      <xdr:row>69</xdr:row>
      <xdr:rowOff>95250</xdr:rowOff>
    </xdr:from>
    <xdr:to>
      <xdr:col>69</xdr:col>
      <xdr:colOff>102054</xdr:colOff>
      <xdr:row>69</xdr:row>
      <xdr:rowOff>95250</xdr:rowOff>
    </xdr:to>
    <xdr:cxnSp macro="">
      <xdr:nvCxnSpPr>
        <xdr:cNvPr id="781" name="직선 화살표 연결선 780"/>
        <xdr:cNvCxnSpPr/>
      </xdr:nvCxnSpPr>
      <xdr:spPr>
        <a:xfrm>
          <a:off x="15235374" y="1323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20411</xdr:colOff>
      <xdr:row>68</xdr:row>
      <xdr:rowOff>38100</xdr:rowOff>
    </xdr:from>
    <xdr:to>
      <xdr:col>69</xdr:col>
      <xdr:colOff>103324</xdr:colOff>
      <xdr:row>68</xdr:row>
      <xdr:rowOff>152400</xdr:rowOff>
    </xdr:to>
    <xdr:sp macro="" textlink="">
      <xdr:nvSpPr>
        <xdr:cNvPr id="782" name="65"/>
        <xdr:cNvSpPr/>
      </xdr:nvSpPr>
      <xdr:spPr>
        <a:xfrm>
          <a:off x="13850711" y="12984480"/>
          <a:ext cx="138593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20411</xdr:colOff>
      <xdr:row>68</xdr:row>
      <xdr:rowOff>95250</xdr:rowOff>
    </xdr:from>
    <xdr:to>
      <xdr:col>60</xdr:col>
      <xdr:colOff>20411</xdr:colOff>
      <xdr:row>68</xdr:row>
      <xdr:rowOff>95250</xdr:rowOff>
    </xdr:to>
    <xdr:cxnSp macro="">
      <xdr:nvCxnSpPr>
        <xdr:cNvPr id="783" name="직선 화살표 연결선 782"/>
        <xdr:cNvCxnSpPr/>
      </xdr:nvCxnSpPr>
      <xdr:spPr>
        <a:xfrm>
          <a:off x="13850711" y="1304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20411</xdr:colOff>
      <xdr:row>67</xdr:row>
      <xdr:rowOff>38100</xdr:rowOff>
    </xdr:from>
    <xdr:to>
      <xdr:col>77</xdr:col>
      <xdr:colOff>103324</xdr:colOff>
      <xdr:row>67</xdr:row>
      <xdr:rowOff>152400</xdr:rowOff>
    </xdr:to>
    <xdr:sp macro="" textlink="">
      <xdr:nvSpPr>
        <xdr:cNvPr id="784" name="64"/>
        <xdr:cNvSpPr/>
      </xdr:nvSpPr>
      <xdr:spPr>
        <a:xfrm>
          <a:off x="13850711" y="12793980"/>
          <a:ext cx="254417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60</xdr:col>
      <xdr:colOff>20411</xdr:colOff>
      <xdr:row>67</xdr:row>
      <xdr:rowOff>95250</xdr:rowOff>
    </xdr:from>
    <xdr:to>
      <xdr:col>60</xdr:col>
      <xdr:colOff>20411</xdr:colOff>
      <xdr:row>67</xdr:row>
      <xdr:rowOff>95250</xdr:rowOff>
    </xdr:to>
    <xdr:cxnSp macro="">
      <xdr:nvCxnSpPr>
        <xdr:cNvPr id="785" name="직선 화살표 연결선 784"/>
        <xdr:cNvCxnSpPr/>
      </xdr:nvCxnSpPr>
      <xdr:spPr>
        <a:xfrm>
          <a:off x="13850711" y="1285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20411</xdr:colOff>
      <xdr:row>66</xdr:row>
      <xdr:rowOff>38100</xdr:rowOff>
    </xdr:from>
    <xdr:to>
      <xdr:col>74</xdr:col>
      <xdr:colOff>21681</xdr:colOff>
      <xdr:row>66</xdr:row>
      <xdr:rowOff>152400</xdr:rowOff>
    </xdr:to>
    <xdr:sp macro="" textlink="">
      <xdr:nvSpPr>
        <xdr:cNvPr id="786" name="63"/>
        <xdr:cNvSpPr/>
      </xdr:nvSpPr>
      <xdr:spPr>
        <a:xfrm>
          <a:off x="15008951" y="126034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20411</xdr:colOff>
      <xdr:row>66</xdr:row>
      <xdr:rowOff>95250</xdr:rowOff>
    </xdr:from>
    <xdr:to>
      <xdr:col>68</xdr:col>
      <xdr:colOff>20411</xdr:colOff>
      <xdr:row>66</xdr:row>
      <xdr:rowOff>95250</xdr:rowOff>
    </xdr:to>
    <xdr:cxnSp macro="">
      <xdr:nvCxnSpPr>
        <xdr:cNvPr id="787" name="직선 화살표 연결선 786"/>
        <xdr:cNvCxnSpPr/>
      </xdr:nvCxnSpPr>
      <xdr:spPr>
        <a:xfrm>
          <a:off x="15008951" y="1266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65</xdr:row>
      <xdr:rowOff>38100</xdr:rowOff>
    </xdr:from>
    <xdr:to>
      <xdr:col>68</xdr:col>
      <xdr:colOff>42090</xdr:colOff>
      <xdr:row>65</xdr:row>
      <xdr:rowOff>152400</xdr:rowOff>
    </xdr:to>
    <xdr:sp macro="" textlink="">
      <xdr:nvSpPr>
        <xdr:cNvPr id="788" name="62"/>
        <xdr:cNvSpPr/>
      </xdr:nvSpPr>
      <xdr:spPr>
        <a:xfrm>
          <a:off x="13561151" y="12412980"/>
          <a:ext cx="1469479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65</xdr:row>
      <xdr:rowOff>95250</xdr:rowOff>
    </xdr:from>
    <xdr:to>
      <xdr:col>58</xdr:col>
      <xdr:colOff>20411</xdr:colOff>
      <xdr:row>65</xdr:row>
      <xdr:rowOff>95250</xdr:rowOff>
    </xdr:to>
    <xdr:cxnSp macro="">
      <xdr:nvCxnSpPr>
        <xdr:cNvPr id="789" name="직선 화살표 연결선 788"/>
        <xdr:cNvCxnSpPr/>
      </xdr:nvCxnSpPr>
      <xdr:spPr>
        <a:xfrm>
          <a:off x="13561151" y="1247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64</xdr:row>
      <xdr:rowOff>38100</xdr:rowOff>
    </xdr:from>
    <xdr:to>
      <xdr:col>74</xdr:col>
      <xdr:colOff>21681</xdr:colOff>
      <xdr:row>64</xdr:row>
      <xdr:rowOff>152400</xdr:rowOff>
    </xdr:to>
    <xdr:sp macro="" textlink="">
      <xdr:nvSpPr>
        <xdr:cNvPr id="790" name="61"/>
        <xdr:cNvSpPr/>
      </xdr:nvSpPr>
      <xdr:spPr>
        <a:xfrm>
          <a:off x="13561151" y="12222480"/>
          <a:ext cx="231775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64</xdr:row>
      <xdr:rowOff>95250</xdr:rowOff>
    </xdr:from>
    <xdr:to>
      <xdr:col>58</xdr:col>
      <xdr:colOff>20411</xdr:colOff>
      <xdr:row>64</xdr:row>
      <xdr:rowOff>95250</xdr:rowOff>
    </xdr:to>
    <xdr:cxnSp macro="">
      <xdr:nvCxnSpPr>
        <xdr:cNvPr id="791" name="직선 화살표 연결선 790"/>
        <xdr:cNvCxnSpPr/>
      </xdr:nvCxnSpPr>
      <xdr:spPr>
        <a:xfrm>
          <a:off x="13561151" y="1227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122464</xdr:colOff>
      <xdr:row>63</xdr:row>
      <xdr:rowOff>38100</xdr:rowOff>
    </xdr:from>
    <xdr:to>
      <xdr:col>72</xdr:col>
      <xdr:colOff>42090</xdr:colOff>
      <xdr:row>63</xdr:row>
      <xdr:rowOff>152400</xdr:rowOff>
    </xdr:to>
    <xdr:sp macro="" textlink="">
      <xdr:nvSpPr>
        <xdr:cNvPr id="792" name="60"/>
        <xdr:cNvSpPr/>
      </xdr:nvSpPr>
      <xdr:spPr>
        <a:xfrm>
          <a:off x="14821444" y="12031980"/>
          <a:ext cx="78830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122464</xdr:colOff>
      <xdr:row>63</xdr:row>
      <xdr:rowOff>95250</xdr:rowOff>
    </xdr:from>
    <xdr:to>
      <xdr:col>66</xdr:col>
      <xdr:colOff>122464</xdr:colOff>
      <xdr:row>63</xdr:row>
      <xdr:rowOff>95250</xdr:rowOff>
    </xdr:to>
    <xdr:cxnSp macro="">
      <xdr:nvCxnSpPr>
        <xdr:cNvPr id="793" name="직선 화살표 연결선 792"/>
        <xdr:cNvCxnSpPr/>
      </xdr:nvCxnSpPr>
      <xdr:spPr>
        <a:xfrm>
          <a:off x="14821444" y="1208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62</xdr:row>
      <xdr:rowOff>38100</xdr:rowOff>
    </xdr:from>
    <xdr:to>
      <xdr:col>66</xdr:col>
      <xdr:colOff>123734</xdr:colOff>
      <xdr:row>62</xdr:row>
      <xdr:rowOff>152400</xdr:rowOff>
    </xdr:to>
    <xdr:sp macro="" textlink="">
      <xdr:nvSpPr>
        <xdr:cNvPr id="794" name="59"/>
        <xdr:cNvSpPr/>
      </xdr:nvSpPr>
      <xdr:spPr>
        <a:xfrm>
          <a:off x="13561151" y="11841480"/>
          <a:ext cx="126156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62</xdr:row>
      <xdr:rowOff>95250</xdr:rowOff>
    </xdr:from>
    <xdr:to>
      <xdr:col>58</xdr:col>
      <xdr:colOff>20411</xdr:colOff>
      <xdr:row>62</xdr:row>
      <xdr:rowOff>95250</xdr:rowOff>
    </xdr:to>
    <xdr:cxnSp macro="">
      <xdr:nvCxnSpPr>
        <xdr:cNvPr id="795" name="직선 화살표 연결선 794"/>
        <xdr:cNvCxnSpPr/>
      </xdr:nvCxnSpPr>
      <xdr:spPr>
        <a:xfrm>
          <a:off x="13561151" y="1189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61</xdr:row>
      <xdr:rowOff>38100</xdr:rowOff>
    </xdr:from>
    <xdr:to>
      <xdr:col>72</xdr:col>
      <xdr:colOff>42090</xdr:colOff>
      <xdr:row>61</xdr:row>
      <xdr:rowOff>152400</xdr:rowOff>
    </xdr:to>
    <xdr:sp macro="" textlink="">
      <xdr:nvSpPr>
        <xdr:cNvPr id="796" name="58"/>
        <xdr:cNvSpPr/>
      </xdr:nvSpPr>
      <xdr:spPr>
        <a:xfrm>
          <a:off x="13561151" y="11650980"/>
          <a:ext cx="20485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61</xdr:row>
      <xdr:rowOff>95250</xdr:rowOff>
    </xdr:from>
    <xdr:to>
      <xdr:col>58</xdr:col>
      <xdr:colOff>20411</xdr:colOff>
      <xdr:row>61</xdr:row>
      <xdr:rowOff>95250</xdr:rowOff>
    </xdr:to>
    <xdr:cxnSp macro="">
      <xdr:nvCxnSpPr>
        <xdr:cNvPr id="797" name="직선 화살표 연결선 796"/>
        <xdr:cNvCxnSpPr/>
      </xdr:nvCxnSpPr>
      <xdr:spPr>
        <a:xfrm>
          <a:off x="13561151" y="1170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122464</xdr:colOff>
      <xdr:row>60</xdr:row>
      <xdr:rowOff>38100</xdr:rowOff>
    </xdr:from>
    <xdr:to>
      <xdr:col>72</xdr:col>
      <xdr:colOff>42090</xdr:colOff>
      <xdr:row>60</xdr:row>
      <xdr:rowOff>152400</xdr:rowOff>
    </xdr:to>
    <xdr:sp macro="" textlink="">
      <xdr:nvSpPr>
        <xdr:cNvPr id="798" name="57"/>
        <xdr:cNvSpPr/>
      </xdr:nvSpPr>
      <xdr:spPr>
        <a:xfrm>
          <a:off x="14821444" y="11460480"/>
          <a:ext cx="78830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122464</xdr:colOff>
      <xdr:row>60</xdr:row>
      <xdr:rowOff>95250</xdr:rowOff>
    </xdr:from>
    <xdr:to>
      <xdr:col>66</xdr:col>
      <xdr:colOff>122464</xdr:colOff>
      <xdr:row>60</xdr:row>
      <xdr:rowOff>95250</xdr:rowOff>
    </xdr:to>
    <xdr:cxnSp macro="">
      <xdr:nvCxnSpPr>
        <xdr:cNvPr id="799" name="직선 화살표 연결선 798"/>
        <xdr:cNvCxnSpPr/>
      </xdr:nvCxnSpPr>
      <xdr:spPr>
        <a:xfrm>
          <a:off x="14821444" y="1151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59</xdr:row>
      <xdr:rowOff>38100</xdr:rowOff>
    </xdr:from>
    <xdr:to>
      <xdr:col>66</xdr:col>
      <xdr:colOff>123734</xdr:colOff>
      <xdr:row>59</xdr:row>
      <xdr:rowOff>152400</xdr:rowOff>
    </xdr:to>
    <xdr:sp macro="" textlink="">
      <xdr:nvSpPr>
        <xdr:cNvPr id="800" name="56"/>
        <xdr:cNvSpPr/>
      </xdr:nvSpPr>
      <xdr:spPr>
        <a:xfrm>
          <a:off x="13561151" y="11269980"/>
          <a:ext cx="126156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59</xdr:row>
      <xdr:rowOff>95250</xdr:rowOff>
    </xdr:from>
    <xdr:to>
      <xdr:col>58</xdr:col>
      <xdr:colOff>20411</xdr:colOff>
      <xdr:row>59</xdr:row>
      <xdr:rowOff>95250</xdr:rowOff>
    </xdr:to>
    <xdr:cxnSp macro="">
      <xdr:nvCxnSpPr>
        <xdr:cNvPr id="801" name="직선 화살표 연결선 800"/>
        <xdr:cNvCxnSpPr/>
      </xdr:nvCxnSpPr>
      <xdr:spPr>
        <a:xfrm>
          <a:off x="13561151" y="1132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58</xdr:row>
      <xdr:rowOff>38100</xdr:rowOff>
    </xdr:from>
    <xdr:to>
      <xdr:col>72</xdr:col>
      <xdr:colOff>42090</xdr:colOff>
      <xdr:row>58</xdr:row>
      <xdr:rowOff>152400</xdr:rowOff>
    </xdr:to>
    <xdr:sp macro="" textlink="">
      <xdr:nvSpPr>
        <xdr:cNvPr id="802" name="55"/>
        <xdr:cNvSpPr/>
      </xdr:nvSpPr>
      <xdr:spPr>
        <a:xfrm>
          <a:off x="13561151" y="11079480"/>
          <a:ext cx="20485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58</xdr:row>
      <xdr:rowOff>95250</xdr:rowOff>
    </xdr:from>
    <xdr:to>
      <xdr:col>58</xdr:col>
      <xdr:colOff>20411</xdr:colOff>
      <xdr:row>58</xdr:row>
      <xdr:rowOff>95250</xdr:rowOff>
    </xdr:to>
    <xdr:cxnSp macro="">
      <xdr:nvCxnSpPr>
        <xdr:cNvPr id="803" name="직선 화살표 연결선 802"/>
        <xdr:cNvCxnSpPr/>
      </xdr:nvCxnSpPr>
      <xdr:spPr>
        <a:xfrm>
          <a:off x="13561151" y="1113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20411</xdr:colOff>
      <xdr:row>57</xdr:row>
      <xdr:rowOff>38100</xdr:rowOff>
    </xdr:from>
    <xdr:to>
      <xdr:col>75</xdr:col>
      <xdr:colOff>82913</xdr:colOff>
      <xdr:row>57</xdr:row>
      <xdr:rowOff>152400</xdr:rowOff>
    </xdr:to>
    <xdr:sp macro="" textlink="">
      <xdr:nvSpPr>
        <xdr:cNvPr id="804" name="54"/>
        <xdr:cNvSpPr/>
      </xdr:nvSpPr>
      <xdr:spPr>
        <a:xfrm>
          <a:off x="15008951" y="10888980"/>
          <a:ext cx="1075962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68</xdr:col>
      <xdr:colOff>20411</xdr:colOff>
      <xdr:row>57</xdr:row>
      <xdr:rowOff>95250</xdr:rowOff>
    </xdr:from>
    <xdr:to>
      <xdr:col>68</xdr:col>
      <xdr:colOff>20411</xdr:colOff>
      <xdr:row>57</xdr:row>
      <xdr:rowOff>95250</xdr:rowOff>
    </xdr:to>
    <xdr:cxnSp macro="">
      <xdr:nvCxnSpPr>
        <xdr:cNvPr id="805" name="직선 화살표 연결선 804"/>
        <xdr:cNvCxnSpPr/>
      </xdr:nvCxnSpPr>
      <xdr:spPr>
        <a:xfrm>
          <a:off x="15008951" y="1094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56</xdr:row>
      <xdr:rowOff>38100</xdr:rowOff>
    </xdr:from>
    <xdr:to>
      <xdr:col>66</xdr:col>
      <xdr:colOff>123734</xdr:colOff>
      <xdr:row>56</xdr:row>
      <xdr:rowOff>152400</xdr:rowOff>
    </xdr:to>
    <xdr:sp macro="" textlink="">
      <xdr:nvSpPr>
        <xdr:cNvPr id="806" name="53"/>
        <xdr:cNvSpPr/>
      </xdr:nvSpPr>
      <xdr:spPr>
        <a:xfrm>
          <a:off x="13561151" y="10698480"/>
          <a:ext cx="126156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56</xdr:row>
      <xdr:rowOff>95250</xdr:rowOff>
    </xdr:from>
    <xdr:to>
      <xdr:col>58</xdr:col>
      <xdr:colOff>20411</xdr:colOff>
      <xdr:row>56</xdr:row>
      <xdr:rowOff>95250</xdr:rowOff>
    </xdr:to>
    <xdr:cxnSp macro="">
      <xdr:nvCxnSpPr>
        <xdr:cNvPr id="807" name="직선 화살표 연결선 806"/>
        <xdr:cNvCxnSpPr/>
      </xdr:nvCxnSpPr>
      <xdr:spPr>
        <a:xfrm>
          <a:off x="13561151" y="1075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55</xdr:row>
      <xdr:rowOff>38100</xdr:rowOff>
    </xdr:from>
    <xdr:to>
      <xdr:col>75</xdr:col>
      <xdr:colOff>82913</xdr:colOff>
      <xdr:row>55</xdr:row>
      <xdr:rowOff>152400</xdr:rowOff>
    </xdr:to>
    <xdr:sp macro="" textlink="">
      <xdr:nvSpPr>
        <xdr:cNvPr id="808" name="52"/>
        <xdr:cNvSpPr/>
      </xdr:nvSpPr>
      <xdr:spPr>
        <a:xfrm>
          <a:off x="13561151" y="10507980"/>
          <a:ext cx="2523762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55</xdr:row>
      <xdr:rowOff>95250</xdr:rowOff>
    </xdr:from>
    <xdr:to>
      <xdr:col>58</xdr:col>
      <xdr:colOff>20411</xdr:colOff>
      <xdr:row>55</xdr:row>
      <xdr:rowOff>95250</xdr:rowOff>
    </xdr:to>
    <xdr:cxnSp macro="">
      <xdr:nvCxnSpPr>
        <xdr:cNvPr id="809" name="직선 화살표 연결선 808"/>
        <xdr:cNvCxnSpPr/>
      </xdr:nvCxnSpPr>
      <xdr:spPr>
        <a:xfrm>
          <a:off x="13561151" y="1056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122464</xdr:colOff>
      <xdr:row>54</xdr:row>
      <xdr:rowOff>38100</xdr:rowOff>
    </xdr:from>
    <xdr:to>
      <xdr:col>72</xdr:col>
      <xdr:colOff>42090</xdr:colOff>
      <xdr:row>54</xdr:row>
      <xdr:rowOff>152400</xdr:rowOff>
    </xdr:to>
    <xdr:sp macro="" textlink="">
      <xdr:nvSpPr>
        <xdr:cNvPr id="810" name="51"/>
        <xdr:cNvSpPr/>
      </xdr:nvSpPr>
      <xdr:spPr>
        <a:xfrm>
          <a:off x="14821444" y="10317480"/>
          <a:ext cx="78830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66</xdr:col>
      <xdr:colOff>122464</xdr:colOff>
      <xdr:row>54</xdr:row>
      <xdr:rowOff>95250</xdr:rowOff>
    </xdr:from>
    <xdr:to>
      <xdr:col>66</xdr:col>
      <xdr:colOff>122464</xdr:colOff>
      <xdr:row>54</xdr:row>
      <xdr:rowOff>95250</xdr:rowOff>
    </xdr:to>
    <xdr:cxnSp macro="">
      <xdr:nvCxnSpPr>
        <xdr:cNvPr id="811" name="직선 화살표 연결선 810"/>
        <xdr:cNvCxnSpPr/>
      </xdr:nvCxnSpPr>
      <xdr:spPr>
        <a:xfrm>
          <a:off x="14821444" y="1037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53</xdr:row>
      <xdr:rowOff>38100</xdr:rowOff>
    </xdr:from>
    <xdr:to>
      <xdr:col>66</xdr:col>
      <xdr:colOff>123734</xdr:colOff>
      <xdr:row>53</xdr:row>
      <xdr:rowOff>152400</xdr:rowOff>
    </xdr:to>
    <xdr:sp macro="" textlink="">
      <xdr:nvSpPr>
        <xdr:cNvPr id="812" name="50"/>
        <xdr:cNvSpPr/>
      </xdr:nvSpPr>
      <xdr:spPr>
        <a:xfrm>
          <a:off x="13561151" y="10126980"/>
          <a:ext cx="126156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53</xdr:row>
      <xdr:rowOff>95250</xdr:rowOff>
    </xdr:from>
    <xdr:to>
      <xdr:col>58</xdr:col>
      <xdr:colOff>20411</xdr:colOff>
      <xdr:row>53</xdr:row>
      <xdr:rowOff>95250</xdr:rowOff>
    </xdr:to>
    <xdr:cxnSp macro="">
      <xdr:nvCxnSpPr>
        <xdr:cNvPr id="813" name="직선 화살표 연결선 812"/>
        <xdr:cNvCxnSpPr/>
      </xdr:nvCxnSpPr>
      <xdr:spPr>
        <a:xfrm>
          <a:off x="13561151" y="1018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52</xdr:row>
      <xdr:rowOff>38100</xdr:rowOff>
    </xdr:from>
    <xdr:to>
      <xdr:col>72</xdr:col>
      <xdr:colOff>42090</xdr:colOff>
      <xdr:row>52</xdr:row>
      <xdr:rowOff>152400</xdr:rowOff>
    </xdr:to>
    <xdr:sp macro="" textlink="">
      <xdr:nvSpPr>
        <xdr:cNvPr id="814" name="49"/>
        <xdr:cNvSpPr/>
      </xdr:nvSpPr>
      <xdr:spPr>
        <a:xfrm>
          <a:off x="13561151" y="9936480"/>
          <a:ext cx="204859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52</xdr:row>
      <xdr:rowOff>95250</xdr:rowOff>
    </xdr:from>
    <xdr:to>
      <xdr:col>58</xdr:col>
      <xdr:colOff>20411</xdr:colOff>
      <xdr:row>52</xdr:row>
      <xdr:rowOff>95250</xdr:rowOff>
    </xdr:to>
    <xdr:cxnSp macro="">
      <xdr:nvCxnSpPr>
        <xdr:cNvPr id="815" name="직선 화살표 연결선 814"/>
        <xdr:cNvCxnSpPr/>
      </xdr:nvCxnSpPr>
      <xdr:spPr>
        <a:xfrm>
          <a:off x="13561151" y="999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20411</xdr:colOff>
      <xdr:row>51</xdr:row>
      <xdr:rowOff>38100</xdr:rowOff>
    </xdr:from>
    <xdr:to>
      <xdr:col>77</xdr:col>
      <xdr:colOff>103324</xdr:colOff>
      <xdr:row>51</xdr:row>
      <xdr:rowOff>152400</xdr:rowOff>
    </xdr:to>
    <xdr:sp macro="" textlink="">
      <xdr:nvSpPr>
        <xdr:cNvPr id="816" name="48"/>
        <xdr:cNvSpPr/>
      </xdr:nvSpPr>
      <xdr:spPr>
        <a:xfrm>
          <a:off x="13561151" y="9745980"/>
          <a:ext cx="2833733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20411</xdr:colOff>
      <xdr:row>51</xdr:row>
      <xdr:rowOff>95250</xdr:rowOff>
    </xdr:from>
    <xdr:to>
      <xdr:col>58</xdr:col>
      <xdr:colOff>20411</xdr:colOff>
      <xdr:row>51</xdr:row>
      <xdr:rowOff>95250</xdr:rowOff>
    </xdr:to>
    <xdr:cxnSp macro="">
      <xdr:nvCxnSpPr>
        <xdr:cNvPr id="817" name="직선 화살표 연결선 816"/>
        <xdr:cNvCxnSpPr/>
      </xdr:nvCxnSpPr>
      <xdr:spPr>
        <a:xfrm>
          <a:off x="13561151" y="980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81643</xdr:colOff>
      <xdr:row>50</xdr:row>
      <xdr:rowOff>38100</xdr:rowOff>
    </xdr:from>
    <xdr:to>
      <xdr:col>65</xdr:col>
      <xdr:colOff>82913</xdr:colOff>
      <xdr:row>50</xdr:row>
      <xdr:rowOff>152400</xdr:rowOff>
    </xdr:to>
    <xdr:sp macro="" textlink="">
      <xdr:nvSpPr>
        <xdr:cNvPr id="818" name="47"/>
        <xdr:cNvSpPr/>
      </xdr:nvSpPr>
      <xdr:spPr>
        <a:xfrm>
          <a:off x="13767163" y="95554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81643</xdr:colOff>
      <xdr:row>50</xdr:row>
      <xdr:rowOff>95250</xdr:rowOff>
    </xdr:from>
    <xdr:to>
      <xdr:col>59</xdr:col>
      <xdr:colOff>81643</xdr:colOff>
      <xdr:row>50</xdr:row>
      <xdr:rowOff>95250</xdr:rowOff>
    </xdr:to>
    <xdr:cxnSp macro="">
      <xdr:nvCxnSpPr>
        <xdr:cNvPr id="819" name="직선 화살표 연결선 818"/>
        <xdr:cNvCxnSpPr/>
      </xdr:nvCxnSpPr>
      <xdr:spPr>
        <a:xfrm>
          <a:off x="13767163" y="961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49</xdr:row>
      <xdr:rowOff>38100</xdr:rowOff>
    </xdr:from>
    <xdr:to>
      <xdr:col>59</xdr:col>
      <xdr:colOff>103324</xdr:colOff>
      <xdr:row>49</xdr:row>
      <xdr:rowOff>152400</xdr:rowOff>
    </xdr:to>
    <xdr:sp macro="" textlink="">
      <xdr:nvSpPr>
        <xdr:cNvPr id="820" name="46"/>
        <xdr:cNvSpPr/>
      </xdr:nvSpPr>
      <xdr:spPr>
        <a:xfrm>
          <a:off x="12319363" y="9364980"/>
          <a:ext cx="14694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49</xdr:row>
      <xdr:rowOff>95250</xdr:rowOff>
    </xdr:from>
    <xdr:to>
      <xdr:col>49</xdr:col>
      <xdr:colOff>81643</xdr:colOff>
      <xdr:row>49</xdr:row>
      <xdr:rowOff>95250</xdr:rowOff>
    </xdr:to>
    <xdr:cxnSp macro="">
      <xdr:nvCxnSpPr>
        <xdr:cNvPr id="821" name="직선 화살표 연결선 820"/>
        <xdr:cNvCxnSpPr/>
      </xdr:nvCxnSpPr>
      <xdr:spPr>
        <a:xfrm>
          <a:off x="12319363" y="942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48</xdr:row>
      <xdr:rowOff>38100</xdr:rowOff>
    </xdr:from>
    <xdr:to>
      <xdr:col>65</xdr:col>
      <xdr:colOff>82913</xdr:colOff>
      <xdr:row>48</xdr:row>
      <xdr:rowOff>152400</xdr:rowOff>
    </xdr:to>
    <xdr:sp macro="" textlink="">
      <xdr:nvSpPr>
        <xdr:cNvPr id="822" name="45"/>
        <xdr:cNvSpPr/>
      </xdr:nvSpPr>
      <xdr:spPr>
        <a:xfrm>
          <a:off x="12319363" y="9174480"/>
          <a:ext cx="231775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48</xdr:row>
      <xdr:rowOff>95250</xdr:rowOff>
    </xdr:from>
    <xdr:to>
      <xdr:col>49</xdr:col>
      <xdr:colOff>81643</xdr:colOff>
      <xdr:row>48</xdr:row>
      <xdr:rowOff>95250</xdr:rowOff>
    </xdr:to>
    <xdr:cxnSp macro="">
      <xdr:nvCxnSpPr>
        <xdr:cNvPr id="823" name="직선 화살표 연결선 822"/>
        <xdr:cNvCxnSpPr/>
      </xdr:nvCxnSpPr>
      <xdr:spPr>
        <a:xfrm>
          <a:off x="12319363" y="923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20411</xdr:colOff>
      <xdr:row>47</xdr:row>
      <xdr:rowOff>38100</xdr:rowOff>
    </xdr:from>
    <xdr:to>
      <xdr:col>69</xdr:col>
      <xdr:colOff>21681</xdr:colOff>
      <xdr:row>47</xdr:row>
      <xdr:rowOff>152400</xdr:rowOff>
    </xdr:to>
    <xdr:sp macro="" textlink="">
      <xdr:nvSpPr>
        <xdr:cNvPr id="824" name="44"/>
        <xdr:cNvSpPr/>
      </xdr:nvSpPr>
      <xdr:spPr>
        <a:xfrm>
          <a:off x="13995491" y="8983980"/>
          <a:ext cx="115951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61</xdr:col>
      <xdr:colOff>20411</xdr:colOff>
      <xdr:row>47</xdr:row>
      <xdr:rowOff>95250</xdr:rowOff>
    </xdr:from>
    <xdr:to>
      <xdr:col>61</xdr:col>
      <xdr:colOff>20411</xdr:colOff>
      <xdr:row>47</xdr:row>
      <xdr:rowOff>95250</xdr:rowOff>
    </xdr:to>
    <xdr:cxnSp macro="">
      <xdr:nvCxnSpPr>
        <xdr:cNvPr id="825" name="직선 화살표 연결선 824"/>
        <xdr:cNvCxnSpPr/>
      </xdr:nvCxnSpPr>
      <xdr:spPr>
        <a:xfrm>
          <a:off x="13995491" y="904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81643</xdr:colOff>
      <xdr:row>46</xdr:row>
      <xdr:rowOff>38100</xdr:rowOff>
    </xdr:from>
    <xdr:to>
      <xdr:col>61</xdr:col>
      <xdr:colOff>21681</xdr:colOff>
      <xdr:row>46</xdr:row>
      <xdr:rowOff>152400</xdr:rowOff>
    </xdr:to>
    <xdr:sp macro="" textlink="">
      <xdr:nvSpPr>
        <xdr:cNvPr id="826" name="43"/>
        <xdr:cNvSpPr/>
      </xdr:nvSpPr>
      <xdr:spPr>
        <a:xfrm>
          <a:off x="12608923" y="8793480"/>
          <a:ext cx="138783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81643</xdr:colOff>
      <xdr:row>46</xdr:row>
      <xdr:rowOff>95250</xdr:rowOff>
    </xdr:from>
    <xdr:to>
      <xdr:col>51</xdr:col>
      <xdr:colOff>81643</xdr:colOff>
      <xdr:row>46</xdr:row>
      <xdr:rowOff>95250</xdr:rowOff>
    </xdr:to>
    <xdr:cxnSp macro="">
      <xdr:nvCxnSpPr>
        <xdr:cNvPr id="827" name="직선 화살표 연결선 826"/>
        <xdr:cNvCxnSpPr/>
      </xdr:nvCxnSpPr>
      <xdr:spPr>
        <a:xfrm>
          <a:off x="12608923" y="8850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81643</xdr:colOff>
      <xdr:row>45</xdr:row>
      <xdr:rowOff>38100</xdr:rowOff>
    </xdr:from>
    <xdr:to>
      <xdr:col>69</xdr:col>
      <xdr:colOff>21681</xdr:colOff>
      <xdr:row>45</xdr:row>
      <xdr:rowOff>152400</xdr:rowOff>
    </xdr:to>
    <xdr:sp macro="" textlink="">
      <xdr:nvSpPr>
        <xdr:cNvPr id="828" name="42"/>
        <xdr:cNvSpPr/>
      </xdr:nvSpPr>
      <xdr:spPr>
        <a:xfrm>
          <a:off x="12608923" y="8602980"/>
          <a:ext cx="254607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51</xdr:col>
      <xdr:colOff>81643</xdr:colOff>
      <xdr:row>45</xdr:row>
      <xdr:rowOff>95250</xdr:rowOff>
    </xdr:from>
    <xdr:to>
      <xdr:col>51</xdr:col>
      <xdr:colOff>81643</xdr:colOff>
      <xdr:row>45</xdr:row>
      <xdr:rowOff>95250</xdr:rowOff>
    </xdr:to>
    <xdr:cxnSp macro="">
      <xdr:nvCxnSpPr>
        <xdr:cNvPr id="829" name="직선 화살표 연결선 828"/>
        <xdr:cNvCxnSpPr/>
      </xdr:nvCxnSpPr>
      <xdr:spPr>
        <a:xfrm>
          <a:off x="12608923" y="8660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81643</xdr:colOff>
      <xdr:row>44</xdr:row>
      <xdr:rowOff>38100</xdr:rowOff>
    </xdr:from>
    <xdr:to>
      <xdr:col>65</xdr:col>
      <xdr:colOff>82913</xdr:colOff>
      <xdr:row>44</xdr:row>
      <xdr:rowOff>152400</xdr:rowOff>
    </xdr:to>
    <xdr:sp macro="" textlink="">
      <xdr:nvSpPr>
        <xdr:cNvPr id="830" name="41"/>
        <xdr:cNvSpPr/>
      </xdr:nvSpPr>
      <xdr:spPr>
        <a:xfrm>
          <a:off x="13767163" y="8412480"/>
          <a:ext cx="86995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81643</xdr:colOff>
      <xdr:row>44</xdr:row>
      <xdr:rowOff>95250</xdr:rowOff>
    </xdr:from>
    <xdr:to>
      <xdr:col>59</xdr:col>
      <xdr:colOff>81643</xdr:colOff>
      <xdr:row>44</xdr:row>
      <xdr:rowOff>95250</xdr:rowOff>
    </xdr:to>
    <xdr:cxnSp macro="">
      <xdr:nvCxnSpPr>
        <xdr:cNvPr id="831" name="직선 화살표 연결선 830"/>
        <xdr:cNvCxnSpPr/>
      </xdr:nvCxnSpPr>
      <xdr:spPr>
        <a:xfrm>
          <a:off x="13767163" y="8469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43</xdr:row>
      <xdr:rowOff>38100</xdr:rowOff>
    </xdr:from>
    <xdr:to>
      <xdr:col>59</xdr:col>
      <xdr:colOff>103324</xdr:colOff>
      <xdr:row>43</xdr:row>
      <xdr:rowOff>152400</xdr:rowOff>
    </xdr:to>
    <xdr:sp macro="" textlink="">
      <xdr:nvSpPr>
        <xdr:cNvPr id="832" name="40"/>
        <xdr:cNvSpPr/>
      </xdr:nvSpPr>
      <xdr:spPr>
        <a:xfrm>
          <a:off x="12319363" y="8221980"/>
          <a:ext cx="146948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43</xdr:row>
      <xdr:rowOff>95250</xdr:rowOff>
    </xdr:from>
    <xdr:to>
      <xdr:col>49</xdr:col>
      <xdr:colOff>81643</xdr:colOff>
      <xdr:row>43</xdr:row>
      <xdr:rowOff>95250</xdr:rowOff>
    </xdr:to>
    <xdr:cxnSp macro="">
      <xdr:nvCxnSpPr>
        <xdr:cNvPr id="833" name="직선 화살표 연결선 832"/>
        <xdr:cNvCxnSpPr/>
      </xdr:nvCxnSpPr>
      <xdr:spPr>
        <a:xfrm>
          <a:off x="12319363" y="8279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42</xdr:row>
      <xdr:rowOff>38100</xdr:rowOff>
    </xdr:from>
    <xdr:to>
      <xdr:col>65</xdr:col>
      <xdr:colOff>82913</xdr:colOff>
      <xdr:row>42</xdr:row>
      <xdr:rowOff>152400</xdr:rowOff>
    </xdr:to>
    <xdr:sp macro="" textlink="">
      <xdr:nvSpPr>
        <xdr:cNvPr id="834" name="39"/>
        <xdr:cNvSpPr/>
      </xdr:nvSpPr>
      <xdr:spPr>
        <a:xfrm>
          <a:off x="12319363" y="8031480"/>
          <a:ext cx="2317750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42</xdr:row>
      <xdr:rowOff>95250</xdr:rowOff>
    </xdr:from>
    <xdr:to>
      <xdr:col>49</xdr:col>
      <xdr:colOff>81643</xdr:colOff>
      <xdr:row>42</xdr:row>
      <xdr:rowOff>95250</xdr:rowOff>
    </xdr:to>
    <xdr:cxnSp macro="">
      <xdr:nvCxnSpPr>
        <xdr:cNvPr id="835" name="직선 화살표 연결선 834"/>
        <xdr:cNvCxnSpPr/>
      </xdr:nvCxnSpPr>
      <xdr:spPr>
        <a:xfrm>
          <a:off x="12319363" y="8088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40821</xdr:colOff>
      <xdr:row>41</xdr:row>
      <xdr:rowOff>38100</xdr:rowOff>
    </xdr:from>
    <xdr:to>
      <xdr:col>63</xdr:col>
      <xdr:colOff>103324</xdr:colOff>
      <xdr:row>41</xdr:row>
      <xdr:rowOff>152400</xdr:rowOff>
    </xdr:to>
    <xdr:sp macro="" textlink="">
      <xdr:nvSpPr>
        <xdr:cNvPr id="836" name="38"/>
        <xdr:cNvSpPr/>
      </xdr:nvSpPr>
      <xdr:spPr>
        <a:xfrm>
          <a:off x="13581561" y="7840980"/>
          <a:ext cx="7864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40821</xdr:colOff>
      <xdr:row>41</xdr:row>
      <xdr:rowOff>95250</xdr:rowOff>
    </xdr:from>
    <xdr:to>
      <xdr:col>58</xdr:col>
      <xdr:colOff>40821</xdr:colOff>
      <xdr:row>41</xdr:row>
      <xdr:rowOff>95250</xdr:rowOff>
    </xdr:to>
    <xdr:cxnSp macro="">
      <xdr:nvCxnSpPr>
        <xdr:cNvPr id="837" name="직선 화살표 연결선 836"/>
        <xdr:cNvCxnSpPr/>
      </xdr:nvCxnSpPr>
      <xdr:spPr>
        <a:xfrm>
          <a:off x="13581561" y="7898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40</xdr:row>
      <xdr:rowOff>38100</xdr:rowOff>
    </xdr:from>
    <xdr:to>
      <xdr:col>58</xdr:col>
      <xdr:colOff>42090</xdr:colOff>
      <xdr:row>40</xdr:row>
      <xdr:rowOff>152400</xdr:rowOff>
    </xdr:to>
    <xdr:sp macro="" textlink="">
      <xdr:nvSpPr>
        <xdr:cNvPr id="838" name="37"/>
        <xdr:cNvSpPr/>
      </xdr:nvSpPr>
      <xdr:spPr>
        <a:xfrm>
          <a:off x="12319363" y="7650480"/>
          <a:ext cx="12634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40</xdr:row>
      <xdr:rowOff>95250</xdr:rowOff>
    </xdr:from>
    <xdr:to>
      <xdr:col>49</xdr:col>
      <xdr:colOff>81643</xdr:colOff>
      <xdr:row>40</xdr:row>
      <xdr:rowOff>95250</xdr:rowOff>
    </xdr:to>
    <xdr:cxnSp macro="">
      <xdr:nvCxnSpPr>
        <xdr:cNvPr id="839" name="직선 화살표 연결선 838"/>
        <xdr:cNvCxnSpPr/>
      </xdr:nvCxnSpPr>
      <xdr:spPr>
        <a:xfrm>
          <a:off x="12319363" y="7707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39</xdr:row>
      <xdr:rowOff>38100</xdr:rowOff>
    </xdr:from>
    <xdr:to>
      <xdr:col>63</xdr:col>
      <xdr:colOff>103324</xdr:colOff>
      <xdr:row>39</xdr:row>
      <xdr:rowOff>152400</xdr:rowOff>
    </xdr:to>
    <xdr:sp macro="" textlink="">
      <xdr:nvSpPr>
        <xdr:cNvPr id="840" name="36"/>
        <xdr:cNvSpPr/>
      </xdr:nvSpPr>
      <xdr:spPr>
        <a:xfrm>
          <a:off x="12319363" y="7459980"/>
          <a:ext cx="204860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39</xdr:row>
      <xdr:rowOff>95250</xdr:rowOff>
    </xdr:from>
    <xdr:to>
      <xdr:col>49</xdr:col>
      <xdr:colOff>81643</xdr:colOff>
      <xdr:row>39</xdr:row>
      <xdr:rowOff>95250</xdr:rowOff>
    </xdr:to>
    <xdr:cxnSp macro="">
      <xdr:nvCxnSpPr>
        <xdr:cNvPr id="841" name="직선 화살표 연결선 840"/>
        <xdr:cNvCxnSpPr/>
      </xdr:nvCxnSpPr>
      <xdr:spPr>
        <a:xfrm>
          <a:off x="12319363" y="7517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40821</xdr:colOff>
      <xdr:row>38</xdr:row>
      <xdr:rowOff>38100</xdr:rowOff>
    </xdr:from>
    <xdr:to>
      <xdr:col>63</xdr:col>
      <xdr:colOff>103324</xdr:colOff>
      <xdr:row>38</xdr:row>
      <xdr:rowOff>152400</xdr:rowOff>
    </xdr:to>
    <xdr:sp macro="" textlink="">
      <xdr:nvSpPr>
        <xdr:cNvPr id="842" name="35"/>
        <xdr:cNvSpPr/>
      </xdr:nvSpPr>
      <xdr:spPr>
        <a:xfrm>
          <a:off x="13581561" y="7269480"/>
          <a:ext cx="7864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40821</xdr:colOff>
      <xdr:row>38</xdr:row>
      <xdr:rowOff>95250</xdr:rowOff>
    </xdr:from>
    <xdr:to>
      <xdr:col>58</xdr:col>
      <xdr:colOff>40821</xdr:colOff>
      <xdr:row>38</xdr:row>
      <xdr:rowOff>95250</xdr:rowOff>
    </xdr:to>
    <xdr:cxnSp macro="">
      <xdr:nvCxnSpPr>
        <xdr:cNvPr id="843" name="직선 화살표 연결선 842"/>
        <xdr:cNvCxnSpPr/>
      </xdr:nvCxnSpPr>
      <xdr:spPr>
        <a:xfrm>
          <a:off x="13581561" y="7326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37</xdr:row>
      <xdr:rowOff>38100</xdr:rowOff>
    </xdr:from>
    <xdr:to>
      <xdr:col>58</xdr:col>
      <xdr:colOff>42090</xdr:colOff>
      <xdr:row>37</xdr:row>
      <xdr:rowOff>152400</xdr:rowOff>
    </xdr:to>
    <xdr:sp macro="" textlink="">
      <xdr:nvSpPr>
        <xdr:cNvPr id="844" name="34"/>
        <xdr:cNvSpPr/>
      </xdr:nvSpPr>
      <xdr:spPr>
        <a:xfrm>
          <a:off x="12319363" y="7078980"/>
          <a:ext cx="12634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37</xdr:row>
      <xdr:rowOff>95250</xdr:rowOff>
    </xdr:from>
    <xdr:to>
      <xdr:col>49</xdr:col>
      <xdr:colOff>81643</xdr:colOff>
      <xdr:row>37</xdr:row>
      <xdr:rowOff>95250</xdr:rowOff>
    </xdr:to>
    <xdr:cxnSp macro="">
      <xdr:nvCxnSpPr>
        <xdr:cNvPr id="845" name="직선 화살표 연결선 844"/>
        <xdr:cNvCxnSpPr/>
      </xdr:nvCxnSpPr>
      <xdr:spPr>
        <a:xfrm>
          <a:off x="12319363" y="7136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36</xdr:row>
      <xdr:rowOff>38100</xdr:rowOff>
    </xdr:from>
    <xdr:to>
      <xdr:col>63</xdr:col>
      <xdr:colOff>103324</xdr:colOff>
      <xdr:row>36</xdr:row>
      <xdr:rowOff>152400</xdr:rowOff>
    </xdr:to>
    <xdr:sp macro="" textlink="">
      <xdr:nvSpPr>
        <xdr:cNvPr id="846" name="33"/>
        <xdr:cNvSpPr/>
      </xdr:nvSpPr>
      <xdr:spPr>
        <a:xfrm>
          <a:off x="12319363" y="6888480"/>
          <a:ext cx="204860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36</xdr:row>
      <xdr:rowOff>95250</xdr:rowOff>
    </xdr:from>
    <xdr:to>
      <xdr:col>49</xdr:col>
      <xdr:colOff>81643</xdr:colOff>
      <xdr:row>36</xdr:row>
      <xdr:rowOff>95250</xdr:rowOff>
    </xdr:to>
    <xdr:cxnSp macro="">
      <xdr:nvCxnSpPr>
        <xdr:cNvPr id="847" name="직선 화살표 연결선 846"/>
        <xdr:cNvCxnSpPr/>
      </xdr:nvCxnSpPr>
      <xdr:spPr>
        <a:xfrm>
          <a:off x="12319363" y="6945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81643</xdr:colOff>
      <xdr:row>35</xdr:row>
      <xdr:rowOff>38100</xdr:rowOff>
    </xdr:from>
    <xdr:to>
      <xdr:col>67</xdr:col>
      <xdr:colOff>1270</xdr:colOff>
      <xdr:row>35</xdr:row>
      <xdr:rowOff>152400</xdr:rowOff>
    </xdr:to>
    <xdr:sp macro="" textlink="">
      <xdr:nvSpPr>
        <xdr:cNvPr id="848" name="32"/>
        <xdr:cNvSpPr/>
      </xdr:nvSpPr>
      <xdr:spPr>
        <a:xfrm>
          <a:off x="13767163" y="6697980"/>
          <a:ext cx="10778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59</xdr:col>
      <xdr:colOff>81643</xdr:colOff>
      <xdr:row>35</xdr:row>
      <xdr:rowOff>95250</xdr:rowOff>
    </xdr:from>
    <xdr:to>
      <xdr:col>59</xdr:col>
      <xdr:colOff>81643</xdr:colOff>
      <xdr:row>35</xdr:row>
      <xdr:rowOff>95250</xdr:rowOff>
    </xdr:to>
    <xdr:cxnSp macro="">
      <xdr:nvCxnSpPr>
        <xdr:cNvPr id="849" name="직선 화살표 연결선 848"/>
        <xdr:cNvCxnSpPr/>
      </xdr:nvCxnSpPr>
      <xdr:spPr>
        <a:xfrm>
          <a:off x="13767163" y="6755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34</xdr:row>
      <xdr:rowOff>38100</xdr:rowOff>
    </xdr:from>
    <xdr:to>
      <xdr:col>58</xdr:col>
      <xdr:colOff>42090</xdr:colOff>
      <xdr:row>34</xdr:row>
      <xdr:rowOff>152400</xdr:rowOff>
    </xdr:to>
    <xdr:sp macro="" textlink="">
      <xdr:nvSpPr>
        <xdr:cNvPr id="850" name="31"/>
        <xdr:cNvSpPr/>
      </xdr:nvSpPr>
      <xdr:spPr>
        <a:xfrm>
          <a:off x="12319363" y="6507480"/>
          <a:ext cx="12634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34</xdr:row>
      <xdr:rowOff>95250</xdr:rowOff>
    </xdr:from>
    <xdr:to>
      <xdr:col>49</xdr:col>
      <xdr:colOff>81643</xdr:colOff>
      <xdr:row>34</xdr:row>
      <xdr:rowOff>95250</xdr:rowOff>
    </xdr:to>
    <xdr:cxnSp macro="">
      <xdr:nvCxnSpPr>
        <xdr:cNvPr id="851" name="직선 화살표 연결선 850"/>
        <xdr:cNvCxnSpPr/>
      </xdr:nvCxnSpPr>
      <xdr:spPr>
        <a:xfrm>
          <a:off x="12319363" y="6564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33</xdr:row>
      <xdr:rowOff>38100</xdr:rowOff>
    </xdr:from>
    <xdr:to>
      <xdr:col>67</xdr:col>
      <xdr:colOff>1270</xdr:colOff>
      <xdr:row>33</xdr:row>
      <xdr:rowOff>152400</xdr:rowOff>
    </xdr:to>
    <xdr:sp macro="" textlink="">
      <xdr:nvSpPr>
        <xdr:cNvPr id="852" name="30"/>
        <xdr:cNvSpPr/>
      </xdr:nvSpPr>
      <xdr:spPr>
        <a:xfrm>
          <a:off x="12319363" y="6316980"/>
          <a:ext cx="2525667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33</xdr:row>
      <xdr:rowOff>95250</xdr:rowOff>
    </xdr:from>
    <xdr:to>
      <xdr:col>49</xdr:col>
      <xdr:colOff>81643</xdr:colOff>
      <xdr:row>33</xdr:row>
      <xdr:rowOff>95250</xdr:rowOff>
    </xdr:to>
    <xdr:cxnSp macro="">
      <xdr:nvCxnSpPr>
        <xdr:cNvPr id="853" name="직선 화살표 연결선 852"/>
        <xdr:cNvCxnSpPr/>
      </xdr:nvCxnSpPr>
      <xdr:spPr>
        <a:xfrm>
          <a:off x="12319363" y="6374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40821</xdr:colOff>
      <xdr:row>32</xdr:row>
      <xdr:rowOff>38100</xdr:rowOff>
    </xdr:from>
    <xdr:to>
      <xdr:col>63</xdr:col>
      <xdr:colOff>103324</xdr:colOff>
      <xdr:row>32</xdr:row>
      <xdr:rowOff>152400</xdr:rowOff>
    </xdr:to>
    <xdr:sp macro="" textlink="">
      <xdr:nvSpPr>
        <xdr:cNvPr id="854" name="29"/>
        <xdr:cNvSpPr/>
      </xdr:nvSpPr>
      <xdr:spPr>
        <a:xfrm>
          <a:off x="13581561" y="6126480"/>
          <a:ext cx="786403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58</xdr:col>
      <xdr:colOff>40821</xdr:colOff>
      <xdr:row>32</xdr:row>
      <xdr:rowOff>95250</xdr:rowOff>
    </xdr:from>
    <xdr:to>
      <xdr:col>58</xdr:col>
      <xdr:colOff>40821</xdr:colOff>
      <xdr:row>32</xdr:row>
      <xdr:rowOff>95250</xdr:rowOff>
    </xdr:to>
    <xdr:cxnSp macro="">
      <xdr:nvCxnSpPr>
        <xdr:cNvPr id="855" name="직선 화살표 연결선 854"/>
        <xdr:cNvCxnSpPr/>
      </xdr:nvCxnSpPr>
      <xdr:spPr>
        <a:xfrm>
          <a:off x="13581561" y="6183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31</xdr:row>
      <xdr:rowOff>38100</xdr:rowOff>
    </xdr:from>
    <xdr:to>
      <xdr:col>58</xdr:col>
      <xdr:colOff>42090</xdr:colOff>
      <xdr:row>31</xdr:row>
      <xdr:rowOff>152400</xdr:rowOff>
    </xdr:to>
    <xdr:sp macro="" textlink="">
      <xdr:nvSpPr>
        <xdr:cNvPr id="856" name="28"/>
        <xdr:cNvSpPr/>
      </xdr:nvSpPr>
      <xdr:spPr>
        <a:xfrm>
          <a:off x="12319363" y="5935980"/>
          <a:ext cx="1263467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31</xdr:row>
      <xdr:rowOff>95250</xdr:rowOff>
    </xdr:from>
    <xdr:to>
      <xdr:col>49</xdr:col>
      <xdr:colOff>81643</xdr:colOff>
      <xdr:row>31</xdr:row>
      <xdr:rowOff>95250</xdr:rowOff>
    </xdr:to>
    <xdr:cxnSp macro="">
      <xdr:nvCxnSpPr>
        <xdr:cNvPr id="857" name="직선 화살표 연결선 856"/>
        <xdr:cNvCxnSpPr/>
      </xdr:nvCxnSpPr>
      <xdr:spPr>
        <a:xfrm>
          <a:off x="12319363" y="5993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30</xdr:row>
      <xdr:rowOff>38100</xdr:rowOff>
    </xdr:from>
    <xdr:to>
      <xdr:col>63</xdr:col>
      <xdr:colOff>103324</xdr:colOff>
      <xdr:row>30</xdr:row>
      <xdr:rowOff>152400</xdr:rowOff>
    </xdr:to>
    <xdr:sp macro="" textlink="">
      <xdr:nvSpPr>
        <xdr:cNvPr id="858" name="27"/>
        <xdr:cNvSpPr/>
      </xdr:nvSpPr>
      <xdr:spPr>
        <a:xfrm>
          <a:off x="12319363" y="5745480"/>
          <a:ext cx="2048601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30</xdr:row>
      <xdr:rowOff>95250</xdr:rowOff>
    </xdr:from>
    <xdr:to>
      <xdr:col>49</xdr:col>
      <xdr:colOff>81643</xdr:colOff>
      <xdr:row>30</xdr:row>
      <xdr:rowOff>95250</xdr:rowOff>
    </xdr:to>
    <xdr:cxnSp macro="">
      <xdr:nvCxnSpPr>
        <xdr:cNvPr id="859" name="직선 화살표 연결선 858"/>
        <xdr:cNvCxnSpPr/>
      </xdr:nvCxnSpPr>
      <xdr:spPr>
        <a:xfrm>
          <a:off x="12319363" y="5802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81643</xdr:colOff>
      <xdr:row>29</xdr:row>
      <xdr:rowOff>38100</xdr:rowOff>
    </xdr:from>
    <xdr:to>
      <xdr:col>69</xdr:col>
      <xdr:colOff>21681</xdr:colOff>
      <xdr:row>29</xdr:row>
      <xdr:rowOff>152400</xdr:rowOff>
    </xdr:to>
    <xdr:sp macro="" textlink="">
      <xdr:nvSpPr>
        <xdr:cNvPr id="860" name="26"/>
        <xdr:cNvSpPr/>
      </xdr:nvSpPr>
      <xdr:spPr>
        <a:xfrm>
          <a:off x="12319363" y="5554980"/>
          <a:ext cx="283563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49</xdr:col>
      <xdr:colOff>81643</xdr:colOff>
      <xdr:row>29</xdr:row>
      <xdr:rowOff>95250</xdr:rowOff>
    </xdr:from>
    <xdr:to>
      <xdr:col>49</xdr:col>
      <xdr:colOff>81643</xdr:colOff>
      <xdr:row>29</xdr:row>
      <xdr:rowOff>95250</xdr:rowOff>
    </xdr:to>
    <xdr:cxnSp macro="">
      <xdr:nvCxnSpPr>
        <xdr:cNvPr id="861" name="직선 화살표 연결선 860"/>
        <xdr:cNvCxnSpPr/>
      </xdr:nvCxnSpPr>
      <xdr:spPr>
        <a:xfrm>
          <a:off x="12319363" y="5612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28</xdr:row>
      <xdr:rowOff>38100</xdr:rowOff>
    </xdr:from>
    <xdr:to>
      <xdr:col>84</xdr:col>
      <xdr:colOff>42090</xdr:colOff>
      <xdr:row>28</xdr:row>
      <xdr:rowOff>152400</xdr:rowOff>
    </xdr:to>
    <xdr:sp macro="" textlink="">
      <xdr:nvSpPr>
        <xdr:cNvPr id="862" name="25"/>
        <xdr:cNvSpPr/>
      </xdr:nvSpPr>
      <xdr:spPr>
        <a:xfrm>
          <a:off x="10127252" y="5364480"/>
          <a:ext cx="721985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28</xdr:row>
      <xdr:rowOff>95250</xdr:rowOff>
    </xdr:from>
    <xdr:to>
      <xdr:col>34</xdr:col>
      <xdr:colOff>61232</xdr:colOff>
      <xdr:row>28</xdr:row>
      <xdr:rowOff>95250</xdr:rowOff>
    </xdr:to>
    <xdr:cxnSp macro="">
      <xdr:nvCxnSpPr>
        <xdr:cNvPr id="863" name="직선 화살표 연결선 862"/>
        <xdr:cNvCxnSpPr/>
      </xdr:nvCxnSpPr>
      <xdr:spPr>
        <a:xfrm>
          <a:off x="10127252" y="54216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27</xdr:row>
      <xdr:rowOff>38100</xdr:rowOff>
    </xdr:from>
    <xdr:to>
      <xdr:col>84</xdr:col>
      <xdr:colOff>42090</xdr:colOff>
      <xdr:row>27</xdr:row>
      <xdr:rowOff>152400</xdr:rowOff>
    </xdr:to>
    <xdr:sp macro="" textlink="">
      <xdr:nvSpPr>
        <xdr:cNvPr id="864" name="24"/>
        <xdr:cNvSpPr/>
      </xdr:nvSpPr>
      <xdr:spPr>
        <a:xfrm>
          <a:off x="10127252" y="5173980"/>
          <a:ext cx="721985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27</xdr:row>
      <xdr:rowOff>95250</xdr:rowOff>
    </xdr:from>
    <xdr:to>
      <xdr:col>34</xdr:col>
      <xdr:colOff>61232</xdr:colOff>
      <xdr:row>27</xdr:row>
      <xdr:rowOff>95250</xdr:rowOff>
    </xdr:to>
    <xdr:cxnSp macro="">
      <xdr:nvCxnSpPr>
        <xdr:cNvPr id="865" name="직선 화살표 연결선 864"/>
        <xdr:cNvCxnSpPr/>
      </xdr:nvCxnSpPr>
      <xdr:spPr>
        <a:xfrm>
          <a:off x="10127252" y="5231130"/>
          <a:ext cx="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26</xdr:row>
      <xdr:rowOff>38100</xdr:rowOff>
    </xdr:from>
    <xdr:to>
      <xdr:col>43</xdr:col>
      <xdr:colOff>1270</xdr:colOff>
      <xdr:row>26</xdr:row>
      <xdr:rowOff>152400</xdr:rowOff>
    </xdr:to>
    <xdr:sp macro="" textlink="">
      <xdr:nvSpPr>
        <xdr:cNvPr id="866" name="23"/>
        <xdr:cNvSpPr/>
      </xdr:nvSpPr>
      <xdr:spPr>
        <a:xfrm>
          <a:off x="11057165" y="4983480"/>
          <a:ext cx="3131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26</xdr:row>
      <xdr:rowOff>95250</xdr:rowOff>
    </xdr:from>
    <xdr:to>
      <xdr:col>43</xdr:col>
      <xdr:colOff>0</xdr:colOff>
      <xdr:row>26</xdr:row>
      <xdr:rowOff>95250</xdr:rowOff>
    </xdr:to>
    <xdr:cxnSp macro="">
      <xdr:nvCxnSpPr>
        <xdr:cNvPr id="867" name="직선 화살표 연결선 866"/>
        <xdr:cNvCxnSpPr/>
      </xdr:nvCxnSpPr>
      <xdr:spPr>
        <a:xfrm>
          <a:off x="11057165" y="5040630"/>
          <a:ext cx="31187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25</xdr:row>
      <xdr:rowOff>38100</xdr:rowOff>
    </xdr:from>
    <xdr:to>
      <xdr:col>43</xdr:col>
      <xdr:colOff>1270</xdr:colOff>
      <xdr:row>25</xdr:row>
      <xdr:rowOff>152400</xdr:rowOff>
    </xdr:to>
    <xdr:sp macro="" textlink="">
      <xdr:nvSpPr>
        <xdr:cNvPr id="868" name="22"/>
        <xdr:cNvSpPr/>
      </xdr:nvSpPr>
      <xdr:spPr>
        <a:xfrm>
          <a:off x="11057165" y="4792980"/>
          <a:ext cx="313145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25</xdr:row>
      <xdr:rowOff>95250</xdr:rowOff>
    </xdr:from>
    <xdr:to>
      <xdr:col>43</xdr:col>
      <xdr:colOff>0</xdr:colOff>
      <xdr:row>25</xdr:row>
      <xdr:rowOff>95250</xdr:rowOff>
    </xdr:to>
    <xdr:cxnSp macro="">
      <xdr:nvCxnSpPr>
        <xdr:cNvPr id="869" name="직선 화살표 연결선 868"/>
        <xdr:cNvCxnSpPr/>
      </xdr:nvCxnSpPr>
      <xdr:spPr>
        <a:xfrm>
          <a:off x="11057165" y="4850130"/>
          <a:ext cx="31187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24</xdr:row>
      <xdr:rowOff>38100</xdr:rowOff>
    </xdr:from>
    <xdr:to>
      <xdr:col>45</xdr:col>
      <xdr:colOff>21680</xdr:colOff>
      <xdr:row>24</xdr:row>
      <xdr:rowOff>152400</xdr:rowOff>
    </xdr:to>
    <xdr:sp macro="" textlink="">
      <xdr:nvSpPr>
        <xdr:cNvPr id="870" name="21"/>
        <xdr:cNvSpPr/>
      </xdr:nvSpPr>
      <xdr:spPr>
        <a:xfrm>
          <a:off x="10416812" y="4602480"/>
          <a:ext cx="12634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24</xdr:row>
      <xdr:rowOff>95250</xdr:rowOff>
    </xdr:from>
    <xdr:to>
      <xdr:col>45</xdr:col>
      <xdr:colOff>20410</xdr:colOff>
      <xdr:row>24</xdr:row>
      <xdr:rowOff>95250</xdr:rowOff>
    </xdr:to>
    <xdr:cxnSp macro="">
      <xdr:nvCxnSpPr>
        <xdr:cNvPr id="871" name="직선 화살표 연결선 870"/>
        <xdr:cNvCxnSpPr/>
      </xdr:nvCxnSpPr>
      <xdr:spPr>
        <a:xfrm>
          <a:off x="10416812" y="4659630"/>
          <a:ext cx="126219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23</xdr:row>
      <xdr:rowOff>38100</xdr:rowOff>
    </xdr:from>
    <xdr:to>
      <xdr:col>45</xdr:col>
      <xdr:colOff>21680</xdr:colOff>
      <xdr:row>23</xdr:row>
      <xdr:rowOff>152400</xdr:rowOff>
    </xdr:to>
    <xdr:sp macro="" textlink="">
      <xdr:nvSpPr>
        <xdr:cNvPr id="872" name="20"/>
        <xdr:cNvSpPr/>
      </xdr:nvSpPr>
      <xdr:spPr>
        <a:xfrm>
          <a:off x="10416812" y="4411980"/>
          <a:ext cx="12634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23</xdr:row>
      <xdr:rowOff>95250</xdr:rowOff>
    </xdr:from>
    <xdr:to>
      <xdr:col>45</xdr:col>
      <xdr:colOff>20410</xdr:colOff>
      <xdr:row>23</xdr:row>
      <xdr:rowOff>95250</xdr:rowOff>
    </xdr:to>
    <xdr:cxnSp macro="">
      <xdr:nvCxnSpPr>
        <xdr:cNvPr id="873" name="직선 화살표 연결선 872"/>
        <xdr:cNvCxnSpPr/>
      </xdr:nvCxnSpPr>
      <xdr:spPr>
        <a:xfrm>
          <a:off x="10416812" y="4469130"/>
          <a:ext cx="126219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22</xdr:row>
      <xdr:rowOff>38100</xdr:rowOff>
    </xdr:from>
    <xdr:to>
      <xdr:col>36</xdr:col>
      <xdr:colOff>62502</xdr:colOff>
      <xdr:row>22</xdr:row>
      <xdr:rowOff>152400</xdr:rowOff>
    </xdr:to>
    <xdr:sp macro="" textlink="">
      <xdr:nvSpPr>
        <xdr:cNvPr id="874" name="19"/>
        <xdr:cNvSpPr/>
      </xdr:nvSpPr>
      <xdr:spPr>
        <a:xfrm>
          <a:off x="9837692" y="4221480"/>
          <a:ext cx="5803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22</xdr:row>
      <xdr:rowOff>95250</xdr:rowOff>
    </xdr:from>
    <xdr:to>
      <xdr:col>36</xdr:col>
      <xdr:colOff>61232</xdr:colOff>
      <xdr:row>22</xdr:row>
      <xdr:rowOff>95250</xdr:rowOff>
    </xdr:to>
    <xdr:cxnSp macro="">
      <xdr:nvCxnSpPr>
        <xdr:cNvPr id="875" name="직선 화살표 연결선 874"/>
        <xdr:cNvCxnSpPr/>
      </xdr:nvCxnSpPr>
      <xdr:spPr>
        <a:xfrm>
          <a:off x="9837692" y="4278630"/>
          <a:ext cx="57912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21</xdr:row>
      <xdr:rowOff>38100</xdr:rowOff>
    </xdr:from>
    <xdr:to>
      <xdr:col>34</xdr:col>
      <xdr:colOff>82913</xdr:colOff>
      <xdr:row>21</xdr:row>
      <xdr:rowOff>152400</xdr:rowOff>
    </xdr:to>
    <xdr:sp macro="" textlink="">
      <xdr:nvSpPr>
        <xdr:cNvPr id="876" name="18"/>
        <xdr:cNvSpPr/>
      </xdr:nvSpPr>
      <xdr:spPr>
        <a:xfrm>
          <a:off x="9837692" y="40309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21</xdr:row>
      <xdr:rowOff>95250</xdr:rowOff>
    </xdr:from>
    <xdr:to>
      <xdr:col>34</xdr:col>
      <xdr:colOff>81643</xdr:colOff>
      <xdr:row>21</xdr:row>
      <xdr:rowOff>95250</xdr:rowOff>
    </xdr:to>
    <xdr:cxnSp macro="">
      <xdr:nvCxnSpPr>
        <xdr:cNvPr id="877" name="직선 화살표 연결선 876"/>
        <xdr:cNvCxnSpPr/>
      </xdr:nvCxnSpPr>
      <xdr:spPr>
        <a:xfrm>
          <a:off x="9837692" y="4088130"/>
          <a:ext cx="30997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20</xdr:row>
      <xdr:rowOff>38100</xdr:rowOff>
    </xdr:from>
    <xdr:to>
      <xdr:col>45</xdr:col>
      <xdr:colOff>21681</xdr:colOff>
      <xdr:row>20</xdr:row>
      <xdr:rowOff>152400</xdr:rowOff>
    </xdr:to>
    <xdr:sp macro="" textlink="">
      <xdr:nvSpPr>
        <xdr:cNvPr id="878" name="17"/>
        <xdr:cNvSpPr/>
      </xdr:nvSpPr>
      <xdr:spPr>
        <a:xfrm>
          <a:off x="9837692" y="3840480"/>
          <a:ext cx="18425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20</xdr:row>
      <xdr:rowOff>95250</xdr:rowOff>
    </xdr:from>
    <xdr:to>
      <xdr:col>45</xdr:col>
      <xdr:colOff>20410</xdr:colOff>
      <xdr:row>20</xdr:row>
      <xdr:rowOff>95250</xdr:rowOff>
    </xdr:to>
    <xdr:cxnSp macro="">
      <xdr:nvCxnSpPr>
        <xdr:cNvPr id="879" name="직선 화살표 연결선 878"/>
        <xdr:cNvCxnSpPr/>
      </xdr:nvCxnSpPr>
      <xdr:spPr>
        <a:xfrm>
          <a:off x="9837692" y="3897630"/>
          <a:ext cx="184131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19</xdr:row>
      <xdr:rowOff>38100</xdr:rowOff>
    </xdr:from>
    <xdr:to>
      <xdr:col>45</xdr:col>
      <xdr:colOff>21680</xdr:colOff>
      <xdr:row>19</xdr:row>
      <xdr:rowOff>152400</xdr:rowOff>
    </xdr:to>
    <xdr:sp macro="" textlink="">
      <xdr:nvSpPr>
        <xdr:cNvPr id="880" name="16"/>
        <xdr:cNvSpPr/>
      </xdr:nvSpPr>
      <xdr:spPr>
        <a:xfrm>
          <a:off x="10416812" y="3649980"/>
          <a:ext cx="12634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19</xdr:row>
      <xdr:rowOff>95250</xdr:rowOff>
    </xdr:from>
    <xdr:to>
      <xdr:col>45</xdr:col>
      <xdr:colOff>20410</xdr:colOff>
      <xdr:row>19</xdr:row>
      <xdr:rowOff>95250</xdr:rowOff>
    </xdr:to>
    <xdr:cxnSp macro="">
      <xdr:nvCxnSpPr>
        <xdr:cNvPr id="881" name="직선 화살표 연결선 880"/>
        <xdr:cNvCxnSpPr/>
      </xdr:nvCxnSpPr>
      <xdr:spPr>
        <a:xfrm>
          <a:off x="10416812" y="3707130"/>
          <a:ext cx="126219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61232</xdr:colOff>
      <xdr:row>18</xdr:row>
      <xdr:rowOff>38100</xdr:rowOff>
    </xdr:from>
    <xdr:to>
      <xdr:col>45</xdr:col>
      <xdr:colOff>21680</xdr:colOff>
      <xdr:row>18</xdr:row>
      <xdr:rowOff>152400</xdr:rowOff>
    </xdr:to>
    <xdr:sp macro="" textlink="">
      <xdr:nvSpPr>
        <xdr:cNvPr id="882" name="15"/>
        <xdr:cNvSpPr/>
      </xdr:nvSpPr>
      <xdr:spPr>
        <a:xfrm>
          <a:off x="10416812" y="3459480"/>
          <a:ext cx="126346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36</xdr:col>
      <xdr:colOff>61232</xdr:colOff>
      <xdr:row>18</xdr:row>
      <xdr:rowOff>95250</xdr:rowOff>
    </xdr:from>
    <xdr:to>
      <xdr:col>45</xdr:col>
      <xdr:colOff>20410</xdr:colOff>
      <xdr:row>18</xdr:row>
      <xdr:rowOff>95250</xdr:rowOff>
    </xdr:to>
    <xdr:cxnSp macro="">
      <xdr:nvCxnSpPr>
        <xdr:cNvPr id="883" name="직선 화살표 연결선 882"/>
        <xdr:cNvCxnSpPr/>
      </xdr:nvCxnSpPr>
      <xdr:spPr>
        <a:xfrm>
          <a:off x="10416812" y="3516630"/>
          <a:ext cx="126219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17</xdr:row>
      <xdr:rowOff>38100</xdr:rowOff>
    </xdr:from>
    <xdr:to>
      <xdr:col>36</xdr:col>
      <xdr:colOff>62502</xdr:colOff>
      <xdr:row>17</xdr:row>
      <xdr:rowOff>152400</xdr:rowOff>
    </xdr:to>
    <xdr:sp macro="" textlink="">
      <xdr:nvSpPr>
        <xdr:cNvPr id="884" name="14"/>
        <xdr:cNvSpPr/>
      </xdr:nvSpPr>
      <xdr:spPr>
        <a:xfrm>
          <a:off x="9837692" y="3268980"/>
          <a:ext cx="5803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17</xdr:row>
      <xdr:rowOff>95250</xdr:rowOff>
    </xdr:from>
    <xdr:to>
      <xdr:col>36</xdr:col>
      <xdr:colOff>61232</xdr:colOff>
      <xdr:row>17</xdr:row>
      <xdr:rowOff>95250</xdr:rowOff>
    </xdr:to>
    <xdr:cxnSp macro="">
      <xdr:nvCxnSpPr>
        <xdr:cNvPr id="885" name="직선 화살표 연결선 884"/>
        <xdr:cNvCxnSpPr/>
      </xdr:nvCxnSpPr>
      <xdr:spPr>
        <a:xfrm>
          <a:off x="9837692" y="3326130"/>
          <a:ext cx="57912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16</xdr:row>
      <xdr:rowOff>38100</xdr:rowOff>
    </xdr:from>
    <xdr:to>
      <xdr:col>34</xdr:col>
      <xdr:colOff>82913</xdr:colOff>
      <xdr:row>16</xdr:row>
      <xdr:rowOff>152400</xdr:rowOff>
    </xdr:to>
    <xdr:sp macro="" textlink="">
      <xdr:nvSpPr>
        <xdr:cNvPr id="886" name="13"/>
        <xdr:cNvSpPr/>
      </xdr:nvSpPr>
      <xdr:spPr>
        <a:xfrm>
          <a:off x="9837692" y="3078480"/>
          <a:ext cx="31124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16</xdr:row>
      <xdr:rowOff>95250</xdr:rowOff>
    </xdr:from>
    <xdr:to>
      <xdr:col>34</xdr:col>
      <xdr:colOff>81643</xdr:colOff>
      <xdr:row>16</xdr:row>
      <xdr:rowOff>95250</xdr:rowOff>
    </xdr:to>
    <xdr:cxnSp macro="">
      <xdr:nvCxnSpPr>
        <xdr:cNvPr id="887" name="직선 화살표 연결선 886"/>
        <xdr:cNvCxnSpPr/>
      </xdr:nvCxnSpPr>
      <xdr:spPr>
        <a:xfrm>
          <a:off x="9837692" y="3135630"/>
          <a:ext cx="30997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15</xdr:row>
      <xdr:rowOff>38100</xdr:rowOff>
    </xdr:from>
    <xdr:to>
      <xdr:col>45</xdr:col>
      <xdr:colOff>21681</xdr:colOff>
      <xdr:row>15</xdr:row>
      <xdr:rowOff>152400</xdr:rowOff>
    </xdr:to>
    <xdr:sp macro="" textlink="">
      <xdr:nvSpPr>
        <xdr:cNvPr id="888" name="12"/>
        <xdr:cNvSpPr/>
      </xdr:nvSpPr>
      <xdr:spPr>
        <a:xfrm>
          <a:off x="9837692" y="2887980"/>
          <a:ext cx="18425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15</xdr:row>
      <xdr:rowOff>95250</xdr:rowOff>
    </xdr:from>
    <xdr:to>
      <xdr:col>45</xdr:col>
      <xdr:colOff>20410</xdr:colOff>
      <xdr:row>15</xdr:row>
      <xdr:rowOff>95250</xdr:rowOff>
    </xdr:to>
    <xdr:cxnSp macro="">
      <xdr:nvCxnSpPr>
        <xdr:cNvPr id="889" name="직선 화살표 연결선 888"/>
        <xdr:cNvCxnSpPr/>
      </xdr:nvCxnSpPr>
      <xdr:spPr>
        <a:xfrm>
          <a:off x="9837692" y="2945130"/>
          <a:ext cx="184131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14</xdr:row>
      <xdr:rowOff>38100</xdr:rowOff>
    </xdr:from>
    <xdr:to>
      <xdr:col>43</xdr:col>
      <xdr:colOff>1270</xdr:colOff>
      <xdr:row>14</xdr:row>
      <xdr:rowOff>152400</xdr:rowOff>
    </xdr:to>
    <xdr:sp macro="" textlink="">
      <xdr:nvSpPr>
        <xdr:cNvPr id="890" name="11"/>
        <xdr:cNvSpPr/>
      </xdr:nvSpPr>
      <xdr:spPr>
        <a:xfrm>
          <a:off x="11057165" y="2697480"/>
          <a:ext cx="313145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14</xdr:row>
      <xdr:rowOff>95250</xdr:rowOff>
    </xdr:from>
    <xdr:to>
      <xdr:col>43</xdr:col>
      <xdr:colOff>0</xdr:colOff>
      <xdr:row>14</xdr:row>
      <xdr:rowOff>95250</xdr:rowOff>
    </xdr:to>
    <xdr:cxnSp macro="">
      <xdr:nvCxnSpPr>
        <xdr:cNvPr id="891" name="직선 화살표 연결선 890"/>
        <xdr:cNvCxnSpPr/>
      </xdr:nvCxnSpPr>
      <xdr:spPr>
        <a:xfrm>
          <a:off x="11057165" y="2754630"/>
          <a:ext cx="311875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61232</xdr:colOff>
      <xdr:row>13</xdr:row>
      <xdr:rowOff>38100</xdr:rowOff>
    </xdr:from>
    <xdr:to>
      <xdr:col>36</xdr:col>
      <xdr:colOff>62502</xdr:colOff>
      <xdr:row>13</xdr:row>
      <xdr:rowOff>152400</xdr:rowOff>
    </xdr:to>
    <xdr:sp macro="" textlink="">
      <xdr:nvSpPr>
        <xdr:cNvPr id="892" name="10"/>
        <xdr:cNvSpPr/>
      </xdr:nvSpPr>
      <xdr:spPr>
        <a:xfrm>
          <a:off x="10127252" y="2506980"/>
          <a:ext cx="29083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34</xdr:col>
      <xdr:colOff>61232</xdr:colOff>
      <xdr:row>13</xdr:row>
      <xdr:rowOff>95250</xdr:rowOff>
    </xdr:from>
    <xdr:to>
      <xdr:col>36</xdr:col>
      <xdr:colOff>61232</xdr:colOff>
      <xdr:row>13</xdr:row>
      <xdr:rowOff>95250</xdr:rowOff>
    </xdr:to>
    <xdr:cxnSp macro="">
      <xdr:nvCxnSpPr>
        <xdr:cNvPr id="893" name="직선 화살표 연결선 892"/>
        <xdr:cNvCxnSpPr/>
      </xdr:nvCxnSpPr>
      <xdr:spPr>
        <a:xfrm>
          <a:off x="10127252" y="2564130"/>
          <a:ext cx="28956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12</xdr:row>
      <xdr:rowOff>38100</xdr:rowOff>
    </xdr:from>
    <xdr:to>
      <xdr:col>45</xdr:col>
      <xdr:colOff>21681</xdr:colOff>
      <xdr:row>12</xdr:row>
      <xdr:rowOff>152400</xdr:rowOff>
    </xdr:to>
    <xdr:sp macro="" textlink="">
      <xdr:nvSpPr>
        <xdr:cNvPr id="894" name="9"/>
        <xdr:cNvSpPr/>
      </xdr:nvSpPr>
      <xdr:spPr>
        <a:xfrm>
          <a:off x="9837692" y="2316480"/>
          <a:ext cx="18425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12</xdr:row>
      <xdr:rowOff>95250</xdr:rowOff>
    </xdr:from>
    <xdr:to>
      <xdr:col>45</xdr:col>
      <xdr:colOff>20410</xdr:colOff>
      <xdr:row>12</xdr:row>
      <xdr:rowOff>95250</xdr:rowOff>
    </xdr:to>
    <xdr:cxnSp macro="">
      <xdr:nvCxnSpPr>
        <xdr:cNvPr id="895" name="직선 화살표 연결선 894"/>
        <xdr:cNvCxnSpPr/>
      </xdr:nvCxnSpPr>
      <xdr:spPr>
        <a:xfrm>
          <a:off x="9837692" y="2373630"/>
          <a:ext cx="184131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11</xdr:row>
      <xdr:rowOff>38100</xdr:rowOff>
    </xdr:from>
    <xdr:to>
      <xdr:col>43</xdr:col>
      <xdr:colOff>1270</xdr:colOff>
      <xdr:row>11</xdr:row>
      <xdr:rowOff>152400</xdr:rowOff>
    </xdr:to>
    <xdr:sp macro="" textlink="">
      <xdr:nvSpPr>
        <xdr:cNvPr id="896" name="8"/>
        <xdr:cNvSpPr/>
      </xdr:nvSpPr>
      <xdr:spPr>
        <a:xfrm>
          <a:off x="9837692" y="2125980"/>
          <a:ext cx="1532618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11</xdr:row>
      <xdr:rowOff>95250</xdr:rowOff>
    </xdr:from>
    <xdr:to>
      <xdr:col>43</xdr:col>
      <xdr:colOff>0</xdr:colOff>
      <xdr:row>11</xdr:row>
      <xdr:rowOff>95250</xdr:rowOff>
    </xdr:to>
    <xdr:cxnSp macro="">
      <xdr:nvCxnSpPr>
        <xdr:cNvPr id="897" name="직선 화살표 연결선 896"/>
        <xdr:cNvCxnSpPr/>
      </xdr:nvCxnSpPr>
      <xdr:spPr>
        <a:xfrm>
          <a:off x="9837692" y="2183130"/>
          <a:ext cx="153134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10</xdr:row>
      <xdr:rowOff>38100</xdr:rowOff>
    </xdr:from>
    <xdr:to>
      <xdr:col>38</xdr:col>
      <xdr:colOff>82913</xdr:colOff>
      <xdr:row>10</xdr:row>
      <xdr:rowOff>152400</xdr:rowOff>
    </xdr:to>
    <xdr:sp macro="" textlink="">
      <xdr:nvSpPr>
        <xdr:cNvPr id="898" name="7"/>
        <xdr:cNvSpPr/>
      </xdr:nvSpPr>
      <xdr:spPr>
        <a:xfrm>
          <a:off x="9837692" y="1935480"/>
          <a:ext cx="890361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10</xdr:row>
      <xdr:rowOff>95250</xdr:rowOff>
    </xdr:from>
    <xdr:to>
      <xdr:col>38</xdr:col>
      <xdr:colOff>81643</xdr:colOff>
      <xdr:row>10</xdr:row>
      <xdr:rowOff>95250</xdr:rowOff>
    </xdr:to>
    <xdr:cxnSp macro="">
      <xdr:nvCxnSpPr>
        <xdr:cNvPr id="899" name="직선 화살표 연결선 898"/>
        <xdr:cNvCxnSpPr/>
      </xdr:nvCxnSpPr>
      <xdr:spPr>
        <a:xfrm>
          <a:off x="9837692" y="1992630"/>
          <a:ext cx="889091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9</xdr:row>
      <xdr:rowOff>38100</xdr:rowOff>
    </xdr:from>
    <xdr:to>
      <xdr:col>43</xdr:col>
      <xdr:colOff>1270</xdr:colOff>
      <xdr:row>9</xdr:row>
      <xdr:rowOff>152400</xdr:rowOff>
    </xdr:to>
    <xdr:sp macro="" textlink="">
      <xdr:nvSpPr>
        <xdr:cNvPr id="900" name="6"/>
        <xdr:cNvSpPr/>
      </xdr:nvSpPr>
      <xdr:spPr>
        <a:xfrm>
          <a:off x="9837692" y="1744980"/>
          <a:ext cx="153261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9</xdr:row>
      <xdr:rowOff>95250</xdr:rowOff>
    </xdr:from>
    <xdr:to>
      <xdr:col>43</xdr:col>
      <xdr:colOff>0</xdr:colOff>
      <xdr:row>9</xdr:row>
      <xdr:rowOff>95250</xdr:rowOff>
    </xdr:to>
    <xdr:cxnSp macro="">
      <xdr:nvCxnSpPr>
        <xdr:cNvPr id="901" name="직선 화살표 연결선 900"/>
        <xdr:cNvCxnSpPr/>
      </xdr:nvCxnSpPr>
      <xdr:spPr>
        <a:xfrm>
          <a:off x="9837692" y="1802130"/>
          <a:ext cx="153134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122465</xdr:colOff>
      <xdr:row>8</xdr:row>
      <xdr:rowOff>38100</xdr:rowOff>
    </xdr:from>
    <xdr:to>
      <xdr:col>42</xdr:col>
      <xdr:colOff>42091</xdr:colOff>
      <xdr:row>8</xdr:row>
      <xdr:rowOff>152400</xdr:rowOff>
    </xdr:to>
    <xdr:sp macro="" textlink="">
      <xdr:nvSpPr>
        <xdr:cNvPr id="902" name="5"/>
        <xdr:cNvSpPr/>
      </xdr:nvSpPr>
      <xdr:spPr>
        <a:xfrm>
          <a:off x="11057165" y="1554480"/>
          <a:ext cx="209186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40</xdr:col>
      <xdr:colOff>122465</xdr:colOff>
      <xdr:row>8</xdr:row>
      <xdr:rowOff>95250</xdr:rowOff>
    </xdr:from>
    <xdr:to>
      <xdr:col>42</xdr:col>
      <xdr:colOff>40822</xdr:colOff>
      <xdr:row>8</xdr:row>
      <xdr:rowOff>95250</xdr:rowOff>
    </xdr:to>
    <xdr:cxnSp macro="">
      <xdr:nvCxnSpPr>
        <xdr:cNvPr id="903" name="직선 화살표 연결선 902"/>
        <xdr:cNvCxnSpPr/>
      </xdr:nvCxnSpPr>
      <xdr:spPr>
        <a:xfrm>
          <a:off x="11057165" y="1611630"/>
          <a:ext cx="207917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7</xdr:row>
      <xdr:rowOff>38100</xdr:rowOff>
    </xdr:from>
    <xdr:to>
      <xdr:col>43</xdr:col>
      <xdr:colOff>1270</xdr:colOff>
      <xdr:row>7</xdr:row>
      <xdr:rowOff>152400</xdr:rowOff>
    </xdr:to>
    <xdr:sp macro="" textlink="">
      <xdr:nvSpPr>
        <xdr:cNvPr id="904" name="4"/>
        <xdr:cNvSpPr/>
      </xdr:nvSpPr>
      <xdr:spPr>
        <a:xfrm>
          <a:off x="9837692" y="1363980"/>
          <a:ext cx="1532618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7</xdr:row>
      <xdr:rowOff>95250</xdr:rowOff>
    </xdr:from>
    <xdr:to>
      <xdr:col>43</xdr:col>
      <xdr:colOff>0</xdr:colOff>
      <xdr:row>7</xdr:row>
      <xdr:rowOff>95250</xdr:rowOff>
    </xdr:to>
    <xdr:cxnSp macro="">
      <xdr:nvCxnSpPr>
        <xdr:cNvPr id="905" name="직선 화살표 연결선 904"/>
        <xdr:cNvCxnSpPr/>
      </xdr:nvCxnSpPr>
      <xdr:spPr>
        <a:xfrm>
          <a:off x="9837692" y="1421130"/>
          <a:ext cx="153134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6</xdr:row>
      <xdr:rowOff>38100</xdr:rowOff>
    </xdr:from>
    <xdr:to>
      <xdr:col>36</xdr:col>
      <xdr:colOff>62502</xdr:colOff>
      <xdr:row>6</xdr:row>
      <xdr:rowOff>152400</xdr:rowOff>
    </xdr:to>
    <xdr:sp macro="" textlink="">
      <xdr:nvSpPr>
        <xdr:cNvPr id="906" name="3"/>
        <xdr:cNvSpPr/>
      </xdr:nvSpPr>
      <xdr:spPr>
        <a:xfrm>
          <a:off x="9837692" y="1173480"/>
          <a:ext cx="580390" cy="114300"/>
        </a:xfrm>
        <a:prstGeom prst="rect">
          <a:avLst/>
        </a:prstGeom>
        <a:solidFill>
          <a:srgbClr val="2F83FF">
            <a:alpha val="30000"/>
          </a:srgb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6</xdr:row>
      <xdr:rowOff>95250</xdr:rowOff>
    </xdr:from>
    <xdr:to>
      <xdr:col>36</xdr:col>
      <xdr:colOff>61232</xdr:colOff>
      <xdr:row>6</xdr:row>
      <xdr:rowOff>95250</xdr:rowOff>
    </xdr:to>
    <xdr:cxnSp macro="">
      <xdr:nvCxnSpPr>
        <xdr:cNvPr id="907" name="직선 화살표 연결선 906"/>
        <xdr:cNvCxnSpPr/>
      </xdr:nvCxnSpPr>
      <xdr:spPr>
        <a:xfrm>
          <a:off x="9837692" y="1230630"/>
          <a:ext cx="579120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5</xdr:row>
      <xdr:rowOff>38100</xdr:rowOff>
    </xdr:from>
    <xdr:to>
      <xdr:col>45</xdr:col>
      <xdr:colOff>21681</xdr:colOff>
      <xdr:row>5</xdr:row>
      <xdr:rowOff>152400</xdr:rowOff>
    </xdr:to>
    <xdr:sp macro="" textlink="">
      <xdr:nvSpPr>
        <xdr:cNvPr id="908" name="2"/>
        <xdr:cNvSpPr/>
      </xdr:nvSpPr>
      <xdr:spPr>
        <a:xfrm>
          <a:off x="9837692" y="982980"/>
          <a:ext cx="18425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5</xdr:row>
      <xdr:rowOff>95250</xdr:rowOff>
    </xdr:from>
    <xdr:to>
      <xdr:col>45</xdr:col>
      <xdr:colOff>20410</xdr:colOff>
      <xdr:row>5</xdr:row>
      <xdr:rowOff>95250</xdr:rowOff>
    </xdr:to>
    <xdr:cxnSp macro="">
      <xdr:nvCxnSpPr>
        <xdr:cNvPr id="909" name="직선 화살표 연결선 908"/>
        <xdr:cNvCxnSpPr/>
      </xdr:nvCxnSpPr>
      <xdr:spPr>
        <a:xfrm>
          <a:off x="9837692" y="1040130"/>
          <a:ext cx="184131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61232</xdr:colOff>
      <xdr:row>4</xdr:row>
      <xdr:rowOff>38100</xdr:rowOff>
    </xdr:from>
    <xdr:to>
      <xdr:col>45</xdr:col>
      <xdr:colOff>21681</xdr:colOff>
      <xdr:row>4</xdr:row>
      <xdr:rowOff>152400</xdr:rowOff>
    </xdr:to>
    <xdr:sp macro="" textlink="">
      <xdr:nvSpPr>
        <xdr:cNvPr id="910" name="1"/>
        <xdr:cNvSpPr/>
      </xdr:nvSpPr>
      <xdr:spPr>
        <a:xfrm>
          <a:off x="9837692" y="792480"/>
          <a:ext cx="1842589" cy="114300"/>
        </a:xfrm>
        <a:prstGeom prst="rect">
          <a:avLst/>
        </a:prstGeom>
        <a:solidFill>
          <a:srgbClr val="FFC000">
            <a:alpha val="30000"/>
          </a:srgbClr>
        </a:solidFill>
        <a:ln w="63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32</xdr:col>
      <xdr:colOff>61232</xdr:colOff>
      <xdr:row>4</xdr:row>
      <xdr:rowOff>95250</xdr:rowOff>
    </xdr:from>
    <xdr:to>
      <xdr:col>45</xdr:col>
      <xdr:colOff>20410</xdr:colOff>
      <xdr:row>4</xdr:row>
      <xdr:rowOff>95250</xdr:rowOff>
    </xdr:to>
    <xdr:cxnSp macro="">
      <xdr:nvCxnSpPr>
        <xdr:cNvPr id="911" name="직선 화살표 연결선 910"/>
        <xdr:cNvCxnSpPr/>
      </xdr:nvCxnSpPr>
      <xdr:spPr>
        <a:xfrm>
          <a:off x="9837692" y="849630"/>
          <a:ext cx="1841318" cy="0"/>
        </a:xfrm>
        <a:prstGeom prst="straightConnector1">
          <a:avLst/>
        </a:prstGeom>
        <a:ln w="31750" cap="flat" cmpd="sng" algn="ctr">
          <a:solidFill>
            <a:srgbClr val="0066FF">
              <a:alpha val="80000"/>
            </a:srgbClr>
          </a:solidFill>
          <a:prstDash val="solid"/>
          <a:miter lim="800000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334495</xdr:colOff>
      <xdr:row>2</xdr:row>
      <xdr:rowOff>20170</xdr:rowOff>
    </xdr:from>
    <xdr:to>
      <xdr:col>11</xdr:col>
      <xdr:colOff>72838</xdr:colOff>
      <xdr:row>9</xdr:row>
      <xdr:rowOff>439270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3" t="26823" r="29723" b="19402"/>
        <a:stretch>
          <a:fillRect/>
        </a:stretch>
      </xdr:blipFill>
      <xdr:spPr bwMode="auto">
        <a:xfrm>
          <a:off x="334495" y="791135"/>
          <a:ext cx="7331449" cy="3547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11</xdr:row>
      <xdr:rowOff>47625</xdr:rowOff>
    </xdr:from>
    <xdr:to>
      <xdr:col>10</xdr:col>
      <xdr:colOff>638175</xdr:colOff>
      <xdr:row>20</xdr:row>
      <xdr:rowOff>9525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47" t="34245" r="29794" b="33333"/>
        <a:stretch>
          <a:fillRect/>
        </a:stretch>
      </xdr:blipFill>
      <xdr:spPr bwMode="auto">
        <a:xfrm>
          <a:off x="190500" y="4772025"/>
          <a:ext cx="7305675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133350</xdr:colOff>
      <xdr:row>11</xdr:row>
      <xdr:rowOff>19050</xdr:rowOff>
    </xdr:from>
    <xdr:to>
      <xdr:col>16</xdr:col>
      <xdr:colOff>942975</xdr:colOff>
      <xdr:row>22</xdr:row>
      <xdr:rowOff>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03" t="32127" r="46004" b="36349"/>
        <a:stretch>
          <a:fillRect/>
        </a:stretch>
      </xdr:blipFill>
      <xdr:spPr bwMode="auto">
        <a:xfrm>
          <a:off x="7677150" y="4743450"/>
          <a:ext cx="6572250" cy="2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SK%20&#51088;&#47308;/BOSK_&#49345;&#49464;%20&#51068;&#51221;/&#45236;&#48512;&#44277;&#50976;_BOSK%20Master%20Schedule_TN_v03_2305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SKOH2/02.Master%20Schedule/SKOH2%20&#51089;&#49457;&#51473;/221022/(&#51068;&#51221;&#54364;)SKOH2%20Master%20Schedule_v.07_221022_&#51060;&#52268;&#551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elp"/>
      <sheetName val="Schedule View"/>
      <sheetName val="Schedule"/>
      <sheetName val="Progress"/>
      <sheetName val="AnalysisReport"/>
      <sheetName val="Calendar"/>
      <sheetName val="TranslatedLanguages"/>
      <sheetName val="Workload"/>
      <sheetName val="ServerData"/>
    </sheetNames>
    <sheetDataSet>
      <sheetData sheetId="0" refreshError="1"/>
      <sheetData sheetId="1" refreshError="1"/>
      <sheetData sheetId="2" refreshError="1"/>
      <sheetData sheetId="3"/>
      <sheetData sheetId="4">
        <row r="18">
          <cell r="B18">
            <v>0.14436481719948491</v>
          </cell>
        </row>
        <row r="21">
          <cell r="B21">
            <v>1.4808801298919434E-2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Help"/>
      <sheetName val="Schedule View"/>
      <sheetName val="Schedule"/>
      <sheetName val="Progress"/>
      <sheetName val="AnalysisReport"/>
      <sheetName val="Calendar"/>
      <sheetName val="TranslatedLanguages"/>
      <sheetName val="Workload"/>
      <sheetName val="ServerData"/>
    </sheetNames>
    <sheetDataSet>
      <sheetData sheetId="0" refreshError="1"/>
      <sheetData sheetId="1" refreshError="1"/>
      <sheetData sheetId="2" refreshError="1"/>
      <sheetData sheetId="3"/>
      <sheetData sheetId="4">
        <row r="18">
          <cell r="B18">
            <v>0.50137169621947142</v>
          </cell>
        </row>
        <row r="21">
          <cell r="B21">
            <v>0.14840030779524924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xlworks.net/xlgantt-project-schedul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22"/>
  <sheetViews>
    <sheetView showGridLines="0" view="pageBreakPreview" zoomScale="85" zoomScaleNormal="100" zoomScaleSheetLayoutView="85" workbookViewId="0">
      <selection activeCell="K16" sqref="K16:K17"/>
    </sheetView>
  </sheetViews>
  <sheetFormatPr defaultColWidth="9" defaultRowHeight="17.399999999999999" x14ac:dyDescent="0.25"/>
  <cols>
    <col min="1" max="1" width="3.19921875" style="17" customWidth="1"/>
    <col min="2" max="8" width="9" style="17"/>
    <col min="9" max="9" width="19.09765625" style="17" customWidth="1"/>
    <col min="10" max="11" width="11" style="17" customWidth="1"/>
    <col min="12" max="12" width="12" style="17" customWidth="1"/>
    <col min="13" max="16384" width="9" style="17"/>
  </cols>
  <sheetData>
    <row r="2" spans="2:13" x14ac:dyDescent="0.25">
      <c r="B2" s="198" t="s">
        <v>12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2:13" x14ac:dyDescent="0.25"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2:13" ht="9" customHeight="1" thickBot="1" x14ac:dyDescent="0.3"/>
    <row r="5" spans="2:13" ht="36" customHeight="1" thickTop="1" thickBot="1" x14ac:dyDescent="0.3">
      <c r="B5" s="18" t="s">
        <v>13</v>
      </c>
      <c r="C5" s="199" t="s">
        <v>557</v>
      </c>
      <c r="D5" s="199"/>
      <c r="E5" s="199"/>
      <c r="F5" s="19" t="s">
        <v>14</v>
      </c>
      <c r="G5" s="200" t="s">
        <v>558</v>
      </c>
      <c r="H5" s="200"/>
      <c r="I5" s="19" t="s">
        <v>15</v>
      </c>
      <c r="J5" s="201" t="s">
        <v>537</v>
      </c>
      <c r="K5" s="201"/>
      <c r="L5" s="202"/>
      <c r="M5" s="20"/>
    </row>
    <row r="6" spans="2:13" ht="29.25" customHeight="1" thickBot="1" x14ac:dyDescent="0.3">
      <c r="B6" s="203" t="s">
        <v>16</v>
      </c>
      <c r="C6" s="204"/>
      <c r="D6" s="204"/>
      <c r="E6" s="204"/>
      <c r="F6" s="204"/>
      <c r="G6" s="204"/>
      <c r="H6" s="204"/>
      <c r="I6" s="204" t="s">
        <v>17</v>
      </c>
      <c r="J6" s="204"/>
      <c r="K6" s="204"/>
      <c r="L6" s="205"/>
      <c r="M6" s="20"/>
    </row>
    <row r="7" spans="2:13" ht="21.75" customHeight="1" x14ac:dyDescent="0.25">
      <c r="B7" s="206" t="s">
        <v>18</v>
      </c>
      <c r="C7" s="207"/>
      <c r="D7" s="208"/>
      <c r="E7" s="209"/>
      <c r="F7" s="209"/>
      <c r="G7" s="209"/>
      <c r="H7" s="209"/>
      <c r="I7" s="21" t="s">
        <v>19</v>
      </c>
      <c r="J7" s="21" t="s">
        <v>20</v>
      </c>
      <c r="K7" s="21" t="s">
        <v>21</v>
      </c>
      <c r="L7" s="22" t="s">
        <v>22</v>
      </c>
      <c r="M7" s="20"/>
    </row>
    <row r="8" spans="2:13" ht="21.75" customHeight="1" x14ac:dyDescent="0.25">
      <c r="B8" s="206" t="s">
        <v>23</v>
      </c>
      <c r="C8" s="207"/>
      <c r="D8" s="208" t="s">
        <v>812</v>
      </c>
      <c r="E8" s="209"/>
      <c r="F8" s="209"/>
      <c r="G8" s="209"/>
      <c r="H8" s="209"/>
      <c r="I8" s="210" t="s">
        <v>24</v>
      </c>
      <c r="J8" s="217" t="s">
        <v>813</v>
      </c>
      <c r="K8" s="212" t="s">
        <v>539</v>
      </c>
      <c r="L8" s="214"/>
      <c r="M8" s="20"/>
    </row>
    <row r="9" spans="2:13" ht="21.75" customHeight="1" x14ac:dyDescent="0.25">
      <c r="B9" s="206" t="s">
        <v>25</v>
      </c>
      <c r="C9" s="207"/>
      <c r="D9" s="216" t="s">
        <v>818</v>
      </c>
      <c r="E9" s="216"/>
      <c r="F9" s="216"/>
      <c r="G9" s="216"/>
      <c r="H9" s="216"/>
      <c r="I9" s="211"/>
      <c r="J9" s="218"/>
      <c r="K9" s="213"/>
      <c r="L9" s="215"/>
      <c r="M9" s="20"/>
    </row>
    <row r="10" spans="2:13" ht="21.75" customHeight="1" x14ac:dyDescent="0.25">
      <c r="B10" s="206" t="s">
        <v>26</v>
      </c>
      <c r="C10" s="207"/>
      <c r="D10" s="208" t="s">
        <v>538</v>
      </c>
      <c r="E10" s="209"/>
      <c r="F10" s="209"/>
      <c r="G10" s="209"/>
      <c r="H10" s="209"/>
      <c r="I10" s="210" t="s">
        <v>27</v>
      </c>
      <c r="J10" s="217" t="s">
        <v>814</v>
      </c>
      <c r="K10" s="212" t="s">
        <v>539</v>
      </c>
      <c r="L10" s="214"/>
      <c r="M10" s="20"/>
    </row>
    <row r="11" spans="2:13" ht="21.75" customHeight="1" x14ac:dyDescent="0.25">
      <c r="B11" s="206" t="s">
        <v>28</v>
      </c>
      <c r="C11" s="207"/>
      <c r="D11" s="208" t="s">
        <v>543</v>
      </c>
      <c r="E11" s="209"/>
      <c r="F11" s="209"/>
      <c r="G11" s="209"/>
      <c r="H11" s="209"/>
      <c r="I11" s="211"/>
      <c r="J11" s="218"/>
      <c r="K11" s="213"/>
      <c r="L11" s="215"/>
      <c r="M11" s="20"/>
    </row>
    <row r="12" spans="2:13" ht="21.75" customHeight="1" x14ac:dyDescent="0.25">
      <c r="B12" s="206" t="s">
        <v>29</v>
      </c>
      <c r="C12" s="207"/>
      <c r="D12" s="209" t="s">
        <v>555</v>
      </c>
      <c r="E12" s="209"/>
      <c r="F12" s="209"/>
      <c r="G12" s="209"/>
      <c r="H12" s="209"/>
      <c r="I12" s="210" t="s">
        <v>30</v>
      </c>
      <c r="J12" s="217" t="s">
        <v>815</v>
      </c>
      <c r="K12" s="212" t="s">
        <v>539</v>
      </c>
      <c r="L12" s="214"/>
      <c r="M12" s="20"/>
    </row>
    <row r="13" spans="2:13" ht="21.75" customHeight="1" x14ac:dyDescent="0.25">
      <c r="B13" s="206"/>
      <c r="C13" s="207"/>
      <c r="D13" s="219"/>
      <c r="E13" s="220"/>
      <c r="F13" s="220"/>
      <c r="G13" s="220"/>
      <c r="H13" s="220"/>
      <c r="I13" s="211"/>
      <c r="J13" s="218"/>
      <c r="K13" s="213"/>
      <c r="L13" s="215"/>
      <c r="M13" s="20"/>
    </row>
    <row r="14" spans="2:13" ht="21.75" customHeight="1" x14ac:dyDescent="0.25">
      <c r="B14" s="221" t="s">
        <v>31</v>
      </c>
      <c r="C14" s="222"/>
      <c r="D14" s="21" t="s">
        <v>32</v>
      </c>
      <c r="E14" s="23" t="s">
        <v>541</v>
      </c>
      <c r="F14" s="23" t="s">
        <v>80</v>
      </c>
      <c r="G14" s="23" t="s">
        <v>822</v>
      </c>
      <c r="H14" s="23" t="s">
        <v>821</v>
      </c>
      <c r="I14" s="210" t="s">
        <v>33</v>
      </c>
      <c r="J14" s="217" t="s">
        <v>816</v>
      </c>
      <c r="K14" s="212" t="s">
        <v>539</v>
      </c>
      <c r="L14" s="214"/>
      <c r="M14" s="20"/>
    </row>
    <row r="15" spans="2:13" ht="21.75" customHeight="1" x14ac:dyDescent="0.25">
      <c r="B15" s="223"/>
      <c r="C15" s="224"/>
      <c r="D15" s="21" t="s">
        <v>34</v>
      </c>
      <c r="E15" s="69" t="s">
        <v>542</v>
      </c>
      <c r="F15" s="23" t="s">
        <v>540</v>
      </c>
      <c r="G15" s="23" t="s">
        <v>81</v>
      </c>
      <c r="H15" s="23" t="s">
        <v>82</v>
      </c>
      <c r="I15" s="211"/>
      <c r="J15" s="218"/>
      <c r="K15" s="213"/>
      <c r="L15" s="215"/>
      <c r="M15" s="20"/>
    </row>
    <row r="16" spans="2:13" ht="21.75" customHeight="1" x14ac:dyDescent="0.25">
      <c r="B16" s="223"/>
      <c r="C16" s="224"/>
      <c r="D16" s="21" t="s">
        <v>32</v>
      </c>
      <c r="E16" s="23"/>
      <c r="F16" s="23"/>
      <c r="G16" s="70"/>
      <c r="H16" s="23"/>
      <c r="I16" s="210" t="s">
        <v>35</v>
      </c>
      <c r="J16" s="217" t="s">
        <v>817</v>
      </c>
      <c r="K16" s="212" t="s">
        <v>539</v>
      </c>
      <c r="L16" s="214"/>
      <c r="M16" s="20"/>
    </row>
    <row r="17" spans="2:13" ht="21.75" customHeight="1" x14ac:dyDescent="0.25">
      <c r="B17" s="248"/>
      <c r="C17" s="249"/>
      <c r="D17" s="21" t="s">
        <v>34</v>
      </c>
      <c r="E17" s="23"/>
      <c r="F17" s="23"/>
      <c r="G17" s="23"/>
      <c r="H17" s="23"/>
      <c r="I17" s="211"/>
      <c r="J17" s="218"/>
      <c r="K17" s="213"/>
      <c r="L17" s="215"/>
      <c r="M17" s="20"/>
    </row>
    <row r="18" spans="2:13" ht="21.75" customHeight="1" x14ac:dyDescent="0.25">
      <c r="B18" s="221" t="s">
        <v>36</v>
      </c>
      <c r="C18" s="222"/>
      <c r="D18" s="227" t="s">
        <v>556</v>
      </c>
      <c r="E18" s="228"/>
      <c r="F18" s="228"/>
      <c r="G18" s="228"/>
      <c r="H18" s="229"/>
      <c r="I18" s="236" t="s">
        <v>37</v>
      </c>
      <c r="J18" s="239"/>
      <c r="K18" s="240"/>
      <c r="L18" s="241"/>
      <c r="M18" s="20"/>
    </row>
    <row r="19" spans="2:13" ht="21.75" customHeight="1" x14ac:dyDescent="0.25">
      <c r="B19" s="223"/>
      <c r="C19" s="224"/>
      <c r="D19" s="230"/>
      <c r="E19" s="231"/>
      <c r="F19" s="231"/>
      <c r="G19" s="231"/>
      <c r="H19" s="232"/>
      <c r="I19" s="237"/>
      <c r="J19" s="242"/>
      <c r="K19" s="243"/>
      <c r="L19" s="244"/>
      <c r="M19" s="20"/>
    </row>
    <row r="20" spans="2:13" ht="21.75" customHeight="1" thickBot="1" x14ac:dyDescent="0.3">
      <c r="B20" s="225"/>
      <c r="C20" s="226"/>
      <c r="D20" s="233"/>
      <c r="E20" s="234"/>
      <c r="F20" s="234"/>
      <c r="G20" s="234"/>
      <c r="H20" s="235"/>
      <c r="I20" s="238"/>
      <c r="J20" s="245"/>
      <c r="K20" s="246"/>
      <c r="L20" s="247"/>
      <c r="M20" s="20"/>
    </row>
    <row r="21" spans="2:13" ht="19.8" thickTop="1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2:13" ht="19.2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</sheetData>
  <mergeCells count="44">
    <mergeCell ref="B18:C20"/>
    <mergeCell ref="D18:H20"/>
    <mergeCell ref="I18:I20"/>
    <mergeCell ref="J18:L20"/>
    <mergeCell ref="B14:C17"/>
    <mergeCell ref="I14:I15"/>
    <mergeCell ref="J14:J15"/>
    <mergeCell ref="K14:K15"/>
    <mergeCell ref="L14:L15"/>
    <mergeCell ref="I16:I17"/>
    <mergeCell ref="J16:J17"/>
    <mergeCell ref="K16:K17"/>
    <mergeCell ref="L16:L17"/>
    <mergeCell ref="B12:C13"/>
    <mergeCell ref="D12:H12"/>
    <mergeCell ref="I12:I13"/>
    <mergeCell ref="K12:K13"/>
    <mergeCell ref="L12:L13"/>
    <mergeCell ref="D13:H13"/>
    <mergeCell ref="J12:J13"/>
    <mergeCell ref="K8:K9"/>
    <mergeCell ref="L8:L9"/>
    <mergeCell ref="B9:C9"/>
    <mergeCell ref="D9:H9"/>
    <mergeCell ref="B10:C10"/>
    <mergeCell ref="D10:H10"/>
    <mergeCell ref="I10:I11"/>
    <mergeCell ref="J10:J11"/>
    <mergeCell ref="K10:K11"/>
    <mergeCell ref="L10:L11"/>
    <mergeCell ref="J8:J9"/>
    <mergeCell ref="B11:C11"/>
    <mergeCell ref="D11:H11"/>
    <mergeCell ref="B7:C7"/>
    <mergeCell ref="D7:H7"/>
    <mergeCell ref="B8:C8"/>
    <mergeCell ref="D8:H8"/>
    <mergeCell ref="I8:I9"/>
    <mergeCell ref="B2:L3"/>
    <mergeCell ref="C5:E5"/>
    <mergeCell ref="G5:H5"/>
    <mergeCell ref="J5:L5"/>
    <mergeCell ref="B6:H6"/>
    <mergeCell ref="I6:L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A44A"/>
    <outlinePr summaryBelow="0"/>
  </sheetPr>
  <dimension ref="A1:XX486"/>
  <sheetViews>
    <sheetView zoomScale="85" zoomScaleNormal="85" zoomScaleSheetLayoutView="70" zoomScalePageLayoutView="55" workbookViewId="0">
      <pane ySplit="4" topLeftCell="A93" activePane="bottomLeft" state="frozen"/>
      <selection activeCell="E5" sqref="E5"/>
      <selection pane="bottomLeft" activeCell="R140" sqref="R140"/>
    </sheetView>
  </sheetViews>
  <sheetFormatPr defaultColWidth="10" defaultRowHeight="12" customHeight="1" outlineLevelRow="4" x14ac:dyDescent="0.25"/>
  <cols>
    <col min="1" max="1" width="9.09765625" style="153" hidden="1" customWidth="1"/>
    <col min="2" max="2" width="9" style="153" hidden="1" customWidth="1"/>
    <col min="3" max="3" width="8.3984375" style="153" hidden="1" customWidth="1"/>
    <col min="4" max="4" width="12.69921875" style="154" customWidth="1"/>
    <col min="5" max="9" width="2.69921875" style="155" customWidth="1"/>
    <col min="10" max="10" width="23.09765625" style="155" customWidth="1"/>
    <col min="11" max="11" width="0.5" style="155" hidden="1" customWidth="1"/>
    <col min="12" max="12" width="2.69921875" style="155" hidden="1" customWidth="1"/>
    <col min="13" max="13" width="14" style="155" hidden="1" customWidth="1"/>
    <col min="14" max="14" width="9.765625E-2" style="155" customWidth="1"/>
    <col min="15" max="15" width="31.09765625" style="196" bestFit="1" customWidth="1"/>
    <col min="16" max="16" width="7" style="156" bestFit="1" customWidth="1"/>
    <col min="17" max="18" width="9.8984375" style="157" customWidth="1"/>
    <col min="19" max="19" width="7.59765625" style="161" hidden="1" customWidth="1"/>
    <col min="20" max="20" width="6.3984375" style="158" hidden="1" customWidth="1"/>
    <col min="21" max="21" width="6.59765625" style="158" hidden="1" customWidth="1"/>
    <col min="22" max="22" width="5.8984375" style="158" hidden="1" customWidth="1"/>
    <col min="23" max="23" width="5" style="158" hidden="1" customWidth="1"/>
    <col min="24" max="25" width="9.69921875" style="157" hidden="1" customWidth="1"/>
    <col min="26" max="26" width="7.5" style="159" hidden="1" customWidth="1"/>
    <col min="27" max="27" width="6" style="160" hidden="1" customWidth="1"/>
    <col min="28" max="28" width="6.09765625" style="158" customWidth="1"/>
    <col min="29" max="29" width="8.59765625" style="161" hidden="1" customWidth="1"/>
    <col min="30" max="30" width="5.8984375" style="188" hidden="1" customWidth="1"/>
    <col min="31" max="31" width="7.69921875" style="162" customWidth="1"/>
    <col min="32" max="32" width="7.19921875" style="163" customWidth="1"/>
    <col min="33" max="648" width="1.8984375" style="116" customWidth="1"/>
    <col min="649" max="16384" width="10" style="116"/>
  </cols>
  <sheetData>
    <row r="1" spans="1:648" s="89" customFormat="1" ht="20.100000000000001" customHeight="1" x14ac:dyDescent="0.25">
      <c r="A1" s="72"/>
      <c r="B1" s="73"/>
      <c r="C1" s="74"/>
      <c r="D1" s="75" t="e">
        <f ca="1">xlgantt.ProjectName()</f>
        <v>#NAME?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5"/>
      <c r="P1" s="77"/>
      <c r="Q1" s="174"/>
      <c r="R1" s="78"/>
      <c r="S1" s="79"/>
      <c r="T1" s="80"/>
      <c r="U1" s="81"/>
      <c r="V1" s="82"/>
      <c r="W1" s="82"/>
      <c r="X1" s="83"/>
      <c r="Y1" s="83"/>
      <c r="Z1" s="73"/>
      <c r="AA1" s="84"/>
      <c r="AB1" s="175"/>
      <c r="AC1" s="176"/>
      <c r="AD1" s="177"/>
      <c r="AE1" s="85"/>
      <c r="AF1" s="86" t="e">
        <f t="array" aca="1" ref="AF1" ca="1">xlgantt.ProjectProgressString()</f>
        <v>#NAME?</v>
      </c>
      <c r="AG1" s="87" t="s">
        <v>116</v>
      </c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</row>
    <row r="2" spans="1:648" s="89" customFormat="1" ht="15" customHeight="1" x14ac:dyDescent="0.25">
      <c r="A2" s="72"/>
      <c r="B2" s="72"/>
      <c r="C2" s="74"/>
      <c r="D2" s="287"/>
      <c r="E2" s="287"/>
      <c r="F2" s="287"/>
      <c r="G2" s="90"/>
      <c r="H2" s="91"/>
      <c r="I2" s="90"/>
      <c r="J2" s="90"/>
      <c r="K2" s="92"/>
      <c r="L2" s="90"/>
      <c r="M2" s="90"/>
      <c r="N2" s="90"/>
      <c r="O2" s="192"/>
      <c r="P2" s="93"/>
      <c r="Q2" s="90"/>
      <c r="R2" s="90"/>
      <c r="S2" s="93"/>
      <c r="T2" s="94"/>
      <c r="U2" s="94"/>
      <c r="V2" s="94"/>
      <c r="W2" s="94"/>
      <c r="X2" s="90"/>
      <c r="Y2" s="90"/>
      <c r="Z2" s="90"/>
      <c r="AA2" s="90"/>
      <c r="AB2" s="90"/>
      <c r="AC2" s="93"/>
      <c r="AD2" s="178"/>
      <c r="AE2" s="95"/>
      <c r="AF2" s="90" t="e">
        <f t="array" aca="1" ref="AF2" ca="1">xlgantt.CommentOnHeadArea()</f>
        <v>#NAME?</v>
      </c>
      <c r="AG2" s="269" t="s">
        <v>117</v>
      </c>
      <c r="AH2" s="269"/>
      <c r="AI2" s="269"/>
      <c r="AJ2" s="269"/>
      <c r="AK2" s="269" t="s">
        <v>118</v>
      </c>
      <c r="AL2" s="269"/>
      <c r="AM2" s="269"/>
      <c r="AN2" s="269"/>
      <c r="AO2" s="269" t="s">
        <v>119</v>
      </c>
      <c r="AP2" s="269"/>
      <c r="AQ2" s="269"/>
      <c r="AR2" s="269"/>
      <c r="AS2" s="269" t="s">
        <v>120</v>
      </c>
      <c r="AT2" s="269"/>
      <c r="AU2" s="269"/>
      <c r="AV2" s="269"/>
      <c r="AW2" s="269" t="s">
        <v>121</v>
      </c>
      <c r="AX2" s="269"/>
      <c r="AY2" s="269"/>
      <c r="AZ2" s="269"/>
      <c r="BA2" s="269" t="s">
        <v>122</v>
      </c>
      <c r="BB2" s="269"/>
      <c r="BC2" s="269"/>
      <c r="BD2" s="269"/>
      <c r="BE2" s="269" t="s">
        <v>123</v>
      </c>
      <c r="BF2" s="269"/>
      <c r="BG2" s="269"/>
      <c r="BH2" s="269"/>
      <c r="BI2" s="269" t="s">
        <v>124</v>
      </c>
      <c r="BJ2" s="269"/>
      <c r="BK2" s="269"/>
      <c r="BL2" s="269"/>
      <c r="BM2" s="269" t="s">
        <v>125</v>
      </c>
      <c r="BN2" s="269"/>
      <c r="BO2" s="269"/>
      <c r="BP2" s="269"/>
      <c r="BQ2" s="269" t="s">
        <v>126</v>
      </c>
      <c r="BR2" s="269"/>
      <c r="BS2" s="269"/>
      <c r="BT2" s="269"/>
      <c r="BU2" s="269" t="s">
        <v>127</v>
      </c>
      <c r="BV2" s="269"/>
      <c r="BW2" s="269"/>
      <c r="BX2" s="269"/>
      <c r="BY2" s="269" t="s">
        <v>128</v>
      </c>
      <c r="BZ2" s="269"/>
      <c r="CA2" s="269"/>
      <c r="CB2" s="269"/>
      <c r="CC2" s="269" t="s">
        <v>129</v>
      </c>
      <c r="CD2" s="269"/>
      <c r="CE2" s="269"/>
      <c r="CF2" s="269"/>
      <c r="CG2" s="269" t="s">
        <v>130</v>
      </c>
      <c r="CH2" s="269"/>
      <c r="CI2" s="269"/>
      <c r="CJ2" s="269"/>
      <c r="CK2" s="269" t="s">
        <v>131</v>
      </c>
      <c r="CL2" s="269"/>
      <c r="CM2" s="269"/>
      <c r="CN2" s="269"/>
      <c r="CO2" s="269" t="s">
        <v>132</v>
      </c>
      <c r="CP2" s="269"/>
      <c r="CQ2" s="269"/>
      <c r="CR2" s="269"/>
      <c r="CS2" s="269" t="s">
        <v>417</v>
      </c>
      <c r="CT2" s="269"/>
      <c r="CU2" s="269"/>
      <c r="CV2" s="269"/>
      <c r="CW2" s="269" t="s">
        <v>418</v>
      </c>
      <c r="CX2" s="269"/>
      <c r="CY2" s="269"/>
      <c r="CZ2" s="269"/>
      <c r="DA2" s="269" t="s">
        <v>419</v>
      </c>
      <c r="DB2" s="269"/>
      <c r="DC2" s="269"/>
      <c r="DD2" s="269"/>
      <c r="DE2" s="269" t="s">
        <v>420</v>
      </c>
      <c r="DF2" s="269"/>
      <c r="DG2" s="269"/>
      <c r="DH2" s="269"/>
      <c r="DI2" s="269" t="s">
        <v>421</v>
      </c>
      <c r="DJ2" s="269"/>
      <c r="DK2" s="269"/>
      <c r="DL2" s="269"/>
      <c r="DM2" s="269" t="s">
        <v>422</v>
      </c>
      <c r="DN2" s="269"/>
      <c r="DO2" s="269"/>
      <c r="DP2" s="269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  <c r="IW2" s="191"/>
      <c r="IX2" s="191"/>
      <c r="IY2" s="191"/>
      <c r="IZ2" s="191"/>
      <c r="JA2" s="191"/>
      <c r="JB2" s="191"/>
      <c r="JC2" s="191"/>
      <c r="JD2" s="191"/>
      <c r="JE2" s="191"/>
      <c r="JF2" s="191"/>
      <c r="JG2" s="191"/>
      <c r="JH2" s="191"/>
      <c r="JI2" s="191"/>
      <c r="JJ2" s="191"/>
      <c r="JK2" s="191"/>
      <c r="JL2" s="191"/>
      <c r="JM2" s="191"/>
      <c r="JN2" s="191"/>
      <c r="JO2" s="191"/>
      <c r="JP2" s="191"/>
      <c r="JQ2" s="191"/>
      <c r="JR2" s="191"/>
      <c r="JS2" s="191"/>
      <c r="JT2" s="191"/>
      <c r="JU2" s="191"/>
      <c r="JV2" s="191"/>
      <c r="JW2" s="191"/>
      <c r="JX2" s="191"/>
      <c r="JY2" s="191"/>
      <c r="JZ2" s="191"/>
      <c r="KA2" s="191"/>
      <c r="KB2" s="191"/>
      <c r="KC2" s="191"/>
      <c r="KD2" s="191"/>
      <c r="KE2" s="191"/>
      <c r="KF2" s="191"/>
      <c r="KG2" s="191"/>
      <c r="KH2" s="191"/>
      <c r="KI2" s="191"/>
      <c r="KJ2" s="191"/>
      <c r="KK2" s="191"/>
      <c r="KL2" s="191"/>
      <c r="KM2" s="191"/>
      <c r="KN2" s="191"/>
      <c r="KO2" s="191"/>
      <c r="KP2" s="191"/>
      <c r="KQ2" s="191"/>
      <c r="KR2" s="191"/>
      <c r="KS2" s="191"/>
      <c r="KT2" s="191"/>
      <c r="KU2" s="191"/>
      <c r="KV2" s="191"/>
      <c r="KW2" s="191"/>
      <c r="KX2" s="191"/>
      <c r="KY2" s="191"/>
      <c r="KZ2" s="191"/>
      <c r="LA2" s="191"/>
      <c r="LB2" s="191"/>
      <c r="LC2" s="191"/>
      <c r="LD2" s="191"/>
      <c r="LE2" s="191"/>
      <c r="LF2" s="191"/>
      <c r="LG2" s="191"/>
      <c r="LH2" s="191"/>
      <c r="LI2" s="191"/>
      <c r="LJ2" s="191"/>
      <c r="LK2" s="191"/>
      <c r="LL2" s="191"/>
      <c r="LM2" s="191"/>
      <c r="LN2" s="191"/>
      <c r="LO2" s="191"/>
      <c r="LP2" s="191"/>
      <c r="LQ2" s="191"/>
      <c r="LR2" s="191"/>
      <c r="LS2" s="191"/>
      <c r="LT2" s="191"/>
      <c r="LU2" s="191"/>
      <c r="LV2" s="191"/>
      <c r="LW2" s="191"/>
      <c r="LX2" s="191"/>
      <c r="LY2" s="191"/>
      <c r="LZ2" s="191"/>
      <c r="MA2" s="191"/>
      <c r="MB2" s="191"/>
      <c r="MC2" s="191"/>
      <c r="MD2" s="191"/>
      <c r="ME2" s="191"/>
      <c r="MF2" s="191"/>
      <c r="MG2" s="191"/>
      <c r="MH2" s="191"/>
      <c r="MI2" s="191"/>
      <c r="MJ2" s="191"/>
      <c r="MK2" s="191"/>
      <c r="ML2" s="191"/>
      <c r="MM2" s="191"/>
      <c r="MN2" s="191"/>
      <c r="MO2" s="191"/>
      <c r="MP2" s="191"/>
      <c r="MQ2" s="191"/>
      <c r="MR2" s="191"/>
      <c r="MS2" s="191"/>
      <c r="MT2" s="191"/>
      <c r="MU2" s="191"/>
      <c r="MV2" s="191"/>
      <c r="MW2" s="191"/>
      <c r="MX2" s="191"/>
      <c r="MY2" s="191"/>
      <c r="MZ2" s="191"/>
      <c r="NA2" s="191"/>
      <c r="NB2" s="191"/>
      <c r="NC2" s="191"/>
      <c r="ND2" s="191"/>
      <c r="NE2" s="191"/>
      <c r="NF2" s="191"/>
      <c r="NG2" s="191"/>
      <c r="NH2" s="191"/>
      <c r="NI2" s="191"/>
      <c r="NJ2" s="191"/>
      <c r="NK2" s="191"/>
      <c r="NL2" s="191"/>
      <c r="NM2" s="191"/>
      <c r="NN2" s="191"/>
      <c r="NO2" s="191"/>
      <c r="NP2" s="191"/>
      <c r="NQ2" s="191"/>
      <c r="NR2" s="191"/>
      <c r="NS2" s="191"/>
      <c r="NT2" s="191"/>
      <c r="NU2" s="191"/>
      <c r="NV2" s="191"/>
      <c r="NW2" s="191"/>
      <c r="NX2" s="191"/>
      <c r="NY2" s="191"/>
      <c r="NZ2" s="191"/>
      <c r="OA2" s="191"/>
      <c r="OB2" s="191"/>
      <c r="OC2" s="191"/>
      <c r="OD2" s="191"/>
      <c r="OE2" s="191"/>
      <c r="OF2" s="191"/>
      <c r="OG2" s="191"/>
      <c r="OH2" s="191"/>
      <c r="OI2" s="191"/>
      <c r="OJ2" s="191"/>
      <c r="OK2" s="191"/>
      <c r="OL2" s="191"/>
      <c r="OM2" s="191"/>
      <c r="ON2" s="191"/>
      <c r="OO2" s="191"/>
      <c r="OP2" s="191"/>
      <c r="OQ2" s="191"/>
      <c r="OR2" s="191"/>
      <c r="OS2" s="191"/>
      <c r="OT2" s="191"/>
      <c r="OU2" s="191"/>
      <c r="OV2" s="191"/>
      <c r="OW2" s="191"/>
      <c r="OX2" s="191"/>
      <c r="OY2" s="191"/>
      <c r="OZ2" s="191"/>
      <c r="PA2" s="191"/>
      <c r="PB2" s="191"/>
      <c r="PC2" s="191"/>
      <c r="PD2" s="191"/>
      <c r="PE2" s="191"/>
      <c r="PF2" s="191"/>
      <c r="PG2" s="191"/>
      <c r="PH2" s="191"/>
      <c r="PI2" s="191"/>
      <c r="PJ2" s="191"/>
      <c r="PK2" s="191"/>
      <c r="PL2" s="191"/>
      <c r="PM2" s="191"/>
      <c r="PN2" s="191"/>
      <c r="PO2" s="191"/>
      <c r="PP2" s="191"/>
      <c r="PQ2" s="191"/>
      <c r="PR2" s="191"/>
      <c r="PS2" s="191"/>
      <c r="PT2" s="191"/>
      <c r="PU2" s="191"/>
      <c r="PV2" s="191"/>
      <c r="PW2" s="191"/>
      <c r="PX2" s="191"/>
      <c r="PY2" s="191"/>
      <c r="PZ2" s="191"/>
      <c r="QA2" s="191"/>
      <c r="QB2" s="191"/>
      <c r="QC2" s="191"/>
      <c r="QD2" s="191"/>
      <c r="QE2" s="191"/>
      <c r="QF2" s="191"/>
      <c r="QG2" s="191"/>
      <c r="QH2" s="191"/>
      <c r="QI2" s="191"/>
      <c r="QJ2" s="191"/>
      <c r="QK2" s="191"/>
      <c r="QL2" s="191"/>
      <c r="QM2" s="191"/>
      <c r="QN2" s="191"/>
      <c r="QO2" s="191"/>
      <c r="QP2" s="191"/>
      <c r="QQ2" s="191"/>
      <c r="QR2" s="191"/>
      <c r="QS2" s="191"/>
      <c r="QT2" s="191"/>
      <c r="QU2" s="191"/>
      <c r="QV2" s="191"/>
      <c r="QW2" s="191"/>
      <c r="QX2" s="191"/>
      <c r="QY2" s="191"/>
      <c r="QZ2" s="191"/>
      <c r="RA2" s="191"/>
      <c r="RB2" s="191"/>
      <c r="RC2" s="191"/>
      <c r="RD2" s="191"/>
      <c r="RE2" s="191"/>
      <c r="RF2" s="191"/>
      <c r="RG2" s="191"/>
      <c r="RH2" s="191"/>
      <c r="RI2" s="191"/>
      <c r="RJ2" s="191"/>
      <c r="RK2" s="191"/>
      <c r="RL2" s="191"/>
      <c r="RM2" s="191"/>
      <c r="RN2" s="191"/>
      <c r="RO2" s="191"/>
      <c r="RP2" s="191"/>
      <c r="RQ2" s="191"/>
      <c r="RR2" s="191"/>
      <c r="RS2" s="191"/>
      <c r="RT2" s="191"/>
      <c r="RU2" s="191"/>
      <c r="RV2" s="191"/>
      <c r="RW2" s="191"/>
      <c r="RX2" s="191"/>
      <c r="RY2" s="191"/>
      <c r="RZ2" s="191"/>
      <c r="SA2" s="191"/>
      <c r="SB2" s="191"/>
      <c r="SC2" s="191"/>
      <c r="SD2" s="191"/>
      <c r="SE2" s="191"/>
      <c r="SF2" s="191"/>
      <c r="SG2" s="191"/>
      <c r="SH2" s="191"/>
      <c r="SI2" s="191"/>
      <c r="SJ2" s="191"/>
      <c r="SK2" s="191"/>
      <c r="SL2" s="191"/>
      <c r="SM2" s="191"/>
      <c r="SN2" s="191"/>
      <c r="SO2" s="191"/>
      <c r="SP2" s="191"/>
      <c r="SQ2" s="191"/>
      <c r="SR2" s="191"/>
      <c r="SS2" s="191"/>
      <c r="ST2" s="191"/>
      <c r="SU2" s="191"/>
      <c r="SV2" s="191"/>
      <c r="SW2" s="191"/>
      <c r="SX2" s="191"/>
      <c r="SY2" s="191"/>
      <c r="SZ2" s="191"/>
      <c r="TA2" s="191"/>
      <c r="TB2" s="191"/>
      <c r="TC2" s="191"/>
      <c r="TD2" s="191"/>
      <c r="TE2" s="191"/>
      <c r="TF2" s="191"/>
      <c r="TG2" s="191"/>
      <c r="TH2" s="191"/>
      <c r="TI2" s="191"/>
      <c r="TJ2" s="191"/>
      <c r="TK2" s="191"/>
      <c r="TL2" s="191"/>
      <c r="TM2" s="191"/>
      <c r="TN2" s="191"/>
      <c r="TO2" s="191"/>
      <c r="TP2" s="191"/>
      <c r="TQ2" s="191"/>
      <c r="TR2" s="191"/>
      <c r="TS2" s="191"/>
      <c r="TT2" s="191"/>
      <c r="TU2" s="191"/>
      <c r="TV2" s="191"/>
      <c r="TW2" s="191"/>
      <c r="TX2" s="191"/>
      <c r="TY2" s="191"/>
      <c r="TZ2" s="191"/>
      <c r="UA2" s="191"/>
      <c r="UB2" s="191"/>
      <c r="UC2" s="191"/>
      <c r="UD2" s="191"/>
      <c r="UE2" s="191"/>
      <c r="UF2" s="191"/>
      <c r="UG2" s="191"/>
      <c r="UH2" s="191"/>
      <c r="UI2" s="191"/>
      <c r="UJ2" s="191"/>
      <c r="UK2" s="191"/>
      <c r="UL2" s="191"/>
      <c r="UM2" s="191"/>
      <c r="UN2" s="191"/>
      <c r="UO2" s="191"/>
      <c r="UP2" s="191"/>
      <c r="UQ2" s="191"/>
      <c r="UR2" s="191"/>
      <c r="US2" s="191"/>
      <c r="UT2" s="191"/>
      <c r="UU2" s="191"/>
      <c r="UV2" s="191"/>
      <c r="UW2" s="191"/>
      <c r="UX2" s="191"/>
      <c r="UY2" s="191"/>
      <c r="UZ2" s="191"/>
      <c r="VA2" s="191"/>
      <c r="VB2" s="191"/>
      <c r="VC2" s="191"/>
      <c r="VD2" s="191"/>
      <c r="VE2" s="191"/>
      <c r="VF2" s="191"/>
      <c r="VG2" s="191"/>
      <c r="VH2" s="191"/>
      <c r="VI2" s="191"/>
      <c r="VJ2" s="191"/>
      <c r="VK2" s="191"/>
      <c r="VL2" s="191"/>
      <c r="VM2" s="191"/>
      <c r="VN2" s="191"/>
      <c r="VO2" s="191"/>
      <c r="VP2" s="191"/>
      <c r="VQ2" s="191"/>
      <c r="VR2" s="191"/>
      <c r="VS2" s="191"/>
      <c r="VT2" s="191"/>
      <c r="VU2" s="191"/>
      <c r="VV2" s="191"/>
      <c r="VW2" s="191"/>
      <c r="VX2" s="191"/>
      <c r="VY2" s="191"/>
      <c r="VZ2" s="191"/>
      <c r="WA2" s="191"/>
      <c r="WB2" s="191"/>
      <c r="WC2" s="191"/>
      <c r="WD2" s="191"/>
      <c r="WE2" s="191"/>
      <c r="WF2" s="191"/>
      <c r="WG2" s="191"/>
      <c r="WH2" s="191"/>
      <c r="WI2" s="191"/>
      <c r="WJ2" s="191"/>
      <c r="WK2" s="191"/>
      <c r="WL2" s="191"/>
      <c r="WM2" s="191"/>
      <c r="WN2" s="191"/>
      <c r="WO2" s="191"/>
      <c r="WP2" s="191"/>
      <c r="WQ2" s="191"/>
      <c r="WR2" s="191"/>
      <c r="WS2" s="191"/>
      <c r="WT2" s="191"/>
      <c r="WU2" s="191"/>
      <c r="WV2" s="191"/>
      <c r="WW2" s="191"/>
      <c r="WX2" s="191"/>
      <c r="WY2" s="191"/>
      <c r="WZ2" s="191"/>
      <c r="XA2" s="191"/>
      <c r="XB2" s="191"/>
      <c r="XC2" s="191"/>
      <c r="XD2" s="191"/>
      <c r="XE2" s="191"/>
      <c r="XF2" s="191"/>
      <c r="XG2" s="191"/>
      <c r="XH2" s="191"/>
      <c r="XI2" s="191"/>
      <c r="XJ2" s="191"/>
      <c r="XK2" s="191"/>
      <c r="XL2" s="191"/>
      <c r="XM2" s="191"/>
      <c r="XN2" s="191"/>
      <c r="XO2" s="191"/>
      <c r="XP2" s="191"/>
      <c r="XQ2" s="191"/>
      <c r="XR2" s="191"/>
      <c r="XS2" s="191"/>
      <c r="XT2" s="191"/>
      <c r="XU2" s="191"/>
      <c r="XV2" s="191"/>
      <c r="XW2" s="191"/>
      <c r="XX2" s="191"/>
    </row>
    <row r="3" spans="1:648" s="96" customFormat="1" ht="18.899999999999999" customHeight="1" x14ac:dyDescent="0.25">
      <c r="A3" s="278" t="s">
        <v>133</v>
      </c>
      <c r="B3" s="280" t="s">
        <v>134</v>
      </c>
      <c r="C3" s="282" t="s">
        <v>135</v>
      </c>
      <c r="D3" s="283" t="s">
        <v>136</v>
      </c>
      <c r="E3" s="284" t="s">
        <v>137</v>
      </c>
      <c r="F3" s="285"/>
      <c r="G3" s="285"/>
      <c r="H3" s="285"/>
      <c r="I3" s="285"/>
      <c r="J3" s="285"/>
      <c r="K3" s="285"/>
      <c r="L3" s="285"/>
      <c r="M3" s="285"/>
      <c r="N3" s="285"/>
      <c r="O3" s="261" t="s">
        <v>138</v>
      </c>
      <c r="P3" s="189" t="s">
        <v>139</v>
      </c>
      <c r="Q3" s="253" t="s">
        <v>140</v>
      </c>
      <c r="R3" s="253" t="s">
        <v>141</v>
      </c>
      <c r="S3" s="263" t="s">
        <v>142</v>
      </c>
      <c r="T3" s="265" t="s">
        <v>143</v>
      </c>
      <c r="U3" s="267" t="s">
        <v>144</v>
      </c>
      <c r="V3" s="265" t="s">
        <v>145</v>
      </c>
      <c r="W3" s="265" t="s">
        <v>146</v>
      </c>
      <c r="X3" s="271" t="s">
        <v>147</v>
      </c>
      <c r="Y3" s="271" t="s">
        <v>148</v>
      </c>
      <c r="Z3" s="272" t="s">
        <v>149</v>
      </c>
      <c r="AA3" s="274" t="s">
        <v>150</v>
      </c>
      <c r="AB3" s="276" t="s">
        <v>423</v>
      </c>
      <c r="AC3" s="253" t="s">
        <v>424</v>
      </c>
      <c r="AD3" s="255" t="s">
        <v>425</v>
      </c>
      <c r="AE3" s="257" t="s">
        <v>151</v>
      </c>
      <c r="AF3" s="259" t="s">
        <v>152</v>
      </c>
      <c r="AG3" s="270" t="s">
        <v>426</v>
      </c>
      <c r="AH3" s="251"/>
      <c r="AI3" s="251"/>
      <c r="AJ3" s="251"/>
      <c r="AK3" s="250" t="s">
        <v>427</v>
      </c>
      <c r="AL3" s="251"/>
      <c r="AM3" s="251"/>
      <c r="AN3" s="251"/>
      <c r="AO3" s="250" t="s">
        <v>428</v>
      </c>
      <c r="AP3" s="251"/>
      <c r="AQ3" s="251"/>
      <c r="AR3" s="251"/>
      <c r="AS3" s="250" t="s">
        <v>429</v>
      </c>
      <c r="AT3" s="251"/>
      <c r="AU3" s="251"/>
      <c r="AV3" s="251"/>
      <c r="AW3" s="250" t="s">
        <v>430</v>
      </c>
      <c r="AX3" s="251"/>
      <c r="AY3" s="251"/>
      <c r="AZ3" s="251"/>
      <c r="BA3" s="250" t="s">
        <v>431</v>
      </c>
      <c r="BB3" s="251"/>
      <c r="BC3" s="251"/>
      <c r="BD3" s="251"/>
      <c r="BE3" s="250" t="s">
        <v>432</v>
      </c>
      <c r="BF3" s="251"/>
      <c r="BG3" s="251"/>
      <c r="BH3" s="251"/>
      <c r="BI3" s="250" t="s">
        <v>433</v>
      </c>
      <c r="BJ3" s="251"/>
      <c r="BK3" s="251"/>
      <c r="BL3" s="251"/>
      <c r="BM3" s="250" t="s">
        <v>434</v>
      </c>
      <c r="BN3" s="251"/>
      <c r="BO3" s="251"/>
      <c r="BP3" s="251"/>
      <c r="BQ3" s="250" t="s">
        <v>435</v>
      </c>
      <c r="BR3" s="251"/>
      <c r="BS3" s="251"/>
      <c r="BT3" s="251"/>
      <c r="BU3" s="250" t="s">
        <v>436</v>
      </c>
      <c r="BV3" s="251"/>
      <c r="BW3" s="251"/>
      <c r="BX3" s="251"/>
      <c r="BY3" s="250" t="s">
        <v>437</v>
      </c>
      <c r="BZ3" s="251"/>
      <c r="CA3" s="251"/>
      <c r="CB3" s="251"/>
      <c r="CC3" s="250" t="s">
        <v>438</v>
      </c>
      <c r="CD3" s="251"/>
      <c r="CE3" s="251"/>
      <c r="CF3" s="251"/>
      <c r="CG3" s="250" t="s">
        <v>439</v>
      </c>
      <c r="CH3" s="251"/>
      <c r="CI3" s="251"/>
      <c r="CJ3" s="251"/>
      <c r="CK3" s="250" t="s">
        <v>440</v>
      </c>
      <c r="CL3" s="251"/>
      <c r="CM3" s="251"/>
      <c r="CN3" s="251"/>
      <c r="CO3" s="250" t="s">
        <v>441</v>
      </c>
      <c r="CP3" s="251"/>
      <c r="CQ3" s="251"/>
      <c r="CR3" s="251"/>
      <c r="CS3" s="250" t="s">
        <v>442</v>
      </c>
      <c r="CT3" s="251"/>
      <c r="CU3" s="251"/>
      <c r="CV3" s="251"/>
      <c r="CW3" s="250" t="s">
        <v>443</v>
      </c>
      <c r="CX3" s="251"/>
      <c r="CY3" s="251"/>
      <c r="CZ3" s="251"/>
      <c r="DA3" s="250" t="s">
        <v>444</v>
      </c>
      <c r="DB3" s="251"/>
      <c r="DC3" s="251"/>
      <c r="DD3" s="251"/>
      <c r="DE3" s="250" t="s">
        <v>445</v>
      </c>
      <c r="DF3" s="251"/>
      <c r="DG3" s="251"/>
      <c r="DH3" s="251"/>
      <c r="DI3" s="250" t="s">
        <v>446</v>
      </c>
      <c r="DJ3" s="251"/>
      <c r="DK3" s="251"/>
      <c r="DL3" s="251"/>
      <c r="DM3" s="250" t="s">
        <v>447</v>
      </c>
      <c r="DN3" s="251"/>
      <c r="DO3" s="251"/>
      <c r="DP3" s="252"/>
    </row>
    <row r="4" spans="1:648" s="100" customFormat="1" ht="6" customHeight="1" x14ac:dyDescent="0.25">
      <c r="A4" s="279"/>
      <c r="B4" s="281"/>
      <c r="C4" s="278"/>
      <c r="D4" s="256"/>
      <c r="E4" s="286"/>
      <c r="F4" s="285"/>
      <c r="G4" s="285"/>
      <c r="H4" s="285"/>
      <c r="I4" s="285"/>
      <c r="J4" s="285"/>
      <c r="K4" s="285"/>
      <c r="L4" s="285"/>
      <c r="M4" s="285"/>
      <c r="N4" s="285"/>
      <c r="O4" s="262"/>
      <c r="P4" s="190"/>
      <c r="Q4" s="254"/>
      <c r="R4" s="254"/>
      <c r="S4" s="264"/>
      <c r="T4" s="266"/>
      <c r="U4" s="268"/>
      <c r="V4" s="266"/>
      <c r="W4" s="266"/>
      <c r="X4" s="254"/>
      <c r="Y4" s="254"/>
      <c r="Z4" s="273"/>
      <c r="AA4" s="275"/>
      <c r="AB4" s="277"/>
      <c r="AC4" s="254"/>
      <c r="AD4" s="256"/>
      <c r="AE4" s="258"/>
      <c r="AF4" s="260"/>
      <c r="AG4" s="97">
        <v>44955</v>
      </c>
      <c r="AH4" s="98">
        <v>44962</v>
      </c>
      <c r="AI4" s="98">
        <v>44969</v>
      </c>
      <c r="AJ4" s="98">
        <v>44976</v>
      </c>
      <c r="AK4" s="98">
        <v>44983</v>
      </c>
      <c r="AL4" s="98">
        <v>44990</v>
      </c>
      <c r="AM4" s="98">
        <v>44997</v>
      </c>
      <c r="AN4" s="98">
        <v>45004</v>
      </c>
      <c r="AO4" s="98">
        <v>45011</v>
      </c>
      <c r="AP4" s="98">
        <v>45018</v>
      </c>
      <c r="AQ4" s="98">
        <v>45025</v>
      </c>
      <c r="AR4" s="98">
        <v>45032</v>
      </c>
      <c r="AS4" s="98">
        <v>45039</v>
      </c>
      <c r="AT4" s="98">
        <v>45046</v>
      </c>
      <c r="AU4" s="98">
        <v>45053</v>
      </c>
      <c r="AV4" s="98">
        <v>45060</v>
      </c>
      <c r="AW4" s="98">
        <v>45067</v>
      </c>
      <c r="AX4" s="98">
        <v>45074</v>
      </c>
      <c r="AY4" s="98">
        <v>45081</v>
      </c>
      <c r="AZ4" s="98">
        <v>45088</v>
      </c>
      <c r="BA4" s="98">
        <v>45095</v>
      </c>
      <c r="BB4" s="98">
        <v>45102</v>
      </c>
      <c r="BC4" s="98">
        <v>45109</v>
      </c>
      <c r="BD4" s="98">
        <v>45116</v>
      </c>
      <c r="BE4" s="98">
        <v>45123</v>
      </c>
      <c r="BF4" s="98">
        <v>45130</v>
      </c>
      <c r="BG4" s="98">
        <v>45137</v>
      </c>
      <c r="BH4" s="98">
        <v>45144</v>
      </c>
      <c r="BI4" s="98">
        <v>45151</v>
      </c>
      <c r="BJ4" s="98">
        <v>45158</v>
      </c>
      <c r="BK4" s="98">
        <v>45165</v>
      </c>
      <c r="BL4" s="98">
        <v>45172</v>
      </c>
      <c r="BM4" s="98">
        <v>45179</v>
      </c>
      <c r="BN4" s="98">
        <v>45186</v>
      </c>
      <c r="BO4" s="98">
        <v>45193</v>
      </c>
      <c r="BP4" s="98">
        <v>45200</v>
      </c>
      <c r="BQ4" s="98">
        <v>45207</v>
      </c>
      <c r="BR4" s="98">
        <v>45214</v>
      </c>
      <c r="BS4" s="98">
        <v>45221</v>
      </c>
      <c r="BT4" s="98">
        <v>45228</v>
      </c>
      <c r="BU4" s="98">
        <v>45235</v>
      </c>
      <c r="BV4" s="98">
        <v>45242</v>
      </c>
      <c r="BW4" s="98">
        <v>45249</v>
      </c>
      <c r="BX4" s="98">
        <v>45256</v>
      </c>
      <c r="BY4" s="98">
        <v>45263</v>
      </c>
      <c r="BZ4" s="98">
        <v>45270</v>
      </c>
      <c r="CA4" s="98">
        <v>45277</v>
      </c>
      <c r="CB4" s="98">
        <v>45284</v>
      </c>
      <c r="CC4" s="98">
        <v>45291</v>
      </c>
      <c r="CD4" s="98">
        <v>45298</v>
      </c>
      <c r="CE4" s="98">
        <v>45305</v>
      </c>
      <c r="CF4" s="98">
        <v>45312</v>
      </c>
      <c r="CG4" s="98">
        <v>45319</v>
      </c>
      <c r="CH4" s="98">
        <v>45326</v>
      </c>
      <c r="CI4" s="98">
        <v>45333</v>
      </c>
      <c r="CJ4" s="98">
        <v>45340</v>
      </c>
      <c r="CK4" s="98">
        <v>45347</v>
      </c>
      <c r="CL4" s="98">
        <v>45354</v>
      </c>
      <c r="CM4" s="98">
        <v>45361</v>
      </c>
      <c r="CN4" s="98">
        <v>45368</v>
      </c>
      <c r="CO4" s="98">
        <v>45375</v>
      </c>
      <c r="CP4" s="98">
        <v>45382</v>
      </c>
      <c r="CQ4" s="98">
        <v>45389</v>
      </c>
      <c r="CR4" s="98">
        <v>45396</v>
      </c>
      <c r="CS4" s="98">
        <v>45403</v>
      </c>
      <c r="CT4" s="98">
        <v>45410</v>
      </c>
      <c r="CU4" s="98">
        <v>45417</v>
      </c>
      <c r="CV4" s="98">
        <v>45424</v>
      </c>
      <c r="CW4" s="98">
        <v>45431</v>
      </c>
      <c r="CX4" s="98">
        <v>45438</v>
      </c>
      <c r="CY4" s="98">
        <v>45445</v>
      </c>
      <c r="CZ4" s="98">
        <v>45452</v>
      </c>
      <c r="DA4" s="98">
        <v>45459</v>
      </c>
      <c r="DB4" s="98">
        <v>45466</v>
      </c>
      <c r="DC4" s="98">
        <v>45473</v>
      </c>
      <c r="DD4" s="98">
        <v>45480</v>
      </c>
      <c r="DE4" s="98">
        <v>45487</v>
      </c>
      <c r="DF4" s="98">
        <v>45494</v>
      </c>
      <c r="DG4" s="98">
        <v>45501</v>
      </c>
      <c r="DH4" s="98">
        <v>45508</v>
      </c>
      <c r="DI4" s="98">
        <v>45515</v>
      </c>
      <c r="DJ4" s="98">
        <v>45522</v>
      </c>
      <c r="DK4" s="98">
        <v>45529</v>
      </c>
      <c r="DL4" s="98">
        <v>45536</v>
      </c>
      <c r="DM4" s="98">
        <v>45543</v>
      </c>
      <c r="DN4" s="98">
        <v>45550</v>
      </c>
      <c r="DO4" s="98">
        <v>45557</v>
      </c>
      <c r="DP4" s="179">
        <v>45564</v>
      </c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  <c r="IX4" s="99"/>
      <c r="IY4" s="99"/>
      <c r="IZ4" s="99"/>
      <c r="JA4" s="99"/>
      <c r="JB4" s="99"/>
      <c r="JC4" s="99"/>
      <c r="JD4" s="99"/>
      <c r="JE4" s="99"/>
      <c r="JF4" s="99"/>
      <c r="JG4" s="99"/>
      <c r="JH4" s="99"/>
      <c r="JI4" s="99"/>
      <c r="JJ4" s="99"/>
      <c r="JK4" s="99"/>
      <c r="JL4" s="99"/>
      <c r="JM4" s="99"/>
      <c r="JN4" s="99"/>
      <c r="JO4" s="99"/>
      <c r="JP4" s="99"/>
      <c r="JQ4" s="99"/>
      <c r="JR4" s="99"/>
      <c r="JS4" s="99"/>
      <c r="JT4" s="99"/>
      <c r="JU4" s="99"/>
      <c r="JV4" s="99"/>
      <c r="JW4" s="99"/>
      <c r="JX4" s="99"/>
      <c r="JY4" s="99"/>
      <c r="JZ4" s="99"/>
      <c r="KA4" s="99"/>
      <c r="KB4" s="99"/>
      <c r="KC4" s="99"/>
      <c r="KD4" s="99"/>
      <c r="KE4" s="99"/>
      <c r="KF4" s="99"/>
      <c r="KG4" s="99"/>
      <c r="KH4" s="99"/>
      <c r="KI4" s="99"/>
      <c r="KJ4" s="99"/>
      <c r="KK4" s="99"/>
      <c r="KL4" s="99"/>
      <c r="KM4" s="99"/>
      <c r="KN4" s="99"/>
      <c r="KO4" s="99"/>
      <c r="KP4" s="99"/>
      <c r="KQ4" s="99"/>
      <c r="KR4" s="99"/>
      <c r="KS4" s="99"/>
      <c r="KT4" s="99"/>
      <c r="KU4" s="99"/>
      <c r="KV4" s="99"/>
      <c r="KW4" s="99"/>
      <c r="KX4" s="99"/>
      <c r="KY4" s="99"/>
      <c r="KZ4" s="99"/>
      <c r="LA4" s="99"/>
      <c r="LB4" s="99"/>
      <c r="LC4" s="99"/>
      <c r="LD4" s="99"/>
      <c r="LE4" s="99"/>
      <c r="LF4" s="99"/>
      <c r="LG4" s="99"/>
      <c r="LH4" s="99"/>
      <c r="LI4" s="99"/>
      <c r="LJ4" s="99"/>
      <c r="LK4" s="99"/>
      <c r="LL4" s="99"/>
      <c r="LM4" s="99"/>
      <c r="LN4" s="99"/>
      <c r="LO4" s="99"/>
      <c r="LP4" s="99"/>
      <c r="LQ4" s="99"/>
      <c r="LR4" s="99"/>
      <c r="LS4" s="99"/>
      <c r="LT4" s="99"/>
      <c r="LU4" s="99"/>
      <c r="LV4" s="99"/>
      <c r="LW4" s="99"/>
      <c r="LX4" s="99"/>
      <c r="LY4" s="99"/>
      <c r="LZ4" s="99"/>
      <c r="MA4" s="99"/>
      <c r="MB4" s="99"/>
      <c r="MC4" s="99"/>
      <c r="MD4" s="99"/>
      <c r="ME4" s="99"/>
      <c r="MF4" s="99"/>
      <c r="MG4" s="99"/>
      <c r="MH4" s="99"/>
      <c r="MI4" s="99"/>
      <c r="MJ4" s="99"/>
      <c r="MK4" s="99"/>
      <c r="ML4" s="99"/>
      <c r="MM4" s="99"/>
      <c r="MN4" s="99"/>
      <c r="MO4" s="99"/>
      <c r="MP4" s="99"/>
      <c r="MQ4" s="99"/>
      <c r="MR4" s="99"/>
      <c r="MS4" s="99"/>
      <c r="MT4" s="99"/>
      <c r="MU4" s="99"/>
      <c r="MV4" s="99"/>
      <c r="MW4" s="99"/>
      <c r="MX4" s="99"/>
      <c r="MY4" s="99"/>
      <c r="MZ4" s="99"/>
      <c r="NA4" s="99"/>
      <c r="NB4" s="99"/>
      <c r="NC4" s="99"/>
      <c r="ND4" s="99"/>
      <c r="NE4" s="99"/>
      <c r="NF4" s="99"/>
      <c r="NG4" s="99"/>
      <c r="NH4" s="99"/>
      <c r="NI4" s="99"/>
      <c r="NJ4" s="99"/>
      <c r="NK4" s="99"/>
      <c r="NL4" s="99"/>
      <c r="NM4" s="99"/>
      <c r="NN4" s="99"/>
      <c r="NO4" s="99"/>
      <c r="NP4" s="99"/>
      <c r="NQ4" s="99"/>
      <c r="NR4" s="99"/>
      <c r="NS4" s="99"/>
      <c r="NT4" s="99"/>
      <c r="NU4" s="99"/>
      <c r="NV4" s="99"/>
      <c r="NW4" s="99"/>
      <c r="NX4" s="99"/>
      <c r="NY4" s="99"/>
      <c r="NZ4" s="99"/>
      <c r="OA4" s="99"/>
      <c r="OB4" s="99"/>
      <c r="OC4" s="99"/>
      <c r="OD4" s="99"/>
      <c r="OE4" s="99"/>
      <c r="OF4" s="99"/>
      <c r="OG4" s="99"/>
      <c r="OH4" s="99"/>
      <c r="OI4" s="99"/>
      <c r="OJ4" s="99"/>
      <c r="OK4" s="99"/>
      <c r="OL4" s="99"/>
      <c r="OM4" s="99"/>
      <c r="ON4" s="99"/>
      <c r="OO4" s="99"/>
      <c r="OP4" s="99"/>
      <c r="OQ4" s="99"/>
      <c r="OR4" s="99"/>
      <c r="OS4" s="99"/>
      <c r="OT4" s="99"/>
      <c r="OU4" s="99"/>
      <c r="OV4" s="99"/>
      <c r="OW4" s="99"/>
      <c r="OX4" s="99"/>
      <c r="OY4" s="99"/>
      <c r="OZ4" s="99"/>
      <c r="PA4" s="99"/>
      <c r="PB4" s="99"/>
      <c r="PC4" s="99"/>
      <c r="PD4" s="99"/>
      <c r="PE4" s="99"/>
      <c r="PF4" s="99"/>
      <c r="PG4" s="99"/>
      <c r="PH4" s="99"/>
      <c r="PI4" s="99"/>
      <c r="PJ4" s="99"/>
      <c r="PK4" s="99"/>
      <c r="PL4" s="99"/>
      <c r="PM4" s="99"/>
      <c r="PN4" s="99"/>
      <c r="PO4" s="99"/>
      <c r="PP4" s="99"/>
      <c r="PQ4" s="99"/>
      <c r="PR4" s="99"/>
      <c r="PS4" s="99"/>
      <c r="PT4" s="99"/>
      <c r="PU4" s="99"/>
      <c r="PV4" s="99"/>
      <c r="PW4" s="99"/>
      <c r="PX4" s="99"/>
      <c r="PY4" s="99"/>
      <c r="PZ4" s="99"/>
      <c r="QA4" s="99"/>
      <c r="QB4" s="99"/>
      <c r="QC4" s="99"/>
      <c r="QD4" s="99"/>
      <c r="QE4" s="99"/>
      <c r="QF4" s="99"/>
      <c r="QG4" s="99"/>
      <c r="QH4" s="99"/>
      <c r="QI4" s="99"/>
      <c r="QJ4" s="99"/>
      <c r="QK4" s="99"/>
      <c r="QL4" s="99"/>
      <c r="QM4" s="99"/>
      <c r="QN4" s="99"/>
      <c r="QO4" s="99"/>
      <c r="QP4" s="99"/>
      <c r="QQ4" s="99"/>
      <c r="QR4" s="99"/>
      <c r="QS4" s="99"/>
      <c r="QT4" s="99"/>
      <c r="QU4" s="99"/>
      <c r="QV4" s="99"/>
      <c r="QW4" s="99"/>
      <c r="QX4" s="99"/>
      <c r="QY4" s="99"/>
      <c r="QZ4" s="99"/>
      <c r="RA4" s="99"/>
      <c r="RB4" s="99"/>
      <c r="RC4" s="99"/>
      <c r="RD4" s="99"/>
      <c r="RE4" s="99"/>
      <c r="RF4" s="99"/>
      <c r="RG4" s="99"/>
      <c r="RH4" s="99"/>
      <c r="RI4" s="99"/>
      <c r="RJ4" s="99"/>
      <c r="RK4" s="99"/>
      <c r="RL4" s="99"/>
      <c r="RM4" s="99"/>
      <c r="RN4" s="99"/>
      <c r="RO4" s="99"/>
      <c r="RP4" s="99"/>
      <c r="RQ4" s="99"/>
      <c r="RR4" s="99"/>
      <c r="RS4" s="99"/>
      <c r="RT4" s="99"/>
      <c r="RU4" s="99"/>
      <c r="RV4" s="99"/>
      <c r="RW4" s="99"/>
      <c r="RX4" s="99"/>
      <c r="RY4" s="99"/>
      <c r="RZ4" s="99"/>
      <c r="SA4" s="99"/>
      <c r="SB4" s="99"/>
      <c r="SC4" s="99"/>
      <c r="SD4" s="99"/>
      <c r="SE4" s="99"/>
      <c r="SF4" s="99"/>
      <c r="SG4" s="99"/>
      <c r="SH4" s="99"/>
      <c r="SI4" s="99"/>
      <c r="SJ4" s="99"/>
      <c r="SK4" s="99"/>
      <c r="SL4" s="99"/>
      <c r="SM4" s="99"/>
      <c r="SN4" s="99"/>
      <c r="SO4" s="99"/>
      <c r="SP4" s="99"/>
      <c r="SQ4" s="99"/>
      <c r="SR4" s="99"/>
      <c r="SS4" s="99"/>
      <c r="ST4" s="99"/>
      <c r="SU4" s="99"/>
      <c r="SV4" s="99"/>
      <c r="SW4" s="99"/>
      <c r="SX4" s="99"/>
      <c r="SY4" s="99"/>
      <c r="SZ4" s="99"/>
      <c r="TA4" s="99"/>
      <c r="TB4" s="99"/>
      <c r="TC4" s="99"/>
      <c r="TD4" s="99"/>
      <c r="TE4" s="99"/>
      <c r="TF4" s="99"/>
      <c r="TG4" s="99"/>
      <c r="TH4" s="99"/>
      <c r="TI4" s="99"/>
      <c r="TJ4" s="99"/>
      <c r="TK4" s="99"/>
      <c r="TL4" s="99"/>
      <c r="TM4" s="99"/>
      <c r="TN4" s="99"/>
      <c r="TO4" s="99"/>
      <c r="TP4" s="99"/>
      <c r="TQ4" s="99"/>
      <c r="TR4" s="99"/>
      <c r="TS4" s="99"/>
      <c r="TT4" s="99"/>
      <c r="TU4" s="99"/>
      <c r="TV4" s="99"/>
      <c r="TW4" s="99"/>
      <c r="TX4" s="99"/>
      <c r="TY4" s="99"/>
      <c r="TZ4" s="99"/>
      <c r="UA4" s="99"/>
      <c r="UB4" s="99"/>
      <c r="UC4" s="99"/>
      <c r="UD4" s="99"/>
      <c r="UE4" s="99"/>
      <c r="UF4" s="99"/>
      <c r="UG4" s="99"/>
      <c r="UH4" s="99"/>
      <c r="UI4" s="99"/>
      <c r="UJ4" s="99"/>
      <c r="UK4" s="99"/>
      <c r="UL4" s="99"/>
      <c r="UM4" s="99"/>
      <c r="UN4" s="99"/>
      <c r="UO4" s="99"/>
      <c r="UP4" s="99"/>
      <c r="UQ4" s="99"/>
      <c r="UR4" s="99"/>
      <c r="US4" s="99"/>
      <c r="UT4" s="99"/>
      <c r="UU4" s="99"/>
      <c r="UV4" s="99"/>
      <c r="UW4" s="99"/>
      <c r="UX4" s="99"/>
      <c r="UY4" s="99"/>
      <c r="UZ4" s="99"/>
      <c r="VA4" s="99"/>
      <c r="VB4" s="99"/>
      <c r="VC4" s="99"/>
      <c r="VD4" s="99"/>
      <c r="VE4" s="99"/>
      <c r="VF4" s="99"/>
      <c r="VG4" s="99"/>
      <c r="VH4" s="99"/>
      <c r="VI4" s="99"/>
      <c r="VJ4" s="99"/>
      <c r="VK4" s="99"/>
      <c r="VL4" s="99"/>
      <c r="VM4" s="99"/>
      <c r="VN4" s="99"/>
      <c r="VO4" s="99"/>
      <c r="VP4" s="99"/>
      <c r="VQ4" s="99"/>
      <c r="VR4" s="99"/>
      <c r="VS4" s="99"/>
      <c r="VT4" s="99"/>
      <c r="VU4" s="99"/>
      <c r="VV4" s="99"/>
      <c r="VW4" s="99"/>
      <c r="VX4" s="99"/>
      <c r="VY4" s="99"/>
      <c r="VZ4" s="99"/>
      <c r="WA4" s="99"/>
      <c r="WB4" s="99"/>
      <c r="WC4" s="99"/>
      <c r="WD4" s="99"/>
      <c r="WE4" s="99"/>
      <c r="WF4" s="99"/>
      <c r="WG4" s="99"/>
      <c r="WH4" s="99"/>
      <c r="WI4" s="99"/>
      <c r="WJ4" s="99"/>
      <c r="WK4" s="99"/>
      <c r="WL4" s="99"/>
      <c r="WM4" s="99"/>
      <c r="WN4" s="99"/>
      <c r="WO4" s="99"/>
      <c r="WP4" s="99"/>
      <c r="WQ4" s="99"/>
      <c r="WR4" s="99"/>
      <c r="WS4" s="99"/>
      <c r="WT4" s="99"/>
      <c r="WU4" s="99"/>
      <c r="WV4" s="99"/>
      <c r="WW4" s="99"/>
      <c r="WX4" s="99"/>
      <c r="WY4" s="99"/>
      <c r="WZ4" s="99"/>
      <c r="XA4" s="99"/>
      <c r="XB4" s="99"/>
      <c r="XC4" s="99"/>
      <c r="XD4" s="99"/>
      <c r="XE4" s="99"/>
      <c r="XF4" s="99"/>
      <c r="XG4" s="99"/>
      <c r="XH4" s="99"/>
      <c r="XI4" s="99"/>
      <c r="XJ4" s="99"/>
      <c r="XK4" s="99"/>
      <c r="XL4" s="99"/>
      <c r="XM4" s="99"/>
      <c r="XN4" s="99"/>
      <c r="XO4" s="99"/>
      <c r="XP4" s="99"/>
      <c r="XQ4" s="99"/>
      <c r="XR4" s="99"/>
      <c r="XS4" s="99"/>
      <c r="XT4" s="99"/>
      <c r="XU4" s="99"/>
      <c r="XV4" s="99"/>
      <c r="XW4" s="99"/>
      <c r="XX4" s="99"/>
    </row>
    <row r="5" spans="1:648" ht="15" customHeight="1" x14ac:dyDescent="0.25">
      <c r="A5" s="101"/>
      <c r="B5" s="101" t="s">
        <v>153</v>
      </c>
      <c r="C5" s="101">
        <v>1</v>
      </c>
      <c r="D5" s="102" t="s">
        <v>154</v>
      </c>
      <c r="E5" s="103" t="s">
        <v>155</v>
      </c>
      <c r="F5" s="103"/>
      <c r="G5" s="103"/>
      <c r="H5" s="103"/>
      <c r="I5" s="103"/>
      <c r="J5" s="103"/>
      <c r="K5" s="103"/>
      <c r="L5" s="103"/>
      <c r="M5" s="103"/>
      <c r="N5" s="103"/>
      <c r="O5" s="193"/>
      <c r="P5" s="104"/>
      <c r="Q5" s="105">
        <v>44958</v>
      </c>
      <c r="R5" s="105">
        <v>45046</v>
      </c>
      <c r="S5" s="106"/>
      <c r="T5" s="107">
        <v>529</v>
      </c>
      <c r="U5" s="107">
        <v>529</v>
      </c>
      <c r="V5" s="107">
        <v>89</v>
      </c>
      <c r="W5" s="107">
        <v>89</v>
      </c>
      <c r="X5" s="108"/>
      <c r="Y5" s="108"/>
      <c r="Z5" s="109">
        <v>0</v>
      </c>
      <c r="AA5" s="110">
        <v>0</v>
      </c>
      <c r="AB5" s="107"/>
      <c r="AC5" s="106"/>
      <c r="AD5" s="180"/>
      <c r="AE5" s="111">
        <v>1</v>
      </c>
      <c r="AF5" s="122">
        <v>1</v>
      </c>
      <c r="AG5" s="113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 t="str">
        <f>" " &amp; TEXT(AF5,"#0.00%") &amp; " " &amp; "설계" &amp; " " &amp; IF(Q5="","",TEXT(Q5,"M/D-")) &amp; IF(R5="","",TEXT(R5,"M/D")) &amp; " "</f>
        <v xml:space="preserve"> 100.00% 설계 2/1-4/30 </v>
      </c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</row>
    <row r="6" spans="1:648" ht="15" customHeight="1" outlineLevel="1" x14ac:dyDescent="0.25">
      <c r="A6" s="101"/>
      <c r="B6" s="101" t="s">
        <v>153</v>
      </c>
      <c r="C6" s="101">
        <v>2</v>
      </c>
      <c r="D6" s="102" t="s">
        <v>156</v>
      </c>
      <c r="E6" s="103"/>
      <c r="F6" s="103" t="s">
        <v>536</v>
      </c>
      <c r="G6" s="103"/>
      <c r="H6" s="103"/>
      <c r="I6" s="103"/>
      <c r="J6" s="103"/>
      <c r="K6" s="103"/>
      <c r="L6" s="103"/>
      <c r="M6" s="103"/>
      <c r="N6" s="103"/>
      <c r="O6" s="193"/>
      <c r="P6" s="104"/>
      <c r="Q6" s="105">
        <v>44958</v>
      </c>
      <c r="R6" s="105">
        <v>45046</v>
      </c>
      <c r="S6" s="106"/>
      <c r="T6" s="107">
        <v>529</v>
      </c>
      <c r="U6" s="107">
        <v>529</v>
      </c>
      <c r="V6" s="107">
        <v>89</v>
      </c>
      <c r="W6" s="107">
        <v>89</v>
      </c>
      <c r="X6" s="108"/>
      <c r="Y6" s="108"/>
      <c r="Z6" s="109">
        <v>0</v>
      </c>
      <c r="AA6" s="110">
        <v>0</v>
      </c>
      <c r="AB6" s="107"/>
      <c r="AC6" s="106"/>
      <c r="AD6" s="180"/>
      <c r="AE6" s="111">
        <v>1</v>
      </c>
      <c r="AF6" s="122">
        <v>1</v>
      </c>
      <c r="AG6" s="113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 t="str">
        <f>" " &amp; TEXT(AF6,"#0.00%") &amp; " " &amp; "BOSK TN" &amp; " " &amp; IF(Q6="","",TEXT(Q6,"M/D-")) &amp; IF(R6="","",TEXT(R6,"M/D")) &amp; " "</f>
        <v xml:space="preserve"> 100.00% BOSK TN 2/1-4/30 </v>
      </c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</row>
    <row r="7" spans="1:648" ht="15" customHeight="1" outlineLevel="2" x14ac:dyDescent="0.25">
      <c r="A7" s="101"/>
      <c r="B7" s="101"/>
      <c r="C7" s="101">
        <v>3</v>
      </c>
      <c r="D7" s="102" t="s">
        <v>157</v>
      </c>
      <c r="E7" s="103"/>
      <c r="F7" s="103"/>
      <c r="G7" s="103" t="s">
        <v>158</v>
      </c>
      <c r="H7" s="103"/>
      <c r="I7" s="103"/>
      <c r="J7" s="103"/>
      <c r="K7" s="103"/>
      <c r="L7" s="103"/>
      <c r="M7" s="103"/>
      <c r="N7" s="103"/>
      <c r="O7" s="193"/>
      <c r="P7" s="104"/>
      <c r="Q7" s="105">
        <v>44958</v>
      </c>
      <c r="R7" s="105">
        <v>44985</v>
      </c>
      <c r="S7" s="106"/>
      <c r="T7" s="107">
        <v>28</v>
      </c>
      <c r="U7" s="107">
        <v>28</v>
      </c>
      <c r="V7" s="107">
        <v>28</v>
      </c>
      <c r="W7" s="107">
        <v>28</v>
      </c>
      <c r="X7" s="108"/>
      <c r="Y7" s="108"/>
      <c r="Z7" s="109"/>
      <c r="AA7" s="110">
        <v>0</v>
      </c>
      <c r="AB7" s="107">
        <v>1</v>
      </c>
      <c r="AC7" s="106"/>
      <c r="AD7" s="180"/>
      <c r="AE7" s="111">
        <v>1</v>
      </c>
      <c r="AF7" s="121">
        <v>1</v>
      </c>
      <c r="AG7" s="113"/>
      <c r="AH7" s="114"/>
      <c r="AI7" s="114"/>
      <c r="AJ7" s="114"/>
      <c r="AK7" s="114" t="str">
        <f>"   " &amp; TEXT(AF7,"#0.00%") &amp; " " &amp; "Layout" &amp; " " &amp; IF(Q7="","",TEXT(Q7,"M/D-")) &amp; IF(R7="","",TEXT(R7,"M/D")) &amp; " "</f>
        <v xml:space="preserve">   100.00% Layout 2/1-2/28 </v>
      </c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</row>
    <row r="8" spans="1:648" ht="15" customHeight="1" outlineLevel="2" x14ac:dyDescent="0.25">
      <c r="A8" s="101"/>
      <c r="B8" s="101" t="s">
        <v>153</v>
      </c>
      <c r="C8" s="101">
        <v>3</v>
      </c>
      <c r="D8" s="102" t="s">
        <v>159</v>
      </c>
      <c r="E8" s="103"/>
      <c r="F8" s="103"/>
      <c r="G8" s="103" t="s">
        <v>160</v>
      </c>
      <c r="H8" s="103"/>
      <c r="I8" s="103"/>
      <c r="J8" s="103"/>
      <c r="K8" s="103"/>
      <c r="L8" s="103"/>
      <c r="M8" s="103"/>
      <c r="N8" s="103"/>
      <c r="O8" s="193"/>
      <c r="P8" s="104"/>
      <c r="Q8" s="105">
        <v>44958</v>
      </c>
      <c r="R8" s="105">
        <v>45031</v>
      </c>
      <c r="S8" s="106"/>
      <c r="T8" s="107">
        <v>127</v>
      </c>
      <c r="U8" s="107">
        <v>127</v>
      </c>
      <c r="V8" s="107">
        <v>74</v>
      </c>
      <c r="W8" s="107">
        <v>74</v>
      </c>
      <c r="X8" s="108"/>
      <c r="Y8" s="108"/>
      <c r="Z8" s="109">
        <v>0</v>
      </c>
      <c r="AA8" s="110">
        <v>0</v>
      </c>
      <c r="AB8" s="107"/>
      <c r="AC8" s="106"/>
      <c r="AD8" s="180"/>
      <c r="AE8" s="111">
        <v>1</v>
      </c>
      <c r="AF8" s="122">
        <v>1</v>
      </c>
      <c r="AG8" s="113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 t="str">
        <f>"" &amp; TEXT(AF8,"#0.00%") &amp; " " &amp; "Rack" &amp; " " &amp; IF(Q8="","",TEXT(Q8,"M/D-")) &amp; IF(R8="","",TEXT(R8,"M/D")) &amp; " "</f>
        <v xml:space="preserve">100.00% Rack 2/1-4/15 </v>
      </c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</row>
    <row r="9" spans="1:648" ht="15" customHeight="1" outlineLevel="3" x14ac:dyDescent="0.25">
      <c r="A9" s="101"/>
      <c r="B9" s="101"/>
      <c r="C9" s="101">
        <v>4</v>
      </c>
      <c r="D9" s="102" t="s">
        <v>161</v>
      </c>
      <c r="E9" s="103"/>
      <c r="F9" s="103"/>
      <c r="G9" s="103"/>
      <c r="H9" s="103" t="s">
        <v>162</v>
      </c>
      <c r="I9" s="103"/>
      <c r="J9" s="103"/>
      <c r="K9" s="103"/>
      <c r="L9" s="103"/>
      <c r="M9" s="103"/>
      <c r="N9" s="103"/>
      <c r="O9" s="193"/>
      <c r="P9" s="104"/>
      <c r="Q9" s="105">
        <v>45017</v>
      </c>
      <c r="R9" s="105">
        <v>45026</v>
      </c>
      <c r="S9" s="106"/>
      <c r="T9" s="107">
        <v>10</v>
      </c>
      <c r="U9" s="107">
        <v>10</v>
      </c>
      <c r="V9" s="107">
        <v>10</v>
      </c>
      <c r="W9" s="107">
        <v>10</v>
      </c>
      <c r="X9" s="108"/>
      <c r="Y9" s="108"/>
      <c r="Z9" s="109"/>
      <c r="AA9" s="110">
        <v>0</v>
      </c>
      <c r="AB9" s="107">
        <v>1</v>
      </c>
      <c r="AC9" s="106"/>
      <c r="AD9" s="180"/>
      <c r="AE9" s="111">
        <v>1</v>
      </c>
      <c r="AF9" s="121">
        <v>1</v>
      </c>
      <c r="AG9" s="113"/>
      <c r="AH9" s="114"/>
      <c r="AI9" s="114"/>
      <c r="AJ9" s="114"/>
      <c r="AK9" s="114"/>
      <c r="AL9" s="114"/>
      <c r="AM9" s="114"/>
      <c r="AN9" s="114"/>
      <c r="AO9" s="114"/>
      <c r="AP9" s="114"/>
      <c r="AQ9" s="114" t="str">
        <f>"  " &amp; TEXT(AF9,"#0.00%") &amp; " " &amp; "DR" &amp; " " &amp; IF(Q9="","",TEXT(Q9,"M/D-")) &amp; IF(R9="","",TEXT(R9,"M/D")) &amp; " "</f>
        <v xml:space="preserve">  100.00% DR 4/1-4/10 </v>
      </c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</row>
    <row r="10" spans="1:648" ht="15" customHeight="1" outlineLevel="3" x14ac:dyDescent="0.25">
      <c r="A10" s="101"/>
      <c r="B10" s="101" t="s">
        <v>153</v>
      </c>
      <c r="C10" s="101">
        <v>4</v>
      </c>
      <c r="D10" s="102" t="s">
        <v>163</v>
      </c>
      <c r="E10" s="103"/>
      <c r="F10" s="103"/>
      <c r="G10" s="103"/>
      <c r="H10" s="103" t="s">
        <v>164</v>
      </c>
      <c r="I10" s="103"/>
      <c r="J10" s="103"/>
      <c r="K10" s="103"/>
      <c r="L10" s="103"/>
      <c r="M10" s="103"/>
      <c r="N10" s="103"/>
      <c r="O10" s="193"/>
      <c r="P10" s="104"/>
      <c r="Q10" s="105">
        <v>44958</v>
      </c>
      <c r="R10" s="105">
        <v>45031</v>
      </c>
      <c r="S10" s="106"/>
      <c r="T10" s="107">
        <v>117</v>
      </c>
      <c r="U10" s="107">
        <v>117</v>
      </c>
      <c r="V10" s="107">
        <v>74</v>
      </c>
      <c r="W10" s="107">
        <v>74</v>
      </c>
      <c r="X10" s="108"/>
      <c r="Y10" s="108"/>
      <c r="Z10" s="109">
        <v>0</v>
      </c>
      <c r="AA10" s="110">
        <v>0</v>
      </c>
      <c r="AB10" s="107"/>
      <c r="AC10" s="106"/>
      <c r="AD10" s="180"/>
      <c r="AE10" s="111">
        <v>1</v>
      </c>
      <c r="AF10" s="122">
        <v>1</v>
      </c>
      <c r="AG10" s="113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 t="str">
        <f>"" &amp; TEXT(AF10,"#0.00%") &amp; " " &amp; "Aging 창고" &amp; " " &amp; IF(Q10="","",TEXT(Q10,"M/D-")) &amp; IF(R10="","",TEXT(R10,"M/D")) &amp; " "</f>
        <v xml:space="preserve">100.00% Aging 창고 2/1-4/15 </v>
      </c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</row>
    <row r="11" spans="1:648" ht="15" customHeight="1" outlineLevel="4" x14ac:dyDescent="0.25">
      <c r="A11" s="101"/>
      <c r="B11" s="101"/>
      <c r="C11" s="101">
        <v>5</v>
      </c>
      <c r="D11" s="102" t="s">
        <v>165</v>
      </c>
      <c r="E11" s="103"/>
      <c r="F11" s="103"/>
      <c r="G11" s="103"/>
      <c r="H11" s="103"/>
      <c r="I11" s="103" t="s">
        <v>166</v>
      </c>
      <c r="J11" s="103"/>
      <c r="K11" s="103"/>
      <c r="L11" s="103"/>
      <c r="M11" s="103"/>
      <c r="N11" s="103"/>
      <c r="O11" s="193"/>
      <c r="P11" s="104"/>
      <c r="Q11" s="105">
        <v>44958</v>
      </c>
      <c r="R11" s="105">
        <v>45000</v>
      </c>
      <c r="S11" s="106"/>
      <c r="T11" s="107">
        <v>43</v>
      </c>
      <c r="U11" s="107">
        <v>43</v>
      </c>
      <c r="V11" s="107">
        <v>43</v>
      </c>
      <c r="W11" s="107">
        <v>43</v>
      </c>
      <c r="X11" s="108"/>
      <c r="Y11" s="108"/>
      <c r="Z11" s="109"/>
      <c r="AA11" s="110">
        <v>0</v>
      </c>
      <c r="AB11" s="107">
        <v>1</v>
      </c>
      <c r="AC11" s="106"/>
      <c r="AD11" s="180"/>
      <c r="AE11" s="111">
        <v>1</v>
      </c>
      <c r="AF11" s="121">
        <v>1</v>
      </c>
      <c r="AG11" s="113"/>
      <c r="AH11" s="114"/>
      <c r="AI11" s="114"/>
      <c r="AJ11" s="114"/>
      <c r="AK11" s="114"/>
      <c r="AL11" s="114"/>
      <c r="AM11" s="114" t="str">
        <f>"    " &amp; TEXT(AF11,"#0.00%") &amp; " " &amp; "Layout 확정 및 기초설계" &amp; " " &amp; IF(Q11="","",TEXT(Q11,"M/D-")) &amp; IF(R11="","",TEXT(R11,"M/D")) &amp; " "</f>
        <v xml:space="preserve">    100.00% Layout 확정 및 기초설계 2/1-3/15 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</row>
    <row r="12" spans="1:648" ht="15" customHeight="1" outlineLevel="4" x14ac:dyDescent="0.25">
      <c r="A12" s="101"/>
      <c r="B12" s="101"/>
      <c r="C12" s="101">
        <v>5</v>
      </c>
      <c r="D12" s="102" t="s">
        <v>167</v>
      </c>
      <c r="E12" s="103"/>
      <c r="F12" s="103"/>
      <c r="G12" s="103"/>
      <c r="H12" s="103"/>
      <c r="I12" s="103" t="s">
        <v>168</v>
      </c>
      <c r="J12" s="103"/>
      <c r="K12" s="103"/>
      <c r="L12" s="103"/>
      <c r="M12" s="103"/>
      <c r="N12" s="103"/>
      <c r="O12" s="193"/>
      <c r="P12" s="104"/>
      <c r="Q12" s="105">
        <v>44958</v>
      </c>
      <c r="R12" s="105">
        <v>45031</v>
      </c>
      <c r="S12" s="106"/>
      <c r="T12" s="107">
        <v>74</v>
      </c>
      <c r="U12" s="107">
        <v>74</v>
      </c>
      <c r="V12" s="107">
        <v>74</v>
      </c>
      <c r="W12" s="107">
        <v>74</v>
      </c>
      <c r="X12" s="108"/>
      <c r="Y12" s="108"/>
      <c r="Z12" s="109"/>
      <c r="AA12" s="110">
        <v>0</v>
      </c>
      <c r="AB12" s="107">
        <v>1</v>
      </c>
      <c r="AC12" s="106"/>
      <c r="AD12" s="180"/>
      <c r="AE12" s="111">
        <v>1</v>
      </c>
      <c r="AF12" s="121">
        <v>1</v>
      </c>
      <c r="AG12" s="113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 t="str">
        <f>"" &amp; TEXT(AF12,"#0.00%") &amp; " " &amp; "상세설계" &amp; " " &amp; IF(Q12="","",TEXT(Q12,"M/D-")) &amp; IF(R12="","",TEXT(R12,"M/D")) &amp; " "</f>
        <v xml:space="preserve">100.00% 상세설계 2/1-4/15 </v>
      </c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</row>
    <row r="13" spans="1:648" ht="15" customHeight="1" outlineLevel="2" x14ac:dyDescent="0.25">
      <c r="A13" s="101"/>
      <c r="B13" s="101" t="s">
        <v>153</v>
      </c>
      <c r="C13" s="101">
        <v>3</v>
      </c>
      <c r="D13" s="102" t="s">
        <v>169</v>
      </c>
      <c r="E13" s="103"/>
      <c r="F13" s="103"/>
      <c r="G13" s="103" t="s">
        <v>170</v>
      </c>
      <c r="H13" s="103"/>
      <c r="I13" s="103"/>
      <c r="J13" s="103"/>
      <c r="K13" s="103"/>
      <c r="L13" s="103"/>
      <c r="M13" s="103"/>
      <c r="N13" s="103"/>
      <c r="O13" s="193"/>
      <c r="P13" s="104"/>
      <c r="Q13" s="105">
        <v>44958</v>
      </c>
      <c r="R13" s="105">
        <v>45046</v>
      </c>
      <c r="S13" s="106"/>
      <c r="T13" s="107">
        <v>359</v>
      </c>
      <c r="U13" s="107">
        <v>359</v>
      </c>
      <c r="V13" s="107">
        <v>89</v>
      </c>
      <c r="W13" s="107">
        <v>89</v>
      </c>
      <c r="X13" s="108"/>
      <c r="Y13" s="108"/>
      <c r="Z13" s="109">
        <v>0</v>
      </c>
      <c r="AA13" s="110">
        <v>0</v>
      </c>
      <c r="AB13" s="107"/>
      <c r="AC13" s="106"/>
      <c r="AD13" s="180"/>
      <c r="AE13" s="111">
        <v>1</v>
      </c>
      <c r="AF13" s="122">
        <v>1</v>
      </c>
      <c r="AG13" s="113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 t="str">
        <f>" " &amp; TEXT(AF13,"#0.00%") &amp; " " &amp; "MSC Crane" &amp; " " &amp; IF(Q13="","",TEXT(Q13,"M/D-")) &amp; IF(R13="","",TEXT(R13,"M/D")) &amp; " "</f>
        <v xml:space="preserve"> 100.00% MSC Crane 2/1-4/30 </v>
      </c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</row>
    <row r="14" spans="1:648" ht="15" customHeight="1" outlineLevel="3" x14ac:dyDescent="0.25">
      <c r="A14" s="101"/>
      <c r="B14" s="101"/>
      <c r="C14" s="101">
        <v>4</v>
      </c>
      <c r="D14" s="102" t="s">
        <v>171</v>
      </c>
      <c r="E14" s="103"/>
      <c r="F14" s="103"/>
      <c r="G14" s="103"/>
      <c r="H14" s="103" t="s">
        <v>172</v>
      </c>
      <c r="I14" s="103"/>
      <c r="J14" s="103"/>
      <c r="K14" s="103"/>
      <c r="L14" s="103"/>
      <c r="M14" s="103"/>
      <c r="N14" s="103"/>
      <c r="O14" s="193"/>
      <c r="P14" s="118"/>
      <c r="Q14" s="105">
        <v>44972</v>
      </c>
      <c r="R14" s="105">
        <v>44985</v>
      </c>
      <c r="S14" s="108"/>
      <c r="T14" s="119">
        <v>14</v>
      </c>
      <c r="U14" s="107">
        <v>14</v>
      </c>
      <c r="V14" s="107">
        <v>14</v>
      </c>
      <c r="W14" s="107">
        <v>14</v>
      </c>
      <c r="X14" s="107"/>
      <c r="Y14" s="108"/>
      <c r="Z14" s="108"/>
      <c r="AA14" s="109">
        <v>0</v>
      </c>
      <c r="AB14" s="110">
        <v>1</v>
      </c>
      <c r="AC14" s="107"/>
      <c r="AD14" s="180"/>
      <c r="AE14" s="111">
        <v>1</v>
      </c>
      <c r="AF14" s="121">
        <v>1</v>
      </c>
      <c r="AG14" s="113"/>
      <c r="AH14" s="114"/>
      <c r="AI14" s="114"/>
      <c r="AJ14" s="114"/>
      <c r="AK14" s="114" t="str">
        <f>"   " &amp; TEXT(AF14,"#0.00%") &amp; " " &amp; "장납기 구매품 발주(모터류)" &amp; " " &amp; IF(Q14="","",TEXT(Q14,"M/D-")) &amp; IF(R14="","",TEXT(R14,"M/D")) &amp; " "</f>
        <v xml:space="preserve">   100.00% 장납기 구매품 발주(모터류) 2/15-2/28 </v>
      </c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</row>
    <row r="15" spans="1:648" ht="15" customHeight="1" outlineLevel="3" x14ac:dyDescent="0.25">
      <c r="A15" s="101"/>
      <c r="B15" s="101"/>
      <c r="C15" s="101">
        <v>4</v>
      </c>
      <c r="D15" s="102" t="s">
        <v>173</v>
      </c>
      <c r="E15" s="103"/>
      <c r="F15" s="103"/>
      <c r="G15" s="103"/>
      <c r="H15" s="103" t="s">
        <v>162</v>
      </c>
      <c r="I15" s="103"/>
      <c r="J15" s="103"/>
      <c r="K15" s="103"/>
      <c r="L15" s="103"/>
      <c r="M15" s="103"/>
      <c r="N15" s="103"/>
      <c r="O15" s="193"/>
      <c r="P15" s="104"/>
      <c r="Q15" s="105">
        <v>45017</v>
      </c>
      <c r="R15" s="105">
        <v>45031</v>
      </c>
      <c r="S15" s="106"/>
      <c r="T15" s="107">
        <v>15</v>
      </c>
      <c r="U15" s="107">
        <v>15</v>
      </c>
      <c r="V15" s="107">
        <v>15</v>
      </c>
      <c r="W15" s="107">
        <v>15</v>
      </c>
      <c r="X15" s="108"/>
      <c r="Y15" s="108"/>
      <c r="Z15" s="109"/>
      <c r="AA15" s="110">
        <v>0</v>
      </c>
      <c r="AB15" s="107">
        <v>1</v>
      </c>
      <c r="AC15" s="106"/>
      <c r="AD15" s="180"/>
      <c r="AE15" s="111">
        <v>1</v>
      </c>
      <c r="AF15" s="121">
        <v>1</v>
      </c>
      <c r="AG15" s="113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 t="str">
        <f>"" &amp; TEXT(AF15,"#0.00%") &amp; " " &amp; "DR" &amp; " " &amp; IF(Q15="","",TEXT(Q15,"M/D-")) &amp; IF(R15="","",TEXT(R15,"M/D")) &amp; " "</f>
        <v xml:space="preserve">100.00% DR 4/1-4/15 </v>
      </c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</row>
    <row r="16" spans="1:648" ht="15" customHeight="1" outlineLevel="3" x14ac:dyDescent="0.25">
      <c r="A16" s="101"/>
      <c r="B16" s="101" t="s">
        <v>153</v>
      </c>
      <c r="C16" s="101">
        <v>4</v>
      </c>
      <c r="D16" s="102" t="s">
        <v>174</v>
      </c>
      <c r="E16" s="103"/>
      <c r="F16" s="103"/>
      <c r="G16" s="103"/>
      <c r="H16" s="103" t="s">
        <v>175</v>
      </c>
      <c r="I16" s="103"/>
      <c r="J16" s="103"/>
      <c r="K16" s="103"/>
      <c r="L16" s="103"/>
      <c r="M16" s="103"/>
      <c r="N16" s="103"/>
      <c r="O16" s="193"/>
      <c r="P16" s="104"/>
      <c r="Q16" s="105">
        <v>44958</v>
      </c>
      <c r="R16" s="105">
        <v>45046</v>
      </c>
      <c r="S16" s="106"/>
      <c r="T16" s="107">
        <v>165</v>
      </c>
      <c r="U16" s="107">
        <v>165</v>
      </c>
      <c r="V16" s="107">
        <v>89</v>
      </c>
      <c r="W16" s="107">
        <v>89</v>
      </c>
      <c r="X16" s="108"/>
      <c r="Y16" s="108"/>
      <c r="Z16" s="109">
        <v>0</v>
      </c>
      <c r="AA16" s="110">
        <v>0</v>
      </c>
      <c r="AB16" s="107"/>
      <c r="AC16" s="106"/>
      <c r="AD16" s="180"/>
      <c r="AE16" s="111">
        <v>1</v>
      </c>
      <c r="AF16" s="122">
        <v>1</v>
      </c>
      <c r="AG16" s="113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 t="str">
        <f>" " &amp; TEXT(AF16,"#0.00%") &amp; " " &amp; "상온/고온 Aging, 충방전" &amp; " " &amp; IF(Q16="","",TEXT(Q16,"M/D-")) &amp; IF(R16="","",TEXT(R16,"M/D")) &amp; " "</f>
        <v xml:space="preserve"> 100.00% 상온/고온 Aging, 충방전 2/1-4/30 </v>
      </c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</row>
    <row r="17" spans="1:121" ht="15" customHeight="1" outlineLevel="4" x14ac:dyDescent="0.25">
      <c r="A17" s="101"/>
      <c r="B17" s="101"/>
      <c r="C17" s="101">
        <v>5</v>
      </c>
      <c r="D17" s="102" t="s">
        <v>176</v>
      </c>
      <c r="E17" s="103"/>
      <c r="F17" s="103"/>
      <c r="G17" s="103"/>
      <c r="H17" s="103"/>
      <c r="I17" s="103" t="s">
        <v>177</v>
      </c>
      <c r="J17" s="103"/>
      <c r="K17" s="103"/>
      <c r="L17" s="103"/>
      <c r="M17" s="103"/>
      <c r="N17" s="103"/>
      <c r="O17" s="193"/>
      <c r="P17" s="104"/>
      <c r="Q17" s="105">
        <v>44958</v>
      </c>
      <c r="R17" s="105">
        <v>44972</v>
      </c>
      <c r="S17" s="106"/>
      <c r="T17" s="107">
        <v>15</v>
      </c>
      <c r="U17" s="107">
        <v>15</v>
      </c>
      <c r="V17" s="107">
        <v>15</v>
      </c>
      <c r="W17" s="107">
        <v>15</v>
      </c>
      <c r="X17" s="108"/>
      <c r="Y17" s="108"/>
      <c r="Z17" s="109"/>
      <c r="AA17" s="110">
        <v>0</v>
      </c>
      <c r="AB17" s="107">
        <v>1</v>
      </c>
      <c r="AC17" s="106"/>
      <c r="AD17" s="180"/>
      <c r="AE17" s="111">
        <v>1</v>
      </c>
      <c r="AF17" s="121">
        <v>1</v>
      </c>
      <c r="AG17" s="113"/>
      <c r="AH17" s="114"/>
      <c r="AI17" s="114" t="str">
        <f>"    " &amp; TEXT(AF17,"#0.00%") &amp; " " &amp; "Concept (R/Sketch)" &amp; " " &amp; IF(Q17="","",TEXT(Q17,"M/D-")) &amp; IF(R17="","",TEXT(R17,"M/D")) &amp; " "</f>
        <v xml:space="preserve">    100.00% Concept (R/Sketch) 2/1-2/15 </v>
      </c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</row>
    <row r="18" spans="1:121" ht="15" customHeight="1" outlineLevel="4" x14ac:dyDescent="0.25">
      <c r="A18" s="101"/>
      <c r="B18" s="101"/>
      <c r="C18" s="101">
        <v>5</v>
      </c>
      <c r="D18" s="102" t="s">
        <v>178</v>
      </c>
      <c r="E18" s="103"/>
      <c r="F18" s="103"/>
      <c r="G18" s="103"/>
      <c r="H18" s="103"/>
      <c r="I18" s="103" t="s">
        <v>179</v>
      </c>
      <c r="J18" s="103"/>
      <c r="K18" s="103"/>
      <c r="L18" s="103"/>
      <c r="M18" s="103"/>
      <c r="N18" s="103"/>
      <c r="O18" s="193"/>
      <c r="P18" s="104"/>
      <c r="Q18" s="105">
        <v>44958</v>
      </c>
      <c r="R18" s="105">
        <v>44985</v>
      </c>
      <c r="S18" s="106"/>
      <c r="T18" s="107">
        <v>28</v>
      </c>
      <c r="U18" s="107">
        <v>28</v>
      </c>
      <c r="V18" s="107">
        <v>28</v>
      </c>
      <c r="W18" s="107">
        <v>28</v>
      </c>
      <c r="X18" s="108"/>
      <c r="Y18" s="108"/>
      <c r="Z18" s="109"/>
      <c r="AA18" s="110">
        <v>0</v>
      </c>
      <c r="AB18" s="107">
        <v>1</v>
      </c>
      <c r="AC18" s="106"/>
      <c r="AD18" s="180"/>
      <c r="AE18" s="111">
        <v>1</v>
      </c>
      <c r="AF18" s="121">
        <v>1</v>
      </c>
      <c r="AG18" s="113"/>
      <c r="AH18" s="114"/>
      <c r="AI18" s="114"/>
      <c r="AJ18" s="114"/>
      <c r="AK18" s="114" t="str">
        <f>"   " &amp; TEXT(AF18,"#0.00%") &amp; " " &amp; "Assy" &amp; " " &amp; IF(Q18="","",TEXT(Q18,"M/D-")) &amp; IF(R18="","",TEXT(R18,"M/D")) &amp; " "</f>
        <v xml:space="preserve">   100.00% Assy 2/1-2/28 </v>
      </c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</row>
    <row r="19" spans="1:121" ht="15" customHeight="1" outlineLevel="4" x14ac:dyDescent="0.25">
      <c r="A19" s="101"/>
      <c r="B19" s="101"/>
      <c r="C19" s="101">
        <v>5</v>
      </c>
      <c r="D19" s="102" t="s">
        <v>180</v>
      </c>
      <c r="E19" s="103"/>
      <c r="F19" s="103"/>
      <c r="G19" s="103"/>
      <c r="H19" s="103"/>
      <c r="I19" s="103" t="s">
        <v>181</v>
      </c>
      <c r="J19" s="103"/>
      <c r="K19" s="103"/>
      <c r="L19" s="103"/>
      <c r="M19" s="103"/>
      <c r="N19" s="103"/>
      <c r="O19" s="193"/>
      <c r="P19" s="104"/>
      <c r="Q19" s="105">
        <v>44986</v>
      </c>
      <c r="R19" s="105">
        <v>45046</v>
      </c>
      <c r="S19" s="106"/>
      <c r="T19" s="107">
        <v>61</v>
      </c>
      <c r="U19" s="107">
        <v>61</v>
      </c>
      <c r="V19" s="107">
        <v>61</v>
      </c>
      <c r="W19" s="107">
        <v>61</v>
      </c>
      <c r="X19" s="108"/>
      <c r="Y19" s="108"/>
      <c r="Z19" s="109"/>
      <c r="AA19" s="110">
        <v>0</v>
      </c>
      <c r="AB19" s="107">
        <v>1</v>
      </c>
      <c r="AC19" s="106"/>
      <c r="AD19" s="180"/>
      <c r="AE19" s="111">
        <v>1</v>
      </c>
      <c r="AF19" s="121">
        <v>1</v>
      </c>
      <c r="AG19" s="113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 t="str">
        <f>" " &amp; TEXT(AF19,"#0.00%") &amp; " " &amp; "Part - (Main Frame)" &amp; " " &amp; IF(Q19="","",TEXT(Q19,"M/D-")) &amp; IF(R19="","",TEXT(R19,"M/D")) &amp; " "</f>
        <v xml:space="preserve"> 100.00% Part - (Main Frame) 3/1-4/30 </v>
      </c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</row>
    <row r="20" spans="1:121" ht="15" customHeight="1" outlineLevel="4" x14ac:dyDescent="0.25">
      <c r="A20" s="101"/>
      <c r="B20" s="101"/>
      <c r="C20" s="101">
        <v>5</v>
      </c>
      <c r="D20" s="102" t="s">
        <v>182</v>
      </c>
      <c r="E20" s="103"/>
      <c r="F20" s="103"/>
      <c r="G20" s="103"/>
      <c r="H20" s="103"/>
      <c r="I20" s="103" t="s">
        <v>183</v>
      </c>
      <c r="J20" s="103"/>
      <c r="K20" s="103"/>
      <c r="L20" s="103"/>
      <c r="M20" s="103"/>
      <c r="N20" s="103"/>
      <c r="O20" s="193"/>
      <c r="P20" s="104"/>
      <c r="Q20" s="105">
        <v>44986</v>
      </c>
      <c r="R20" s="105">
        <v>45046</v>
      </c>
      <c r="S20" s="106"/>
      <c r="T20" s="107">
        <v>61</v>
      </c>
      <c r="U20" s="107">
        <v>61</v>
      </c>
      <c r="V20" s="107">
        <v>61</v>
      </c>
      <c r="W20" s="107">
        <v>61</v>
      </c>
      <c r="X20" s="108"/>
      <c r="Y20" s="108"/>
      <c r="Z20" s="109"/>
      <c r="AA20" s="110">
        <v>0</v>
      </c>
      <c r="AB20" s="107">
        <v>1</v>
      </c>
      <c r="AC20" s="106"/>
      <c r="AD20" s="180"/>
      <c r="AE20" s="111">
        <v>1</v>
      </c>
      <c r="AF20" s="121">
        <v>1</v>
      </c>
      <c r="AG20" s="113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 t="str">
        <f>" " &amp; TEXT(AF20,"#0.00%") &amp; " " &amp; "Part - (Carriage/Fork)" &amp; " " &amp; IF(Q20="","",TEXT(Q20,"M/D-")) &amp; IF(R20="","",TEXT(R20,"M/D")) &amp; " "</f>
        <v xml:space="preserve"> 100.00% Part - (Carriage/Fork) 3/1-4/30 </v>
      </c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</row>
    <row r="21" spans="1:121" ht="15" customHeight="1" outlineLevel="3" x14ac:dyDescent="0.25">
      <c r="A21" s="101"/>
      <c r="B21" s="101" t="s">
        <v>153</v>
      </c>
      <c r="C21" s="101">
        <v>4</v>
      </c>
      <c r="D21" s="102" t="s">
        <v>184</v>
      </c>
      <c r="E21" s="103"/>
      <c r="F21" s="103"/>
      <c r="G21" s="103"/>
      <c r="H21" s="103" t="s">
        <v>185</v>
      </c>
      <c r="I21" s="103"/>
      <c r="J21" s="103"/>
      <c r="K21" s="103"/>
      <c r="L21" s="103"/>
      <c r="M21" s="103"/>
      <c r="N21" s="103"/>
      <c r="O21" s="193"/>
      <c r="P21" s="104"/>
      <c r="Q21" s="105">
        <v>44958</v>
      </c>
      <c r="R21" s="105">
        <v>45046</v>
      </c>
      <c r="S21" s="106"/>
      <c r="T21" s="107">
        <v>165</v>
      </c>
      <c r="U21" s="107">
        <v>165</v>
      </c>
      <c r="V21" s="107">
        <v>89</v>
      </c>
      <c r="W21" s="107">
        <v>89</v>
      </c>
      <c r="X21" s="108"/>
      <c r="Y21" s="108"/>
      <c r="Z21" s="109">
        <v>0</v>
      </c>
      <c r="AA21" s="110">
        <v>0</v>
      </c>
      <c r="AB21" s="107"/>
      <c r="AC21" s="106"/>
      <c r="AD21" s="180"/>
      <c r="AE21" s="111">
        <v>1</v>
      </c>
      <c r="AF21" s="122">
        <v>1</v>
      </c>
      <c r="AG21" s="113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 t="str">
        <f>" " &amp; TEXT(AF21,"#0.00%") &amp; " " &amp; "PPC" &amp; " " &amp; IF(Q21="","",TEXT(Q21,"M/D-")) &amp; IF(R21="","",TEXT(R21,"M/D")) &amp; " "</f>
        <v xml:space="preserve"> 100.00% PPC 2/1-4/30 </v>
      </c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  <c r="DJ21" s="114"/>
      <c r="DK21" s="114"/>
      <c r="DL21" s="114"/>
      <c r="DM21" s="114"/>
      <c r="DN21" s="114"/>
      <c r="DO21" s="114"/>
      <c r="DP21" s="114"/>
      <c r="DQ21" s="114"/>
    </row>
    <row r="22" spans="1:121" ht="15" customHeight="1" outlineLevel="4" x14ac:dyDescent="0.25">
      <c r="A22" s="101"/>
      <c r="B22" s="101"/>
      <c r="C22" s="101">
        <v>5</v>
      </c>
      <c r="D22" s="102" t="s">
        <v>186</v>
      </c>
      <c r="E22" s="103"/>
      <c r="F22" s="103"/>
      <c r="G22" s="103"/>
      <c r="H22" s="103"/>
      <c r="I22" s="103" t="s">
        <v>177</v>
      </c>
      <c r="J22" s="103"/>
      <c r="K22" s="103"/>
      <c r="L22" s="103"/>
      <c r="M22" s="103"/>
      <c r="N22" s="103"/>
      <c r="O22" s="193"/>
      <c r="P22" s="104"/>
      <c r="Q22" s="105">
        <v>44958</v>
      </c>
      <c r="R22" s="105">
        <v>44972</v>
      </c>
      <c r="S22" s="106"/>
      <c r="T22" s="107">
        <v>15</v>
      </c>
      <c r="U22" s="107">
        <v>15</v>
      </c>
      <c r="V22" s="107">
        <v>15</v>
      </c>
      <c r="W22" s="107">
        <v>15</v>
      </c>
      <c r="X22" s="108"/>
      <c r="Y22" s="108"/>
      <c r="Z22" s="109"/>
      <c r="AA22" s="110">
        <v>0</v>
      </c>
      <c r="AB22" s="107">
        <v>1</v>
      </c>
      <c r="AC22" s="106"/>
      <c r="AD22" s="180"/>
      <c r="AE22" s="111">
        <v>1</v>
      </c>
      <c r="AF22" s="121">
        <v>1</v>
      </c>
      <c r="AG22" s="113"/>
      <c r="AH22" s="114"/>
      <c r="AI22" s="114" t="str">
        <f>"    " &amp; TEXT(AF22,"#0.00%") &amp; " " &amp; "Concept (R/Sketch)" &amp; " " &amp; IF(Q22="","",TEXT(Q22,"M/D-")) &amp; IF(R22="","",TEXT(R22,"M/D")) &amp; " "</f>
        <v xml:space="preserve">    100.00% Concept (R/Sketch) 2/1-2/15 </v>
      </c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</row>
    <row r="23" spans="1:121" ht="15" customHeight="1" outlineLevel="4" x14ac:dyDescent="0.25">
      <c r="A23" s="101"/>
      <c r="B23" s="101"/>
      <c r="C23" s="101">
        <v>5</v>
      </c>
      <c r="D23" s="102" t="s">
        <v>187</v>
      </c>
      <c r="E23" s="103"/>
      <c r="F23" s="103"/>
      <c r="G23" s="103"/>
      <c r="H23" s="103"/>
      <c r="I23" s="103" t="s">
        <v>179</v>
      </c>
      <c r="J23" s="103"/>
      <c r="K23" s="103"/>
      <c r="L23" s="103"/>
      <c r="M23" s="103"/>
      <c r="N23" s="103"/>
      <c r="O23" s="193"/>
      <c r="P23" s="104"/>
      <c r="Q23" s="105">
        <v>44958</v>
      </c>
      <c r="R23" s="105">
        <v>44985</v>
      </c>
      <c r="S23" s="106"/>
      <c r="T23" s="107">
        <v>28</v>
      </c>
      <c r="U23" s="107">
        <v>28</v>
      </c>
      <c r="V23" s="107">
        <v>28</v>
      </c>
      <c r="W23" s="107">
        <v>28</v>
      </c>
      <c r="X23" s="108"/>
      <c r="Y23" s="108"/>
      <c r="Z23" s="109"/>
      <c r="AA23" s="110">
        <v>0</v>
      </c>
      <c r="AB23" s="107">
        <v>1</v>
      </c>
      <c r="AC23" s="106"/>
      <c r="AD23" s="180"/>
      <c r="AE23" s="111">
        <v>1</v>
      </c>
      <c r="AF23" s="121">
        <v>1</v>
      </c>
      <c r="AG23" s="113"/>
      <c r="AH23" s="114"/>
      <c r="AI23" s="114"/>
      <c r="AJ23" s="114"/>
      <c r="AK23" s="114" t="str">
        <f>"   " &amp; TEXT(AF23,"#0.00%") &amp; " " &amp; "Assy" &amp; " " &amp; IF(Q23="","",TEXT(Q23,"M/D-")) &amp; IF(R23="","",TEXT(R23,"M/D")) &amp; " "</f>
        <v xml:space="preserve">   100.00% Assy 2/1-2/28 </v>
      </c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</row>
    <row r="24" spans="1:121" ht="15" customHeight="1" outlineLevel="4" x14ac:dyDescent="0.25">
      <c r="A24" s="101"/>
      <c r="B24" s="101"/>
      <c r="C24" s="101">
        <v>5</v>
      </c>
      <c r="D24" s="102" t="s">
        <v>188</v>
      </c>
      <c r="E24" s="103"/>
      <c r="F24" s="103"/>
      <c r="G24" s="103"/>
      <c r="H24" s="103"/>
      <c r="I24" s="103" t="s">
        <v>181</v>
      </c>
      <c r="J24" s="103"/>
      <c r="K24" s="103"/>
      <c r="L24" s="103"/>
      <c r="M24" s="103"/>
      <c r="N24" s="103"/>
      <c r="O24" s="193"/>
      <c r="P24" s="104"/>
      <c r="Q24" s="105">
        <v>44986</v>
      </c>
      <c r="R24" s="105">
        <v>45046</v>
      </c>
      <c r="S24" s="106"/>
      <c r="T24" s="107">
        <v>61</v>
      </c>
      <c r="U24" s="107">
        <v>61</v>
      </c>
      <c r="V24" s="107">
        <v>61</v>
      </c>
      <c r="W24" s="107">
        <v>61</v>
      </c>
      <c r="X24" s="108"/>
      <c r="Y24" s="108"/>
      <c r="Z24" s="109"/>
      <c r="AA24" s="110">
        <v>0</v>
      </c>
      <c r="AB24" s="107">
        <v>1</v>
      </c>
      <c r="AC24" s="106"/>
      <c r="AD24" s="180"/>
      <c r="AE24" s="111">
        <v>1</v>
      </c>
      <c r="AF24" s="121">
        <v>1</v>
      </c>
      <c r="AG24" s="113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 t="str">
        <f>" " &amp; TEXT(AF24,"#0.00%") &amp; " " &amp; "Part - (Main Frame)" &amp; " " &amp; IF(Q24="","",TEXT(Q24,"M/D-")) &amp; IF(R24="","",TEXT(R24,"M/D")) &amp; " "</f>
        <v xml:space="preserve"> 100.00% Part - (Main Frame) 3/1-4/30 </v>
      </c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  <c r="DJ24" s="114"/>
      <c r="DK24" s="114"/>
      <c r="DL24" s="114"/>
      <c r="DM24" s="114"/>
      <c r="DN24" s="114"/>
      <c r="DO24" s="114"/>
      <c r="DP24" s="114"/>
      <c r="DQ24" s="114"/>
    </row>
    <row r="25" spans="1:121" ht="15" customHeight="1" outlineLevel="4" x14ac:dyDescent="0.25">
      <c r="A25" s="101"/>
      <c r="B25" s="101"/>
      <c r="C25" s="101">
        <v>5</v>
      </c>
      <c r="D25" s="102" t="s">
        <v>189</v>
      </c>
      <c r="E25" s="103"/>
      <c r="F25" s="103"/>
      <c r="G25" s="103"/>
      <c r="H25" s="103"/>
      <c r="I25" s="103" t="s">
        <v>183</v>
      </c>
      <c r="J25" s="103"/>
      <c r="K25" s="103"/>
      <c r="L25" s="103"/>
      <c r="M25" s="103"/>
      <c r="N25" s="103"/>
      <c r="O25" s="193"/>
      <c r="P25" s="104"/>
      <c r="Q25" s="105">
        <v>44986</v>
      </c>
      <c r="R25" s="105">
        <v>45046</v>
      </c>
      <c r="S25" s="106"/>
      <c r="T25" s="107">
        <v>61</v>
      </c>
      <c r="U25" s="107">
        <v>61</v>
      </c>
      <c r="V25" s="107">
        <v>61</v>
      </c>
      <c r="W25" s="107">
        <v>61</v>
      </c>
      <c r="X25" s="108"/>
      <c r="Y25" s="108"/>
      <c r="Z25" s="109"/>
      <c r="AA25" s="110">
        <v>0</v>
      </c>
      <c r="AB25" s="107">
        <v>1</v>
      </c>
      <c r="AC25" s="106"/>
      <c r="AD25" s="180"/>
      <c r="AE25" s="111">
        <v>1</v>
      </c>
      <c r="AF25" s="121">
        <v>1</v>
      </c>
      <c r="AG25" s="113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 t="str">
        <f>" " &amp; TEXT(AF25,"#0.00%") &amp; " " &amp; "Part - (Carriage/Fork)" &amp; " " &amp; IF(Q25="","",TEXT(Q25,"M/D-")) &amp; IF(R25="","",TEXT(R25,"M/D")) &amp; " "</f>
        <v xml:space="preserve"> 100.00% Part - (Carriage/Fork) 3/1-4/30 </v>
      </c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</row>
    <row r="26" spans="1:121" ht="15" customHeight="1" outlineLevel="2" x14ac:dyDescent="0.25">
      <c r="A26" s="101"/>
      <c r="B26" s="101" t="s">
        <v>153</v>
      </c>
      <c r="C26" s="101">
        <v>3</v>
      </c>
      <c r="D26" s="102" t="s">
        <v>190</v>
      </c>
      <c r="E26" s="103"/>
      <c r="F26" s="103"/>
      <c r="G26" s="103" t="s">
        <v>192</v>
      </c>
      <c r="H26" s="103"/>
      <c r="I26" s="103"/>
      <c r="J26" s="103"/>
      <c r="K26" s="103"/>
      <c r="L26" s="103"/>
      <c r="M26" s="103"/>
      <c r="N26" s="103"/>
      <c r="O26" s="193"/>
      <c r="P26" s="104"/>
      <c r="Q26" s="105">
        <v>45017</v>
      </c>
      <c r="R26" s="105">
        <v>45031</v>
      </c>
      <c r="S26" s="106"/>
      <c r="T26" s="107">
        <v>15</v>
      </c>
      <c r="U26" s="107">
        <v>15</v>
      </c>
      <c r="V26" s="107">
        <v>15</v>
      </c>
      <c r="W26" s="107">
        <v>15</v>
      </c>
      <c r="X26" s="108"/>
      <c r="Y26" s="108"/>
      <c r="Z26" s="109">
        <v>0</v>
      </c>
      <c r="AA26" s="110">
        <v>0</v>
      </c>
      <c r="AB26" s="107"/>
      <c r="AC26" s="106"/>
      <c r="AD26" s="180"/>
      <c r="AE26" s="111">
        <v>1</v>
      </c>
      <c r="AF26" s="122">
        <v>1</v>
      </c>
      <c r="AG26" s="113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tr">
        <f>"" &amp; TEXT(AF26,"#0.00%") &amp; " " &amp; "Conveyor" &amp; " " &amp; IF(Q26="","",TEXT(Q26,"M/D-")) &amp; IF(R26="","",TEXT(R26,"M/D")) &amp; " "</f>
        <v xml:space="preserve">100.00% Conveyor 4/1-4/15 </v>
      </c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  <c r="DJ26" s="114"/>
      <c r="DK26" s="114"/>
      <c r="DL26" s="114"/>
      <c r="DM26" s="114"/>
      <c r="DN26" s="114"/>
      <c r="DO26" s="114"/>
      <c r="DP26" s="114"/>
      <c r="DQ26" s="114"/>
    </row>
    <row r="27" spans="1:121" ht="15" customHeight="1" outlineLevel="3" x14ac:dyDescent="0.25">
      <c r="A27" s="101"/>
      <c r="B27" s="101"/>
      <c r="C27" s="101">
        <v>4</v>
      </c>
      <c r="D27" s="102" t="s">
        <v>191</v>
      </c>
      <c r="E27" s="103"/>
      <c r="F27" s="103"/>
      <c r="G27" s="103"/>
      <c r="H27" s="103" t="s">
        <v>162</v>
      </c>
      <c r="I27" s="103"/>
      <c r="J27" s="103"/>
      <c r="K27" s="103"/>
      <c r="L27" s="103"/>
      <c r="M27" s="103"/>
      <c r="N27" s="103"/>
      <c r="O27" s="193"/>
      <c r="P27" s="104"/>
      <c r="Q27" s="105">
        <v>45017</v>
      </c>
      <c r="R27" s="105">
        <v>45031</v>
      </c>
      <c r="S27" s="106"/>
      <c r="T27" s="107">
        <v>15</v>
      </c>
      <c r="U27" s="107">
        <v>15</v>
      </c>
      <c r="V27" s="107">
        <v>15</v>
      </c>
      <c r="W27" s="107">
        <v>15</v>
      </c>
      <c r="X27" s="108"/>
      <c r="Y27" s="108"/>
      <c r="Z27" s="109"/>
      <c r="AA27" s="110">
        <v>0</v>
      </c>
      <c r="AB27" s="107">
        <v>1</v>
      </c>
      <c r="AC27" s="106"/>
      <c r="AD27" s="180"/>
      <c r="AE27" s="111">
        <v>1</v>
      </c>
      <c r="AF27" s="121">
        <v>1</v>
      </c>
      <c r="AG27" s="113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 t="str">
        <f>"" &amp; TEXT(AF27,"#0.00%") &amp; " " &amp; "DR" &amp; " " &amp; IF(Q27="","",TEXT(Q27,"M/D-")) &amp; IF(R27="","",TEXT(R27,"M/D")) &amp; " "</f>
        <v xml:space="preserve">100.00% DR 4/1-4/15 </v>
      </c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  <c r="DJ27" s="114"/>
      <c r="DK27" s="114"/>
      <c r="DL27" s="114"/>
      <c r="DM27" s="114"/>
      <c r="DN27" s="114"/>
      <c r="DO27" s="114"/>
      <c r="DP27" s="114"/>
      <c r="DQ27" s="114"/>
    </row>
    <row r="28" spans="1:121" ht="15" customHeight="1" x14ac:dyDescent="0.25">
      <c r="A28" s="101"/>
      <c r="B28" s="101" t="s">
        <v>153</v>
      </c>
      <c r="C28" s="101">
        <v>1</v>
      </c>
      <c r="D28" s="102" t="s">
        <v>193</v>
      </c>
      <c r="E28" s="103" t="s">
        <v>194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93"/>
      <c r="P28" s="104"/>
      <c r="Q28" s="105">
        <v>44972</v>
      </c>
      <c r="R28" s="105">
        <v>45320</v>
      </c>
      <c r="S28" s="106"/>
      <c r="T28" s="107">
        <v>33308</v>
      </c>
      <c r="U28" s="107">
        <v>4628</v>
      </c>
      <c r="V28" s="107">
        <v>349</v>
      </c>
      <c r="W28" s="107">
        <v>98</v>
      </c>
      <c r="X28" s="108"/>
      <c r="Y28" s="108"/>
      <c r="Z28" s="109">
        <v>0</v>
      </c>
      <c r="AA28" s="110">
        <v>0</v>
      </c>
      <c r="AB28" s="107"/>
      <c r="AC28" s="106"/>
      <c r="AD28" s="180"/>
      <c r="AE28" s="111">
        <v>0.13894559865497777</v>
      </c>
      <c r="AF28" s="112">
        <v>0</v>
      </c>
      <c r="AG28" s="113"/>
      <c r="AH28" s="114"/>
      <c r="AI28" s="114" t="str">
        <f>"   " &amp; TEXT(AF28,"#0.00%") &amp; " "</f>
        <v xml:space="preserve">   0.00% </v>
      </c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 t="str">
        <f>"  " &amp; "제작" &amp; " " &amp; IF(Q28="","",TEXT(Q28,"M/D-")) &amp; IF(R28="","",TEXT(R28,"M/D")) &amp; " "</f>
        <v xml:space="preserve">  제작 2/15-1/29 </v>
      </c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  <c r="DJ28" s="114"/>
      <c r="DK28" s="114"/>
      <c r="DL28" s="114"/>
      <c r="DM28" s="114"/>
      <c r="DN28" s="114"/>
      <c r="DO28" s="114"/>
      <c r="DP28" s="114"/>
      <c r="DQ28" s="114"/>
    </row>
    <row r="29" spans="1:121" ht="15" customHeight="1" outlineLevel="1" x14ac:dyDescent="0.25">
      <c r="A29" s="101"/>
      <c r="B29" s="101" t="s">
        <v>153</v>
      </c>
      <c r="C29" s="101">
        <v>2</v>
      </c>
      <c r="D29" s="102" t="s">
        <v>195</v>
      </c>
      <c r="E29" s="103"/>
      <c r="F29" s="103" t="s">
        <v>536</v>
      </c>
      <c r="G29" s="103"/>
      <c r="H29" s="103"/>
      <c r="I29" s="103"/>
      <c r="J29" s="103"/>
      <c r="K29" s="103"/>
      <c r="L29" s="103"/>
      <c r="M29" s="103"/>
      <c r="N29" s="103"/>
      <c r="O29" s="193"/>
      <c r="P29" s="104"/>
      <c r="Q29" s="105">
        <v>44972</v>
      </c>
      <c r="R29" s="105">
        <v>45320</v>
      </c>
      <c r="S29" s="106"/>
      <c r="T29" s="107">
        <v>33308</v>
      </c>
      <c r="U29" s="107">
        <v>4628</v>
      </c>
      <c r="V29" s="107">
        <v>349</v>
      </c>
      <c r="W29" s="107">
        <v>98</v>
      </c>
      <c r="X29" s="108"/>
      <c r="Y29" s="108"/>
      <c r="Z29" s="109">
        <v>0</v>
      </c>
      <c r="AA29" s="110">
        <v>0</v>
      </c>
      <c r="AB29" s="107"/>
      <c r="AC29" s="106"/>
      <c r="AD29" s="180"/>
      <c r="AE29" s="111">
        <v>0.13894559865497777</v>
      </c>
      <c r="AF29" s="112">
        <v>0</v>
      </c>
      <c r="AG29" s="113"/>
      <c r="AH29" s="114"/>
      <c r="AI29" s="114" t="str">
        <f>"   " &amp; TEXT(AF29,"#0.00%") &amp; " "</f>
        <v xml:space="preserve">   0.00% </v>
      </c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 t="str">
        <f>"  " &amp; "BOSK TN" &amp; " " &amp; IF(Q29="","",TEXT(Q29,"M/D-")) &amp; IF(R29="","",TEXT(R29,"M/D")) &amp; " "</f>
        <v xml:space="preserve">  BOSK TN 2/15-1/29 </v>
      </c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  <c r="DJ29" s="114"/>
      <c r="DK29" s="114"/>
      <c r="DL29" s="114"/>
      <c r="DM29" s="114"/>
      <c r="DN29" s="114"/>
      <c r="DO29" s="114"/>
      <c r="DP29" s="114"/>
      <c r="DQ29" s="114"/>
    </row>
    <row r="30" spans="1:121" ht="15" customHeight="1" outlineLevel="2" x14ac:dyDescent="0.25">
      <c r="A30" s="101"/>
      <c r="B30" s="101" t="s">
        <v>153</v>
      </c>
      <c r="C30" s="101">
        <v>3</v>
      </c>
      <c r="D30" s="102" t="s">
        <v>196</v>
      </c>
      <c r="E30" s="103"/>
      <c r="F30" s="103"/>
      <c r="G30" s="103" t="s">
        <v>559</v>
      </c>
      <c r="H30" s="103"/>
      <c r="I30" s="103"/>
      <c r="J30" s="103"/>
      <c r="K30" s="103"/>
      <c r="L30" s="103"/>
      <c r="M30" s="103"/>
      <c r="N30" s="103"/>
      <c r="O30" s="103" t="s">
        <v>559</v>
      </c>
      <c r="P30" s="118"/>
      <c r="Q30" s="108">
        <v>45078</v>
      </c>
      <c r="R30" s="108">
        <v>45214</v>
      </c>
      <c r="S30" s="106"/>
      <c r="T30" s="107">
        <v>2877</v>
      </c>
      <c r="U30" s="107">
        <v>0</v>
      </c>
      <c r="V30" s="107">
        <v>137</v>
      </c>
      <c r="W30" s="107">
        <v>0</v>
      </c>
      <c r="X30" s="108"/>
      <c r="Y30" s="108"/>
      <c r="Z30" s="109">
        <v>0</v>
      </c>
      <c r="AA30" s="110">
        <v>0</v>
      </c>
      <c r="AB30" s="107"/>
      <c r="AC30" s="106"/>
      <c r="AD30" s="180"/>
      <c r="AE30" s="111">
        <v>0</v>
      </c>
      <c r="AF30" s="122">
        <v>0</v>
      </c>
      <c r="AG30" s="113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 t="str">
        <f>"    " &amp; TEXT(AF30,"#0.00%") &amp; " "</f>
        <v xml:space="preserve">    0.00% </v>
      </c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 t="str">
        <f>" " &amp; "1동 Rack" &amp; " " &amp; IF(Q30="","",TEXT(Q30,"M/D-")) &amp; IF(R30="","",TEXT(R30,"M/D")) &amp; " "</f>
        <v xml:space="preserve"> 1동 Rack 6/1-10/15 </v>
      </c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114"/>
      <c r="DM30" s="114"/>
      <c r="DN30" s="114"/>
      <c r="DO30" s="114"/>
      <c r="DP30" s="114"/>
      <c r="DQ30" s="114"/>
    </row>
    <row r="31" spans="1:121" ht="15" customHeight="1" outlineLevel="3" x14ac:dyDescent="0.25">
      <c r="A31" s="101"/>
      <c r="B31" s="101" t="s">
        <v>153</v>
      </c>
      <c r="C31" s="101">
        <v>4</v>
      </c>
      <c r="D31" s="102" t="s">
        <v>197</v>
      </c>
      <c r="E31" s="103"/>
      <c r="F31" s="103"/>
      <c r="G31" s="103"/>
      <c r="H31" s="103" t="s">
        <v>560</v>
      </c>
      <c r="I31" s="103"/>
      <c r="J31" s="103"/>
      <c r="K31" s="103"/>
      <c r="L31" s="103"/>
      <c r="M31" s="103"/>
      <c r="N31" s="103"/>
      <c r="O31" s="103" t="s">
        <v>560</v>
      </c>
      <c r="P31" s="118"/>
      <c r="Q31" s="108">
        <v>45078</v>
      </c>
      <c r="R31" s="108">
        <v>45176</v>
      </c>
      <c r="S31" s="106"/>
      <c r="T31" s="107">
        <v>381</v>
      </c>
      <c r="U31" s="107">
        <v>0</v>
      </c>
      <c r="V31" s="107">
        <v>99</v>
      </c>
      <c r="W31" s="107">
        <v>0</v>
      </c>
      <c r="X31" s="108"/>
      <c r="Y31" s="108"/>
      <c r="Z31" s="109">
        <v>0</v>
      </c>
      <c r="AA31" s="110">
        <v>0</v>
      </c>
      <c r="AB31" s="107"/>
      <c r="AC31" s="106"/>
      <c r="AD31" s="180"/>
      <c r="AE31" s="111">
        <v>0</v>
      </c>
      <c r="AF31" s="122">
        <v>0</v>
      </c>
      <c r="AG31" s="113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 t="str">
        <f>"    " &amp; TEXT(AF31,"#0.00%") &amp; " "</f>
        <v xml:space="preserve">    0.00% </v>
      </c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 t="str">
        <f>"     " &amp; "1동 상온#1 Aging(Deck&amp;Accessory)" &amp; " " &amp; IF(Q31="","",TEXT(Q31,"M/D-")) &amp; IF(R31="","",TEXT(R31,"M/D")) &amp; " "</f>
        <v xml:space="preserve">     1동 상온#1 Aging(Deck&amp;Accessory) 6/1-9/7 </v>
      </c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  <c r="DJ31" s="114"/>
      <c r="DK31" s="114"/>
      <c r="DL31" s="114"/>
      <c r="DM31" s="114"/>
      <c r="DN31" s="114"/>
      <c r="DO31" s="114"/>
      <c r="DP31" s="114"/>
      <c r="DQ31" s="114"/>
    </row>
    <row r="32" spans="1:121" ht="15" customHeight="1" outlineLevel="4" x14ac:dyDescent="0.25">
      <c r="A32" s="101"/>
      <c r="B32" s="101"/>
      <c r="C32" s="101">
        <v>5</v>
      </c>
      <c r="D32" s="102" t="s">
        <v>198</v>
      </c>
      <c r="E32" s="103"/>
      <c r="F32" s="103"/>
      <c r="G32" s="103"/>
      <c r="H32" s="103"/>
      <c r="I32" s="103" t="s">
        <v>199</v>
      </c>
      <c r="J32" s="103"/>
      <c r="K32" s="103"/>
      <c r="L32" s="103"/>
      <c r="M32" s="103"/>
      <c r="N32" s="103"/>
      <c r="O32" s="103" t="s">
        <v>560</v>
      </c>
      <c r="P32" s="118"/>
      <c r="Q32" s="108">
        <v>45078</v>
      </c>
      <c r="R32" s="108">
        <v>45138</v>
      </c>
      <c r="S32" s="106">
        <f>R32-Q32</f>
        <v>60</v>
      </c>
      <c r="T32" s="107">
        <v>305</v>
      </c>
      <c r="U32" s="107">
        <v>0</v>
      </c>
      <c r="V32" s="107">
        <v>61</v>
      </c>
      <c r="W32" s="107">
        <v>0</v>
      </c>
      <c r="X32" s="108"/>
      <c r="Y32" s="108"/>
      <c r="Z32" s="109"/>
      <c r="AA32" s="110">
        <v>0</v>
      </c>
      <c r="AB32" s="107">
        <v>5</v>
      </c>
      <c r="AC32" s="106"/>
      <c r="AD32" s="180"/>
      <c r="AE32" s="111">
        <v>0</v>
      </c>
      <c r="AF32" s="121">
        <v>0</v>
      </c>
      <c r="AG32" s="113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 t="str">
        <f>"    " &amp; TEXT(AF32,"#0.00%") &amp; " "</f>
        <v xml:space="preserve">    0.00% </v>
      </c>
      <c r="AY32" s="114"/>
      <c r="AZ32" s="114"/>
      <c r="BA32" s="114"/>
      <c r="BB32" s="114"/>
      <c r="BC32" s="114"/>
      <c r="BD32" s="114"/>
      <c r="BE32" s="114"/>
      <c r="BF32" s="114"/>
      <c r="BG32" s="114" t="str">
        <f>"  " &amp; "단품 및 Post 생산/제작" &amp; " " &amp; IF(Q32="","",TEXT(Q32,"M/D-")) &amp; IF(R32="","",TEXT(R32,"M/D")) &amp; " "</f>
        <v xml:space="preserve">  단품 및 Post 생산/제작 6/1-7/31 </v>
      </c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4"/>
      <c r="CY32" s="114"/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</row>
    <row r="33" spans="1:121" ht="15" customHeight="1" outlineLevel="4" x14ac:dyDescent="0.25">
      <c r="A33" s="101"/>
      <c r="B33" s="101"/>
      <c r="C33" s="101">
        <v>5</v>
      </c>
      <c r="D33" s="102" t="s">
        <v>200</v>
      </c>
      <c r="E33" s="103"/>
      <c r="F33" s="103"/>
      <c r="G33" s="103"/>
      <c r="H33" s="103"/>
      <c r="I33" s="103" t="s">
        <v>201</v>
      </c>
      <c r="J33" s="103"/>
      <c r="K33" s="103"/>
      <c r="L33" s="103"/>
      <c r="M33" s="103"/>
      <c r="N33" s="103"/>
      <c r="O33" s="103" t="s">
        <v>560</v>
      </c>
      <c r="P33" s="118"/>
      <c r="Q33" s="108">
        <v>45139</v>
      </c>
      <c r="R33" s="108">
        <v>45176</v>
      </c>
      <c r="S33" s="106">
        <f>R33-Q33</f>
        <v>37</v>
      </c>
      <c r="T33" s="107">
        <v>76</v>
      </c>
      <c r="U33" s="107">
        <v>0</v>
      </c>
      <c r="V33" s="107">
        <v>38</v>
      </c>
      <c r="W33" s="107">
        <v>0</v>
      </c>
      <c r="X33" s="108"/>
      <c r="Y33" s="108"/>
      <c r="Z33" s="109"/>
      <c r="AA33" s="110">
        <v>0</v>
      </c>
      <c r="AB33" s="107">
        <v>2</v>
      </c>
      <c r="AC33" s="106"/>
      <c r="AD33" s="180"/>
      <c r="AE33" s="111">
        <v>0</v>
      </c>
      <c r="AF33" s="121">
        <v>0</v>
      </c>
      <c r="AG33" s="113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 t="str">
        <f>"  " &amp; TEXT(AF33,"#0.00%") &amp; " "</f>
        <v xml:space="preserve">  0.00% </v>
      </c>
      <c r="BH33" s="114"/>
      <c r="BI33" s="114"/>
      <c r="BJ33" s="114"/>
      <c r="BK33" s="114"/>
      <c r="BL33" s="114" t="str">
        <f>"     " &amp; "1차조립" &amp; " " &amp; IF(Q33="","",TEXT(Q33,"M/D-")) &amp; IF(R33="","",TEXT(R33,"M/D")) &amp; " "</f>
        <v xml:space="preserve">     1차조립 8/1-9/7 </v>
      </c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114"/>
      <c r="DE33" s="114"/>
      <c r="DF33" s="114"/>
      <c r="DG33" s="114"/>
      <c r="DH33" s="114"/>
      <c r="DI33" s="114"/>
      <c r="DJ33" s="114"/>
      <c r="DK33" s="114"/>
      <c r="DL33" s="114"/>
      <c r="DM33" s="114"/>
      <c r="DN33" s="114"/>
      <c r="DO33" s="114"/>
      <c r="DP33" s="114"/>
      <c r="DQ33" s="114"/>
    </row>
    <row r="34" spans="1:121" ht="15" customHeight="1" outlineLevel="3" x14ac:dyDescent="0.25">
      <c r="A34" s="101"/>
      <c r="B34" s="101" t="s">
        <v>153</v>
      </c>
      <c r="C34" s="101">
        <v>4</v>
      </c>
      <c r="D34" s="102" t="s">
        <v>202</v>
      </c>
      <c r="E34" s="103"/>
      <c r="F34" s="103"/>
      <c r="G34" s="103"/>
      <c r="H34" s="103" t="s">
        <v>561</v>
      </c>
      <c r="I34" s="103"/>
      <c r="J34" s="103"/>
      <c r="K34" s="103"/>
      <c r="L34" s="103"/>
      <c r="M34" s="103"/>
      <c r="N34" s="103"/>
      <c r="O34" s="103" t="s">
        <v>561</v>
      </c>
      <c r="P34" s="118"/>
      <c r="Q34" s="108">
        <v>45078</v>
      </c>
      <c r="R34" s="108">
        <v>45199</v>
      </c>
      <c r="S34" s="106"/>
      <c r="T34" s="107">
        <v>409</v>
      </c>
      <c r="U34" s="107">
        <v>0</v>
      </c>
      <c r="V34" s="107">
        <v>122</v>
      </c>
      <c r="W34" s="107">
        <v>0</v>
      </c>
      <c r="X34" s="108"/>
      <c r="Y34" s="108"/>
      <c r="Z34" s="109">
        <v>0</v>
      </c>
      <c r="AA34" s="110">
        <v>0</v>
      </c>
      <c r="AB34" s="107"/>
      <c r="AC34" s="106"/>
      <c r="AD34" s="180"/>
      <c r="AE34" s="111">
        <v>0</v>
      </c>
      <c r="AF34" s="122">
        <v>0</v>
      </c>
      <c r="AG34" s="113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 t="str">
        <f>"    " &amp; TEXT(AF34,"#0.00%") &amp; " "</f>
        <v xml:space="preserve">    0.00% </v>
      </c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 t="str">
        <f>"" &amp; "1동 고온#1 Aging (Deck&amp;Accessory)" &amp; " " &amp; IF(Q34="","",TEXT(Q34,"M/D-")) &amp; IF(R34="","",TEXT(R34,"M/D")) &amp; " "</f>
        <v xml:space="preserve">1동 고온#1 Aging (Deck&amp;Accessory) 6/1-9/30 </v>
      </c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114"/>
      <c r="CU34" s="114"/>
      <c r="CV34" s="114"/>
      <c r="CW34" s="114"/>
      <c r="CX34" s="114"/>
      <c r="CY34" s="114"/>
      <c r="CZ34" s="114"/>
      <c r="DA34" s="114"/>
      <c r="DB34" s="114"/>
      <c r="DC34" s="114"/>
      <c r="DD34" s="114"/>
      <c r="DE34" s="114"/>
      <c r="DF34" s="114"/>
      <c r="DG34" s="114"/>
      <c r="DH34" s="114"/>
      <c r="DI34" s="114"/>
      <c r="DJ34" s="114"/>
      <c r="DK34" s="114"/>
      <c r="DL34" s="114"/>
      <c r="DM34" s="114"/>
      <c r="DN34" s="114"/>
      <c r="DO34" s="114"/>
      <c r="DP34" s="114"/>
      <c r="DQ34" s="114"/>
    </row>
    <row r="35" spans="1:121" ht="15" customHeight="1" outlineLevel="4" x14ac:dyDescent="0.25">
      <c r="A35" s="101"/>
      <c r="B35" s="101"/>
      <c r="C35" s="101">
        <v>5</v>
      </c>
      <c r="D35" s="102" t="s">
        <v>203</v>
      </c>
      <c r="E35" s="103"/>
      <c r="F35" s="103"/>
      <c r="G35" s="103"/>
      <c r="H35" s="103"/>
      <c r="I35" s="103" t="s">
        <v>199</v>
      </c>
      <c r="J35" s="103"/>
      <c r="K35" s="103"/>
      <c r="L35" s="103"/>
      <c r="M35" s="103"/>
      <c r="N35" s="103"/>
      <c r="O35" s="103" t="str">
        <f>O34</f>
        <v>1동 고온#1 Aging (Deck&amp;Accessory)</v>
      </c>
      <c r="P35" s="118"/>
      <c r="Q35" s="108">
        <v>45078</v>
      </c>
      <c r="R35" s="108">
        <v>45138</v>
      </c>
      <c r="S35" s="106">
        <f>R35-Q35</f>
        <v>60</v>
      </c>
      <c r="T35" s="107">
        <v>305</v>
      </c>
      <c r="U35" s="107">
        <v>0</v>
      </c>
      <c r="V35" s="107">
        <v>61</v>
      </c>
      <c r="W35" s="107">
        <v>0</v>
      </c>
      <c r="X35" s="108"/>
      <c r="Y35" s="108"/>
      <c r="Z35" s="109"/>
      <c r="AA35" s="110">
        <v>0</v>
      </c>
      <c r="AB35" s="107">
        <v>5</v>
      </c>
      <c r="AC35" s="106"/>
      <c r="AD35" s="180"/>
      <c r="AE35" s="111">
        <v>0</v>
      </c>
      <c r="AF35" s="121">
        <v>0</v>
      </c>
      <c r="AG35" s="113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 t="str">
        <f>"    " &amp; TEXT(AF35,"#0.00%") &amp; " "</f>
        <v xml:space="preserve">    0.00% </v>
      </c>
      <c r="AY35" s="114"/>
      <c r="AZ35" s="114"/>
      <c r="BA35" s="114"/>
      <c r="BB35" s="114"/>
      <c r="BC35" s="114"/>
      <c r="BD35" s="114"/>
      <c r="BE35" s="114"/>
      <c r="BF35" s="114"/>
      <c r="BG35" s="114" t="str">
        <f>"  " &amp; "단품 및 Post 생산/제작" &amp; " " &amp; IF(Q35="","",TEXT(Q35,"M/D-")) &amp; IF(R35="","",TEXT(R35,"M/D")) &amp; " "</f>
        <v xml:space="preserve">  단품 및 Post 생산/제작 6/1-7/31 </v>
      </c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4"/>
      <c r="CY35" s="114"/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</row>
    <row r="36" spans="1:121" ht="15" customHeight="1" outlineLevel="4" x14ac:dyDescent="0.25">
      <c r="A36" s="101"/>
      <c r="B36" s="101"/>
      <c r="C36" s="101">
        <v>5</v>
      </c>
      <c r="D36" s="102" t="s">
        <v>204</v>
      </c>
      <c r="E36" s="103"/>
      <c r="F36" s="103"/>
      <c r="G36" s="103"/>
      <c r="H36" s="103"/>
      <c r="I36" s="103" t="s">
        <v>201</v>
      </c>
      <c r="J36" s="103"/>
      <c r="K36" s="103"/>
      <c r="L36" s="103"/>
      <c r="M36" s="103"/>
      <c r="N36" s="103"/>
      <c r="O36" s="103" t="str">
        <f>O35</f>
        <v>1동 고온#1 Aging (Deck&amp;Accessory)</v>
      </c>
      <c r="P36" s="118"/>
      <c r="Q36" s="108">
        <v>45148</v>
      </c>
      <c r="R36" s="108">
        <v>45199</v>
      </c>
      <c r="S36" s="106">
        <f>R36-Q36</f>
        <v>51</v>
      </c>
      <c r="T36" s="107">
        <v>104</v>
      </c>
      <c r="U36" s="107">
        <v>0</v>
      </c>
      <c r="V36" s="107">
        <v>52</v>
      </c>
      <c r="W36" s="107">
        <v>0</v>
      </c>
      <c r="X36" s="108"/>
      <c r="Y36" s="108"/>
      <c r="Z36" s="109"/>
      <c r="AA36" s="110">
        <v>0</v>
      </c>
      <c r="AB36" s="107">
        <v>2</v>
      </c>
      <c r="AC36" s="106"/>
      <c r="AD36" s="180"/>
      <c r="AE36" s="111">
        <v>0</v>
      </c>
      <c r="AF36" s="121">
        <v>0</v>
      </c>
      <c r="AG36" s="113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 t="str">
        <f>"    " &amp; TEXT(AF36,"#0.00%") &amp; " "</f>
        <v xml:space="preserve">    0.00% </v>
      </c>
      <c r="BI36" s="114"/>
      <c r="BJ36" s="114"/>
      <c r="BK36" s="114"/>
      <c r="BL36" s="114"/>
      <c r="BM36" s="114"/>
      <c r="BN36" s="114"/>
      <c r="BO36" s="114"/>
      <c r="BP36" s="114" t="str">
        <f>"" &amp; "1차조립" &amp; " " &amp; IF(Q36="","",TEXT(Q36,"M/D-")) &amp; IF(R36="","",TEXT(R36,"M/D")) &amp; " "</f>
        <v xml:space="preserve">1차조립 8/10-9/30 </v>
      </c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4"/>
      <c r="CY36" s="114"/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</row>
    <row r="37" spans="1:121" ht="15" customHeight="1" outlineLevel="3" x14ac:dyDescent="0.25">
      <c r="A37" s="101"/>
      <c r="B37" s="101" t="s">
        <v>153</v>
      </c>
      <c r="C37" s="101">
        <v>4</v>
      </c>
      <c r="D37" s="102" t="s">
        <v>205</v>
      </c>
      <c r="E37" s="103"/>
      <c r="F37" s="103"/>
      <c r="G37" s="103"/>
      <c r="H37" s="103" t="s">
        <v>562</v>
      </c>
      <c r="I37" s="103"/>
      <c r="J37" s="103"/>
      <c r="K37" s="103"/>
      <c r="L37" s="103"/>
      <c r="M37" s="103"/>
      <c r="N37" s="103"/>
      <c r="O37" s="103" t="s">
        <v>562</v>
      </c>
      <c r="P37" s="118"/>
      <c r="Q37" s="108">
        <v>45078</v>
      </c>
      <c r="R37" s="108">
        <v>45176</v>
      </c>
      <c r="S37" s="106"/>
      <c r="T37" s="107">
        <v>381</v>
      </c>
      <c r="U37" s="107">
        <v>0</v>
      </c>
      <c r="V37" s="107">
        <v>99</v>
      </c>
      <c r="W37" s="107">
        <v>0</v>
      </c>
      <c r="X37" s="108"/>
      <c r="Y37" s="108"/>
      <c r="Z37" s="109">
        <v>0</v>
      </c>
      <c r="AA37" s="110">
        <v>0</v>
      </c>
      <c r="AB37" s="107"/>
      <c r="AC37" s="106"/>
      <c r="AD37" s="180"/>
      <c r="AE37" s="111">
        <v>0</v>
      </c>
      <c r="AF37" s="122">
        <v>0</v>
      </c>
      <c r="AG37" s="113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 t="str">
        <f>"    " &amp; TEXT(AF37,"#0.00%") &amp; " "</f>
        <v xml:space="preserve">    0.00% </v>
      </c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 t="str">
        <f>"     " &amp; "1동 PPC (Deck&amp;Accessory)" &amp; " " &amp; IF(Q37="","",TEXT(Q37,"M/D-")) &amp; IF(R37="","",TEXT(R37,"M/D")) &amp; " "</f>
        <v xml:space="preserve">     1동 PPC (Deck&amp;Accessory) 6/1-9/7 </v>
      </c>
      <c r="BM37" s="114"/>
      <c r="BN37" s="114"/>
      <c r="BO37" s="114"/>
      <c r="BP37" s="114"/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  <c r="CG37" s="114"/>
      <c r="CH37" s="114"/>
      <c r="CI37" s="114"/>
      <c r="CJ37" s="114"/>
      <c r="CK37" s="114"/>
      <c r="CL37" s="114"/>
      <c r="CM37" s="114"/>
      <c r="CN37" s="114"/>
      <c r="CO37" s="114"/>
      <c r="CP37" s="114"/>
      <c r="CQ37" s="114"/>
      <c r="CR37" s="114"/>
      <c r="CS37" s="114"/>
      <c r="CT37" s="114"/>
      <c r="CU37" s="114"/>
      <c r="CV37" s="114"/>
      <c r="CW37" s="114"/>
      <c r="CX37" s="114"/>
      <c r="CY37" s="114"/>
      <c r="CZ37" s="114"/>
      <c r="DA37" s="114"/>
      <c r="DB37" s="114"/>
      <c r="DC37" s="114"/>
      <c r="DD37" s="114"/>
      <c r="DE37" s="114"/>
      <c r="DF37" s="114"/>
      <c r="DG37" s="114"/>
      <c r="DH37" s="114"/>
      <c r="DI37" s="114"/>
      <c r="DJ37" s="114"/>
      <c r="DK37" s="114"/>
      <c r="DL37" s="114"/>
      <c r="DM37" s="114"/>
      <c r="DN37" s="114"/>
      <c r="DO37" s="114"/>
      <c r="DP37" s="114"/>
      <c r="DQ37" s="114"/>
    </row>
    <row r="38" spans="1:121" ht="15" customHeight="1" outlineLevel="4" x14ac:dyDescent="0.25">
      <c r="A38" s="101"/>
      <c r="B38" s="101"/>
      <c r="C38" s="101">
        <v>5</v>
      </c>
      <c r="D38" s="102" t="s">
        <v>206</v>
      </c>
      <c r="E38" s="103"/>
      <c r="F38" s="103"/>
      <c r="G38" s="103"/>
      <c r="H38" s="103"/>
      <c r="I38" s="103" t="s">
        <v>199</v>
      </c>
      <c r="J38" s="103"/>
      <c r="K38" s="103"/>
      <c r="L38" s="103"/>
      <c r="M38" s="103"/>
      <c r="N38" s="103"/>
      <c r="O38" s="103" t="str">
        <f>O37</f>
        <v>1동 PPC (Deck&amp;Accessory)</v>
      </c>
      <c r="P38" s="118"/>
      <c r="Q38" s="108">
        <v>45078</v>
      </c>
      <c r="R38" s="108">
        <v>45138</v>
      </c>
      <c r="S38" s="106">
        <f>R38-Q38</f>
        <v>60</v>
      </c>
      <c r="T38" s="107">
        <v>305</v>
      </c>
      <c r="U38" s="107">
        <v>0</v>
      </c>
      <c r="V38" s="107">
        <v>61</v>
      </c>
      <c r="W38" s="107">
        <v>0</v>
      </c>
      <c r="X38" s="108"/>
      <c r="Y38" s="108"/>
      <c r="Z38" s="109"/>
      <c r="AA38" s="110">
        <v>0</v>
      </c>
      <c r="AB38" s="107">
        <v>5</v>
      </c>
      <c r="AC38" s="106"/>
      <c r="AD38" s="180"/>
      <c r="AE38" s="111">
        <v>0</v>
      </c>
      <c r="AF38" s="121">
        <v>0</v>
      </c>
      <c r="AG38" s="113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 t="str">
        <f>"    " &amp; TEXT(AF38,"#0.00%") &amp; " "</f>
        <v xml:space="preserve">    0.00% </v>
      </c>
      <c r="AY38" s="114"/>
      <c r="AZ38" s="114"/>
      <c r="BA38" s="114"/>
      <c r="BB38" s="114"/>
      <c r="BC38" s="114"/>
      <c r="BD38" s="114"/>
      <c r="BE38" s="114"/>
      <c r="BF38" s="114"/>
      <c r="BG38" s="114" t="str">
        <f>"  " &amp; "단품 및 Post 생산/제작" &amp; " " &amp; IF(Q38="","",TEXT(Q38,"M/D-")) &amp; IF(R38="","",TEXT(R38,"M/D")) &amp; " "</f>
        <v xml:space="preserve">  단품 및 Post 생산/제작 6/1-7/31 </v>
      </c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</row>
    <row r="39" spans="1:121" ht="15" customHeight="1" outlineLevel="4" x14ac:dyDescent="0.25">
      <c r="A39" s="101"/>
      <c r="B39" s="101"/>
      <c r="C39" s="101">
        <v>5</v>
      </c>
      <c r="D39" s="102" t="s">
        <v>207</v>
      </c>
      <c r="E39" s="103"/>
      <c r="F39" s="103"/>
      <c r="G39" s="103"/>
      <c r="H39" s="103"/>
      <c r="I39" s="103" t="s">
        <v>201</v>
      </c>
      <c r="J39" s="103"/>
      <c r="K39" s="103"/>
      <c r="L39" s="103"/>
      <c r="M39" s="103"/>
      <c r="N39" s="103"/>
      <c r="O39" s="103" t="str">
        <f>O38</f>
        <v>1동 PPC (Deck&amp;Accessory)</v>
      </c>
      <c r="P39" s="118"/>
      <c r="Q39" s="108">
        <v>45139</v>
      </c>
      <c r="R39" s="108">
        <v>45176</v>
      </c>
      <c r="S39" s="106">
        <f>R39-Q39</f>
        <v>37</v>
      </c>
      <c r="T39" s="107">
        <v>76</v>
      </c>
      <c r="U39" s="107">
        <v>0</v>
      </c>
      <c r="V39" s="107">
        <v>38</v>
      </c>
      <c r="W39" s="107">
        <v>0</v>
      </c>
      <c r="X39" s="108"/>
      <c r="Y39" s="108"/>
      <c r="Z39" s="109"/>
      <c r="AA39" s="110">
        <v>0</v>
      </c>
      <c r="AB39" s="107">
        <v>2</v>
      </c>
      <c r="AC39" s="106"/>
      <c r="AD39" s="180"/>
      <c r="AE39" s="111">
        <v>0</v>
      </c>
      <c r="AF39" s="121">
        <v>0</v>
      </c>
      <c r="AG39" s="113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 t="str">
        <f>"  " &amp; TEXT(AF39,"#0.00%") &amp; " "</f>
        <v xml:space="preserve">  0.00% </v>
      </c>
      <c r="BH39" s="114"/>
      <c r="BI39" s="114"/>
      <c r="BJ39" s="114"/>
      <c r="BK39" s="114"/>
      <c r="BL39" s="114" t="str">
        <f>"     " &amp; "1차조립" &amp; " " &amp; IF(Q39="","",TEXT(Q39,"M/D-")) &amp; IF(R39="","",TEXT(R39,"M/D")) &amp; " "</f>
        <v xml:space="preserve">     1차조립 8/1-9/7 </v>
      </c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</row>
    <row r="40" spans="1:121" ht="15" customHeight="1" outlineLevel="3" x14ac:dyDescent="0.25">
      <c r="A40" s="101"/>
      <c r="B40" s="101" t="s">
        <v>153</v>
      </c>
      <c r="C40" s="101">
        <v>4</v>
      </c>
      <c r="D40" s="102" t="s">
        <v>208</v>
      </c>
      <c r="E40" s="103"/>
      <c r="F40" s="103"/>
      <c r="G40" s="103"/>
      <c r="H40" s="103" t="s">
        <v>563</v>
      </c>
      <c r="I40" s="103"/>
      <c r="J40" s="103"/>
      <c r="K40" s="103"/>
      <c r="L40" s="103"/>
      <c r="M40" s="103"/>
      <c r="N40" s="103"/>
      <c r="O40" s="103" t="s">
        <v>563</v>
      </c>
      <c r="P40" s="118"/>
      <c r="Q40" s="108">
        <v>45078</v>
      </c>
      <c r="R40" s="108">
        <v>45176</v>
      </c>
      <c r="S40" s="106"/>
      <c r="T40" s="107">
        <v>381</v>
      </c>
      <c r="U40" s="107">
        <v>0</v>
      </c>
      <c r="V40" s="107">
        <v>99</v>
      </c>
      <c r="W40" s="107">
        <v>0</v>
      </c>
      <c r="X40" s="108"/>
      <c r="Y40" s="108"/>
      <c r="Z40" s="109">
        <v>0</v>
      </c>
      <c r="AA40" s="110">
        <v>0</v>
      </c>
      <c r="AB40" s="107"/>
      <c r="AC40" s="106"/>
      <c r="AD40" s="180"/>
      <c r="AE40" s="111">
        <v>0</v>
      </c>
      <c r="AF40" s="122">
        <v>0</v>
      </c>
      <c r="AG40" s="113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 t="str">
        <f>"    " &amp; TEXT(AF40,"#0.00%") &amp; " "</f>
        <v xml:space="preserve">    0.00% </v>
      </c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 t="str">
        <f>"     " &amp; "1동 충방전 (Deck&amp;Accessory)" &amp; " " &amp; IF(Q40="","",TEXT(Q40,"M/D-")) &amp; IF(R40="","",TEXT(R40,"M/D")) &amp; " "</f>
        <v xml:space="preserve">     1동 충방전 (Deck&amp;Accessory) 6/1-9/7 </v>
      </c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</row>
    <row r="41" spans="1:121" ht="15" customHeight="1" outlineLevel="4" x14ac:dyDescent="0.25">
      <c r="A41" s="101"/>
      <c r="B41" s="101"/>
      <c r="C41" s="101">
        <v>5</v>
      </c>
      <c r="D41" s="102" t="s">
        <v>209</v>
      </c>
      <c r="E41" s="103"/>
      <c r="F41" s="103"/>
      <c r="G41" s="103"/>
      <c r="H41" s="103"/>
      <c r="I41" s="103" t="s">
        <v>199</v>
      </c>
      <c r="J41" s="103"/>
      <c r="K41" s="103"/>
      <c r="L41" s="103"/>
      <c r="M41" s="103"/>
      <c r="N41" s="103"/>
      <c r="O41" s="103" t="str">
        <f>O40</f>
        <v>1동 충방전 (Deck&amp;Accessory)</v>
      </c>
      <c r="P41" s="118"/>
      <c r="Q41" s="108">
        <v>45078</v>
      </c>
      <c r="R41" s="108">
        <v>45138</v>
      </c>
      <c r="S41" s="106">
        <f>R41-Q41</f>
        <v>60</v>
      </c>
      <c r="T41" s="107">
        <v>305</v>
      </c>
      <c r="U41" s="107">
        <v>0</v>
      </c>
      <c r="V41" s="107">
        <v>61</v>
      </c>
      <c r="W41" s="107">
        <v>0</v>
      </c>
      <c r="X41" s="108"/>
      <c r="Y41" s="108"/>
      <c r="Z41" s="109"/>
      <c r="AA41" s="110">
        <v>0</v>
      </c>
      <c r="AB41" s="107">
        <v>5</v>
      </c>
      <c r="AC41" s="106"/>
      <c r="AD41" s="180"/>
      <c r="AE41" s="111">
        <v>0</v>
      </c>
      <c r="AF41" s="121">
        <v>0</v>
      </c>
      <c r="AG41" s="113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 t="str">
        <f>"    " &amp; TEXT(AF41,"#0.00%") &amp; " "</f>
        <v xml:space="preserve">    0.00% </v>
      </c>
      <c r="AY41" s="114"/>
      <c r="AZ41" s="114"/>
      <c r="BA41" s="114"/>
      <c r="BB41" s="114"/>
      <c r="BC41" s="114"/>
      <c r="BD41" s="114"/>
      <c r="BE41" s="114"/>
      <c r="BF41" s="114"/>
      <c r="BG41" s="114" t="str">
        <f>"  " &amp; "단품 및 Post 생산/제작" &amp; " " &amp; IF(Q41="","",TEXT(Q41,"M/D-")) &amp; IF(R41="","",TEXT(R41,"M/D")) &amp; " "</f>
        <v xml:space="preserve">  단품 및 Post 생산/제작 6/1-7/31 </v>
      </c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</row>
    <row r="42" spans="1:121" ht="15" customHeight="1" outlineLevel="4" x14ac:dyDescent="0.25">
      <c r="A42" s="101"/>
      <c r="B42" s="101"/>
      <c r="C42" s="101">
        <v>5</v>
      </c>
      <c r="D42" s="102" t="s">
        <v>210</v>
      </c>
      <c r="E42" s="103"/>
      <c r="F42" s="103"/>
      <c r="G42" s="103"/>
      <c r="H42" s="103"/>
      <c r="I42" s="103" t="s">
        <v>201</v>
      </c>
      <c r="J42" s="103"/>
      <c r="K42" s="103"/>
      <c r="L42" s="103"/>
      <c r="M42" s="103"/>
      <c r="N42" s="103"/>
      <c r="O42" s="103" t="str">
        <f>O41</f>
        <v>1동 충방전 (Deck&amp;Accessory)</v>
      </c>
      <c r="P42" s="118"/>
      <c r="Q42" s="108">
        <v>45139</v>
      </c>
      <c r="R42" s="108">
        <v>45176</v>
      </c>
      <c r="S42" s="106">
        <f>R42-Q42</f>
        <v>37</v>
      </c>
      <c r="T42" s="107">
        <v>76</v>
      </c>
      <c r="U42" s="107">
        <v>0</v>
      </c>
      <c r="V42" s="107">
        <v>38</v>
      </c>
      <c r="W42" s="107">
        <v>0</v>
      </c>
      <c r="X42" s="108"/>
      <c r="Y42" s="108"/>
      <c r="Z42" s="109"/>
      <c r="AA42" s="110">
        <v>0</v>
      </c>
      <c r="AB42" s="107">
        <v>2</v>
      </c>
      <c r="AC42" s="106"/>
      <c r="AD42" s="180"/>
      <c r="AE42" s="111">
        <v>0</v>
      </c>
      <c r="AF42" s="121">
        <v>0</v>
      </c>
      <c r="AG42" s="113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 t="str">
        <f>"  " &amp; TEXT(AF42,"#0.00%") &amp; " "</f>
        <v xml:space="preserve">  0.00% </v>
      </c>
      <c r="BH42" s="114"/>
      <c r="BI42" s="114"/>
      <c r="BJ42" s="114"/>
      <c r="BK42" s="114"/>
      <c r="BL42" s="114" t="str">
        <f>"     " &amp; "1차조립" &amp; " " &amp; IF(Q42="","",TEXT(Q42,"M/D-")) &amp; IF(R42="","",TEXT(R42,"M/D")) &amp; " "</f>
        <v xml:space="preserve">     1차조립 8/1-9/7 </v>
      </c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</row>
    <row r="43" spans="1:121" ht="15" customHeight="1" outlineLevel="3" x14ac:dyDescent="0.25">
      <c r="A43" s="101"/>
      <c r="B43" s="101" t="s">
        <v>153</v>
      </c>
      <c r="C43" s="101">
        <v>4</v>
      </c>
      <c r="D43" s="102" t="s">
        <v>211</v>
      </c>
      <c r="E43" s="103"/>
      <c r="F43" s="103"/>
      <c r="G43" s="103"/>
      <c r="H43" s="103" t="s">
        <v>564</v>
      </c>
      <c r="I43" s="103"/>
      <c r="J43" s="103"/>
      <c r="K43" s="103"/>
      <c r="L43" s="103"/>
      <c r="M43" s="103"/>
      <c r="N43" s="103"/>
      <c r="O43" s="103" t="s">
        <v>564</v>
      </c>
      <c r="P43" s="118"/>
      <c r="Q43" s="108">
        <v>45078</v>
      </c>
      <c r="R43" s="108">
        <v>45189</v>
      </c>
      <c r="S43" s="106"/>
      <c r="T43" s="107">
        <v>439</v>
      </c>
      <c r="U43" s="107">
        <v>0</v>
      </c>
      <c r="V43" s="107">
        <v>112</v>
      </c>
      <c r="W43" s="107">
        <v>0</v>
      </c>
      <c r="X43" s="108"/>
      <c r="Y43" s="108"/>
      <c r="Z43" s="109">
        <v>0</v>
      </c>
      <c r="AA43" s="110">
        <v>0</v>
      </c>
      <c r="AB43" s="107"/>
      <c r="AC43" s="106"/>
      <c r="AD43" s="180"/>
      <c r="AE43" s="111">
        <v>0</v>
      </c>
      <c r="AF43" s="122">
        <v>0</v>
      </c>
      <c r="AG43" s="113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 t="str">
        <f>"    " &amp; TEXT(AF43,"#0.00%") &amp; " "</f>
        <v xml:space="preserve">    0.00% </v>
      </c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 t="str">
        <f>"    " &amp; "1동 고온#2 Aging (Deck&amp;Accessory)" &amp; " " &amp; IF(Q43="","",TEXT(Q43,"M/D-")) &amp; IF(R43="","",TEXT(R43,"M/D")) &amp; " "</f>
        <v xml:space="preserve">    1동 고온#2 Aging (Deck&amp;Accessory) 6/1-9/20 </v>
      </c>
      <c r="BO43" s="114"/>
      <c r="BP43" s="114"/>
      <c r="BQ43" s="114"/>
      <c r="BR43" s="114"/>
      <c r="BS43" s="114"/>
      <c r="BT43" s="114"/>
      <c r="BU43" s="114"/>
      <c r="BV43" s="114"/>
      <c r="BW43" s="114"/>
      <c r="BX43" s="114"/>
      <c r="BY43" s="114"/>
      <c r="BZ43" s="114"/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114"/>
      <c r="CV43" s="114"/>
      <c r="CW43" s="114"/>
      <c r="CX43" s="114"/>
      <c r="CY43" s="114"/>
      <c r="CZ43" s="114"/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</row>
    <row r="44" spans="1:121" ht="15" customHeight="1" outlineLevel="4" x14ac:dyDescent="0.25">
      <c r="A44" s="101"/>
      <c r="B44" s="101"/>
      <c r="C44" s="101">
        <v>5</v>
      </c>
      <c r="D44" s="102" t="s">
        <v>212</v>
      </c>
      <c r="E44" s="103"/>
      <c r="F44" s="103"/>
      <c r="G44" s="103"/>
      <c r="H44" s="103"/>
      <c r="I44" s="103" t="s">
        <v>199</v>
      </c>
      <c r="J44" s="103"/>
      <c r="K44" s="103"/>
      <c r="L44" s="103"/>
      <c r="M44" s="103"/>
      <c r="N44" s="103"/>
      <c r="O44" s="103" t="str">
        <f>O43</f>
        <v>1동 고온#2 Aging (Deck&amp;Accessory)</v>
      </c>
      <c r="P44" s="118"/>
      <c r="Q44" s="108">
        <v>45078</v>
      </c>
      <c r="R44" s="108">
        <v>45148</v>
      </c>
      <c r="S44" s="106">
        <f>R44-Q44</f>
        <v>70</v>
      </c>
      <c r="T44" s="107">
        <v>355</v>
      </c>
      <c r="U44" s="107">
        <v>0</v>
      </c>
      <c r="V44" s="107">
        <v>71</v>
      </c>
      <c r="W44" s="107">
        <v>0</v>
      </c>
      <c r="X44" s="108"/>
      <c r="Y44" s="108"/>
      <c r="Z44" s="109"/>
      <c r="AA44" s="110">
        <v>0</v>
      </c>
      <c r="AB44" s="107">
        <v>5</v>
      </c>
      <c r="AC44" s="106"/>
      <c r="AD44" s="180"/>
      <c r="AE44" s="111">
        <v>0</v>
      </c>
      <c r="AF44" s="121">
        <v>0</v>
      </c>
      <c r="AG44" s="113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 t="str">
        <f>"    " &amp; TEXT(AF44,"#0.00%") &amp; " "</f>
        <v xml:space="preserve">    0.00% </v>
      </c>
      <c r="AY44" s="114"/>
      <c r="AZ44" s="114"/>
      <c r="BA44" s="114"/>
      <c r="BB44" s="114"/>
      <c r="BC44" s="114"/>
      <c r="BD44" s="114"/>
      <c r="BE44" s="114"/>
      <c r="BF44" s="114"/>
      <c r="BG44" s="114"/>
      <c r="BH44" s="114" t="str">
        <f>"     " &amp; "단품 및 Post 생산/제작" &amp; " " &amp; IF(Q44="","",TEXT(Q44,"M/D-")) &amp; IF(R44="","",TEXT(R44,"M/D")) &amp; " "</f>
        <v xml:space="preserve">     단품 및 Post 생산/제작 6/1-8/10 </v>
      </c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114"/>
      <c r="BX44" s="114"/>
      <c r="BY44" s="114"/>
      <c r="BZ44" s="114"/>
      <c r="CA44" s="114"/>
      <c r="CB44" s="114"/>
      <c r="CC44" s="114"/>
      <c r="CD44" s="114"/>
      <c r="CE44" s="114"/>
      <c r="CF44" s="114"/>
      <c r="CG44" s="114"/>
      <c r="CH44" s="114"/>
      <c r="CI44" s="114"/>
      <c r="CJ44" s="114"/>
      <c r="CK44" s="114"/>
      <c r="CL44" s="114"/>
      <c r="CM44" s="114"/>
      <c r="CN44" s="114"/>
      <c r="CO44" s="114"/>
      <c r="CP44" s="114"/>
      <c r="CQ44" s="114"/>
      <c r="CR44" s="114"/>
      <c r="CS44" s="114"/>
      <c r="CT44" s="114"/>
      <c r="CU44" s="114"/>
      <c r="CV44" s="114"/>
      <c r="CW44" s="114"/>
      <c r="CX44" s="114"/>
      <c r="CY44" s="114"/>
      <c r="CZ44" s="114"/>
      <c r="DA44" s="114"/>
      <c r="DB44" s="114"/>
      <c r="DC44" s="114"/>
      <c r="DD44" s="114"/>
      <c r="DE44" s="114"/>
      <c r="DF44" s="114"/>
      <c r="DG44" s="114"/>
      <c r="DH44" s="114"/>
      <c r="DI44" s="114"/>
      <c r="DJ44" s="114"/>
      <c r="DK44" s="114"/>
      <c r="DL44" s="114"/>
      <c r="DM44" s="114"/>
      <c r="DN44" s="114"/>
      <c r="DO44" s="114"/>
      <c r="DP44" s="114"/>
      <c r="DQ44" s="114"/>
    </row>
    <row r="45" spans="1:121" ht="15" customHeight="1" outlineLevel="4" x14ac:dyDescent="0.25">
      <c r="A45" s="101"/>
      <c r="B45" s="101"/>
      <c r="C45" s="101">
        <v>5</v>
      </c>
      <c r="D45" s="102" t="s">
        <v>448</v>
      </c>
      <c r="E45" s="103"/>
      <c r="F45" s="103"/>
      <c r="G45" s="103"/>
      <c r="H45" s="103"/>
      <c r="I45" s="103" t="s">
        <v>201</v>
      </c>
      <c r="J45" s="103"/>
      <c r="K45" s="103"/>
      <c r="L45" s="103"/>
      <c r="M45" s="103"/>
      <c r="N45" s="103"/>
      <c r="O45" s="103" t="str">
        <f>O44</f>
        <v>1동 고온#2 Aging (Deck&amp;Accessory)</v>
      </c>
      <c r="P45" s="118"/>
      <c r="Q45" s="108">
        <v>45148</v>
      </c>
      <c r="R45" s="108">
        <v>45189</v>
      </c>
      <c r="S45" s="106">
        <f>R45-Q45</f>
        <v>41</v>
      </c>
      <c r="T45" s="107">
        <v>84</v>
      </c>
      <c r="U45" s="107">
        <v>0</v>
      </c>
      <c r="V45" s="107">
        <v>42</v>
      </c>
      <c r="W45" s="107">
        <v>0</v>
      </c>
      <c r="X45" s="108"/>
      <c r="Y45" s="108"/>
      <c r="Z45" s="109"/>
      <c r="AA45" s="110">
        <v>0</v>
      </c>
      <c r="AB45" s="107">
        <v>2</v>
      </c>
      <c r="AC45" s="106"/>
      <c r="AD45" s="180"/>
      <c r="AE45" s="111">
        <v>0</v>
      </c>
      <c r="AF45" s="121">
        <v>0</v>
      </c>
      <c r="AG45" s="113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 t="str">
        <f>"    " &amp; TEXT(AF45,"#0.00%") &amp; " "</f>
        <v xml:space="preserve">    0.00% </v>
      </c>
      <c r="BI45" s="114"/>
      <c r="BJ45" s="114"/>
      <c r="BK45" s="114"/>
      <c r="BL45" s="114"/>
      <c r="BM45" s="114"/>
      <c r="BN45" s="114" t="str">
        <f>"    " &amp; "1차조립" &amp; " " &amp; IF(Q45="","",TEXT(Q45,"M/D-")) &amp; IF(R45="","",TEXT(R45,"M/D")) &amp; " "</f>
        <v xml:space="preserve">    1차조립 8/10-9/20 </v>
      </c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</row>
    <row r="46" spans="1:121" ht="15" customHeight="1" outlineLevel="3" x14ac:dyDescent="0.25">
      <c r="A46" s="101"/>
      <c r="B46" s="101" t="s">
        <v>153</v>
      </c>
      <c r="C46" s="101">
        <v>4</v>
      </c>
      <c r="D46" s="102" t="s">
        <v>449</v>
      </c>
      <c r="E46" s="103"/>
      <c r="F46" s="103"/>
      <c r="G46" s="103"/>
      <c r="H46" s="103" t="s">
        <v>565</v>
      </c>
      <c r="I46" s="103"/>
      <c r="J46" s="103"/>
      <c r="K46" s="103"/>
      <c r="L46" s="103"/>
      <c r="M46" s="103"/>
      <c r="N46" s="103"/>
      <c r="O46" s="103" t="s">
        <v>565</v>
      </c>
      <c r="P46" s="118"/>
      <c r="Q46" s="108">
        <v>45092</v>
      </c>
      <c r="R46" s="108">
        <v>45214</v>
      </c>
      <c r="S46" s="106"/>
      <c r="T46" s="107">
        <v>447</v>
      </c>
      <c r="U46" s="107">
        <v>0</v>
      </c>
      <c r="V46" s="107">
        <v>123</v>
      </c>
      <c r="W46" s="107">
        <v>0</v>
      </c>
      <c r="X46" s="108"/>
      <c r="Y46" s="108"/>
      <c r="Z46" s="109">
        <v>0</v>
      </c>
      <c r="AA46" s="110">
        <v>0</v>
      </c>
      <c r="AB46" s="107"/>
      <c r="AC46" s="106"/>
      <c r="AD46" s="180"/>
      <c r="AE46" s="111">
        <v>0</v>
      </c>
      <c r="AF46" s="122">
        <v>0</v>
      </c>
      <c r="AG46" s="113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 t="str">
        <f>"    " &amp; TEXT(AF46,"#0.00%") &amp; " "</f>
        <v xml:space="preserve">    0.00% </v>
      </c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 t="str">
        <f>" " &amp; "1동 상온#2,3 Aging (Deck&amp;Accessory)" &amp; " " &amp; IF(Q46="","",TEXT(Q46,"M/D-")) &amp; IF(R46="","",TEXT(R46,"M/D")) &amp; " "</f>
        <v xml:space="preserve"> 1동 상온#2,3 Aging (Deck&amp;Accessory) 6/15-10/15 </v>
      </c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</row>
    <row r="47" spans="1:121" ht="15" customHeight="1" outlineLevel="4" x14ac:dyDescent="0.25">
      <c r="A47" s="101"/>
      <c r="B47" s="101"/>
      <c r="C47" s="101">
        <v>5</v>
      </c>
      <c r="D47" s="102" t="s">
        <v>450</v>
      </c>
      <c r="E47" s="103"/>
      <c r="F47" s="103"/>
      <c r="G47" s="103"/>
      <c r="H47" s="103"/>
      <c r="I47" s="103" t="s">
        <v>199</v>
      </c>
      <c r="J47" s="103"/>
      <c r="K47" s="103"/>
      <c r="L47" s="103"/>
      <c r="M47" s="103"/>
      <c r="N47" s="103"/>
      <c r="O47" s="103" t="str">
        <f>O46</f>
        <v>1동 상온#2,3 Aging (Deck&amp;Accessory)</v>
      </c>
      <c r="P47" s="118"/>
      <c r="Q47" s="108">
        <v>45092</v>
      </c>
      <c r="R47" s="108">
        <v>45158</v>
      </c>
      <c r="S47" s="106">
        <f>R47-Q47</f>
        <v>66</v>
      </c>
      <c r="T47" s="107">
        <v>335</v>
      </c>
      <c r="U47" s="107">
        <v>0</v>
      </c>
      <c r="V47" s="107">
        <v>67</v>
      </c>
      <c r="W47" s="107">
        <v>0</v>
      </c>
      <c r="X47" s="108"/>
      <c r="Y47" s="108"/>
      <c r="Z47" s="109"/>
      <c r="AA47" s="110">
        <v>0</v>
      </c>
      <c r="AB47" s="107">
        <v>5</v>
      </c>
      <c r="AC47" s="106"/>
      <c r="AD47" s="180"/>
      <c r="AE47" s="111">
        <v>0</v>
      </c>
      <c r="AF47" s="121">
        <v>0</v>
      </c>
      <c r="AG47" s="113"/>
      <c r="AH47" s="114"/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 t="str">
        <f>"    " &amp; TEXT(AF47,"#0.00%") &amp; " "</f>
        <v xml:space="preserve">    0.00% </v>
      </c>
      <c r="BA47" s="114"/>
      <c r="BB47" s="114"/>
      <c r="BC47" s="114"/>
      <c r="BD47" s="114"/>
      <c r="BE47" s="114"/>
      <c r="BF47" s="114"/>
      <c r="BG47" s="114"/>
      <c r="BH47" s="114"/>
      <c r="BI47" s="114"/>
      <c r="BJ47" s="114" t="str">
        <f>" " &amp; "단품 및 Post 생산/제작" &amp; " " &amp; IF(Q47="","",TEXT(Q47,"M/D-")) &amp; IF(R47="","",TEXT(R47,"M/D")) &amp; " "</f>
        <v xml:space="preserve"> 단품 및 Post 생산/제작 6/15-8/20 </v>
      </c>
      <c r="BK47" s="114"/>
      <c r="BL47" s="114"/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114"/>
      <c r="BX47" s="114"/>
      <c r="BY47" s="114"/>
      <c r="BZ47" s="114"/>
      <c r="CA47" s="114"/>
      <c r="CB47" s="114"/>
      <c r="CC47" s="114"/>
      <c r="CD47" s="114"/>
      <c r="CE47" s="114"/>
      <c r="CF47" s="114"/>
      <c r="CG47" s="114"/>
      <c r="CH47" s="114"/>
      <c r="CI47" s="114"/>
      <c r="CJ47" s="114"/>
      <c r="CK47" s="114"/>
      <c r="CL47" s="114"/>
      <c r="CM47" s="114"/>
      <c r="CN47" s="114"/>
      <c r="CO47" s="114"/>
      <c r="CP47" s="114"/>
      <c r="CQ47" s="114"/>
      <c r="CR47" s="114"/>
      <c r="CS47" s="114"/>
      <c r="CT47" s="114"/>
      <c r="CU47" s="114"/>
      <c r="CV47" s="114"/>
      <c r="CW47" s="114"/>
      <c r="CX47" s="114"/>
      <c r="CY47" s="114"/>
      <c r="CZ47" s="114"/>
      <c r="DA47" s="114"/>
      <c r="DB47" s="114"/>
      <c r="DC47" s="114"/>
      <c r="DD47" s="114"/>
      <c r="DE47" s="114"/>
      <c r="DF47" s="114"/>
      <c r="DG47" s="114"/>
      <c r="DH47" s="114"/>
      <c r="DI47" s="114"/>
      <c r="DJ47" s="114"/>
      <c r="DK47" s="114"/>
      <c r="DL47" s="114"/>
      <c r="DM47" s="114"/>
      <c r="DN47" s="114"/>
      <c r="DO47" s="114"/>
      <c r="DP47" s="114"/>
      <c r="DQ47" s="114"/>
    </row>
    <row r="48" spans="1:121" ht="15" customHeight="1" outlineLevel="4" x14ac:dyDescent="0.25">
      <c r="A48" s="101"/>
      <c r="B48" s="101"/>
      <c r="C48" s="101">
        <v>5</v>
      </c>
      <c r="D48" s="102" t="s">
        <v>451</v>
      </c>
      <c r="E48" s="103"/>
      <c r="F48" s="103"/>
      <c r="G48" s="103"/>
      <c r="H48" s="103"/>
      <c r="I48" s="103" t="s">
        <v>201</v>
      </c>
      <c r="J48" s="103"/>
      <c r="K48" s="103"/>
      <c r="L48" s="103"/>
      <c r="M48" s="103"/>
      <c r="N48" s="103"/>
      <c r="O48" s="103" t="str">
        <f>O47</f>
        <v>1동 상온#2,3 Aging (Deck&amp;Accessory)</v>
      </c>
      <c r="P48" s="118"/>
      <c r="Q48" s="108">
        <v>45159</v>
      </c>
      <c r="R48" s="108">
        <v>45214</v>
      </c>
      <c r="S48" s="106">
        <f>R48-Q48</f>
        <v>55</v>
      </c>
      <c r="T48" s="107">
        <v>112</v>
      </c>
      <c r="U48" s="107">
        <v>0</v>
      </c>
      <c r="V48" s="107">
        <v>56</v>
      </c>
      <c r="W48" s="107">
        <v>0</v>
      </c>
      <c r="X48" s="108"/>
      <c r="Y48" s="108"/>
      <c r="Z48" s="109"/>
      <c r="AA48" s="110">
        <v>0</v>
      </c>
      <c r="AB48" s="107">
        <v>2</v>
      </c>
      <c r="AC48" s="106"/>
      <c r="AD48" s="180"/>
      <c r="AE48" s="111">
        <v>0</v>
      </c>
      <c r="AF48" s="121">
        <v>0</v>
      </c>
      <c r="AG48" s="113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  <c r="BI48" s="114"/>
      <c r="BJ48" s="114" t="str">
        <f>" " &amp; TEXT(AF48,"#0.00%") &amp; " "</f>
        <v xml:space="preserve"> 0.00% </v>
      </c>
      <c r="BK48" s="114"/>
      <c r="BL48" s="114"/>
      <c r="BM48" s="114"/>
      <c r="BN48" s="114"/>
      <c r="BO48" s="114"/>
      <c r="BP48" s="114"/>
      <c r="BQ48" s="114"/>
      <c r="BR48" s="114" t="str">
        <f>" " &amp; "1차조립" &amp; " " &amp; IF(Q48="","",TEXT(Q48,"M/D-")) &amp; IF(R48="","",TEXT(R48,"M/D")) &amp; " "</f>
        <v xml:space="preserve"> 1차조립 8/21-10/15 </v>
      </c>
      <c r="BS48" s="114"/>
      <c r="BT48" s="114"/>
      <c r="BU48" s="114"/>
      <c r="BV48" s="114"/>
      <c r="BW48" s="114"/>
      <c r="BX48" s="114"/>
      <c r="BY48" s="114"/>
      <c r="BZ48" s="114"/>
      <c r="CA48" s="114"/>
      <c r="CB48" s="114"/>
      <c r="CC48" s="114"/>
      <c r="CD48" s="114"/>
      <c r="CE48" s="114"/>
      <c r="CF48" s="114"/>
      <c r="CG48" s="114"/>
      <c r="CH48" s="114"/>
      <c r="CI48" s="114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4"/>
      <c r="CU48" s="114"/>
      <c r="CV48" s="114"/>
      <c r="CW48" s="114"/>
      <c r="CX48" s="114"/>
      <c r="CY48" s="114"/>
      <c r="CZ48" s="114"/>
      <c r="DA48" s="114"/>
      <c r="DB48" s="114"/>
      <c r="DC48" s="114"/>
      <c r="DD48" s="114"/>
      <c r="DE48" s="114"/>
      <c r="DF48" s="114"/>
      <c r="DG48" s="114"/>
      <c r="DH48" s="114"/>
      <c r="DI48" s="114"/>
      <c r="DJ48" s="114"/>
      <c r="DK48" s="114"/>
      <c r="DL48" s="114"/>
      <c r="DM48" s="114"/>
      <c r="DN48" s="114"/>
      <c r="DO48" s="114"/>
      <c r="DP48" s="114"/>
      <c r="DQ48" s="114"/>
    </row>
    <row r="49" spans="1:121" ht="15" customHeight="1" outlineLevel="3" x14ac:dyDescent="0.25">
      <c r="A49" s="101"/>
      <c r="B49" s="101" t="s">
        <v>153</v>
      </c>
      <c r="C49" s="101">
        <v>4</v>
      </c>
      <c r="D49" s="102" t="s">
        <v>452</v>
      </c>
      <c r="E49" s="103"/>
      <c r="F49" s="103"/>
      <c r="G49" s="103"/>
      <c r="H49" s="103" t="s">
        <v>566</v>
      </c>
      <c r="I49" s="103"/>
      <c r="J49" s="103"/>
      <c r="K49" s="103"/>
      <c r="L49" s="103"/>
      <c r="M49" s="103"/>
      <c r="N49" s="103"/>
      <c r="O49" s="103" t="str">
        <f>H49</f>
        <v>1동 공 Tray Buffer</v>
      </c>
      <c r="P49" s="118"/>
      <c r="Q49" s="108">
        <v>45078</v>
      </c>
      <c r="R49" s="108">
        <v>45189</v>
      </c>
      <c r="S49" s="106"/>
      <c r="T49" s="107">
        <v>439</v>
      </c>
      <c r="U49" s="107">
        <v>0</v>
      </c>
      <c r="V49" s="107">
        <v>112</v>
      </c>
      <c r="W49" s="107">
        <v>0</v>
      </c>
      <c r="X49" s="108"/>
      <c r="Y49" s="108"/>
      <c r="Z49" s="109">
        <v>0</v>
      </c>
      <c r="AA49" s="110">
        <v>0</v>
      </c>
      <c r="AB49" s="107"/>
      <c r="AC49" s="106"/>
      <c r="AD49" s="180"/>
      <c r="AE49" s="111">
        <v>0</v>
      </c>
      <c r="AF49" s="122">
        <v>0</v>
      </c>
      <c r="AG49" s="113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 t="str">
        <f>"    " &amp; TEXT(AF49,"#0.00%") &amp; " "</f>
        <v xml:space="preserve">    0.00% </v>
      </c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 t="str">
        <f>"    " &amp; "1동 공 Tray Buffer" &amp; " " &amp; IF(Q49="","",TEXT(Q49,"M/D-")) &amp; IF(R49="","",TEXT(R49,"M/D")) &amp; " "</f>
        <v xml:space="preserve">    1동 공 Tray Buffer 6/1-9/20 </v>
      </c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114"/>
      <c r="CB49" s="114"/>
      <c r="CC49" s="114"/>
      <c r="CD49" s="114"/>
      <c r="CE49" s="114"/>
      <c r="CF49" s="114"/>
      <c r="CG49" s="114"/>
      <c r="CH49" s="114"/>
      <c r="CI49" s="114"/>
      <c r="CJ49" s="114"/>
      <c r="CK49" s="114"/>
      <c r="CL49" s="114"/>
      <c r="CM49" s="114"/>
      <c r="CN49" s="114"/>
      <c r="CO49" s="114"/>
      <c r="CP49" s="114"/>
      <c r="CQ49" s="114"/>
      <c r="CR49" s="114"/>
      <c r="CS49" s="114"/>
      <c r="CT49" s="114"/>
      <c r="CU49" s="114"/>
      <c r="CV49" s="114"/>
      <c r="CW49" s="114"/>
      <c r="CX49" s="114"/>
      <c r="CY49" s="114"/>
      <c r="CZ49" s="114"/>
      <c r="DA49" s="114"/>
      <c r="DB49" s="114"/>
      <c r="DC49" s="114"/>
      <c r="DD49" s="114"/>
      <c r="DE49" s="114"/>
      <c r="DF49" s="114"/>
      <c r="DG49" s="114"/>
      <c r="DH49" s="114"/>
      <c r="DI49" s="114"/>
      <c r="DJ49" s="114"/>
      <c r="DK49" s="114"/>
      <c r="DL49" s="114"/>
      <c r="DM49" s="114"/>
      <c r="DN49" s="114"/>
      <c r="DO49" s="114"/>
      <c r="DP49" s="114"/>
      <c r="DQ49" s="114"/>
    </row>
    <row r="50" spans="1:121" ht="15" customHeight="1" outlineLevel="4" x14ac:dyDescent="0.25">
      <c r="A50" s="101"/>
      <c r="B50" s="101"/>
      <c r="C50" s="101">
        <v>5</v>
      </c>
      <c r="D50" s="102" t="s">
        <v>453</v>
      </c>
      <c r="E50" s="103"/>
      <c r="F50" s="103"/>
      <c r="G50" s="103"/>
      <c r="H50" s="103"/>
      <c r="I50" s="103" t="s">
        <v>199</v>
      </c>
      <c r="J50" s="103"/>
      <c r="K50" s="103"/>
      <c r="L50" s="103"/>
      <c r="M50" s="103"/>
      <c r="N50" s="103"/>
      <c r="O50" s="103" t="str">
        <f>O49</f>
        <v>1동 공 Tray Buffer</v>
      </c>
      <c r="P50" s="118"/>
      <c r="Q50" s="108">
        <v>45078</v>
      </c>
      <c r="R50" s="108">
        <v>45148</v>
      </c>
      <c r="S50" s="106">
        <f>R50-Q50</f>
        <v>70</v>
      </c>
      <c r="T50" s="107">
        <v>355</v>
      </c>
      <c r="U50" s="107">
        <v>0</v>
      </c>
      <c r="V50" s="107">
        <v>71</v>
      </c>
      <c r="W50" s="107">
        <v>0</v>
      </c>
      <c r="X50" s="108"/>
      <c r="Y50" s="108"/>
      <c r="Z50" s="109"/>
      <c r="AA50" s="110">
        <v>0</v>
      </c>
      <c r="AB50" s="107">
        <v>5</v>
      </c>
      <c r="AC50" s="106"/>
      <c r="AD50" s="180"/>
      <c r="AE50" s="111">
        <v>0</v>
      </c>
      <c r="AF50" s="121">
        <v>0</v>
      </c>
      <c r="AG50" s="113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 t="str">
        <f>"    " &amp; TEXT(AF50,"#0.00%") &amp; " "</f>
        <v xml:space="preserve">    0.00% </v>
      </c>
      <c r="AY50" s="114"/>
      <c r="AZ50" s="114"/>
      <c r="BA50" s="114"/>
      <c r="BB50" s="114"/>
      <c r="BC50" s="114"/>
      <c r="BD50" s="114"/>
      <c r="BE50" s="114"/>
      <c r="BF50" s="114"/>
      <c r="BG50" s="114"/>
      <c r="BH50" s="114" t="str">
        <f>"     " &amp; "단품 및 Post 생산/제작" &amp; " " &amp; IF(Q50="","",TEXT(Q50,"M/D-")) &amp; IF(R50="","",TEXT(R50,"M/D")) &amp; " "</f>
        <v xml:space="preserve">     단품 및 Post 생산/제작 6/1-8/10 </v>
      </c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</row>
    <row r="51" spans="1:121" ht="15" customHeight="1" outlineLevel="4" x14ac:dyDescent="0.25">
      <c r="A51" s="101"/>
      <c r="B51" s="101"/>
      <c r="C51" s="101">
        <v>5</v>
      </c>
      <c r="D51" s="102" t="s">
        <v>454</v>
      </c>
      <c r="E51" s="103"/>
      <c r="F51" s="103"/>
      <c r="G51" s="103"/>
      <c r="H51" s="103"/>
      <c r="I51" s="103" t="s">
        <v>201</v>
      </c>
      <c r="J51" s="103"/>
      <c r="K51" s="103"/>
      <c r="L51" s="103"/>
      <c r="M51" s="103"/>
      <c r="N51" s="103"/>
      <c r="O51" s="103" t="str">
        <f>O50</f>
        <v>1동 공 Tray Buffer</v>
      </c>
      <c r="P51" s="118"/>
      <c r="Q51" s="108">
        <v>45148</v>
      </c>
      <c r="R51" s="108">
        <v>45189</v>
      </c>
      <c r="S51" s="106">
        <f>R51-Q51</f>
        <v>41</v>
      </c>
      <c r="T51" s="107">
        <v>84</v>
      </c>
      <c r="U51" s="107">
        <v>0</v>
      </c>
      <c r="V51" s="107">
        <v>42</v>
      </c>
      <c r="W51" s="107">
        <v>0</v>
      </c>
      <c r="X51" s="108"/>
      <c r="Y51" s="108"/>
      <c r="Z51" s="109"/>
      <c r="AA51" s="110">
        <v>0</v>
      </c>
      <c r="AB51" s="107">
        <v>2</v>
      </c>
      <c r="AC51" s="106"/>
      <c r="AD51" s="180"/>
      <c r="AE51" s="111">
        <v>0</v>
      </c>
      <c r="AF51" s="121">
        <v>0</v>
      </c>
      <c r="AG51" s="113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 t="str">
        <f>"    " &amp; TEXT(AF51,"#0.00%") &amp; " "</f>
        <v xml:space="preserve">    0.00% </v>
      </c>
      <c r="BI51" s="114"/>
      <c r="BJ51" s="114"/>
      <c r="BK51" s="114"/>
      <c r="BL51" s="114"/>
      <c r="BM51" s="114"/>
      <c r="BN51" s="114" t="str">
        <f>"    " &amp; "1차조립" &amp; " " &amp; IF(Q51="","",TEXT(Q51,"M/D-")) &amp; IF(R51="","",TEXT(R51,"M/D")) &amp; " "</f>
        <v xml:space="preserve">    1차조립 8/10-9/20 </v>
      </c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/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/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114"/>
      <c r="DM51" s="114"/>
      <c r="DN51" s="114"/>
      <c r="DO51" s="114"/>
      <c r="DP51" s="114"/>
      <c r="DQ51" s="114"/>
    </row>
    <row r="52" spans="1:121" ht="15" customHeight="1" outlineLevel="2" x14ac:dyDescent="0.25">
      <c r="A52" s="101"/>
      <c r="B52" s="101" t="s">
        <v>153</v>
      </c>
      <c r="C52" s="101">
        <v>3</v>
      </c>
      <c r="D52" s="102" t="s">
        <v>213</v>
      </c>
      <c r="E52" s="103"/>
      <c r="F52" s="103"/>
      <c r="G52" s="103" t="s">
        <v>567</v>
      </c>
      <c r="H52" s="103"/>
      <c r="I52" s="103"/>
      <c r="J52" s="103"/>
      <c r="K52" s="103"/>
      <c r="L52" s="103"/>
      <c r="M52" s="103"/>
      <c r="N52" s="103"/>
      <c r="O52" s="103" t="s">
        <v>567</v>
      </c>
      <c r="P52" s="118"/>
      <c r="Q52" s="108">
        <v>45138</v>
      </c>
      <c r="R52" s="108">
        <v>45274</v>
      </c>
      <c r="S52" s="106"/>
      <c r="T52" s="107">
        <v>2877</v>
      </c>
      <c r="U52" s="107">
        <v>0</v>
      </c>
      <c r="V52" s="107">
        <v>137</v>
      </c>
      <c r="W52" s="107">
        <v>0</v>
      </c>
      <c r="X52" s="108"/>
      <c r="Y52" s="108"/>
      <c r="Z52" s="109">
        <v>0</v>
      </c>
      <c r="AA52" s="110">
        <v>0</v>
      </c>
      <c r="AB52" s="107"/>
      <c r="AC52" s="106"/>
      <c r="AD52" s="180"/>
      <c r="AE52" s="111">
        <v>0</v>
      </c>
      <c r="AF52" s="122">
        <v>0</v>
      </c>
      <c r="AG52" s="113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 t="str">
        <f>" " &amp; TEXT(AF52,"#0.00%") &amp; " "</f>
        <v xml:space="preserve"> 0.00% </v>
      </c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114"/>
      <c r="BX52" s="114"/>
      <c r="BY52" s="114"/>
      <c r="BZ52" s="114" t="str">
        <f>"     " &amp; "2동 Rack" &amp; " " &amp; IF(Q52="","",TEXT(Q52,"M/D-")) &amp; IF(R52="","",TEXT(R52,"M/D")) &amp; " "</f>
        <v xml:space="preserve">     2동 Rack 7/31-12/14 </v>
      </c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114"/>
      <c r="CV52" s="114"/>
      <c r="CW52" s="114"/>
      <c r="CX52" s="114"/>
      <c r="CY52" s="114"/>
      <c r="CZ52" s="114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</row>
    <row r="53" spans="1:121" ht="15" customHeight="1" outlineLevel="3" x14ac:dyDescent="0.25">
      <c r="A53" s="101"/>
      <c r="B53" s="101" t="s">
        <v>153</v>
      </c>
      <c r="C53" s="101">
        <v>4</v>
      </c>
      <c r="D53" s="102" t="s">
        <v>215</v>
      </c>
      <c r="E53" s="103"/>
      <c r="F53" s="103"/>
      <c r="G53" s="103"/>
      <c r="H53" s="103" t="s">
        <v>568</v>
      </c>
      <c r="I53" s="103"/>
      <c r="J53" s="103"/>
      <c r="K53" s="103"/>
      <c r="L53" s="103"/>
      <c r="M53" s="103"/>
      <c r="N53" s="103"/>
      <c r="O53" s="103" t="s">
        <v>568</v>
      </c>
      <c r="P53" s="118"/>
      <c r="Q53" s="108">
        <v>45138</v>
      </c>
      <c r="R53" s="108">
        <v>45236</v>
      </c>
      <c r="S53" s="106"/>
      <c r="T53" s="107">
        <v>381</v>
      </c>
      <c r="U53" s="107">
        <v>0</v>
      </c>
      <c r="V53" s="107">
        <v>99</v>
      </c>
      <c r="W53" s="107">
        <v>0</v>
      </c>
      <c r="X53" s="108"/>
      <c r="Y53" s="108"/>
      <c r="Z53" s="109">
        <v>0</v>
      </c>
      <c r="AA53" s="110">
        <v>0</v>
      </c>
      <c r="AB53" s="107"/>
      <c r="AC53" s="106"/>
      <c r="AD53" s="180"/>
      <c r="AE53" s="111">
        <v>0</v>
      </c>
      <c r="AF53" s="122">
        <v>0</v>
      </c>
      <c r="AG53" s="113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 t="str">
        <f>" " &amp; TEXT(AF53,"#0.00%") &amp; " "</f>
        <v xml:space="preserve"> 0.00% </v>
      </c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 t="str">
        <f>"  " &amp; "2동 상온#1 Aging(Deck&amp;Accessory)" &amp; " " &amp; IF(Q53="","",TEXT(Q53,"M/D-")) &amp; IF(R53="","",TEXT(R53,"M/D")) &amp; " "</f>
        <v xml:space="preserve">  2동 상온#1 Aging(Deck&amp;Accessory) 7/31-11/6 </v>
      </c>
      <c r="BV53" s="114"/>
      <c r="BW53" s="114"/>
      <c r="BX53" s="114"/>
      <c r="BY53" s="114"/>
      <c r="BZ53" s="114"/>
      <c r="CA53" s="114"/>
      <c r="CB53" s="114"/>
      <c r="CC53" s="114"/>
      <c r="CD53" s="114"/>
      <c r="CE53" s="114"/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</row>
    <row r="54" spans="1:121" ht="15" customHeight="1" outlineLevel="4" x14ac:dyDescent="0.25">
      <c r="A54" s="101"/>
      <c r="B54" s="101"/>
      <c r="C54" s="101">
        <v>5</v>
      </c>
      <c r="D54" s="102" t="s">
        <v>216</v>
      </c>
      <c r="E54" s="103"/>
      <c r="F54" s="103"/>
      <c r="G54" s="103"/>
      <c r="H54" s="103"/>
      <c r="I54" s="103" t="s">
        <v>199</v>
      </c>
      <c r="J54" s="103"/>
      <c r="K54" s="103"/>
      <c r="L54" s="103"/>
      <c r="M54" s="103"/>
      <c r="N54" s="103"/>
      <c r="O54" s="103" t="str">
        <f>O53</f>
        <v>2동 상온#1 Aging(Deck&amp;Accessory)</v>
      </c>
      <c r="P54" s="118"/>
      <c r="Q54" s="108">
        <v>45138</v>
      </c>
      <c r="R54" s="108">
        <v>45198</v>
      </c>
      <c r="S54" s="106">
        <f>R54-Q54</f>
        <v>60</v>
      </c>
      <c r="T54" s="107">
        <v>305</v>
      </c>
      <c r="U54" s="107">
        <v>0</v>
      </c>
      <c r="V54" s="107">
        <v>61</v>
      </c>
      <c r="W54" s="107">
        <v>0</v>
      </c>
      <c r="X54" s="108"/>
      <c r="Y54" s="108"/>
      <c r="Z54" s="109"/>
      <c r="AA54" s="110">
        <v>0</v>
      </c>
      <c r="AB54" s="107">
        <v>5</v>
      </c>
      <c r="AC54" s="106"/>
      <c r="AD54" s="180"/>
      <c r="AE54" s="111">
        <v>0</v>
      </c>
      <c r="AF54" s="121">
        <v>0</v>
      </c>
      <c r="AG54" s="113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 t="str">
        <f>" " &amp; TEXT(AF54,"#0.00%") &amp; " "</f>
        <v xml:space="preserve"> 0.00% </v>
      </c>
      <c r="BH54" s="114"/>
      <c r="BI54" s="114"/>
      <c r="BJ54" s="114"/>
      <c r="BK54" s="114"/>
      <c r="BL54" s="114"/>
      <c r="BM54" s="114"/>
      <c r="BN54" s="114"/>
      <c r="BO54" s="114" t="str">
        <f>"      " &amp; "단품 및 Post 생산/제작" &amp; " " &amp; IF(Q54="","",TEXT(Q54,"M/D-")) &amp; IF(R54="","",TEXT(R54,"M/D")) &amp; " "</f>
        <v xml:space="preserve">      단품 및 Post 생산/제작 7/31-9/29 </v>
      </c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</row>
    <row r="55" spans="1:121" ht="15" customHeight="1" outlineLevel="4" x14ac:dyDescent="0.25">
      <c r="A55" s="101"/>
      <c r="B55" s="101"/>
      <c r="C55" s="101">
        <v>5</v>
      </c>
      <c r="D55" s="102" t="s">
        <v>218</v>
      </c>
      <c r="E55" s="103"/>
      <c r="F55" s="103"/>
      <c r="G55" s="103"/>
      <c r="H55" s="103"/>
      <c r="I55" s="103" t="s">
        <v>201</v>
      </c>
      <c r="J55" s="103"/>
      <c r="K55" s="103"/>
      <c r="L55" s="103"/>
      <c r="M55" s="103"/>
      <c r="N55" s="103"/>
      <c r="O55" s="103" t="str">
        <f>O54</f>
        <v>2동 상온#1 Aging(Deck&amp;Accessory)</v>
      </c>
      <c r="P55" s="118"/>
      <c r="Q55" s="108">
        <v>45199</v>
      </c>
      <c r="R55" s="108">
        <v>45236</v>
      </c>
      <c r="S55" s="106">
        <f>R55-Q55</f>
        <v>37</v>
      </c>
      <c r="T55" s="107">
        <v>76</v>
      </c>
      <c r="U55" s="107">
        <v>0</v>
      </c>
      <c r="V55" s="107">
        <v>38</v>
      </c>
      <c r="W55" s="107">
        <v>0</v>
      </c>
      <c r="X55" s="108"/>
      <c r="Y55" s="108"/>
      <c r="Z55" s="109"/>
      <c r="AA55" s="110">
        <v>0</v>
      </c>
      <c r="AB55" s="107">
        <v>2</v>
      </c>
      <c r="AC55" s="106"/>
      <c r="AD55" s="180"/>
      <c r="AE55" s="111">
        <v>0</v>
      </c>
      <c r="AF55" s="121">
        <v>0</v>
      </c>
      <c r="AG55" s="113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 t="str">
        <f>"      " &amp; TEXT(AF55,"#0.00%") &amp; " "</f>
        <v xml:space="preserve">      0.00% </v>
      </c>
      <c r="BP55" s="114"/>
      <c r="BQ55" s="114"/>
      <c r="BR55" s="114"/>
      <c r="BS55" s="114"/>
      <c r="BT55" s="114"/>
      <c r="BU55" s="114" t="str">
        <f>"  " &amp; "1차조립" &amp; " " &amp; IF(Q55="","",TEXT(Q55,"M/D-")) &amp; IF(R55="","",TEXT(R55,"M/D")) &amp; " "</f>
        <v xml:space="preserve">  1차조립 9/30-11/6 </v>
      </c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B55" s="114"/>
      <c r="DC55" s="114"/>
      <c r="DD55" s="114"/>
      <c r="DE55" s="114"/>
      <c r="DF55" s="114"/>
      <c r="DG55" s="114"/>
      <c r="DH55" s="114"/>
      <c r="DI55" s="114"/>
      <c r="DJ55" s="114"/>
      <c r="DK55" s="114"/>
      <c r="DL55" s="114"/>
      <c r="DM55" s="114"/>
      <c r="DN55" s="114"/>
      <c r="DO55" s="114"/>
      <c r="DP55" s="114"/>
      <c r="DQ55" s="114"/>
    </row>
    <row r="56" spans="1:121" ht="15" customHeight="1" outlineLevel="3" x14ac:dyDescent="0.25">
      <c r="A56" s="101"/>
      <c r="B56" s="101" t="s">
        <v>153</v>
      </c>
      <c r="C56" s="101">
        <v>4</v>
      </c>
      <c r="D56" s="102" t="s">
        <v>222</v>
      </c>
      <c r="E56" s="103"/>
      <c r="F56" s="103"/>
      <c r="G56" s="103"/>
      <c r="H56" s="103" t="s">
        <v>569</v>
      </c>
      <c r="I56" s="103"/>
      <c r="J56" s="103"/>
      <c r="K56" s="103"/>
      <c r="L56" s="103"/>
      <c r="M56" s="103"/>
      <c r="N56" s="103"/>
      <c r="O56" s="103" t="str">
        <f>H56</f>
        <v>2동 고온#1 Aging (Deck&amp;Accessory)</v>
      </c>
      <c r="P56" s="118"/>
      <c r="Q56" s="108">
        <v>45138</v>
      </c>
      <c r="R56" s="108">
        <v>45259</v>
      </c>
      <c r="S56" s="106"/>
      <c r="T56" s="107">
        <v>409</v>
      </c>
      <c r="U56" s="107">
        <v>0</v>
      </c>
      <c r="V56" s="107">
        <v>122</v>
      </c>
      <c r="W56" s="107">
        <v>0</v>
      </c>
      <c r="X56" s="108"/>
      <c r="Y56" s="108"/>
      <c r="Z56" s="109">
        <v>0</v>
      </c>
      <c r="AA56" s="110">
        <v>0</v>
      </c>
      <c r="AB56" s="107"/>
      <c r="AC56" s="106"/>
      <c r="AD56" s="180"/>
      <c r="AE56" s="111">
        <v>0</v>
      </c>
      <c r="AF56" s="122">
        <v>0</v>
      </c>
      <c r="AG56" s="113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 t="str">
        <f>" " &amp; TEXT(AF56,"#0.00%") &amp; " "</f>
        <v xml:space="preserve"> 0.00% </v>
      </c>
      <c r="BH56" s="114"/>
      <c r="BI56" s="114"/>
      <c r="BJ56" s="114"/>
      <c r="BK56" s="114"/>
      <c r="BL56" s="114"/>
      <c r="BM56" s="114"/>
      <c r="BN56" s="114"/>
      <c r="BO56" s="114"/>
      <c r="BP56" s="114"/>
      <c r="BQ56" s="114"/>
      <c r="BR56" s="114"/>
      <c r="BS56" s="114"/>
      <c r="BT56" s="114"/>
      <c r="BU56" s="114"/>
      <c r="BV56" s="114"/>
      <c r="BW56" s="114"/>
      <c r="BX56" s="114" t="str">
        <f>"    " &amp; "2동 고온#1 Aging (Deck&amp;Accessory)" &amp; " " &amp; IF(Q56="","",TEXT(Q56,"M/D-")) &amp; IF(R56="","",TEXT(R56,"M/D")) &amp; " "</f>
        <v xml:space="preserve">    2동 고온#1 Aging (Deck&amp;Accessory) 7/31-11/29 </v>
      </c>
      <c r="BY56" s="114"/>
      <c r="BZ56" s="114"/>
      <c r="CA56" s="114"/>
      <c r="CB56" s="114"/>
      <c r="CC56" s="114"/>
      <c r="CD56" s="114"/>
      <c r="CE56" s="114"/>
      <c r="CF56" s="114"/>
      <c r="CG56" s="114"/>
      <c r="CH56" s="114"/>
      <c r="CI56" s="114"/>
      <c r="CJ56" s="114"/>
      <c r="CK56" s="114"/>
      <c r="CL56" s="114"/>
      <c r="CM56" s="114"/>
      <c r="CN56" s="114"/>
      <c r="CO56" s="114"/>
      <c r="CP56" s="114"/>
      <c r="CQ56" s="114"/>
      <c r="CR56" s="114"/>
      <c r="CS56" s="114"/>
      <c r="CT56" s="114"/>
      <c r="CU56" s="114"/>
      <c r="CV56" s="114"/>
      <c r="CW56" s="114"/>
      <c r="CX56" s="114"/>
      <c r="CY56" s="114"/>
      <c r="CZ56" s="114"/>
      <c r="DA56" s="114"/>
      <c r="DB56" s="114"/>
      <c r="DC56" s="114"/>
      <c r="DD56" s="114"/>
      <c r="DE56" s="114"/>
      <c r="DF56" s="114"/>
      <c r="DG56" s="114"/>
      <c r="DH56" s="114"/>
      <c r="DI56" s="114"/>
      <c r="DJ56" s="114"/>
      <c r="DK56" s="114"/>
      <c r="DL56" s="114"/>
      <c r="DM56" s="114"/>
      <c r="DN56" s="114"/>
      <c r="DO56" s="114"/>
      <c r="DP56" s="114"/>
      <c r="DQ56" s="114"/>
    </row>
    <row r="57" spans="1:121" ht="15" customHeight="1" outlineLevel="4" x14ac:dyDescent="0.25">
      <c r="A57" s="101"/>
      <c r="B57" s="101"/>
      <c r="C57" s="101">
        <v>5</v>
      </c>
      <c r="D57" s="102" t="s">
        <v>223</v>
      </c>
      <c r="E57" s="103"/>
      <c r="F57" s="103"/>
      <c r="G57" s="103"/>
      <c r="H57" s="103"/>
      <c r="I57" s="103" t="s">
        <v>199</v>
      </c>
      <c r="J57" s="103"/>
      <c r="K57" s="103"/>
      <c r="L57" s="103"/>
      <c r="M57" s="103"/>
      <c r="N57" s="103"/>
      <c r="O57" s="103" t="str">
        <f>O56</f>
        <v>2동 고온#1 Aging (Deck&amp;Accessory)</v>
      </c>
      <c r="P57" s="118"/>
      <c r="Q57" s="108">
        <v>45138</v>
      </c>
      <c r="R57" s="108">
        <v>45198</v>
      </c>
      <c r="S57" s="106">
        <f>R57-Q57</f>
        <v>60</v>
      </c>
      <c r="T57" s="107">
        <v>305</v>
      </c>
      <c r="U57" s="107">
        <v>0</v>
      </c>
      <c r="V57" s="107">
        <v>61</v>
      </c>
      <c r="W57" s="107">
        <v>0</v>
      </c>
      <c r="X57" s="108"/>
      <c r="Y57" s="108"/>
      <c r="Z57" s="109"/>
      <c r="AA57" s="110">
        <v>0</v>
      </c>
      <c r="AB57" s="107">
        <v>5</v>
      </c>
      <c r="AC57" s="106"/>
      <c r="AD57" s="180"/>
      <c r="AE57" s="111">
        <v>0</v>
      </c>
      <c r="AF57" s="121">
        <v>0</v>
      </c>
      <c r="AG57" s="113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 t="str">
        <f>" " &amp; TEXT(AF57,"#0.00%") &amp; " "</f>
        <v xml:space="preserve"> 0.00% </v>
      </c>
      <c r="BH57" s="114"/>
      <c r="BI57" s="114"/>
      <c r="BJ57" s="114"/>
      <c r="BK57" s="114"/>
      <c r="BL57" s="114"/>
      <c r="BM57" s="114"/>
      <c r="BN57" s="114"/>
      <c r="BO57" s="114" t="str">
        <f>"      " &amp; "단품 및 Post 생산/제작" &amp; " " &amp; IF(Q57="","",TEXT(Q57,"M/D-")) &amp; IF(R57="","",TEXT(R57,"M/D")) &amp; " "</f>
        <v xml:space="preserve">      단품 및 Post 생산/제작 7/31-9/29 </v>
      </c>
      <c r="BP57" s="114"/>
      <c r="BQ57" s="114"/>
      <c r="BR57" s="114"/>
      <c r="BS57" s="114"/>
      <c r="BT57" s="114"/>
      <c r="BU57" s="114"/>
      <c r="BV57" s="114"/>
      <c r="BW57" s="114"/>
      <c r="BX57" s="114"/>
      <c r="BY57" s="114"/>
      <c r="BZ57" s="114"/>
      <c r="CA57" s="114"/>
      <c r="CB57" s="114"/>
      <c r="CC57" s="114"/>
      <c r="CD57" s="114"/>
      <c r="CE57" s="114"/>
      <c r="CF57" s="114"/>
      <c r="CG57" s="114"/>
      <c r="CH57" s="114"/>
      <c r="CI57" s="114"/>
      <c r="CJ57" s="114"/>
      <c r="CK57" s="114"/>
      <c r="CL57" s="114"/>
      <c r="CM57" s="114"/>
      <c r="CN57" s="114"/>
      <c r="CO57" s="114"/>
      <c r="CP57" s="114"/>
      <c r="CQ57" s="114"/>
      <c r="CR57" s="114"/>
      <c r="CS57" s="114"/>
      <c r="CT57" s="114"/>
      <c r="CU57" s="114"/>
      <c r="CV57" s="114"/>
      <c r="CW57" s="114"/>
      <c r="CX57" s="114"/>
      <c r="CY57" s="114"/>
      <c r="CZ57" s="114"/>
      <c r="DA57" s="114"/>
      <c r="DB57" s="114"/>
      <c r="DC57" s="114"/>
      <c r="DD57" s="114"/>
      <c r="DE57" s="114"/>
      <c r="DF57" s="114"/>
      <c r="DG57" s="114"/>
      <c r="DH57" s="114"/>
      <c r="DI57" s="114"/>
      <c r="DJ57" s="114"/>
      <c r="DK57" s="114"/>
      <c r="DL57" s="114"/>
      <c r="DM57" s="114"/>
      <c r="DN57" s="114"/>
      <c r="DO57" s="114"/>
      <c r="DP57" s="114"/>
      <c r="DQ57" s="114"/>
    </row>
    <row r="58" spans="1:121" ht="15" customHeight="1" outlineLevel="4" x14ac:dyDescent="0.25">
      <c r="A58" s="101"/>
      <c r="B58" s="101"/>
      <c r="C58" s="101">
        <v>5</v>
      </c>
      <c r="D58" s="102" t="s">
        <v>224</v>
      </c>
      <c r="E58" s="103"/>
      <c r="F58" s="103"/>
      <c r="G58" s="103"/>
      <c r="H58" s="103"/>
      <c r="I58" s="103" t="s">
        <v>201</v>
      </c>
      <c r="J58" s="103"/>
      <c r="K58" s="103"/>
      <c r="L58" s="103"/>
      <c r="M58" s="103"/>
      <c r="N58" s="103"/>
      <c r="O58" s="103" t="str">
        <f>O57</f>
        <v>2동 고온#1 Aging (Deck&amp;Accessory)</v>
      </c>
      <c r="P58" s="118"/>
      <c r="Q58" s="108">
        <v>45208</v>
      </c>
      <c r="R58" s="108">
        <v>45259</v>
      </c>
      <c r="S58" s="106">
        <f>R58-Q58</f>
        <v>51</v>
      </c>
      <c r="T58" s="107">
        <v>104</v>
      </c>
      <c r="U58" s="107">
        <v>0</v>
      </c>
      <c r="V58" s="107">
        <v>52</v>
      </c>
      <c r="W58" s="107">
        <v>0</v>
      </c>
      <c r="X58" s="108"/>
      <c r="Y58" s="108"/>
      <c r="Z58" s="109"/>
      <c r="AA58" s="110">
        <v>0</v>
      </c>
      <c r="AB58" s="107">
        <v>2</v>
      </c>
      <c r="AC58" s="106"/>
      <c r="AD58" s="180"/>
      <c r="AE58" s="111">
        <v>0</v>
      </c>
      <c r="AF58" s="121">
        <v>0</v>
      </c>
      <c r="AG58" s="113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 t="str">
        <f>" " &amp; TEXT(AF58,"#0.00%") &amp; " "</f>
        <v xml:space="preserve"> 0.00% </v>
      </c>
      <c r="BR58" s="114"/>
      <c r="BS58" s="114"/>
      <c r="BT58" s="114"/>
      <c r="BU58" s="114"/>
      <c r="BV58" s="114"/>
      <c r="BW58" s="114"/>
      <c r="BX58" s="114" t="str">
        <f>"    " &amp; "1차조립" &amp; " " &amp; IF(Q58="","",TEXT(Q58,"M/D-")) &amp; IF(R58="","",TEXT(R58,"M/D")) &amp; " "</f>
        <v xml:space="preserve">    1차조립 10/9-11/29 </v>
      </c>
      <c r="BY58" s="114"/>
      <c r="BZ58" s="114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114"/>
      <c r="CV58" s="114"/>
      <c r="CW58" s="114"/>
      <c r="CX58" s="114"/>
      <c r="CY58" s="114"/>
      <c r="CZ58" s="114"/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</row>
    <row r="59" spans="1:121" ht="15" customHeight="1" outlineLevel="3" x14ac:dyDescent="0.25">
      <c r="A59" s="101"/>
      <c r="B59" s="101" t="s">
        <v>153</v>
      </c>
      <c r="C59" s="101">
        <v>4</v>
      </c>
      <c r="D59" s="102" t="s">
        <v>225</v>
      </c>
      <c r="E59" s="103"/>
      <c r="F59" s="103"/>
      <c r="G59" s="103"/>
      <c r="H59" s="103" t="s">
        <v>570</v>
      </c>
      <c r="I59" s="103"/>
      <c r="J59" s="103"/>
      <c r="K59" s="103"/>
      <c r="L59" s="103"/>
      <c r="M59" s="103"/>
      <c r="N59" s="103"/>
      <c r="O59" s="103" t="str">
        <f>H59</f>
        <v>2동 PPC (Deck&amp;Accessory)</v>
      </c>
      <c r="P59" s="118"/>
      <c r="Q59" s="108">
        <v>45138</v>
      </c>
      <c r="R59" s="108">
        <v>45236</v>
      </c>
      <c r="S59" s="106"/>
      <c r="T59" s="107">
        <v>381</v>
      </c>
      <c r="U59" s="107">
        <v>0</v>
      </c>
      <c r="V59" s="107">
        <v>99</v>
      </c>
      <c r="W59" s="107">
        <v>0</v>
      </c>
      <c r="X59" s="108"/>
      <c r="Y59" s="108"/>
      <c r="Z59" s="109">
        <v>0</v>
      </c>
      <c r="AA59" s="110">
        <v>0</v>
      </c>
      <c r="AB59" s="107"/>
      <c r="AC59" s="106"/>
      <c r="AD59" s="180"/>
      <c r="AE59" s="111">
        <v>0</v>
      </c>
      <c r="AF59" s="122">
        <v>0</v>
      </c>
      <c r="AG59" s="113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 t="str">
        <f>" " &amp; TEXT(AF59,"#0.00%") &amp; " "</f>
        <v xml:space="preserve"> 0.00% </v>
      </c>
      <c r="BH59" s="114"/>
      <c r="BI59" s="114"/>
      <c r="BJ59" s="114"/>
      <c r="BK59" s="114"/>
      <c r="BL59" s="114"/>
      <c r="BM59" s="114"/>
      <c r="BN59" s="114"/>
      <c r="BO59" s="114"/>
      <c r="BP59" s="114"/>
      <c r="BQ59" s="114"/>
      <c r="BR59" s="114"/>
      <c r="BS59" s="114"/>
      <c r="BT59" s="114"/>
      <c r="BU59" s="114" t="str">
        <f>"  " &amp; "2동 PPC (Deck&amp;Accessory)" &amp; " " &amp; IF(Q59="","",TEXT(Q59,"M/D-")) &amp; IF(R59="","",TEXT(R59,"M/D")) &amp; " "</f>
        <v xml:space="preserve">  2동 PPC (Deck&amp;Accessory) 7/31-11/6 </v>
      </c>
      <c r="BV59" s="114"/>
      <c r="BW59" s="114"/>
      <c r="BX59" s="114"/>
      <c r="BY59" s="114"/>
      <c r="BZ59" s="114"/>
      <c r="CA59" s="114"/>
      <c r="CB59" s="114"/>
      <c r="CC59" s="114"/>
      <c r="CD59" s="114"/>
      <c r="CE59" s="114"/>
      <c r="CF59" s="114"/>
      <c r="CG59" s="114"/>
      <c r="CH59" s="114"/>
      <c r="CI59" s="114"/>
      <c r="CJ59" s="114"/>
      <c r="CK59" s="114"/>
      <c r="CL59" s="114"/>
      <c r="CM59" s="114"/>
      <c r="CN59" s="114"/>
      <c r="CO59" s="114"/>
      <c r="CP59" s="114"/>
      <c r="CQ59" s="114"/>
      <c r="CR59" s="114"/>
      <c r="CS59" s="114"/>
      <c r="CT59" s="114"/>
      <c r="CU59" s="114"/>
      <c r="CV59" s="114"/>
      <c r="CW59" s="114"/>
      <c r="CX59" s="114"/>
      <c r="CY59" s="114"/>
      <c r="CZ59" s="114"/>
      <c r="DA59" s="114"/>
      <c r="DB59" s="114"/>
      <c r="DC59" s="114"/>
      <c r="DD59" s="114"/>
      <c r="DE59" s="114"/>
      <c r="DF59" s="114"/>
      <c r="DG59" s="114"/>
      <c r="DH59" s="114"/>
      <c r="DI59" s="114"/>
      <c r="DJ59" s="114"/>
      <c r="DK59" s="114"/>
      <c r="DL59" s="114"/>
      <c r="DM59" s="114"/>
      <c r="DN59" s="114"/>
      <c r="DO59" s="114"/>
      <c r="DP59" s="114"/>
      <c r="DQ59" s="114"/>
    </row>
    <row r="60" spans="1:121" ht="15" customHeight="1" outlineLevel="4" x14ac:dyDescent="0.25">
      <c r="A60" s="101"/>
      <c r="B60" s="101"/>
      <c r="C60" s="101">
        <v>5</v>
      </c>
      <c r="D60" s="102" t="s">
        <v>226</v>
      </c>
      <c r="E60" s="103"/>
      <c r="F60" s="103"/>
      <c r="G60" s="103"/>
      <c r="H60" s="103"/>
      <c r="I60" s="103" t="s">
        <v>199</v>
      </c>
      <c r="J60" s="103"/>
      <c r="K60" s="103"/>
      <c r="L60" s="103"/>
      <c r="M60" s="103"/>
      <c r="N60" s="103"/>
      <c r="O60" s="103" t="str">
        <f>O59</f>
        <v>2동 PPC (Deck&amp;Accessory)</v>
      </c>
      <c r="P60" s="118"/>
      <c r="Q60" s="108">
        <v>45138</v>
      </c>
      <c r="R60" s="108">
        <v>45198</v>
      </c>
      <c r="S60" s="106">
        <f>R60-Q60</f>
        <v>60</v>
      </c>
      <c r="T60" s="107">
        <v>305</v>
      </c>
      <c r="U60" s="107">
        <v>0</v>
      </c>
      <c r="V60" s="107">
        <v>61</v>
      </c>
      <c r="W60" s="107">
        <v>0</v>
      </c>
      <c r="X60" s="108"/>
      <c r="Y60" s="108"/>
      <c r="Z60" s="109"/>
      <c r="AA60" s="110">
        <v>0</v>
      </c>
      <c r="AB60" s="107">
        <v>5</v>
      </c>
      <c r="AC60" s="106"/>
      <c r="AD60" s="180"/>
      <c r="AE60" s="111">
        <v>0</v>
      </c>
      <c r="AF60" s="121">
        <v>0</v>
      </c>
      <c r="AG60" s="113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 t="str">
        <f>" " &amp; TEXT(AF60,"#0.00%") &amp; " "</f>
        <v xml:space="preserve"> 0.00% </v>
      </c>
      <c r="BH60" s="114"/>
      <c r="BI60" s="114"/>
      <c r="BJ60" s="114"/>
      <c r="BK60" s="114"/>
      <c r="BL60" s="114"/>
      <c r="BM60" s="114"/>
      <c r="BN60" s="114"/>
      <c r="BO60" s="114" t="str">
        <f>"      " &amp; "단품 및 Post 생산/제작" &amp; " " &amp; IF(Q60="","",TEXT(Q60,"M/D-")) &amp; IF(R60="","",TEXT(R60,"M/D")) &amp; " "</f>
        <v xml:space="preserve">      단품 및 Post 생산/제작 7/31-9/29 </v>
      </c>
      <c r="BP60" s="114"/>
      <c r="BQ60" s="114"/>
      <c r="BR60" s="114"/>
      <c r="BS60" s="114"/>
      <c r="BT60" s="114"/>
      <c r="BU60" s="114"/>
      <c r="BV60" s="114"/>
      <c r="BW60" s="114"/>
      <c r="BX60" s="114"/>
      <c r="BY60" s="114"/>
      <c r="BZ60" s="114"/>
      <c r="CA60" s="114"/>
      <c r="CB60" s="114"/>
      <c r="CC60" s="114"/>
      <c r="CD60" s="114"/>
      <c r="CE60" s="114"/>
      <c r="CF60" s="114"/>
      <c r="CG60" s="114"/>
      <c r="CH60" s="114"/>
      <c r="CI60" s="114"/>
      <c r="CJ60" s="114"/>
      <c r="CK60" s="114"/>
      <c r="CL60" s="114"/>
      <c r="CM60" s="114"/>
      <c r="CN60" s="114"/>
      <c r="CO60" s="114"/>
      <c r="CP60" s="114"/>
      <c r="CQ60" s="114"/>
      <c r="CR60" s="114"/>
      <c r="CS60" s="114"/>
      <c r="CT60" s="114"/>
      <c r="CU60" s="114"/>
      <c r="CV60" s="114"/>
      <c r="CW60" s="114"/>
      <c r="CX60" s="114"/>
      <c r="CY60" s="114"/>
      <c r="CZ60" s="114"/>
      <c r="DA60" s="114"/>
      <c r="DB60" s="114"/>
      <c r="DC60" s="114"/>
      <c r="DD60" s="114"/>
      <c r="DE60" s="114"/>
      <c r="DF60" s="114"/>
      <c r="DG60" s="114"/>
      <c r="DH60" s="114"/>
      <c r="DI60" s="114"/>
      <c r="DJ60" s="114"/>
      <c r="DK60" s="114"/>
      <c r="DL60" s="114"/>
      <c r="DM60" s="114"/>
      <c r="DN60" s="114"/>
      <c r="DO60" s="114"/>
      <c r="DP60" s="114"/>
      <c r="DQ60" s="114"/>
    </row>
    <row r="61" spans="1:121" ht="15" customHeight="1" outlineLevel="4" x14ac:dyDescent="0.25">
      <c r="A61" s="101"/>
      <c r="B61" s="101"/>
      <c r="C61" s="101">
        <v>5</v>
      </c>
      <c r="D61" s="102" t="s">
        <v>227</v>
      </c>
      <c r="E61" s="103"/>
      <c r="F61" s="103"/>
      <c r="G61" s="103"/>
      <c r="H61" s="103"/>
      <c r="I61" s="103" t="s">
        <v>201</v>
      </c>
      <c r="J61" s="103"/>
      <c r="K61" s="103"/>
      <c r="L61" s="103"/>
      <c r="M61" s="103"/>
      <c r="N61" s="103"/>
      <c r="O61" s="103" t="str">
        <f>O60</f>
        <v>2동 PPC (Deck&amp;Accessory)</v>
      </c>
      <c r="P61" s="118"/>
      <c r="Q61" s="108">
        <v>45199</v>
      </c>
      <c r="R61" s="108">
        <v>45236</v>
      </c>
      <c r="S61" s="106">
        <f>R61-Q61</f>
        <v>37</v>
      </c>
      <c r="T61" s="107">
        <v>76</v>
      </c>
      <c r="U61" s="107">
        <v>0</v>
      </c>
      <c r="V61" s="107">
        <v>38</v>
      </c>
      <c r="W61" s="107">
        <v>0</v>
      </c>
      <c r="X61" s="108"/>
      <c r="Y61" s="108"/>
      <c r="Z61" s="109"/>
      <c r="AA61" s="110">
        <v>0</v>
      </c>
      <c r="AB61" s="107">
        <v>2</v>
      </c>
      <c r="AC61" s="106"/>
      <c r="AD61" s="180"/>
      <c r="AE61" s="111">
        <v>0</v>
      </c>
      <c r="AF61" s="121">
        <v>0</v>
      </c>
      <c r="AG61" s="113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 t="str">
        <f>"      " &amp; TEXT(AF61,"#0.00%") &amp; " "</f>
        <v xml:space="preserve">      0.00% </v>
      </c>
      <c r="BP61" s="114"/>
      <c r="BQ61" s="114"/>
      <c r="BR61" s="114"/>
      <c r="BS61" s="114"/>
      <c r="BT61" s="114"/>
      <c r="BU61" s="114" t="str">
        <f>"  " &amp; "1차조립" &amp; " " &amp; IF(Q61="","",TEXT(Q61,"M/D-")) &amp; IF(R61="","",TEXT(R61,"M/D")) &amp; " "</f>
        <v xml:space="preserve">  1차조립 9/30-11/6 </v>
      </c>
      <c r="BV61" s="114"/>
      <c r="BW61" s="114"/>
      <c r="BX61" s="114"/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14"/>
      <c r="CW61" s="114"/>
      <c r="CX61" s="114"/>
      <c r="CY61" s="114"/>
      <c r="CZ61" s="114"/>
      <c r="DA61" s="114"/>
      <c r="DB61" s="114"/>
      <c r="DC61" s="114"/>
      <c r="DD61" s="114"/>
      <c r="DE61" s="114"/>
      <c r="DF61" s="114"/>
      <c r="DG61" s="114"/>
      <c r="DH61" s="114"/>
      <c r="DI61" s="114"/>
      <c r="DJ61" s="114"/>
      <c r="DK61" s="114"/>
      <c r="DL61" s="114"/>
      <c r="DM61" s="114"/>
      <c r="DN61" s="114"/>
      <c r="DO61" s="114"/>
      <c r="DP61" s="114"/>
      <c r="DQ61" s="114"/>
    </row>
    <row r="62" spans="1:121" ht="15" customHeight="1" outlineLevel="3" x14ac:dyDescent="0.25">
      <c r="A62" s="101"/>
      <c r="B62" s="101" t="s">
        <v>153</v>
      </c>
      <c r="C62" s="101">
        <v>4</v>
      </c>
      <c r="D62" s="102" t="s">
        <v>228</v>
      </c>
      <c r="E62" s="103"/>
      <c r="F62" s="103"/>
      <c r="G62" s="103"/>
      <c r="H62" s="103" t="s">
        <v>571</v>
      </c>
      <c r="I62" s="103"/>
      <c r="J62" s="103"/>
      <c r="K62" s="103"/>
      <c r="L62" s="103"/>
      <c r="M62" s="103"/>
      <c r="N62" s="103"/>
      <c r="O62" s="103" t="str">
        <f>H62</f>
        <v>2동 충방전 (Deck&amp;Accessory)</v>
      </c>
      <c r="P62" s="118"/>
      <c r="Q62" s="108">
        <v>45138</v>
      </c>
      <c r="R62" s="108">
        <v>45236</v>
      </c>
      <c r="S62" s="106"/>
      <c r="T62" s="107">
        <v>381</v>
      </c>
      <c r="U62" s="107">
        <v>0</v>
      </c>
      <c r="V62" s="107">
        <v>99</v>
      </c>
      <c r="W62" s="107">
        <v>0</v>
      </c>
      <c r="X62" s="108"/>
      <c r="Y62" s="108"/>
      <c r="Z62" s="109">
        <v>0</v>
      </c>
      <c r="AA62" s="110">
        <v>0</v>
      </c>
      <c r="AB62" s="107"/>
      <c r="AC62" s="106"/>
      <c r="AD62" s="180"/>
      <c r="AE62" s="111">
        <v>0</v>
      </c>
      <c r="AF62" s="122">
        <v>0</v>
      </c>
      <c r="AG62" s="113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 t="str">
        <f>" " &amp; TEXT(AF62,"#0.00%") &amp; " "</f>
        <v xml:space="preserve"> 0.00% </v>
      </c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 t="str">
        <f>"  " &amp; "2동 충방전 (Deck&amp;Accessory)" &amp; " " &amp; IF(Q62="","",TEXT(Q62,"M/D-")) &amp; IF(R62="","",TEXT(R62,"M/D")) &amp; " "</f>
        <v xml:space="preserve">  2동 충방전 (Deck&amp;Accessory) 7/31-11/6 </v>
      </c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</row>
    <row r="63" spans="1:121" ht="15" customHeight="1" outlineLevel="4" x14ac:dyDescent="0.25">
      <c r="A63" s="101"/>
      <c r="B63" s="101"/>
      <c r="C63" s="101">
        <v>5</v>
      </c>
      <c r="D63" s="102" t="s">
        <v>229</v>
      </c>
      <c r="E63" s="103"/>
      <c r="F63" s="103"/>
      <c r="G63" s="103"/>
      <c r="H63" s="103"/>
      <c r="I63" s="103" t="s">
        <v>199</v>
      </c>
      <c r="J63" s="103"/>
      <c r="K63" s="103"/>
      <c r="L63" s="103"/>
      <c r="M63" s="103"/>
      <c r="N63" s="103"/>
      <c r="O63" s="103" t="str">
        <f>O62</f>
        <v>2동 충방전 (Deck&amp;Accessory)</v>
      </c>
      <c r="P63" s="118"/>
      <c r="Q63" s="108">
        <v>45138</v>
      </c>
      <c r="R63" s="108">
        <v>45198</v>
      </c>
      <c r="S63" s="106">
        <f>R63-Q63</f>
        <v>60</v>
      </c>
      <c r="T63" s="107">
        <v>305</v>
      </c>
      <c r="U63" s="107">
        <v>0</v>
      </c>
      <c r="V63" s="107">
        <v>61</v>
      </c>
      <c r="W63" s="107">
        <v>0</v>
      </c>
      <c r="X63" s="108"/>
      <c r="Y63" s="108"/>
      <c r="Z63" s="109"/>
      <c r="AA63" s="110">
        <v>0</v>
      </c>
      <c r="AB63" s="107">
        <v>5</v>
      </c>
      <c r="AC63" s="106"/>
      <c r="AD63" s="180"/>
      <c r="AE63" s="111">
        <v>0</v>
      </c>
      <c r="AF63" s="121">
        <v>0</v>
      </c>
      <c r="AG63" s="113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 t="str">
        <f>" " &amp; TEXT(AF63,"#0.00%") &amp; " "</f>
        <v xml:space="preserve"> 0.00% </v>
      </c>
      <c r="BH63" s="114"/>
      <c r="BI63" s="114"/>
      <c r="BJ63" s="114"/>
      <c r="BK63" s="114"/>
      <c r="BL63" s="114"/>
      <c r="BM63" s="114"/>
      <c r="BN63" s="114"/>
      <c r="BO63" s="114" t="str">
        <f>"      " &amp; "단품 및 Post 생산/제작" &amp; " " &amp; IF(Q63="","",TEXT(Q63,"M/D-")) &amp; IF(R63="","",TEXT(R63,"M/D")) &amp; " "</f>
        <v xml:space="preserve">      단품 및 Post 생산/제작 7/31-9/29 </v>
      </c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</row>
    <row r="64" spans="1:121" ht="15" customHeight="1" outlineLevel="4" x14ac:dyDescent="0.25">
      <c r="A64" s="101"/>
      <c r="B64" s="101"/>
      <c r="C64" s="101">
        <v>5</v>
      </c>
      <c r="D64" s="102" t="s">
        <v>230</v>
      </c>
      <c r="E64" s="103"/>
      <c r="F64" s="103"/>
      <c r="G64" s="103"/>
      <c r="H64" s="103"/>
      <c r="I64" s="103" t="s">
        <v>201</v>
      </c>
      <c r="J64" s="103"/>
      <c r="K64" s="103"/>
      <c r="L64" s="103"/>
      <c r="M64" s="103"/>
      <c r="N64" s="103"/>
      <c r="O64" s="103" t="str">
        <f>O63</f>
        <v>2동 충방전 (Deck&amp;Accessory)</v>
      </c>
      <c r="P64" s="118"/>
      <c r="Q64" s="108">
        <v>45199</v>
      </c>
      <c r="R64" s="108">
        <v>45236</v>
      </c>
      <c r="S64" s="106">
        <f>R64-Q64</f>
        <v>37</v>
      </c>
      <c r="T64" s="107">
        <v>76</v>
      </c>
      <c r="U64" s="107">
        <v>0</v>
      </c>
      <c r="V64" s="107">
        <v>38</v>
      </c>
      <c r="W64" s="107">
        <v>0</v>
      </c>
      <c r="X64" s="108"/>
      <c r="Y64" s="108"/>
      <c r="Z64" s="109"/>
      <c r="AA64" s="110">
        <v>0</v>
      </c>
      <c r="AB64" s="107">
        <v>2</v>
      </c>
      <c r="AC64" s="106"/>
      <c r="AD64" s="180"/>
      <c r="AE64" s="111">
        <v>0</v>
      </c>
      <c r="AF64" s="121">
        <v>0</v>
      </c>
      <c r="AG64" s="113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 t="str">
        <f>"      " &amp; TEXT(AF64,"#0.00%") &amp; " "</f>
        <v xml:space="preserve">      0.00% </v>
      </c>
      <c r="BP64" s="114"/>
      <c r="BQ64" s="114"/>
      <c r="BR64" s="114"/>
      <c r="BS64" s="114"/>
      <c r="BT64" s="114"/>
      <c r="BU64" s="114" t="str">
        <f>"  " &amp; "1차조립" &amp; " " &amp; IF(Q64="","",TEXT(Q64,"M/D-")) &amp; IF(R64="","",TEXT(R64,"M/D")) &amp; " "</f>
        <v xml:space="preserve">  1차조립 9/30-11/6 </v>
      </c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</row>
    <row r="65" spans="1:121" ht="15" customHeight="1" outlineLevel="3" x14ac:dyDescent="0.25">
      <c r="A65" s="101"/>
      <c r="B65" s="101" t="s">
        <v>153</v>
      </c>
      <c r="C65" s="101">
        <v>4</v>
      </c>
      <c r="D65" s="102" t="s">
        <v>231</v>
      </c>
      <c r="E65" s="103"/>
      <c r="F65" s="103"/>
      <c r="G65" s="103"/>
      <c r="H65" s="103" t="s">
        <v>572</v>
      </c>
      <c r="I65" s="103"/>
      <c r="J65" s="103"/>
      <c r="K65" s="103"/>
      <c r="L65" s="103"/>
      <c r="M65" s="103"/>
      <c r="N65" s="103"/>
      <c r="O65" s="103" t="str">
        <f>H65</f>
        <v>2동 고온#2 Aging (Deck&amp;Accessory)</v>
      </c>
      <c r="P65" s="118"/>
      <c r="Q65" s="108">
        <v>45138</v>
      </c>
      <c r="R65" s="108">
        <v>45249</v>
      </c>
      <c r="S65" s="106"/>
      <c r="T65" s="107">
        <v>439</v>
      </c>
      <c r="U65" s="107">
        <v>0</v>
      </c>
      <c r="V65" s="107">
        <v>112</v>
      </c>
      <c r="W65" s="107">
        <v>0</v>
      </c>
      <c r="X65" s="108"/>
      <c r="Y65" s="108"/>
      <c r="Z65" s="109">
        <v>0</v>
      </c>
      <c r="AA65" s="110">
        <v>0</v>
      </c>
      <c r="AB65" s="107"/>
      <c r="AC65" s="106"/>
      <c r="AD65" s="180"/>
      <c r="AE65" s="111">
        <v>0</v>
      </c>
      <c r="AF65" s="122">
        <v>0</v>
      </c>
      <c r="AG65" s="113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 t="str">
        <f>" " &amp; TEXT(AF65,"#0.00%") &amp; " "</f>
        <v xml:space="preserve"> 0.00% </v>
      </c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 t="str">
        <f>" " &amp; "2동 고온#2 Aging (Deck&amp;Accessory)" &amp; " " &amp; IF(Q65="","",TEXT(Q65,"M/D-")) &amp; IF(R65="","",TEXT(R65,"M/D")) &amp; " "</f>
        <v xml:space="preserve"> 2동 고온#2 Aging (Deck&amp;Accessory) 7/31-11/19 </v>
      </c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</row>
    <row r="66" spans="1:121" ht="15" customHeight="1" outlineLevel="4" x14ac:dyDescent="0.25">
      <c r="A66" s="101"/>
      <c r="B66" s="101"/>
      <c r="C66" s="101">
        <v>5</v>
      </c>
      <c r="D66" s="102" t="s">
        <v>232</v>
      </c>
      <c r="E66" s="103"/>
      <c r="F66" s="103"/>
      <c r="G66" s="103"/>
      <c r="H66" s="103"/>
      <c r="I66" s="103" t="s">
        <v>199</v>
      </c>
      <c r="J66" s="103"/>
      <c r="K66" s="103"/>
      <c r="L66" s="103"/>
      <c r="M66" s="103"/>
      <c r="N66" s="103"/>
      <c r="O66" s="103" t="str">
        <f>O65</f>
        <v>2동 고온#2 Aging (Deck&amp;Accessory)</v>
      </c>
      <c r="P66" s="118"/>
      <c r="Q66" s="108">
        <v>45138</v>
      </c>
      <c r="R66" s="108">
        <v>45208</v>
      </c>
      <c r="S66" s="106">
        <f>R66-Q66</f>
        <v>70</v>
      </c>
      <c r="T66" s="107">
        <v>355</v>
      </c>
      <c r="U66" s="107">
        <v>0</v>
      </c>
      <c r="V66" s="107">
        <v>71</v>
      </c>
      <c r="W66" s="107">
        <v>0</v>
      </c>
      <c r="X66" s="108"/>
      <c r="Y66" s="108"/>
      <c r="Z66" s="109"/>
      <c r="AA66" s="110">
        <v>0</v>
      </c>
      <c r="AB66" s="107">
        <v>5</v>
      </c>
      <c r="AC66" s="106"/>
      <c r="AD66" s="180"/>
      <c r="AE66" s="111">
        <v>0</v>
      </c>
      <c r="AF66" s="121">
        <v>0</v>
      </c>
      <c r="AG66" s="113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 t="str">
        <f>" " &amp; TEXT(AF66,"#0.00%") &amp; " "</f>
        <v xml:space="preserve"> 0.00% </v>
      </c>
      <c r="BH66" s="114"/>
      <c r="BI66" s="114"/>
      <c r="BJ66" s="114"/>
      <c r="BK66" s="114"/>
      <c r="BL66" s="114"/>
      <c r="BM66" s="114"/>
      <c r="BN66" s="114"/>
      <c r="BO66" s="114"/>
      <c r="BP66" s="114"/>
      <c r="BQ66" s="114" t="str">
        <f>"  " &amp; "단품 및 Post 생산/제작" &amp; " " &amp; IF(Q66="","",TEXT(Q66,"M/D-")) &amp; IF(R66="","",TEXT(R66,"M/D")) &amp; " "</f>
        <v xml:space="preserve">  단품 및 Post 생산/제작 7/31-10/9 </v>
      </c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14"/>
      <c r="CP66" s="114"/>
      <c r="CQ66" s="114"/>
      <c r="CR66" s="114"/>
      <c r="CS66" s="114"/>
      <c r="CT66" s="114"/>
      <c r="CU66" s="114"/>
      <c r="CV66" s="114"/>
      <c r="CW66" s="114"/>
      <c r="CX66" s="114"/>
      <c r="CY66" s="114"/>
      <c r="CZ66" s="114"/>
      <c r="DA66" s="114"/>
      <c r="DB66" s="114"/>
      <c r="DC66" s="114"/>
      <c r="DD66" s="114"/>
      <c r="DE66" s="114"/>
      <c r="DF66" s="114"/>
      <c r="DG66" s="114"/>
      <c r="DH66" s="114"/>
      <c r="DI66" s="114"/>
      <c r="DJ66" s="114"/>
      <c r="DK66" s="114"/>
      <c r="DL66" s="114"/>
      <c r="DM66" s="114"/>
      <c r="DN66" s="114"/>
      <c r="DO66" s="114"/>
      <c r="DP66" s="114"/>
      <c r="DQ66" s="114"/>
    </row>
    <row r="67" spans="1:121" ht="15" customHeight="1" outlineLevel="4" x14ac:dyDescent="0.25">
      <c r="A67" s="101"/>
      <c r="B67" s="101"/>
      <c r="C67" s="101">
        <v>5</v>
      </c>
      <c r="D67" s="102" t="s">
        <v>233</v>
      </c>
      <c r="E67" s="103"/>
      <c r="F67" s="103"/>
      <c r="G67" s="103"/>
      <c r="H67" s="103"/>
      <c r="I67" s="103" t="s">
        <v>201</v>
      </c>
      <c r="J67" s="103"/>
      <c r="K67" s="103"/>
      <c r="L67" s="103"/>
      <c r="M67" s="103"/>
      <c r="N67" s="103"/>
      <c r="O67" s="103" t="str">
        <f>O66</f>
        <v>2동 고온#2 Aging (Deck&amp;Accessory)</v>
      </c>
      <c r="P67" s="118"/>
      <c r="Q67" s="108">
        <v>45208</v>
      </c>
      <c r="R67" s="108">
        <v>45249</v>
      </c>
      <c r="S67" s="106">
        <f>R67-Q67</f>
        <v>41</v>
      </c>
      <c r="T67" s="107">
        <v>84</v>
      </c>
      <c r="U67" s="107">
        <v>0</v>
      </c>
      <c r="V67" s="107">
        <v>42</v>
      </c>
      <c r="W67" s="107">
        <v>0</v>
      </c>
      <c r="X67" s="108"/>
      <c r="Y67" s="108"/>
      <c r="Z67" s="109"/>
      <c r="AA67" s="110">
        <v>0</v>
      </c>
      <c r="AB67" s="107">
        <v>2</v>
      </c>
      <c r="AC67" s="106"/>
      <c r="AD67" s="180"/>
      <c r="AE67" s="111">
        <v>0</v>
      </c>
      <c r="AF67" s="121">
        <v>0</v>
      </c>
      <c r="AG67" s="113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 t="str">
        <f>" " &amp; TEXT(AF67,"#0.00%") &amp; " "</f>
        <v xml:space="preserve"> 0.00% </v>
      </c>
      <c r="BR67" s="114"/>
      <c r="BS67" s="114"/>
      <c r="BT67" s="114"/>
      <c r="BU67" s="114"/>
      <c r="BV67" s="114"/>
      <c r="BW67" s="114" t="str">
        <f>" " &amp; "1차조립" &amp; " " &amp; IF(Q67="","",TEXT(Q67,"M/D-")) &amp; IF(R67="","",TEXT(R67,"M/D")) &amp; " "</f>
        <v xml:space="preserve"> 1차조립 10/9-11/19 </v>
      </c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14"/>
      <c r="CP67" s="114"/>
      <c r="CQ67" s="114"/>
      <c r="CR67" s="114"/>
      <c r="CS67" s="114"/>
      <c r="CT67" s="114"/>
      <c r="CU67" s="114"/>
      <c r="CV67" s="114"/>
      <c r="CW67" s="114"/>
      <c r="CX67" s="114"/>
      <c r="CY67" s="114"/>
      <c r="CZ67" s="114"/>
      <c r="DA67" s="114"/>
      <c r="DB67" s="114"/>
      <c r="DC67" s="114"/>
      <c r="DD67" s="114"/>
      <c r="DE67" s="114"/>
      <c r="DF67" s="114"/>
      <c r="DG67" s="114"/>
      <c r="DH67" s="114"/>
      <c r="DI67" s="114"/>
      <c r="DJ67" s="114"/>
      <c r="DK67" s="114"/>
      <c r="DL67" s="114"/>
      <c r="DM67" s="114"/>
      <c r="DN67" s="114"/>
      <c r="DO67" s="114"/>
      <c r="DP67" s="114"/>
      <c r="DQ67" s="114"/>
    </row>
    <row r="68" spans="1:121" ht="15" customHeight="1" outlineLevel="3" x14ac:dyDescent="0.25">
      <c r="A68" s="101"/>
      <c r="B68" s="101" t="s">
        <v>153</v>
      </c>
      <c r="C68" s="101">
        <v>4</v>
      </c>
      <c r="D68" s="102" t="s">
        <v>234</v>
      </c>
      <c r="E68" s="103"/>
      <c r="F68" s="103"/>
      <c r="G68" s="103"/>
      <c r="H68" s="103" t="s">
        <v>573</v>
      </c>
      <c r="I68" s="103"/>
      <c r="J68" s="103"/>
      <c r="K68" s="103"/>
      <c r="L68" s="103"/>
      <c r="M68" s="103"/>
      <c r="N68" s="103"/>
      <c r="O68" s="103" t="str">
        <f>H68</f>
        <v>2동 상온#2,3 Aging (Deck&amp;Accessory)</v>
      </c>
      <c r="P68" s="118"/>
      <c r="Q68" s="108">
        <v>45152</v>
      </c>
      <c r="R68" s="108">
        <v>45274</v>
      </c>
      <c r="S68" s="106"/>
      <c r="T68" s="107">
        <v>447</v>
      </c>
      <c r="U68" s="107">
        <v>0</v>
      </c>
      <c r="V68" s="107">
        <v>123</v>
      </c>
      <c r="W68" s="107">
        <v>0</v>
      </c>
      <c r="X68" s="108"/>
      <c r="Y68" s="108"/>
      <c r="Z68" s="109">
        <v>0</v>
      </c>
      <c r="AA68" s="110">
        <v>0</v>
      </c>
      <c r="AB68" s="107"/>
      <c r="AC68" s="106"/>
      <c r="AD68" s="180"/>
      <c r="AE68" s="111">
        <v>0</v>
      </c>
      <c r="AF68" s="122">
        <v>0</v>
      </c>
      <c r="AG68" s="113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 t="str">
        <f>" " &amp; TEXT(AF68,"#0.00%") &amp; " "</f>
        <v xml:space="preserve"> 0.00% </v>
      </c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 t="str">
        <f>"     " &amp; "2동 상온#2,3 Aging (Deck&amp;Accessory)" &amp; " " &amp; IF(Q68="","",TEXT(Q68,"M/D-")) &amp; IF(R68="","",TEXT(R68,"M/D")) &amp; " "</f>
        <v xml:space="preserve">     2동 상온#2,3 Aging (Deck&amp;Accessory) 8/14-12/14 </v>
      </c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</row>
    <row r="69" spans="1:121" ht="15" customHeight="1" outlineLevel="4" x14ac:dyDescent="0.25">
      <c r="A69" s="101"/>
      <c r="B69" s="101"/>
      <c r="C69" s="101">
        <v>5</v>
      </c>
      <c r="D69" s="102" t="s">
        <v>235</v>
      </c>
      <c r="E69" s="103"/>
      <c r="F69" s="103"/>
      <c r="G69" s="103"/>
      <c r="H69" s="103"/>
      <c r="I69" s="103" t="s">
        <v>199</v>
      </c>
      <c r="J69" s="103"/>
      <c r="K69" s="103"/>
      <c r="L69" s="103"/>
      <c r="M69" s="103"/>
      <c r="N69" s="103"/>
      <c r="O69" s="103" t="str">
        <f>O68</f>
        <v>2동 상온#2,3 Aging (Deck&amp;Accessory)</v>
      </c>
      <c r="P69" s="118"/>
      <c r="Q69" s="108">
        <v>45152</v>
      </c>
      <c r="R69" s="108">
        <v>45218</v>
      </c>
      <c r="S69" s="106">
        <f>R69-Q69</f>
        <v>66</v>
      </c>
      <c r="T69" s="107">
        <v>335</v>
      </c>
      <c r="U69" s="107">
        <v>0</v>
      </c>
      <c r="V69" s="107">
        <v>67</v>
      </c>
      <c r="W69" s="107">
        <v>0</v>
      </c>
      <c r="X69" s="108"/>
      <c r="Y69" s="108"/>
      <c r="Z69" s="109"/>
      <c r="AA69" s="110">
        <v>0</v>
      </c>
      <c r="AB69" s="107">
        <v>5</v>
      </c>
      <c r="AC69" s="106"/>
      <c r="AD69" s="180"/>
      <c r="AE69" s="111">
        <v>0</v>
      </c>
      <c r="AF69" s="121">
        <v>0</v>
      </c>
      <c r="AG69" s="113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 t="str">
        <f>" " &amp; TEXT(AF69,"#0.00%") &amp; " "</f>
        <v xml:space="preserve"> 0.00% </v>
      </c>
      <c r="BJ69" s="114"/>
      <c r="BK69" s="114"/>
      <c r="BL69" s="114"/>
      <c r="BM69" s="114"/>
      <c r="BN69" s="114"/>
      <c r="BO69" s="114"/>
      <c r="BP69" s="114"/>
      <c r="BQ69" s="114"/>
      <c r="BR69" s="114" t="str">
        <f>"     " &amp; "단품 및 Post 생산/제작" &amp; " " &amp; IF(Q69="","",TEXT(Q69,"M/D-")) &amp; IF(R69="","",TEXT(R69,"M/D")) &amp; " "</f>
        <v xml:space="preserve">     단품 및 Post 생산/제작 8/14-10/19 </v>
      </c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</row>
    <row r="70" spans="1:121" ht="15" customHeight="1" outlineLevel="4" x14ac:dyDescent="0.25">
      <c r="A70" s="101"/>
      <c r="B70" s="101"/>
      <c r="C70" s="101">
        <v>5</v>
      </c>
      <c r="D70" s="102" t="s">
        <v>236</v>
      </c>
      <c r="E70" s="103"/>
      <c r="F70" s="103"/>
      <c r="G70" s="103"/>
      <c r="H70" s="103"/>
      <c r="I70" s="103" t="s">
        <v>201</v>
      </c>
      <c r="J70" s="103"/>
      <c r="K70" s="103"/>
      <c r="L70" s="103"/>
      <c r="M70" s="103"/>
      <c r="N70" s="103"/>
      <c r="O70" s="103" t="str">
        <f>O69</f>
        <v>2동 상온#2,3 Aging (Deck&amp;Accessory)</v>
      </c>
      <c r="P70" s="118"/>
      <c r="Q70" s="108">
        <v>45219</v>
      </c>
      <c r="R70" s="108">
        <v>45274</v>
      </c>
      <c r="S70" s="106">
        <f>R70-Q70</f>
        <v>55</v>
      </c>
      <c r="T70" s="107">
        <v>112</v>
      </c>
      <c r="U70" s="107">
        <v>0</v>
      </c>
      <c r="V70" s="107">
        <v>56</v>
      </c>
      <c r="W70" s="107">
        <v>0</v>
      </c>
      <c r="X70" s="108"/>
      <c r="Y70" s="108"/>
      <c r="Z70" s="109"/>
      <c r="AA70" s="110">
        <v>0</v>
      </c>
      <c r="AB70" s="107">
        <v>2</v>
      </c>
      <c r="AC70" s="106"/>
      <c r="AD70" s="180"/>
      <c r="AE70" s="111">
        <v>0</v>
      </c>
      <c r="AF70" s="121">
        <v>0</v>
      </c>
      <c r="AG70" s="113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 t="str">
        <f>"     " &amp; TEXT(AF70,"#0.00%") &amp; " "</f>
        <v xml:space="preserve">     0.00% </v>
      </c>
      <c r="BS70" s="114"/>
      <c r="BT70" s="114"/>
      <c r="BU70" s="114"/>
      <c r="BV70" s="114"/>
      <c r="BW70" s="114"/>
      <c r="BX70" s="114"/>
      <c r="BY70" s="114"/>
      <c r="BZ70" s="114" t="str">
        <f>"     " &amp; "1차조립" &amp; " " &amp; IF(Q70="","",TEXT(Q70,"M/D-")) &amp; IF(R70="","",TEXT(R70,"M/D")) &amp; " "</f>
        <v xml:space="preserve">     1차조립 10/20-12/14 </v>
      </c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</row>
    <row r="71" spans="1:121" ht="15" customHeight="1" outlineLevel="3" x14ac:dyDescent="0.25">
      <c r="A71" s="101"/>
      <c r="B71" s="101" t="s">
        <v>153</v>
      </c>
      <c r="C71" s="101">
        <v>4</v>
      </c>
      <c r="D71" s="102" t="s">
        <v>455</v>
      </c>
      <c r="E71" s="103"/>
      <c r="F71" s="103"/>
      <c r="G71" s="103"/>
      <c r="H71" s="103" t="s">
        <v>574</v>
      </c>
      <c r="I71" s="103"/>
      <c r="J71" s="103"/>
      <c r="K71" s="103"/>
      <c r="L71" s="103"/>
      <c r="M71" s="103"/>
      <c r="N71" s="103"/>
      <c r="O71" s="103" t="str">
        <f>H71</f>
        <v>2동 공 Tray Buffer</v>
      </c>
      <c r="P71" s="118"/>
      <c r="Q71" s="108">
        <v>45138</v>
      </c>
      <c r="R71" s="108">
        <v>45249</v>
      </c>
      <c r="S71" s="106"/>
      <c r="T71" s="107">
        <v>439</v>
      </c>
      <c r="U71" s="107">
        <v>0</v>
      </c>
      <c r="V71" s="107">
        <v>112</v>
      </c>
      <c r="W71" s="107">
        <v>0</v>
      </c>
      <c r="X71" s="108"/>
      <c r="Y71" s="108"/>
      <c r="Z71" s="109">
        <v>0</v>
      </c>
      <c r="AA71" s="110">
        <v>0</v>
      </c>
      <c r="AB71" s="107"/>
      <c r="AC71" s="106"/>
      <c r="AD71" s="180"/>
      <c r="AE71" s="111">
        <v>0</v>
      </c>
      <c r="AF71" s="122">
        <v>0</v>
      </c>
      <c r="AG71" s="113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 t="str">
        <f>" " &amp; TEXT(AF71,"#0.00%") &amp; " "</f>
        <v xml:space="preserve"> 0.00% </v>
      </c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 t="str">
        <f>" " &amp; "2동 공 Tray Buffer" &amp; " " &amp; IF(Q71="","",TEXT(Q71,"M/D-")) &amp; IF(R71="","",TEXT(R71,"M/D")) &amp; " "</f>
        <v xml:space="preserve"> 2동 공 Tray Buffer 7/31-11/19 </v>
      </c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</row>
    <row r="72" spans="1:121" ht="15" customHeight="1" outlineLevel="4" x14ac:dyDescent="0.25">
      <c r="A72" s="101"/>
      <c r="B72" s="101"/>
      <c r="C72" s="101">
        <v>5</v>
      </c>
      <c r="D72" s="102" t="s">
        <v>456</v>
      </c>
      <c r="E72" s="103"/>
      <c r="F72" s="103"/>
      <c r="G72" s="103"/>
      <c r="H72" s="103"/>
      <c r="I72" s="103" t="s">
        <v>199</v>
      </c>
      <c r="J72" s="103"/>
      <c r="K72" s="103"/>
      <c r="L72" s="103"/>
      <c r="M72" s="103"/>
      <c r="N72" s="103"/>
      <c r="O72" s="103" t="str">
        <f>O71</f>
        <v>2동 공 Tray Buffer</v>
      </c>
      <c r="P72" s="118"/>
      <c r="Q72" s="108">
        <v>45138</v>
      </c>
      <c r="R72" s="108">
        <v>45208</v>
      </c>
      <c r="S72" s="106">
        <f>R72-Q72</f>
        <v>70</v>
      </c>
      <c r="T72" s="107">
        <v>355</v>
      </c>
      <c r="U72" s="107">
        <v>0</v>
      </c>
      <c r="V72" s="107">
        <v>71</v>
      </c>
      <c r="W72" s="107">
        <v>0</v>
      </c>
      <c r="X72" s="108"/>
      <c r="Y72" s="108"/>
      <c r="Z72" s="109"/>
      <c r="AA72" s="110">
        <v>0</v>
      </c>
      <c r="AB72" s="107">
        <v>5</v>
      </c>
      <c r="AC72" s="106"/>
      <c r="AD72" s="180"/>
      <c r="AE72" s="111">
        <v>0</v>
      </c>
      <c r="AF72" s="121">
        <v>0</v>
      </c>
      <c r="AG72" s="113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 t="str">
        <f>" " &amp; TEXT(AF72,"#0.00%") &amp; " "</f>
        <v xml:space="preserve"> 0.00% </v>
      </c>
      <c r="BH72" s="114"/>
      <c r="BI72" s="114"/>
      <c r="BJ72" s="114"/>
      <c r="BK72" s="114"/>
      <c r="BL72" s="114"/>
      <c r="BM72" s="114"/>
      <c r="BN72" s="114"/>
      <c r="BO72" s="114"/>
      <c r="BP72" s="114"/>
      <c r="BQ72" s="114" t="str">
        <f>"  " &amp; "단품 및 Post 생산/제작" &amp; " " &amp; IF(Q72="","",TEXT(Q72,"M/D-")) &amp; IF(R72="","",TEXT(R72,"M/D")) &amp; " "</f>
        <v xml:space="preserve">  단품 및 Post 생산/제작 7/31-10/9 </v>
      </c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4"/>
      <c r="CM72" s="114"/>
      <c r="CN72" s="114"/>
      <c r="CO72" s="114"/>
      <c r="CP72" s="114"/>
      <c r="CQ72" s="114"/>
      <c r="CR72" s="114"/>
      <c r="CS72" s="114"/>
      <c r="CT72" s="114"/>
      <c r="CU72" s="114"/>
      <c r="CV72" s="114"/>
      <c r="CW72" s="114"/>
      <c r="CX72" s="114"/>
      <c r="CY72" s="114"/>
      <c r="CZ72" s="114"/>
      <c r="DA72" s="114"/>
      <c r="DB72" s="114"/>
      <c r="DC72" s="114"/>
      <c r="DD72" s="114"/>
      <c r="DE72" s="114"/>
      <c r="DF72" s="114"/>
      <c r="DG72" s="114"/>
      <c r="DH72" s="114"/>
      <c r="DI72" s="114"/>
      <c r="DJ72" s="114"/>
      <c r="DK72" s="114"/>
      <c r="DL72" s="114"/>
      <c r="DM72" s="114"/>
      <c r="DN72" s="114"/>
      <c r="DO72" s="114"/>
      <c r="DP72" s="114"/>
      <c r="DQ72" s="114"/>
    </row>
    <row r="73" spans="1:121" ht="15" customHeight="1" outlineLevel="4" x14ac:dyDescent="0.25">
      <c r="A73" s="101"/>
      <c r="B73" s="101"/>
      <c r="C73" s="101">
        <v>5</v>
      </c>
      <c r="D73" s="102" t="s">
        <v>457</v>
      </c>
      <c r="E73" s="103"/>
      <c r="F73" s="103"/>
      <c r="G73" s="103"/>
      <c r="H73" s="103"/>
      <c r="I73" s="103" t="s">
        <v>201</v>
      </c>
      <c r="J73" s="103"/>
      <c r="K73" s="103"/>
      <c r="L73" s="103"/>
      <c r="M73" s="103"/>
      <c r="N73" s="103"/>
      <c r="O73" s="103" t="str">
        <f>O72</f>
        <v>2동 공 Tray Buffer</v>
      </c>
      <c r="P73" s="118"/>
      <c r="Q73" s="108">
        <v>45208</v>
      </c>
      <c r="R73" s="108">
        <v>45249</v>
      </c>
      <c r="S73" s="106">
        <f>R73-Q73</f>
        <v>41</v>
      </c>
      <c r="T73" s="107">
        <v>84</v>
      </c>
      <c r="U73" s="107">
        <v>0</v>
      </c>
      <c r="V73" s="107">
        <v>42</v>
      </c>
      <c r="W73" s="107">
        <v>0</v>
      </c>
      <c r="X73" s="108"/>
      <c r="Y73" s="108"/>
      <c r="Z73" s="109"/>
      <c r="AA73" s="110">
        <v>0</v>
      </c>
      <c r="AB73" s="107">
        <v>2</v>
      </c>
      <c r="AC73" s="106"/>
      <c r="AD73" s="180"/>
      <c r="AE73" s="111">
        <v>0</v>
      </c>
      <c r="AF73" s="121">
        <v>0</v>
      </c>
      <c r="AG73" s="113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 t="str">
        <f>" " &amp; TEXT(AF73,"#0.00%") &amp; " "</f>
        <v xml:space="preserve"> 0.00% </v>
      </c>
      <c r="BR73" s="114"/>
      <c r="BS73" s="114"/>
      <c r="BT73" s="114"/>
      <c r="BU73" s="114"/>
      <c r="BV73" s="114"/>
      <c r="BW73" s="114" t="str">
        <f>" " &amp; "1차조립" &amp; " " &amp; IF(Q73="","",TEXT(Q73,"M/D-")) &amp; IF(R73="","",TEXT(R73,"M/D")) &amp; " "</f>
        <v xml:space="preserve"> 1차조립 10/9-11/19 </v>
      </c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4"/>
      <c r="CM73" s="114"/>
      <c r="CN73" s="114"/>
      <c r="CO73" s="114"/>
      <c r="CP73" s="114"/>
      <c r="CQ73" s="114"/>
      <c r="CR73" s="114"/>
      <c r="CS73" s="114"/>
      <c r="CT73" s="114"/>
      <c r="CU73" s="114"/>
      <c r="CV73" s="114"/>
      <c r="CW73" s="114"/>
      <c r="CX73" s="114"/>
      <c r="CY73" s="114"/>
      <c r="CZ73" s="114"/>
      <c r="DA73" s="114"/>
      <c r="DB73" s="114"/>
      <c r="DC73" s="114"/>
      <c r="DD73" s="114"/>
      <c r="DE73" s="114"/>
      <c r="DF73" s="114"/>
      <c r="DG73" s="114"/>
      <c r="DH73" s="114"/>
      <c r="DI73" s="114"/>
      <c r="DJ73" s="114"/>
      <c r="DK73" s="114"/>
      <c r="DL73" s="114"/>
      <c r="DM73" s="114"/>
      <c r="DN73" s="114"/>
      <c r="DO73" s="114"/>
      <c r="DP73" s="114"/>
      <c r="DQ73" s="114"/>
    </row>
    <row r="74" spans="1:121" ht="15" customHeight="1" outlineLevel="2" x14ac:dyDescent="0.25">
      <c r="A74" s="101"/>
      <c r="B74" s="101" t="s">
        <v>153</v>
      </c>
      <c r="C74" s="101">
        <v>3</v>
      </c>
      <c r="D74" s="102" t="s">
        <v>237</v>
      </c>
      <c r="E74" s="103"/>
      <c r="F74" s="103"/>
      <c r="G74" s="103" t="s">
        <v>575</v>
      </c>
      <c r="H74" s="103"/>
      <c r="I74" s="103"/>
      <c r="J74" s="103"/>
      <c r="K74" s="103"/>
      <c r="L74" s="103"/>
      <c r="M74" s="103"/>
      <c r="N74" s="103"/>
      <c r="O74" s="103" t="str">
        <f>G74</f>
        <v>1동 MSC Crane(FR)</v>
      </c>
      <c r="P74" s="104"/>
      <c r="Q74" s="108">
        <v>44972</v>
      </c>
      <c r="R74" s="108">
        <v>45229</v>
      </c>
      <c r="S74" s="106"/>
      <c r="T74" s="107">
        <v>8597</v>
      </c>
      <c r="U74" s="107">
        <v>1876</v>
      </c>
      <c r="V74" s="107">
        <v>258</v>
      </c>
      <c r="W74" s="107">
        <v>98</v>
      </c>
      <c r="X74" s="108"/>
      <c r="Y74" s="108"/>
      <c r="Z74" s="109">
        <v>0</v>
      </c>
      <c r="AA74" s="110">
        <v>0</v>
      </c>
      <c r="AB74" s="107"/>
      <c r="AC74" s="106"/>
      <c r="AD74" s="180"/>
      <c r="AE74" s="111">
        <v>0.21821565662440387</v>
      </c>
      <c r="AF74" s="112">
        <v>0</v>
      </c>
      <c r="AG74" s="113"/>
      <c r="AH74" s="114"/>
      <c r="AI74" s="114" t="str">
        <f>"   " &amp; TEXT(AF74,"#0.00%") &amp; " "</f>
        <v xml:space="preserve">   0.00% </v>
      </c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 t="str">
        <f>"  " &amp; "1동 MSC Crane(FR)" &amp; " " &amp; IF(Q74="","",TEXT(Q74,"M/D-")) &amp; IF(R74="","",TEXT(R74,"M/D")) &amp; " "</f>
        <v xml:space="preserve">  1동 MSC Crane(FR) 2/15-10/30 </v>
      </c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4"/>
      <c r="CM74" s="114"/>
      <c r="CN74" s="114"/>
      <c r="CO74" s="114"/>
      <c r="CP74" s="114"/>
      <c r="CQ74" s="114"/>
      <c r="CR74" s="11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  <c r="DG74" s="114"/>
      <c r="DH74" s="114"/>
      <c r="DI74" s="114"/>
      <c r="DJ74" s="114"/>
      <c r="DK74" s="114"/>
      <c r="DL74" s="114"/>
      <c r="DM74" s="114"/>
      <c r="DN74" s="114"/>
      <c r="DO74" s="114"/>
      <c r="DP74" s="114"/>
      <c r="DQ74" s="114"/>
    </row>
    <row r="75" spans="1:121" ht="15" customHeight="1" outlineLevel="3" x14ac:dyDescent="0.25">
      <c r="A75" s="131"/>
      <c r="B75" s="131" t="s">
        <v>153</v>
      </c>
      <c r="C75" s="131">
        <v>4</v>
      </c>
      <c r="D75" s="123" t="s">
        <v>238</v>
      </c>
      <c r="E75" s="132"/>
      <c r="F75" s="132"/>
      <c r="G75" s="132"/>
      <c r="H75" s="124" t="s">
        <v>576</v>
      </c>
      <c r="I75" s="132"/>
      <c r="J75" s="132"/>
      <c r="K75" s="132"/>
      <c r="L75" s="132"/>
      <c r="M75" s="132"/>
      <c r="N75" s="132"/>
      <c r="O75" s="103" t="str">
        <f>H75</f>
        <v>1동 상온#1 Aging MSC</v>
      </c>
      <c r="P75" s="133"/>
      <c r="Q75" s="134">
        <v>44972</v>
      </c>
      <c r="R75" s="134">
        <v>45199</v>
      </c>
      <c r="S75" s="135"/>
      <c r="T75" s="136">
        <v>1255</v>
      </c>
      <c r="U75" s="136">
        <v>268</v>
      </c>
      <c r="V75" s="136">
        <v>228</v>
      </c>
      <c r="W75" s="136">
        <v>98</v>
      </c>
      <c r="X75" s="134"/>
      <c r="Y75" s="134"/>
      <c r="Z75" s="137">
        <v>0</v>
      </c>
      <c r="AA75" s="138">
        <v>0</v>
      </c>
      <c r="AB75" s="136"/>
      <c r="AC75" s="135"/>
      <c r="AD75" s="182"/>
      <c r="AE75" s="139">
        <v>0.21354581673306772</v>
      </c>
      <c r="AF75" s="112">
        <v>0</v>
      </c>
      <c r="AG75" s="113"/>
      <c r="AH75" s="114"/>
      <c r="AI75" s="114" t="str">
        <f>"   " &amp; TEXT(AF75,"#0.00%") &amp; " "</f>
        <v xml:space="preserve">   0.00% </v>
      </c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 t="str">
        <f>"" &amp; "1동 상온#1 Aging MSC" &amp; " " &amp; IF(Q75="","",TEXT(Q75,"M/D-")) &amp; IF(R75="","",TEXT(R75,"M/D")) &amp; " "</f>
        <v xml:space="preserve">1동 상온#1 Aging MSC 2/15-9/30 </v>
      </c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4"/>
      <c r="CM75" s="114"/>
      <c r="CN75" s="114"/>
      <c r="CO75" s="114"/>
      <c r="CP75" s="114"/>
      <c r="CQ75" s="114"/>
      <c r="CR75" s="114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  <c r="DG75" s="114"/>
      <c r="DH75" s="114"/>
      <c r="DI75" s="114"/>
      <c r="DJ75" s="114"/>
      <c r="DK75" s="114"/>
      <c r="DL75" s="114"/>
      <c r="DM75" s="114"/>
      <c r="DN75" s="114"/>
      <c r="DO75" s="114"/>
      <c r="DP75" s="114"/>
      <c r="DQ75" s="114"/>
    </row>
    <row r="76" spans="1:121" ht="15" customHeight="1" outlineLevel="4" x14ac:dyDescent="0.25">
      <c r="A76" s="101"/>
      <c r="B76" s="101"/>
      <c r="C76" s="101">
        <v>5</v>
      </c>
      <c r="D76" s="102" t="s">
        <v>239</v>
      </c>
      <c r="E76" s="103"/>
      <c r="F76" s="103"/>
      <c r="G76" s="103"/>
      <c r="H76" s="103"/>
      <c r="I76" s="103" t="s">
        <v>217</v>
      </c>
      <c r="J76" s="103"/>
      <c r="K76" s="103"/>
      <c r="L76" s="103"/>
      <c r="M76" s="103"/>
      <c r="N76" s="103"/>
      <c r="O76" s="103" t="str">
        <f>O75</f>
        <v>1동 상온#1 Aging MSC</v>
      </c>
      <c r="P76" s="104"/>
      <c r="Q76" s="108">
        <v>44972</v>
      </c>
      <c r="R76" s="105">
        <v>45168</v>
      </c>
      <c r="S76" s="106">
        <f>R76-Q76</f>
        <v>196</v>
      </c>
      <c r="T76" s="107">
        <v>394</v>
      </c>
      <c r="U76" s="107">
        <v>196</v>
      </c>
      <c r="V76" s="107">
        <v>197</v>
      </c>
      <c r="W76" s="107">
        <v>98</v>
      </c>
      <c r="X76" s="108"/>
      <c r="Y76" s="108"/>
      <c r="Z76" s="109"/>
      <c r="AA76" s="110">
        <v>0</v>
      </c>
      <c r="AB76" s="107">
        <v>2</v>
      </c>
      <c r="AC76" s="106"/>
      <c r="AD76" s="180"/>
      <c r="AE76" s="111">
        <v>0.49746192893401014</v>
      </c>
      <c r="AF76" s="117">
        <v>0</v>
      </c>
      <c r="AG76" s="113"/>
      <c r="AH76" s="114"/>
      <c r="AI76" s="114" t="str">
        <f>"   " &amp; TEXT(AF76,"#0.00%") &amp; " "</f>
        <v xml:space="preserve">   0.00% </v>
      </c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 t="str">
        <f>"    " &amp; "장납기 구매품 발주 및 입고" &amp; " " &amp; IF(Q76="","",TEXT(Q76,"M/D-")) &amp; IF(R76="","",TEXT(R76,"M/D")) &amp; " "</f>
        <v xml:space="preserve">    장납기 구매품 발주 및 입고 2/15-8/30 </v>
      </c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</row>
    <row r="77" spans="1:121" ht="15" customHeight="1" outlineLevel="4" x14ac:dyDescent="0.25">
      <c r="A77" s="101"/>
      <c r="B77" s="101"/>
      <c r="C77" s="101">
        <v>5</v>
      </c>
      <c r="D77" s="102" t="s">
        <v>240</v>
      </c>
      <c r="E77" s="103"/>
      <c r="F77" s="103"/>
      <c r="G77" s="103"/>
      <c r="H77" s="103"/>
      <c r="I77" s="103" t="s">
        <v>219</v>
      </c>
      <c r="J77" s="103"/>
      <c r="K77" s="103"/>
      <c r="L77" s="103"/>
      <c r="M77" s="103"/>
      <c r="N77" s="103"/>
      <c r="O77" s="103" t="str">
        <f>O76</f>
        <v>1동 상온#1 Aging MSC</v>
      </c>
      <c r="P77" s="104"/>
      <c r="Q77" s="108">
        <v>45046</v>
      </c>
      <c r="R77" s="105">
        <v>45184</v>
      </c>
      <c r="S77" s="106">
        <f>R77-Q77</f>
        <v>138</v>
      </c>
      <c r="T77" s="107">
        <v>417</v>
      </c>
      <c r="U77" s="107">
        <v>72</v>
      </c>
      <c r="V77" s="107">
        <v>139</v>
      </c>
      <c r="W77" s="107">
        <v>24</v>
      </c>
      <c r="X77" s="108"/>
      <c r="Y77" s="108"/>
      <c r="Z77" s="109"/>
      <c r="AA77" s="110">
        <v>0</v>
      </c>
      <c r="AB77" s="107">
        <v>3</v>
      </c>
      <c r="AC77" s="106"/>
      <c r="AD77" s="180"/>
      <c r="AE77" s="111">
        <v>0.17266187050359713</v>
      </c>
      <c r="AF77" s="117">
        <v>0</v>
      </c>
      <c r="AG77" s="113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 t="str">
        <f>"" &amp; TEXT(AF77,"#0.00%") &amp; " "</f>
        <v xml:space="preserve">0.00% </v>
      </c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 t="str">
        <f>"      " &amp; "단품제작" &amp; " " &amp; IF(Q77="","",TEXT(Q77,"M/D-")) &amp; IF(R77="","",TEXT(R77,"M/D")) &amp; " "</f>
        <v xml:space="preserve">      단품제작 4/30-9/15 </v>
      </c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</row>
    <row r="78" spans="1:121" ht="15" customHeight="1" outlineLevel="4" x14ac:dyDescent="0.25">
      <c r="A78" s="101"/>
      <c r="B78" s="101"/>
      <c r="C78" s="101">
        <v>5</v>
      </c>
      <c r="D78" s="102" t="s">
        <v>242</v>
      </c>
      <c r="E78" s="103"/>
      <c r="F78" s="103"/>
      <c r="G78" s="103"/>
      <c r="H78" s="103"/>
      <c r="I78" s="103" t="s">
        <v>220</v>
      </c>
      <c r="J78" s="103"/>
      <c r="K78" s="103"/>
      <c r="L78" s="103"/>
      <c r="M78" s="103"/>
      <c r="N78" s="103"/>
      <c r="O78" s="103" t="str">
        <f>O77</f>
        <v>1동 상온#1 Aging MSC</v>
      </c>
      <c r="P78" s="104"/>
      <c r="Q78" s="108">
        <v>45078</v>
      </c>
      <c r="R78" s="105">
        <v>45184</v>
      </c>
      <c r="S78" s="106">
        <f>R78-Q78</f>
        <v>106</v>
      </c>
      <c r="T78" s="107">
        <v>428</v>
      </c>
      <c r="U78" s="107">
        <v>0</v>
      </c>
      <c r="V78" s="107">
        <v>107</v>
      </c>
      <c r="W78" s="107">
        <v>0</v>
      </c>
      <c r="X78" s="108"/>
      <c r="Y78" s="108"/>
      <c r="Z78" s="109"/>
      <c r="AA78" s="110">
        <v>0</v>
      </c>
      <c r="AB78" s="107">
        <v>4</v>
      </c>
      <c r="AC78" s="106"/>
      <c r="AD78" s="180"/>
      <c r="AE78" s="111">
        <v>0</v>
      </c>
      <c r="AF78" s="121">
        <v>0</v>
      </c>
      <c r="AG78" s="113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 t="str">
        <f>"    " &amp; TEXT(AF78,"#0.00%") &amp; " "</f>
        <v xml:space="preserve">    0.00% </v>
      </c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 t="str">
        <f>"      " &amp; "기구조립" &amp; " " &amp; IF(Q78="","",TEXT(Q78,"M/D-")) &amp; IF(R78="","",TEXT(R78,"M/D")) &amp; " "</f>
        <v xml:space="preserve">      기구조립 6/1-9/15 </v>
      </c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</row>
    <row r="79" spans="1:121" ht="15" customHeight="1" outlineLevel="4" x14ac:dyDescent="0.25">
      <c r="A79" s="101"/>
      <c r="B79" s="101"/>
      <c r="C79" s="101">
        <v>5</v>
      </c>
      <c r="D79" s="102" t="s">
        <v>243</v>
      </c>
      <c r="E79" s="103"/>
      <c r="F79" s="103"/>
      <c r="G79" s="103"/>
      <c r="H79" s="103"/>
      <c r="I79" s="103" t="s">
        <v>221</v>
      </c>
      <c r="J79" s="103"/>
      <c r="K79" s="103"/>
      <c r="L79" s="103"/>
      <c r="M79" s="103"/>
      <c r="N79" s="103"/>
      <c r="O79" s="103" t="str">
        <f>O78</f>
        <v>1동 상온#1 Aging MSC</v>
      </c>
      <c r="P79" s="104"/>
      <c r="Q79" s="108">
        <v>45184</v>
      </c>
      <c r="R79" s="105">
        <v>45199</v>
      </c>
      <c r="S79" s="106">
        <f>R79-Q79</f>
        <v>15</v>
      </c>
      <c r="T79" s="107">
        <v>16</v>
      </c>
      <c r="U79" s="107">
        <v>0</v>
      </c>
      <c r="V79" s="107">
        <v>16</v>
      </c>
      <c r="W79" s="107">
        <v>0</v>
      </c>
      <c r="X79" s="108"/>
      <c r="Y79" s="108"/>
      <c r="Z79" s="109"/>
      <c r="AA79" s="110">
        <v>0</v>
      </c>
      <c r="AB79" s="107">
        <v>1</v>
      </c>
      <c r="AC79" s="106"/>
      <c r="AD79" s="180"/>
      <c r="AE79" s="111">
        <v>0</v>
      </c>
      <c r="AF79" s="121">
        <v>0</v>
      </c>
      <c r="AG79" s="113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 t="str">
        <f>"     " &amp; TEXT(AF79,"#0.00%") &amp; " " &amp; "전장조립" &amp; " " &amp; IF(Q79="","",TEXT(Q79,"M/D-")) &amp; IF(R79="","",TEXT(R79,"M/D")) &amp; " "</f>
        <v xml:space="preserve">     0.00% 전장조립 9/15-9/30 </v>
      </c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</row>
    <row r="80" spans="1:121" ht="15" customHeight="1" outlineLevel="3" x14ac:dyDescent="0.25">
      <c r="A80" s="131"/>
      <c r="B80" s="131" t="s">
        <v>153</v>
      </c>
      <c r="C80" s="131">
        <v>4</v>
      </c>
      <c r="D80" s="123" t="s">
        <v>458</v>
      </c>
      <c r="E80" s="132"/>
      <c r="F80" s="132"/>
      <c r="G80" s="132"/>
      <c r="H80" s="124" t="s">
        <v>577</v>
      </c>
      <c r="I80" s="132"/>
      <c r="J80" s="132"/>
      <c r="K80" s="132"/>
      <c r="L80" s="132"/>
      <c r="M80" s="132"/>
      <c r="N80" s="132"/>
      <c r="O80" s="103" t="str">
        <f>H80</f>
        <v>1동 고온#1 Aging MSC</v>
      </c>
      <c r="P80" s="133"/>
      <c r="Q80" s="134">
        <v>44972</v>
      </c>
      <c r="R80" s="105">
        <v>45229</v>
      </c>
      <c r="S80" s="135"/>
      <c r="T80" s="136">
        <v>1218</v>
      </c>
      <c r="U80" s="136">
        <v>268</v>
      </c>
      <c r="V80" s="136">
        <v>258</v>
      </c>
      <c r="W80" s="136">
        <v>98</v>
      </c>
      <c r="X80" s="134"/>
      <c r="Y80" s="134"/>
      <c r="Z80" s="137">
        <v>0</v>
      </c>
      <c r="AA80" s="138">
        <v>0</v>
      </c>
      <c r="AB80" s="136"/>
      <c r="AC80" s="135"/>
      <c r="AD80" s="182"/>
      <c r="AE80" s="139">
        <v>0.2200328407224959</v>
      </c>
      <c r="AF80" s="112">
        <v>0</v>
      </c>
      <c r="AG80" s="113"/>
      <c r="AH80" s="114"/>
      <c r="AI80" s="114" t="str">
        <f>"   " &amp; TEXT(AF80,"#0.00%") &amp; " "</f>
        <v xml:space="preserve">   0.00% </v>
      </c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 t="str">
        <f>"  " &amp; "1동 고온#1 Aging MSC" &amp; " " &amp; IF(Q80="","",TEXT(Q80,"M/D-")) &amp; IF(R80="","",TEXT(R80,"M/D")) &amp; " "</f>
        <v xml:space="preserve">  1동 고온#1 Aging MSC 2/15-10/30 </v>
      </c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  <c r="CQ80" s="114"/>
      <c r="CR80" s="114"/>
      <c r="CS80" s="114"/>
      <c r="CT80" s="114"/>
      <c r="CU80" s="114"/>
      <c r="CV80" s="114"/>
      <c r="CW80" s="114"/>
      <c r="CX80" s="114"/>
      <c r="CY80" s="114"/>
      <c r="CZ80" s="114"/>
      <c r="DA80" s="114"/>
      <c r="DB80" s="114"/>
      <c r="DC80" s="114"/>
      <c r="DD80" s="114"/>
      <c r="DE80" s="114"/>
      <c r="DF80" s="114"/>
      <c r="DG80" s="114"/>
      <c r="DH80" s="114"/>
      <c r="DI80" s="114"/>
      <c r="DJ80" s="114"/>
      <c r="DK80" s="114"/>
      <c r="DL80" s="114"/>
      <c r="DM80" s="114"/>
      <c r="DN80" s="114"/>
      <c r="DO80" s="114"/>
      <c r="DP80" s="114"/>
      <c r="DQ80" s="114"/>
    </row>
    <row r="81" spans="1:121" ht="15" customHeight="1" outlineLevel="4" x14ac:dyDescent="0.25">
      <c r="A81" s="101"/>
      <c r="B81" s="101"/>
      <c r="C81" s="101">
        <v>5</v>
      </c>
      <c r="D81" s="102" t="s">
        <v>459</v>
      </c>
      <c r="E81" s="103"/>
      <c r="F81" s="103"/>
      <c r="G81" s="103"/>
      <c r="H81" s="103"/>
      <c r="I81" s="103" t="s">
        <v>217</v>
      </c>
      <c r="J81" s="103"/>
      <c r="K81" s="103"/>
      <c r="L81" s="103"/>
      <c r="M81" s="103"/>
      <c r="N81" s="103"/>
      <c r="O81" s="103" t="str">
        <f>O80</f>
        <v>1동 고온#1 Aging MSC</v>
      </c>
      <c r="P81" s="104"/>
      <c r="Q81" s="108">
        <v>44972</v>
      </c>
      <c r="R81" s="105">
        <v>45153</v>
      </c>
      <c r="S81" s="106">
        <f>R81-Q81</f>
        <v>181</v>
      </c>
      <c r="T81" s="107">
        <v>364</v>
      </c>
      <c r="U81" s="107">
        <v>196</v>
      </c>
      <c r="V81" s="107">
        <v>182</v>
      </c>
      <c r="W81" s="107">
        <v>98</v>
      </c>
      <c r="X81" s="108"/>
      <c r="Y81" s="108"/>
      <c r="Z81" s="109"/>
      <c r="AA81" s="110">
        <v>0</v>
      </c>
      <c r="AB81" s="107">
        <v>2</v>
      </c>
      <c r="AC81" s="106"/>
      <c r="AD81" s="180"/>
      <c r="AE81" s="111">
        <v>0.53846153846153844</v>
      </c>
      <c r="AF81" s="117">
        <v>0</v>
      </c>
      <c r="AG81" s="113"/>
      <c r="AH81" s="114"/>
      <c r="AI81" s="114" t="str">
        <f>"   " &amp; TEXT(AF81,"#0.00%") &amp; " "</f>
        <v xml:space="preserve">   0.00% </v>
      </c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 t="str">
        <f>"   " &amp; "장납기 구매품 발주 및 입고" &amp; " " &amp; IF(Q81="","",TEXT(Q81,"M/D-")) &amp; IF(R81="","",TEXT(R81,"M/D")) &amp; " "</f>
        <v xml:space="preserve">   장납기 구매품 발주 및 입고 2/15-8/15 </v>
      </c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  <c r="CQ81" s="114"/>
      <c r="CR81" s="114"/>
      <c r="CS81" s="114"/>
      <c r="CT81" s="114"/>
      <c r="CU81" s="114"/>
      <c r="CV81" s="114"/>
      <c r="CW81" s="114"/>
      <c r="CX81" s="114"/>
      <c r="CY81" s="114"/>
      <c r="CZ81" s="114"/>
      <c r="DA81" s="114"/>
      <c r="DB81" s="114"/>
      <c r="DC81" s="114"/>
      <c r="DD81" s="114"/>
      <c r="DE81" s="114"/>
      <c r="DF81" s="114"/>
      <c r="DG81" s="114"/>
      <c r="DH81" s="114"/>
      <c r="DI81" s="114"/>
      <c r="DJ81" s="114"/>
      <c r="DK81" s="114"/>
      <c r="DL81" s="114"/>
      <c r="DM81" s="114"/>
      <c r="DN81" s="114"/>
      <c r="DO81" s="114"/>
      <c r="DP81" s="114"/>
      <c r="DQ81" s="114"/>
    </row>
    <row r="82" spans="1:121" ht="15" customHeight="1" outlineLevel="4" x14ac:dyDescent="0.25">
      <c r="A82" s="101"/>
      <c r="B82" s="101"/>
      <c r="C82" s="101">
        <v>5</v>
      </c>
      <c r="D82" s="102" t="s">
        <v>460</v>
      </c>
      <c r="E82" s="103"/>
      <c r="F82" s="103"/>
      <c r="G82" s="103"/>
      <c r="H82" s="103"/>
      <c r="I82" s="103" t="s">
        <v>219</v>
      </c>
      <c r="J82" s="103"/>
      <c r="K82" s="103"/>
      <c r="L82" s="103"/>
      <c r="M82" s="103"/>
      <c r="N82" s="103"/>
      <c r="O82" s="103" t="str">
        <f>O81</f>
        <v>1동 고온#1 Aging MSC</v>
      </c>
      <c r="P82" s="104"/>
      <c r="Q82" s="108">
        <v>45046</v>
      </c>
      <c r="R82" s="105">
        <v>45137</v>
      </c>
      <c r="S82" s="106">
        <f>R82-Q82</f>
        <v>91</v>
      </c>
      <c r="T82" s="107">
        <v>276</v>
      </c>
      <c r="U82" s="107">
        <v>72</v>
      </c>
      <c r="V82" s="107">
        <v>92</v>
      </c>
      <c r="W82" s="107">
        <v>24</v>
      </c>
      <c r="X82" s="108"/>
      <c r="Y82" s="108"/>
      <c r="Z82" s="109"/>
      <c r="AA82" s="110">
        <v>0</v>
      </c>
      <c r="AB82" s="107">
        <v>3</v>
      </c>
      <c r="AC82" s="106"/>
      <c r="AD82" s="180"/>
      <c r="AE82" s="111">
        <v>0.2608695652173913</v>
      </c>
      <c r="AF82" s="117">
        <v>0</v>
      </c>
      <c r="AG82" s="113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 t="str">
        <f>"" &amp; TEXT(AF82,"#0.00%") &amp; " "</f>
        <v xml:space="preserve">0.00% </v>
      </c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 t="str">
        <f>" " &amp; "단품제작" &amp; " " &amp; IF(Q82="","",TEXT(Q82,"M/D-")) &amp; IF(R82="","",TEXT(R82,"M/D")) &amp; " "</f>
        <v xml:space="preserve"> 단품제작 4/30-7/30 </v>
      </c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4"/>
      <c r="CV82" s="114"/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</row>
    <row r="83" spans="1:121" ht="15" customHeight="1" outlineLevel="4" x14ac:dyDescent="0.25">
      <c r="A83" s="101"/>
      <c r="B83" s="101"/>
      <c r="C83" s="101">
        <v>5</v>
      </c>
      <c r="D83" s="102" t="s">
        <v>461</v>
      </c>
      <c r="E83" s="103"/>
      <c r="F83" s="103"/>
      <c r="G83" s="103"/>
      <c r="H83" s="103"/>
      <c r="I83" s="103" t="s">
        <v>220</v>
      </c>
      <c r="J83" s="103"/>
      <c r="K83" s="103"/>
      <c r="L83" s="103"/>
      <c r="M83" s="103"/>
      <c r="N83" s="103"/>
      <c r="O83" s="103" t="str">
        <f>O82</f>
        <v>1동 고온#1 Aging MSC</v>
      </c>
      <c r="P83" s="104"/>
      <c r="Q83" s="108">
        <v>45078</v>
      </c>
      <c r="R83" s="105">
        <v>45214</v>
      </c>
      <c r="S83" s="106">
        <f>R83-Q83</f>
        <v>136</v>
      </c>
      <c r="T83" s="107">
        <v>548</v>
      </c>
      <c r="U83" s="107">
        <v>0</v>
      </c>
      <c r="V83" s="107">
        <v>137</v>
      </c>
      <c r="W83" s="107">
        <v>0</v>
      </c>
      <c r="X83" s="108"/>
      <c r="Y83" s="108"/>
      <c r="Z83" s="109"/>
      <c r="AA83" s="110">
        <v>0</v>
      </c>
      <c r="AB83" s="107">
        <v>4</v>
      </c>
      <c r="AC83" s="106"/>
      <c r="AD83" s="180"/>
      <c r="AE83" s="111">
        <v>0</v>
      </c>
      <c r="AF83" s="121">
        <v>0</v>
      </c>
      <c r="AG83" s="113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 t="str">
        <f>"    " &amp; TEXT(AF83,"#0.00%") &amp; " "</f>
        <v xml:space="preserve">    0.00% </v>
      </c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 t="str">
        <f>" " &amp; "기구조립" &amp; " " &amp; IF(Q83="","",TEXT(Q83,"M/D-")) &amp; IF(R83="","",TEXT(R83,"M/D")) &amp; " "</f>
        <v xml:space="preserve"> 기구조립 6/1-10/15 </v>
      </c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  <c r="CQ83" s="114"/>
      <c r="CR83" s="114"/>
      <c r="CS83" s="114"/>
      <c r="CT83" s="114"/>
      <c r="CU83" s="114"/>
      <c r="CV83" s="114"/>
      <c r="CW83" s="114"/>
      <c r="CX83" s="114"/>
      <c r="CY83" s="114"/>
      <c r="CZ83" s="114"/>
      <c r="DA83" s="114"/>
      <c r="DB83" s="114"/>
      <c r="DC83" s="114"/>
      <c r="DD83" s="114"/>
      <c r="DE83" s="114"/>
      <c r="DF83" s="114"/>
      <c r="DG83" s="114"/>
      <c r="DH83" s="114"/>
      <c r="DI83" s="114"/>
      <c r="DJ83" s="114"/>
      <c r="DK83" s="114"/>
      <c r="DL83" s="114"/>
      <c r="DM83" s="114"/>
      <c r="DN83" s="114"/>
      <c r="DO83" s="114"/>
      <c r="DP83" s="114"/>
      <c r="DQ83" s="114"/>
    </row>
    <row r="84" spans="1:121" ht="15" customHeight="1" outlineLevel="4" x14ac:dyDescent="0.25">
      <c r="A84" s="101"/>
      <c r="B84" s="101"/>
      <c r="C84" s="101">
        <v>5</v>
      </c>
      <c r="D84" s="102" t="s">
        <v>462</v>
      </c>
      <c r="E84" s="103"/>
      <c r="F84" s="103"/>
      <c r="G84" s="103"/>
      <c r="H84" s="103"/>
      <c r="I84" s="103" t="s">
        <v>221</v>
      </c>
      <c r="J84" s="103"/>
      <c r="K84" s="103"/>
      <c r="L84" s="103"/>
      <c r="M84" s="103"/>
      <c r="N84" s="103"/>
      <c r="O84" s="103" t="str">
        <f>O83</f>
        <v>1동 고온#1 Aging MSC</v>
      </c>
      <c r="P84" s="104"/>
      <c r="Q84" s="108">
        <v>45200</v>
      </c>
      <c r="R84" s="105">
        <v>45229</v>
      </c>
      <c r="S84" s="106">
        <f>R84-Q84</f>
        <v>29</v>
      </c>
      <c r="T84" s="107">
        <v>30</v>
      </c>
      <c r="U84" s="107">
        <v>0</v>
      </c>
      <c r="V84" s="107">
        <v>30</v>
      </c>
      <c r="W84" s="107">
        <v>0</v>
      </c>
      <c r="X84" s="108"/>
      <c r="Y84" s="108"/>
      <c r="Z84" s="109"/>
      <c r="AA84" s="110">
        <v>0</v>
      </c>
      <c r="AB84" s="107">
        <v>1</v>
      </c>
      <c r="AC84" s="106"/>
      <c r="AD84" s="180"/>
      <c r="AE84" s="111">
        <v>0</v>
      </c>
      <c r="AF84" s="121">
        <v>0</v>
      </c>
      <c r="AG84" s="113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 t="str">
        <f>"" &amp; TEXT(AF84,"#0.00%") &amp; " "</f>
        <v xml:space="preserve">0.00% </v>
      </c>
      <c r="BQ84" s="114"/>
      <c r="BR84" s="114"/>
      <c r="BS84" s="114"/>
      <c r="BT84" s="114" t="str">
        <f>"  " &amp; "전장조립" &amp; " " &amp; IF(Q84="","",TEXT(Q84,"M/D-")) &amp; IF(R84="","",TEXT(R84,"M/D")) &amp; " "</f>
        <v xml:space="preserve">  전장조립 10/1-10/30 </v>
      </c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  <c r="CQ84" s="114"/>
      <c r="CR84" s="114"/>
      <c r="CS84" s="114"/>
      <c r="CT84" s="114"/>
      <c r="CU84" s="114"/>
      <c r="CV84" s="114"/>
      <c r="CW84" s="114"/>
      <c r="CX84" s="114"/>
      <c r="CY84" s="114"/>
      <c r="CZ84" s="114"/>
      <c r="DA84" s="114"/>
      <c r="DB84" s="114"/>
      <c r="DC84" s="114"/>
      <c r="DD84" s="114"/>
      <c r="DE84" s="114"/>
      <c r="DF84" s="114"/>
      <c r="DG84" s="114"/>
      <c r="DH84" s="114"/>
      <c r="DI84" s="114"/>
      <c r="DJ84" s="114"/>
      <c r="DK84" s="114"/>
      <c r="DL84" s="114"/>
      <c r="DM84" s="114"/>
      <c r="DN84" s="114"/>
      <c r="DO84" s="114"/>
      <c r="DP84" s="114"/>
      <c r="DQ84" s="114"/>
    </row>
    <row r="85" spans="1:121" ht="15" customHeight="1" outlineLevel="3" x14ac:dyDescent="0.25">
      <c r="A85" s="131"/>
      <c r="B85" s="131" t="s">
        <v>153</v>
      </c>
      <c r="C85" s="131">
        <v>4</v>
      </c>
      <c r="D85" s="123" t="s">
        <v>463</v>
      </c>
      <c r="E85" s="132"/>
      <c r="F85" s="132"/>
      <c r="G85" s="132"/>
      <c r="H85" s="124" t="s">
        <v>578</v>
      </c>
      <c r="I85" s="132"/>
      <c r="J85" s="132"/>
      <c r="K85" s="132"/>
      <c r="L85" s="132"/>
      <c r="M85" s="132"/>
      <c r="N85" s="132"/>
      <c r="O85" s="103" t="str">
        <f>H85</f>
        <v>1동 PPC MSC</v>
      </c>
      <c r="P85" s="133"/>
      <c r="Q85" s="134">
        <v>44972</v>
      </c>
      <c r="R85" s="105">
        <v>45199</v>
      </c>
      <c r="S85" s="135"/>
      <c r="T85" s="136">
        <v>1255</v>
      </c>
      <c r="U85" s="136">
        <v>268</v>
      </c>
      <c r="V85" s="136">
        <v>228</v>
      </c>
      <c r="W85" s="136">
        <v>98</v>
      </c>
      <c r="X85" s="134"/>
      <c r="Y85" s="134"/>
      <c r="Z85" s="137">
        <v>0</v>
      </c>
      <c r="AA85" s="138">
        <v>0</v>
      </c>
      <c r="AB85" s="136"/>
      <c r="AC85" s="135"/>
      <c r="AD85" s="182"/>
      <c r="AE85" s="139">
        <v>0.21354581673306772</v>
      </c>
      <c r="AF85" s="112">
        <v>0</v>
      </c>
      <c r="AG85" s="113"/>
      <c r="AH85" s="114"/>
      <c r="AI85" s="114" t="str">
        <f>"   " &amp; TEXT(AF85,"#0.00%") &amp; " "</f>
        <v xml:space="preserve">   0.00% </v>
      </c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 t="str">
        <f>"" &amp; "1동 PPC MSC" &amp; " " &amp; IF(Q85="","",TEXT(Q85,"M/D-")) &amp; IF(R85="","",TEXT(R85,"M/D")) &amp; " "</f>
        <v xml:space="preserve">1동 PPC MSC 2/15-9/30 </v>
      </c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</row>
    <row r="86" spans="1:121" ht="15" customHeight="1" outlineLevel="4" x14ac:dyDescent="0.25">
      <c r="A86" s="101"/>
      <c r="B86" s="101"/>
      <c r="C86" s="101">
        <v>5</v>
      </c>
      <c r="D86" s="102" t="s">
        <v>464</v>
      </c>
      <c r="E86" s="103"/>
      <c r="F86" s="103"/>
      <c r="G86" s="103"/>
      <c r="H86" s="103"/>
      <c r="I86" s="103" t="s">
        <v>217</v>
      </c>
      <c r="J86" s="103"/>
      <c r="K86" s="103"/>
      <c r="L86" s="103"/>
      <c r="M86" s="103"/>
      <c r="N86" s="103"/>
      <c r="O86" s="103" t="str">
        <f>O85</f>
        <v>1동 PPC MSC</v>
      </c>
      <c r="P86" s="104"/>
      <c r="Q86" s="108">
        <v>44972</v>
      </c>
      <c r="R86" s="105">
        <v>45168</v>
      </c>
      <c r="S86" s="106">
        <f>R86-Q86</f>
        <v>196</v>
      </c>
      <c r="T86" s="107">
        <v>394</v>
      </c>
      <c r="U86" s="107">
        <v>196</v>
      </c>
      <c r="V86" s="107">
        <v>197</v>
      </c>
      <c r="W86" s="107">
        <v>98</v>
      </c>
      <c r="X86" s="108"/>
      <c r="Y86" s="108"/>
      <c r="Z86" s="109"/>
      <c r="AA86" s="110">
        <v>0</v>
      </c>
      <c r="AB86" s="107">
        <v>2</v>
      </c>
      <c r="AC86" s="106"/>
      <c r="AD86" s="180"/>
      <c r="AE86" s="111">
        <v>0.49746192893401014</v>
      </c>
      <c r="AF86" s="117">
        <v>0</v>
      </c>
      <c r="AG86" s="113"/>
      <c r="AH86" s="114"/>
      <c r="AI86" s="114" t="str">
        <f>"   " &amp; TEXT(AF86,"#0.00%") &amp; " "</f>
        <v xml:space="preserve">   0.00% </v>
      </c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 t="str">
        <f>"    " &amp; "장납기 구매품 발주 및 입고" &amp; " " &amp; IF(Q86="","",TEXT(Q86,"M/D-")) &amp; IF(R86="","",TEXT(R86,"M/D")) &amp; " "</f>
        <v xml:space="preserve">    장납기 구매품 발주 및 입고 2/15-8/30 </v>
      </c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4"/>
      <c r="CV86" s="114"/>
      <c r="CW86" s="114"/>
      <c r="CX86" s="114"/>
      <c r="CY86" s="114"/>
      <c r="CZ86" s="114"/>
      <c r="DA86" s="114"/>
      <c r="DB86" s="114"/>
      <c r="DC86" s="114"/>
      <c r="DD86" s="114"/>
      <c r="DE86" s="114"/>
      <c r="DF86" s="114"/>
      <c r="DG86" s="114"/>
      <c r="DH86" s="114"/>
      <c r="DI86" s="114"/>
      <c r="DJ86" s="114"/>
      <c r="DK86" s="114"/>
      <c r="DL86" s="114"/>
      <c r="DM86" s="114"/>
      <c r="DN86" s="114"/>
      <c r="DO86" s="114"/>
      <c r="DP86" s="114"/>
      <c r="DQ86" s="114"/>
    </row>
    <row r="87" spans="1:121" ht="15" customHeight="1" outlineLevel="4" x14ac:dyDescent="0.25">
      <c r="A87" s="101"/>
      <c r="B87" s="101"/>
      <c r="C87" s="101">
        <v>5</v>
      </c>
      <c r="D87" s="102" t="s">
        <v>465</v>
      </c>
      <c r="E87" s="103"/>
      <c r="F87" s="103"/>
      <c r="G87" s="103"/>
      <c r="H87" s="103"/>
      <c r="I87" s="103" t="s">
        <v>219</v>
      </c>
      <c r="J87" s="103"/>
      <c r="K87" s="103"/>
      <c r="L87" s="103"/>
      <c r="M87" s="103"/>
      <c r="N87" s="103"/>
      <c r="O87" s="103" t="str">
        <f>O86</f>
        <v>1동 PPC MSC</v>
      </c>
      <c r="P87" s="104"/>
      <c r="Q87" s="108">
        <v>45046</v>
      </c>
      <c r="R87" s="105">
        <v>45184</v>
      </c>
      <c r="S87" s="106">
        <f>R87-Q87</f>
        <v>138</v>
      </c>
      <c r="T87" s="107">
        <v>417</v>
      </c>
      <c r="U87" s="107">
        <v>72</v>
      </c>
      <c r="V87" s="107">
        <v>139</v>
      </c>
      <c r="W87" s="107">
        <v>24</v>
      </c>
      <c r="X87" s="108"/>
      <c r="Y87" s="108"/>
      <c r="Z87" s="109"/>
      <c r="AA87" s="110">
        <v>0</v>
      </c>
      <c r="AB87" s="107">
        <v>3</v>
      </c>
      <c r="AC87" s="106"/>
      <c r="AD87" s="180"/>
      <c r="AE87" s="111">
        <v>0.17266187050359713</v>
      </c>
      <c r="AF87" s="117">
        <v>0</v>
      </c>
      <c r="AG87" s="113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 t="str">
        <f>"" &amp; TEXT(AF87,"#0.00%") &amp; " "</f>
        <v xml:space="preserve">0.00% </v>
      </c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 t="str">
        <f>"      " &amp; "단품제작" &amp; " " &amp; IF(Q87="","",TEXT(Q87,"M/D-")) &amp; IF(R87="","",TEXT(R87,"M/D")) &amp; " "</f>
        <v xml:space="preserve">      단품제작 4/30-9/15 </v>
      </c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  <c r="CQ87" s="114"/>
      <c r="CR87" s="114"/>
      <c r="CS87" s="114"/>
      <c r="CT87" s="114"/>
      <c r="CU87" s="114"/>
      <c r="CV87" s="114"/>
      <c r="CW87" s="114"/>
      <c r="CX87" s="114"/>
      <c r="CY87" s="114"/>
      <c r="CZ87" s="114"/>
      <c r="DA87" s="114"/>
      <c r="DB87" s="114"/>
      <c r="DC87" s="114"/>
      <c r="DD87" s="114"/>
      <c r="DE87" s="114"/>
      <c r="DF87" s="114"/>
      <c r="DG87" s="114"/>
      <c r="DH87" s="114"/>
      <c r="DI87" s="114"/>
      <c r="DJ87" s="114"/>
      <c r="DK87" s="114"/>
      <c r="DL87" s="114"/>
      <c r="DM87" s="114"/>
      <c r="DN87" s="114"/>
      <c r="DO87" s="114"/>
      <c r="DP87" s="114"/>
      <c r="DQ87" s="114"/>
    </row>
    <row r="88" spans="1:121" ht="15" customHeight="1" outlineLevel="4" x14ac:dyDescent="0.25">
      <c r="A88" s="101"/>
      <c r="B88" s="101"/>
      <c r="C88" s="101">
        <v>5</v>
      </c>
      <c r="D88" s="102" t="s">
        <v>466</v>
      </c>
      <c r="E88" s="103"/>
      <c r="F88" s="103"/>
      <c r="G88" s="103"/>
      <c r="H88" s="103"/>
      <c r="I88" s="103" t="s">
        <v>220</v>
      </c>
      <c r="J88" s="103"/>
      <c r="K88" s="103"/>
      <c r="L88" s="103"/>
      <c r="M88" s="103"/>
      <c r="N88" s="103"/>
      <c r="O88" s="103" t="str">
        <f>O87</f>
        <v>1동 PPC MSC</v>
      </c>
      <c r="P88" s="104"/>
      <c r="Q88" s="108">
        <v>45078</v>
      </c>
      <c r="R88" s="105">
        <v>45184</v>
      </c>
      <c r="S88" s="106">
        <f>R88-Q88</f>
        <v>106</v>
      </c>
      <c r="T88" s="107">
        <v>428</v>
      </c>
      <c r="U88" s="107">
        <v>0</v>
      </c>
      <c r="V88" s="107">
        <v>107</v>
      </c>
      <c r="W88" s="107">
        <v>0</v>
      </c>
      <c r="X88" s="108"/>
      <c r="Y88" s="108"/>
      <c r="Z88" s="109"/>
      <c r="AA88" s="110">
        <v>0</v>
      </c>
      <c r="AB88" s="107">
        <v>4</v>
      </c>
      <c r="AC88" s="106"/>
      <c r="AD88" s="180"/>
      <c r="AE88" s="111">
        <v>0</v>
      </c>
      <c r="AF88" s="121">
        <v>0</v>
      </c>
      <c r="AG88" s="113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 t="str">
        <f>"    " &amp; TEXT(AF88,"#0.00%") &amp; " "</f>
        <v xml:space="preserve">    0.00% </v>
      </c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 t="str">
        <f>"      " &amp; "기구조립" &amp; " " &amp; IF(Q88="","",TEXT(Q88,"M/D-")) &amp; IF(R88="","",TEXT(R88,"M/D")) &amp; " "</f>
        <v xml:space="preserve">      기구조립 6/1-9/15 </v>
      </c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  <c r="CQ88" s="114"/>
      <c r="CR88" s="114"/>
      <c r="CS88" s="114"/>
      <c r="CT88" s="114"/>
      <c r="CU88" s="114"/>
      <c r="CV88" s="114"/>
      <c r="CW88" s="114"/>
      <c r="CX88" s="114"/>
      <c r="CY88" s="114"/>
      <c r="CZ88" s="114"/>
      <c r="DA88" s="114"/>
      <c r="DB88" s="114"/>
      <c r="DC88" s="114"/>
      <c r="DD88" s="114"/>
      <c r="DE88" s="114"/>
      <c r="DF88" s="114"/>
      <c r="DG88" s="114"/>
      <c r="DH88" s="114"/>
      <c r="DI88" s="114"/>
      <c r="DJ88" s="114"/>
      <c r="DK88" s="114"/>
      <c r="DL88" s="114"/>
      <c r="DM88" s="114"/>
      <c r="DN88" s="114"/>
      <c r="DO88" s="114"/>
      <c r="DP88" s="114"/>
      <c r="DQ88" s="114"/>
    </row>
    <row r="89" spans="1:121" ht="15" customHeight="1" outlineLevel="4" x14ac:dyDescent="0.25">
      <c r="A89" s="101"/>
      <c r="B89" s="101"/>
      <c r="C89" s="101">
        <v>5</v>
      </c>
      <c r="D89" s="102" t="s">
        <v>467</v>
      </c>
      <c r="E89" s="103"/>
      <c r="F89" s="103"/>
      <c r="G89" s="103"/>
      <c r="H89" s="103"/>
      <c r="I89" s="103" t="s">
        <v>221</v>
      </c>
      <c r="J89" s="103"/>
      <c r="K89" s="103"/>
      <c r="L89" s="103"/>
      <c r="M89" s="103"/>
      <c r="N89" s="103"/>
      <c r="O89" s="103" t="str">
        <f>O88</f>
        <v>1동 PPC MSC</v>
      </c>
      <c r="P89" s="104"/>
      <c r="Q89" s="108">
        <v>45184</v>
      </c>
      <c r="R89" s="105">
        <v>45199</v>
      </c>
      <c r="S89" s="106">
        <f>R89-Q89</f>
        <v>15</v>
      </c>
      <c r="T89" s="107">
        <v>16</v>
      </c>
      <c r="U89" s="107">
        <v>0</v>
      </c>
      <c r="V89" s="107">
        <v>16</v>
      </c>
      <c r="W89" s="107">
        <v>0</v>
      </c>
      <c r="X89" s="108"/>
      <c r="Y89" s="108"/>
      <c r="Z89" s="109"/>
      <c r="AA89" s="110">
        <v>0</v>
      </c>
      <c r="AB89" s="107">
        <v>1</v>
      </c>
      <c r="AC89" s="106"/>
      <c r="AD89" s="180"/>
      <c r="AE89" s="111">
        <v>0</v>
      </c>
      <c r="AF89" s="121">
        <v>0</v>
      </c>
      <c r="AG89" s="113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 t="str">
        <f>"     " &amp; TEXT(AF89,"#0.00%") &amp; " " &amp; "전장조립" &amp; " " &amp; IF(Q89="","",TEXT(Q89,"M/D-")) &amp; IF(R89="","",TEXT(R89,"M/D")) &amp; " "</f>
        <v xml:space="preserve">     0.00% 전장조립 9/15-9/30 </v>
      </c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  <c r="CQ89" s="114"/>
      <c r="CR89" s="114"/>
      <c r="CS89" s="114"/>
      <c r="CT89" s="114"/>
      <c r="CU89" s="114"/>
      <c r="CV89" s="114"/>
      <c r="CW89" s="114"/>
      <c r="CX89" s="114"/>
      <c r="CY89" s="114"/>
      <c r="CZ89" s="114"/>
      <c r="DA89" s="114"/>
      <c r="DB89" s="114"/>
      <c r="DC89" s="114"/>
      <c r="DD89" s="114"/>
      <c r="DE89" s="114"/>
      <c r="DF89" s="114"/>
      <c r="DG89" s="114"/>
      <c r="DH89" s="114"/>
      <c r="DI89" s="114"/>
      <c r="DJ89" s="114"/>
      <c r="DK89" s="114"/>
      <c r="DL89" s="114"/>
      <c r="DM89" s="114"/>
      <c r="DN89" s="114"/>
      <c r="DO89" s="114"/>
      <c r="DP89" s="114"/>
      <c r="DQ89" s="114"/>
    </row>
    <row r="90" spans="1:121" ht="15" customHeight="1" outlineLevel="3" x14ac:dyDescent="0.25">
      <c r="A90" s="101"/>
      <c r="B90" s="101" t="s">
        <v>153</v>
      </c>
      <c r="C90" s="101">
        <v>4</v>
      </c>
      <c r="D90" s="102" t="s">
        <v>468</v>
      </c>
      <c r="E90" s="103"/>
      <c r="F90" s="103"/>
      <c r="G90" s="103"/>
      <c r="H90" s="103" t="s">
        <v>579</v>
      </c>
      <c r="I90" s="103"/>
      <c r="J90" s="103"/>
      <c r="K90" s="103"/>
      <c r="L90" s="103"/>
      <c r="M90" s="103"/>
      <c r="N90" s="103"/>
      <c r="O90" s="103" t="str">
        <f>H90</f>
        <v>1동 충방전 MSC</v>
      </c>
      <c r="P90" s="104"/>
      <c r="Q90" s="108">
        <v>44972</v>
      </c>
      <c r="R90" s="105">
        <v>45199</v>
      </c>
      <c r="S90" s="106"/>
      <c r="T90" s="107">
        <v>1255</v>
      </c>
      <c r="U90" s="107">
        <v>268</v>
      </c>
      <c r="V90" s="107">
        <v>228</v>
      </c>
      <c r="W90" s="107">
        <v>98</v>
      </c>
      <c r="X90" s="108"/>
      <c r="Y90" s="108"/>
      <c r="Z90" s="109">
        <v>0</v>
      </c>
      <c r="AA90" s="110">
        <v>0</v>
      </c>
      <c r="AB90" s="107"/>
      <c r="AC90" s="106"/>
      <c r="AD90" s="180"/>
      <c r="AE90" s="111">
        <v>0.21354581673306772</v>
      </c>
      <c r="AF90" s="112">
        <v>0</v>
      </c>
      <c r="AG90" s="113"/>
      <c r="AH90" s="114"/>
      <c r="AI90" s="114" t="str">
        <f>"   " &amp; TEXT(AF90,"#0.00%") &amp; " "</f>
        <v xml:space="preserve">   0.00% </v>
      </c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 t="str">
        <f>"" &amp; "1동 충방전 MSC" &amp; " " &amp; IF(Q90="","",TEXT(Q90,"M/D-")) &amp; IF(R90="","",TEXT(R90,"M/D")) &amp; " "</f>
        <v xml:space="preserve">1동 충방전 MSC 2/15-9/30 </v>
      </c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4"/>
      <c r="CD90" s="114"/>
      <c r="CE90" s="114"/>
      <c r="CF90" s="114"/>
      <c r="CG90" s="114"/>
      <c r="CH90" s="114"/>
      <c r="CI90" s="114"/>
      <c r="CJ90" s="114"/>
      <c r="CK90" s="114"/>
      <c r="CL90" s="114"/>
      <c r="CM90" s="114"/>
      <c r="CN90" s="114"/>
      <c r="CO90" s="114"/>
      <c r="CP90" s="114"/>
      <c r="CQ90" s="114"/>
      <c r="CR90" s="114"/>
      <c r="CS90" s="114"/>
      <c r="CT90" s="114"/>
      <c r="CU90" s="114"/>
      <c r="CV90" s="114"/>
      <c r="CW90" s="114"/>
      <c r="CX90" s="114"/>
      <c r="CY90" s="114"/>
      <c r="CZ90" s="114"/>
      <c r="DA90" s="114"/>
      <c r="DB90" s="114"/>
      <c r="DC90" s="114"/>
      <c r="DD90" s="114"/>
      <c r="DE90" s="114"/>
      <c r="DF90" s="114"/>
      <c r="DG90" s="114"/>
      <c r="DH90" s="114"/>
      <c r="DI90" s="114"/>
      <c r="DJ90" s="114"/>
      <c r="DK90" s="114"/>
      <c r="DL90" s="114"/>
      <c r="DM90" s="114"/>
      <c r="DN90" s="114"/>
      <c r="DO90" s="114"/>
      <c r="DP90" s="114"/>
      <c r="DQ90" s="114"/>
    </row>
    <row r="91" spans="1:121" ht="15" customHeight="1" outlineLevel="4" x14ac:dyDescent="0.25">
      <c r="A91" s="101"/>
      <c r="B91" s="101"/>
      <c r="C91" s="101">
        <v>5</v>
      </c>
      <c r="D91" s="102" t="s">
        <v>469</v>
      </c>
      <c r="E91" s="103"/>
      <c r="F91" s="103"/>
      <c r="G91" s="103"/>
      <c r="H91" s="103"/>
      <c r="I91" s="103" t="s">
        <v>217</v>
      </c>
      <c r="J91" s="103"/>
      <c r="K91" s="103"/>
      <c r="L91" s="103"/>
      <c r="M91" s="103"/>
      <c r="N91" s="103"/>
      <c r="O91" s="103" t="str">
        <f>O90</f>
        <v>1동 충방전 MSC</v>
      </c>
      <c r="P91" s="104"/>
      <c r="Q91" s="108">
        <v>44972</v>
      </c>
      <c r="R91" s="105">
        <v>45168</v>
      </c>
      <c r="S91" s="106">
        <f>R91-Q91</f>
        <v>196</v>
      </c>
      <c r="T91" s="107">
        <v>394</v>
      </c>
      <c r="U91" s="107">
        <v>196</v>
      </c>
      <c r="V91" s="107">
        <v>197</v>
      </c>
      <c r="W91" s="107">
        <v>98</v>
      </c>
      <c r="X91" s="108"/>
      <c r="Y91" s="108"/>
      <c r="Z91" s="109"/>
      <c r="AA91" s="110">
        <v>0</v>
      </c>
      <c r="AB91" s="107">
        <v>2</v>
      </c>
      <c r="AC91" s="106"/>
      <c r="AD91" s="180"/>
      <c r="AE91" s="111">
        <v>0.49746192893401014</v>
      </c>
      <c r="AF91" s="117">
        <v>0</v>
      </c>
      <c r="AG91" s="113"/>
      <c r="AH91" s="114"/>
      <c r="AI91" s="114" t="str">
        <f>"   " &amp; TEXT(AF91,"#0.00%") &amp; " "</f>
        <v xml:space="preserve">   0.00% </v>
      </c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 t="str">
        <f>"    " &amp; "장납기 구매품 발주 및 입고" &amp; " " &amp; IF(Q91="","",TEXT(Q91,"M/D-")) &amp; IF(R91="","",TEXT(R91,"M/D")) &amp; " "</f>
        <v xml:space="preserve">    장납기 구매품 발주 및 입고 2/15-8/30 </v>
      </c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  <c r="CA91" s="114"/>
      <c r="CB91" s="114"/>
      <c r="CC91" s="114"/>
      <c r="CD91" s="114"/>
      <c r="CE91" s="114"/>
      <c r="CF91" s="114"/>
      <c r="CG91" s="114"/>
      <c r="CH91" s="114"/>
      <c r="CI91" s="114"/>
      <c r="CJ91" s="114"/>
      <c r="CK91" s="114"/>
      <c r="CL91" s="114"/>
      <c r="CM91" s="114"/>
      <c r="CN91" s="114"/>
      <c r="CO91" s="114"/>
      <c r="CP91" s="114"/>
      <c r="CQ91" s="114"/>
      <c r="CR91" s="114"/>
      <c r="CS91" s="114"/>
      <c r="CT91" s="114"/>
      <c r="CU91" s="114"/>
      <c r="CV91" s="114"/>
      <c r="CW91" s="114"/>
      <c r="CX91" s="114"/>
      <c r="CY91" s="114"/>
      <c r="CZ91" s="114"/>
      <c r="DA91" s="114"/>
      <c r="DB91" s="114"/>
      <c r="DC91" s="114"/>
      <c r="DD91" s="114"/>
      <c r="DE91" s="114"/>
      <c r="DF91" s="114"/>
      <c r="DG91" s="114"/>
      <c r="DH91" s="114"/>
      <c r="DI91" s="114"/>
      <c r="DJ91" s="114"/>
      <c r="DK91" s="114"/>
      <c r="DL91" s="114"/>
      <c r="DM91" s="114"/>
      <c r="DN91" s="114"/>
      <c r="DO91" s="114"/>
      <c r="DP91" s="114"/>
      <c r="DQ91" s="114"/>
    </row>
    <row r="92" spans="1:121" ht="15" customHeight="1" outlineLevel="4" x14ac:dyDescent="0.25">
      <c r="A92" s="101"/>
      <c r="B92" s="101"/>
      <c r="C92" s="101">
        <v>5</v>
      </c>
      <c r="D92" s="102" t="s">
        <v>470</v>
      </c>
      <c r="E92" s="103"/>
      <c r="F92" s="103"/>
      <c r="G92" s="103"/>
      <c r="H92" s="103"/>
      <c r="I92" s="103" t="s">
        <v>219</v>
      </c>
      <c r="J92" s="103"/>
      <c r="K92" s="103"/>
      <c r="L92" s="103"/>
      <c r="M92" s="103"/>
      <c r="N92" s="103"/>
      <c r="O92" s="103" t="str">
        <f>O91</f>
        <v>1동 충방전 MSC</v>
      </c>
      <c r="P92" s="104"/>
      <c r="Q92" s="108">
        <v>45046</v>
      </c>
      <c r="R92" s="105">
        <v>45184</v>
      </c>
      <c r="S92" s="106">
        <f>R92-Q92</f>
        <v>138</v>
      </c>
      <c r="T92" s="107">
        <v>417</v>
      </c>
      <c r="U92" s="107">
        <v>72</v>
      </c>
      <c r="V92" s="107">
        <v>139</v>
      </c>
      <c r="W92" s="107">
        <v>24</v>
      </c>
      <c r="X92" s="108"/>
      <c r="Y92" s="108"/>
      <c r="Z92" s="109"/>
      <c r="AA92" s="110">
        <v>0</v>
      </c>
      <c r="AB92" s="107">
        <v>3</v>
      </c>
      <c r="AC92" s="106"/>
      <c r="AD92" s="180"/>
      <c r="AE92" s="111">
        <v>0.17266187050359713</v>
      </c>
      <c r="AF92" s="117">
        <v>0</v>
      </c>
      <c r="AG92" s="113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 t="str">
        <f>"" &amp; TEXT(AF92,"#0.00%") &amp; " "</f>
        <v xml:space="preserve">0.00% </v>
      </c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 t="str">
        <f>"      " &amp; "단품제작" &amp; " " &amp; IF(Q92="","",TEXT(Q92,"M/D-")) &amp; IF(R92="","",TEXT(R92,"M/D")) &amp; " "</f>
        <v xml:space="preserve">      단품제작 4/30-9/15 </v>
      </c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114"/>
    </row>
    <row r="93" spans="1:121" ht="15" customHeight="1" outlineLevel="4" x14ac:dyDescent="0.25">
      <c r="A93" s="101"/>
      <c r="B93" s="101"/>
      <c r="C93" s="101">
        <v>5</v>
      </c>
      <c r="D93" s="102" t="s">
        <v>471</v>
      </c>
      <c r="E93" s="103"/>
      <c r="F93" s="103"/>
      <c r="G93" s="103"/>
      <c r="H93" s="103"/>
      <c r="I93" s="103" t="s">
        <v>220</v>
      </c>
      <c r="J93" s="103"/>
      <c r="K93" s="103"/>
      <c r="L93" s="103"/>
      <c r="M93" s="103"/>
      <c r="N93" s="103"/>
      <c r="O93" s="103" t="str">
        <f>O92</f>
        <v>1동 충방전 MSC</v>
      </c>
      <c r="P93" s="104"/>
      <c r="Q93" s="108">
        <v>45078</v>
      </c>
      <c r="R93" s="105">
        <v>45184</v>
      </c>
      <c r="S93" s="106">
        <f>R93-Q93</f>
        <v>106</v>
      </c>
      <c r="T93" s="107">
        <v>428</v>
      </c>
      <c r="U93" s="107">
        <v>0</v>
      </c>
      <c r="V93" s="107">
        <v>107</v>
      </c>
      <c r="W93" s="107">
        <v>0</v>
      </c>
      <c r="X93" s="108"/>
      <c r="Y93" s="108"/>
      <c r="Z93" s="109"/>
      <c r="AA93" s="110">
        <v>0</v>
      </c>
      <c r="AB93" s="107">
        <v>4</v>
      </c>
      <c r="AC93" s="106"/>
      <c r="AD93" s="180"/>
      <c r="AE93" s="111">
        <v>0</v>
      </c>
      <c r="AF93" s="121">
        <v>0</v>
      </c>
      <c r="AG93" s="113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 t="str">
        <f>"    " &amp; TEXT(AF93,"#0.00%") &amp; " "</f>
        <v xml:space="preserve">    0.00% </v>
      </c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 t="str">
        <f>"      " &amp; "기구조립" &amp; " " &amp; IF(Q93="","",TEXT(Q93,"M/D-")) &amp; IF(R93="","",TEXT(R93,"M/D")) &amp; " "</f>
        <v xml:space="preserve">      기구조립 6/1-9/15 </v>
      </c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  <c r="CA93" s="114"/>
      <c r="CB93" s="114"/>
      <c r="CC93" s="114"/>
      <c r="CD93" s="114"/>
      <c r="CE93" s="114"/>
      <c r="CF93" s="114"/>
      <c r="CG93" s="114"/>
      <c r="CH93" s="114"/>
      <c r="CI93" s="114"/>
      <c r="CJ93" s="114"/>
      <c r="CK93" s="114"/>
      <c r="CL93" s="114"/>
      <c r="CM93" s="114"/>
      <c r="CN93" s="114"/>
      <c r="CO93" s="114"/>
      <c r="CP93" s="114"/>
      <c r="CQ93" s="114"/>
      <c r="CR93" s="114"/>
      <c r="CS93" s="114"/>
      <c r="CT93" s="114"/>
      <c r="CU93" s="114"/>
      <c r="CV93" s="114"/>
      <c r="CW93" s="114"/>
      <c r="CX93" s="114"/>
      <c r="CY93" s="114"/>
      <c r="CZ93" s="114"/>
      <c r="DA93" s="114"/>
      <c r="DB93" s="114"/>
      <c r="DC93" s="114"/>
      <c r="DD93" s="114"/>
      <c r="DE93" s="114"/>
      <c r="DF93" s="114"/>
      <c r="DG93" s="114"/>
      <c r="DH93" s="114"/>
      <c r="DI93" s="114"/>
      <c r="DJ93" s="114"/>
      <c r="DK93" s="114"/>
      <c r="DL93" s="114"/>
      <c r="DM93" s="114"/>
      <c r="DN93" s="114"/>
      <c r="DO93" s="114"/>
      <c r="DP93" s="114"/>
      <c r="DQ93" s="114"/>
    </row>
    <row r="94" spans="1:121" ht="15" customHeight="1" outlineLevel="4" x14ac:dyDescent="0.25">
      <c r="A94" s="101"/>
      <c r="B94" s="101"/>
      <c r="C94" s="101">
        <v>5</v>
      </c>
      <c r="D94" s="102" t="s">
        <v>472</v>
      </c>
      <c r="E94" s="103"/>
      <c r="F94" s="103"/>
      <c r="G94" s="103"/>
      <c r="H94" s="103"/>
      <c r="I94" s="103" t="s">
        <v>221</v>
      </c>
      <c r="J94" s="103"/>
      <c r="K94" s="103"/>
      <c r="L94" s="103"/>
      <c r="M94" s="103"/>
      <c r="N94" s="103"/>
      <c r="O94" s="103" t="str">
        <f>O93</f>
        <v>1동 충방전 MSC</v>
      </c>
      <c r="P94" s="104"/>
      <c r="Q94" s="108">
        <v>45184</v>
      </c>
      <c r="R94" s="105">
        <v>45199</v>
      </c>
      <c r="S94" s="106">
        <f>R94-Q94</f>
        <v>15</v>
      </c>
      <c r="T94" s="107">
        <v>16</v>
      </c>
      <c r="U94" s="107">
        <v>0</v>
      </c>
      <c r="V94" s="107">
        <v>16</v>
      </c>
      <c r="W94" s="107">
        <v>0</v>
      </c>
      <c r="X94" s="108"/>
      <c r="Y94" s="108"/>
      <c r="Z94" s="109"/>
      <c r="AA94" s="110">
        <v>0</v>
      </c>
      <c r="AB94" s="107">
        <v>1</v>
      </c>
      <c r="AC94" s="106"/>
      <c r="AD94" s="180"/>
      <c r="AE94" s="111">
        <v>0</v>
      </c>
      <c r="AF94" s="121">
        <v>0</v>
      </c>
      <c r="AG94" s="113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 t="str">
        <f>"     " &amp; TEXT(AF94,"#0.00%") &amp; " " &amp; "전장조립" &amp; " " &amp; IF(Q94="","",TEXT(Q94,"M/D-")) &amp; IF(R94="","",TEXT(R94,"M/D")) &amp; " "</f>
        <v xml:space="preserve">     0.00% 전장조립 9/15-9/30 </v>
      </c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  <c r="CA94" s="114"/>
      <c r="CB94" s="114"/>
      <c r="CC94" s="114"/>
      <c r="CD94" s="114"/>
      <c r="CE94" s="114"/>
      <c r="CF94" s="114"/>
      <c r="CG94" s="114"/>
      <c r="CH94" s="114"/>
      <c r="CI94" s="114"/>
      <c r="CJ94" s="114"/>
      <c r="CK94" s="114"/>
      <c r="CL94" s="114"/>
      <c r="CM94" s="114"/>
      <c r="CN94" s="114"/>
      <c r="CO94" s="114"/>
      <c r="CP94" s="114"/>
      <c r="CQ94" s="114"/>
      <c r="CR94" s="114"/>
      <c r="CS94" s="114"/>
      <c r="CT94" s="114"/>
      <c r="CU94" s="114"/>
      <c r="CV94" s="114"/>
      <c r="CW94" s="114"/>
      <c r="CX94" s="114"/>
      <c r="CY94" s="114"/>
      <c r="CZ94" s="114"/>
      <c r="DA94" s="114"/>
      <c r="DB94" s="114"/>
      <c r="DC94" s="114"/>
      <c r="DD94" s="114"/>
      <c r="DE94" s="114"/>
      <c r="DF94" s="114"/>
      <c r="DG94" s="114"/>
      <c r="DH94" s="114"/>
      <c r="DI94" s="114"/>
      <c r="DJ94" s="114"/>
      <c r="DK94" s="114"/>
      <c r="DL94" s="114"/>
      <c r="DM94" s="114"/>
      <c r="DN94" s="114"/>
      <c r="DO94" s="114"/>
      <c r="DP94" s="114"/>
      <c r="DQ94" s="114"/>
    </row>
    <row r="95" spans="1:121" ht="15" customHeight="1" outlineLevel="3" x14ac:dyDescent="0.25">
      <c r="A95" s="101"/>
      <c r="B95" s="101" t="s">
        <v>153</v>
      </c>
      <c r="C95" s="101">
        <v>4</v>
      </c>
      <c r="D95" s="102" t="s">
        <v>473</v>
      </c>
      <c r="E95" s="103"/>
      <c r="F95" s="103"/>
      <c r="G95" s="103"/>
      <c r="H95" s="103" t="s">
        <v>580</v>
      </c>
      <c r="I95" s="103"/>
      <c r="J95" s="103"/>
      <c r="K95" s="103"/>
      <c r="L95" s="103"/>
      <c r="M95" s="103"/>
      <c r="N95" s="103"/>
      <c r="O95" s="103" t="str">
        <f>H95</f>
        <v>1동 고온#2 Aging MSC</v>
      </c>
      <c r="P95" s="104"/>
      <c r="Q95" s="108">
        <v>44972</v>
      </c>
      <c r="R95" s="105">
        <v>45214</v>
      </c>
      <c r="S95" s="106"/>
      <c r="T95" s="107">
        <v>1189</v>
      </c>
      <c r="U95" s="107">
        <v>268</v>
      </c>
      <c r="V95" s="107">
        <v>243</v>
      </c>
      <c r="W95" s="107">
        <v>98</v>
      </c>
      <c r="X95" s="108"/>
      <c r="Y95" s="108"/>
      <c r="Z95" s="109">
        <v>0</v>
      </c>
      <c r="AA95" s="110">
        <v>0</v>
      </c>
      <c r="AB95" s="107"/>
      <c r="AC95" s="106"/>
      <c r="AD95" s="180"/>
      <c r="AE95" s="111">
        <v>0.2253994953742641</v>
      </c>
      <c r="AF95" s="112">
        <v>0</v>
      </c>
      <c r="AG95" s="113"/>
      <c r="AH95" s="114"/>
      <c r="AI95" s="114" t="str">
        <f>"   " &amp; TEXT(AF95,"#0.00%") &amp; " "</f>
        <v xml:space="preserve">   0.00% </v>
      </c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 t="str">
        <f>" " &amp; "1동 고온#2 Aging MSC" &amp; " " &amp; IF(Q95="","",TEXT(Q95,"M/D-")) &amp; IF(R95="","",TEXT(R95,"M/D")) &amp; " "</f>
        <v xml:space="preserve"> 1동 고온#2 Aging MSC 2/15-10/15 </v>
      </c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/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</row>
    <row r="96" spans="1:121" ht="15" customHeight="1" outlineLevel="4" x14ac:dyDescent="0.25">
      <c r="A96" s="101"/>
      <c r="B96" s="101"/>
      <c r="C96" s="101">
        <v>5</v>
      </c>
      <c r="D96" s="102" t="s">
        <v>474</v>
      </c>
      <c r="E96" s="103"/>
      <c r="F96" s="103"/>
      <c r="G96" s="103"/>
      <c r="H96" s="103"/>
      <c r="I96" s="103" t="s">
        <v>217</v>
      </c>
      <c r="J96" s="103"/>
      <c r="K96" s="103"/>
      <c r="L96" s="103"/>
      <c r="M96" s="103"/>
      <c r="N96" s="103"/>
      <c r="O96" s="103" t="str">
        <f>O95</f>
        <v>1동 고온#2 Aging MSC</v>
      </c>
      <c r="P96" s="104"/>
      <c r="Q96" s="108">
        <v>44972</v>
      </c>
      <c r="R96" s="105">
        <v>45168</v>
      </c>
      <c r="S96" s="106">
        <f>R96-Q96</f>
        <v>196</v>
      </c>
      <c r="T96" s="107">
        <v>394</v>
      </c>
      <c r="U96" s="107">
        <v>196</v>
      </c>
      <c r="V96" s="107">
        <v>197</v>
      </c>
      <c r="W96" s="107">
        <v>98</v>
      </c>
      <c r="X96" s="108"/>
      <c r="Y96" s="108"/>
      <c r="Z96" s="109"/>
      <c r="AA96" s="110">
        <v>0</v>
      </c>
      <c r="AB96" s="107">
        <v>2</v>
      </c>
      <c r="AC96" s="106"/>
      <c r="AD96" s="180"/>
      <c r="AE96" s="111">
        <v>0.49746192893401014</v>
      </c>
      <c r="AF96" s="117">
        <v>0</v>
      </c>
      <c r="AG96" s="113"/>
      <c r="AH96" s="114"/>
      <c r="AI96" s="114" t="str">
        <f>"   " &amp; TEXT(AF96,"#0.00%") &amp; " "</f>
        <v xml:space="preserve">   0.00% </v>
      </c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 t="str">
        <f>"    " &amp; "장납기 구매품 발주 및 입고" &amp; " " &amp; IF(Q96="","",TEXT(Q96,"M/D-")) &amp; IF(R96="","",TEXT(R96,"M/D")) &amp; " "</f>
        <v xml:space="preserve">    장납기 구매품 발주 및 입고 2/15-8/30 </v>
      </c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  <c r="CA96" s="114"/>
      <c r="CB96" s="114"/>
      <c r="CC96" s="114"/>
      <c r="CD96" s="114"/>
      <c r="CE96" s="114"/>
      <c r="CF96" s="114"/>
      <c r="CG96" s="114"/>
      <c r="CH96" s="114"/>
      <c r="CI96" s="114"/>
      <c r="CJ96" s="114"/>
      <c r="CK96" s="114"/>
      <c r="CL96" s="114"/>
      <c r="CM96" s="114"/>
      <c r="CN96" s="114"/>
      <c r="CO96" s="114"/>
      <c r="CP96" s="114"/>
      <c r="CQ96" s="114"/>
      <c r="CR96" s="114"/>
      <c r="CS96" s="114"/>
      <c r="CT96" s="114"/>
      <c r="CU96" s="114"/>
      <c r="CV96" s="114"/>
      <c r="CW96" s="114"/>
      <c r="CX96" s="114"/>
      <c r="CY96" s="114"/>
      <c r="CZ96" s="114"/>
      <c r="DA96" s="114"/>
      <c r="DB96" s="114"/>
      <c r="DC96" s="114"/>
      <c r="DD96" s="114"/>
      <c r="DE96" s="114"/>
      <c r="DF96" s="114"/>
      <c r="DG96" s="114"/>
      <c r="DH96" s="114"/>
      <c r="DI96" s="114"/>
      <c r="DJ96" s="114"/>
      <c r="DK96" s="114"/>
      <c r="DL96" s="114"/>
      <c r="DM96" s="114"/>
      <c r="DN96" s="114"/>
      <c r="DO96" s="114"/>
      <c r="DP96" s="114"/>
      <c r="DQ96" s="114"/>
    </row>
    <row r="97" spans="1:121" ht="15" customHeight="1" outlineLevel="4" x14ac:dyDescent="0.25">
      <c r="A97" s="101"/>
      <c r="B97" s="101"/>
      <c r="C97" s="101">
        <v>5</v>
      </c>
      <c r="D97" s="102" t="s">
        <v>475</v>
      </c>
      <c r="E97" s="103"/>
      <c r="F97" s="103"/>
      <c r="G97" s="103"/>
      <c r="H97" s="103"/>
      <c r="I97" s="103" t="s">
        <v>219</v>
      </c>
      <c r="J97" s="103"/>
      <c r="K97" s="103"/>
      <c r="L97" s="103"/>
      <c r="M97" s="103"/>
      <c r="N97" s="103"/>
      <c r="O97" s="103" t="str">
        <f>O96</f>
        <v>1동 고온#2 Aging MSC</v>
      </c>
      <c r="P97" s="104"/>
      <c r="Q97" s="108">
        <v>45046</v>
      </c>
      <c r="R97" s="105">
        <v>45137</v>
      </c>
      <c r="S97" s="106">
        <f>R97-Q97</f>
        <v>91</v>
      </c>
      <c r="T97" s="107">
        <v>276</v>
      </c>
      <c r="U97" s="107">
        <v>72</v>
      </c>
      <c r="V97" s="107">
        <v>92</v>
      </c>
      <c r="W97" s="107">
        <v>24</v>
      </c>
      <c r="X97" s="108"/>
      <c r="Y97" s="108"/>
      <c r="Z97" s="109"/>
      <c r="AA97" s="110">
        <v>0</v>
      </c>
      <c r="AB97" s="107">
        <v>3</v>
      </c>
      <c r="AC97" s="106"/>
      <c r="AD97" s="180"/>
      <c r="AE97" s="111">
        <v>0.2608695652173913</v>
      </c>
      <c r="AF97" s="117">
        <v>0</v>
      </c>
      <c r="AG97" s="113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 t="str">
        <f>"" &amp; TEXT(AF97,"#0.00%") &amp; " "</f>
        <v xml:space="preserve">0.00% </v>
      </c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 t="str">
        <f>" " &amp; "단품제작" &amp; " " &amp; IF(Q97="","",TEXT(Q97,"M/D-")) &amp; IF(R97="","",TEXT(R97,"M/D")) &amp; " "</f>
        <v xml:space="preserve"> 단품제작 4/30-7/30 </v>
      </c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  <c r="CA97" s="114"/>
      <c r="CB97" s="114"/>
      <c r="CC97" s="114"/>
      <c r="CD97" s="114"/>
      <c r="CE97" s="114"/>
      <c r="CF97" s="114"/>
      <c r="CG97" s="114"/>
      <c r="CH97" s="114"/>
      <c r="CI97" s="114"/>
      <c r="CJ97" s="114"/>
      <c r="CK97" s="114"/>
      <c r="CL97" s="114"/>
      <c r="CM97" s="114"/>
      <c r="CN97" s="114"/>
      <c r="CO97" s="114"/>
      <c r="CP97" s="114"/>
      <c r="CQ97" s="114"/>
      <c r="CR97" s="114"/>
      <c r="CS97" s="114"/>
      <c r="CT97" s="114"/>
      <c r="CU97" s="114"/>
      <c r="CV97" s="114"/>
      <c r="CW97" s="114"/>
      <c r="CX97" s="114"/>
      <c r="CY97" s="114"/>
      <c r="CZ97" s="114"/>
      <c r="DA97" s="114"/>
      <c r="DB97" s="114"/>
      <c r="DC97" s="114"/>
      <c r="DD97" s="114"/>
      <c r="DE97" s="114"/>
      <c r="DF97" s="114"/>
      <c r="DG97" s="114"/>
      <c r="DH97" s="114"/>
      <c r="DI97" s="114"/>
      <c r="DJ97" s="114"/>
      <c r="DK97" s="114"/>
      <c r="DL97" s="114"/>
      <c r="DM97" s="114"/>
      <c r="DN97" s="114"/>
      <c r="DO97" s="114"/>
      <c r="DP97" s="114"/>
      <c r="DQ97" s="114"/>
    </row>
    <row r="98" spans="1:121" ht="15" customHeight="1" outlineLevel="4" x14ac:dyDescent="0.25">
      <c r="A98" s="101"/>
      <c r="B98" s="101"/>
      <c r="C98" s="101">
        <v>5</v>
      </c>
      <c r="D98" s="102" t="s">
        <v>476</v>
      </c>
      <c r="E98" s="103"/>
      <c r="F98" s="103"/>
      <c r="G98" s="103"/>
      <c r="H98" s="103"/>
      <c r="I98" s="103" t="s">
        <v>220</v>
      </c>
      <c r="J98" s="103"/>
      <c r="K98" s="103"/>
      <c r="L98" s="103"/>
      <c r="M98" s="103"/>
      <c r="N98" s="103"/>
      <c r="O98" s="103" t="str">
        <f>O97</f>
        <v>1동 고온#2 Aging MSC</v>
      </c>
      <c r="P98" s="104"/>
      <c r="Q98" s="108">
        <v>45078</v>
      </c>
      <c r="R98" s="105">
        <v>45199</v>
      </c>
      <c r="S98" s="106">
        <f>R98-Q98</f>
        <v>121</v>
      </c>
      <c r="T98" s="107">
        <v>488</v>
      </c>
      <c r="U98" s="107">
        <v>0</v>
      </c>
      <c r="V98" s="107">
        <v>122</v>
      </c>
      <c r="W98" s="107">
        <v>0</v>
      </c>
      <c r="X98" s="108"/>
      <c r="Y98" s="108"/>
      <c r="Z98" s="109"/>
      <c r="AA98" s="110">
        <v>0</v>
      </c>
      <c r="AB98" s="107">
        <v>4</v>
      </c>
      <c r="AC98" s="106"/>
      <c r="AD98" s="180"/>
      <c r="AE98" s="111">
        <v>0</v>
      </c>
      <c r="AF98" s="121">
        <v>0</v>
      </c>
      <c r="AG98" s="113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 t="str">
        <f>"    " &amp; TEXT(AF98,"#0.00%") &amp; " "</f>
        <v xml:space="preserve">    0.00% </v>
      </c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 t="str">
        <f>"" &amp; "기구조립" &amp; " " &amp; IF(Q98="","",TEXT(Q98,"M/D-")) &amp; IF(R98="","",TEXT(R98,"M/D")) &amp; " "</f>
        <v xml:space="preserve">기구조립 6/1-9/30 </v>
      </c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  <c r="CA98" s="114"/>
      <c r="CB98" s="114"/>
      <c r="CC98" s="114"/>
      <c r="CD98" s="114"/>
      <c r="CE98" s="114"/>
      <c r="CF98" s="114"/>
      <c r="CG98" s="114"/>
      <c r="CH98" s="114"/>
      <c r="CI98" s="114"/>
      <c r="CJ98" s="114"/>
      <c r="CK98" s="114"/>
      <c r="CL98" s="114"/>
      <c r="CM98" s="114"/>
      <c r="CN98" s="114"/>
      <c r="CO98" s="114"/>
      <c r="CP98" s="114"/>
      <c r="CQ98" s="114"/>
      <c r="CR98" s="114"/>
      <c r="CS98" s="114"/>
      <c r="CT98" s="114"/>
      <c r="CU98" s="114"/>
      <c r="CV98" s="114"/>
      <c r="CW98" s="114"/>
      <c r="CX98" s="114"/>
      <c r="CY98" s="114"/>
      <c r="CZ98" s="114"/>
      <c r="DA98" s="114"/>
      <c r="DB98" s="114"/>
      <c r="DC98" s="114"/>
      <c r="DD98" s="114"/>
      <c r="DE98" s="114"/>
      <c r="DF98" s="114"/>
      <c r="DG98" s="114"/>
      <c r="DH98" s="114"/>
      <c r="DI98" s="114"/>
      <c r="DJ98" s="114"/>
      <c r="DK98" s="114"/>
      <c r="DL98" s="114"/>
      <c r="DM98" s="114"/>
      <c r="DN98" s="114"/>
      <c r="DO98" s="114"/>
      <c r="DP98" s="114"/>
      <c r="DQ98" s="114"/>
    </row>
    <row r="99" spans="1:121" ht="15" customHeight="1" outlineLevel="4" x14ac:dyDescent="0.25">
      <c r="A99" s="101"/>
      <c r="B99" s="101"/>
      <c r="C99" s="101">
        <v>5</v>
      </c>
      <c r="D99" s="102" t="s">
        <v>477</v>
      </c>
      <c r="E99" s="103"/>
      <c r="F99" s="103"/>
      <c r="G99" s="103"/>
      <c r="H99" s="103"/>
      <c r="I99" s="103" t="s">
        <v>221</v>
      </c>
      <c r="J99" s="103"/>
      <c r="K99" s="103"/>
      <c r="L99" s="103"/>
      <c r="M99" s="103"/>
      <c r="N99" s="103"/>
      <c r="O99" s="103" t="str">
        <f>O98</f>
        <v>1동 고온#2 Aging MSC</v>
      </c>
      <c r="P99" s="104"/>
      <c r="Q99" s="108">
        <v>45184</v>
      </c>
      <c r="R99" s="105">
        <v>45214</v>
      </c>
      <c r="S99" s="106">
        <f>R99-Q99</f>
        <v>30</v>
      </c>
      <c r="T99" s="107">
        <v>31</v>
      </c>
      <c r="U99" s="107">
        <v>0</v>
      </c>
      <c r="V99" s="107">
        <v>31</v>
      </c>
      <c r="W99" s="107">
        <v>0</v>
      </c>
      <c r="X99" s="108"/>
      <c r="Y99" s="108"/>
      <c r="Z99" s="109"/>
      <c r="AA99" s="110">
        <v>0</v>
      </c>
      <c r="AB99" s="107">
        <v>1</v>
      </c>
      <c r="AC99" s="106"/>
      <c r="AD99" s="180"/>
      <c r="AE99" s="111">
        <v>0</v>
      </c>
      <c r="AF99" s="121">
        <v>0</v>
      </c>
      <c r="AG99" s="113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 t="str">
        <f>"     " &amp; TEXT(AF99,"#0.00%") &amp; " "</f>
        <v xml:space="preserve">     0.00% </v>
      </c>
      <c r="BN99" s="114"/>
      <c r="BO99" s="114"/>
      <c r="BP99" s="114"/>
      <c r="BQ99" s="114"/>
      <c r="BR99" s="114" t="str">
        <f>" " &amp; "전장조립" &amp; " " &amp; IF(Q99="","",TEXT(Q99,"M/D-")) &amp; IF(R99="","",TEXT(R99,"M/D")) &amp; " "</f>
        <v xml:space="preserve"> 전장조립 9/15-10/15 </v>
      </c>
      <c r="BS99" s="114"/>
      <c r="BT99" s="114"/>
      <c r="BU99" s="114"/>
      <c r="BV99" s="114"/>
      <c r="BW99" s="114"/>
      <c r="BX99" s="114"/>
      <c r="BY99" s="114"/>
      <c r="BZ99" s="114"/>
      <c r="CA99" s="114"/>
      <c r="CB99" s="114"/>
      <c r="CC99" s="114"/>
      <c r="CD99" s="114"/>
      <c r="CE99" s="114"/>
      <c r="CF99" s="114"/>
      <c r="CG99" s="114"/>
      <c r="CH99" s="114"/>
      <c r="CI99" s="114"/>
      <c r="CJ99" s="114"/>
      <c r="CK99" s="114"/>
      <c r="CL99" s="114"/>
      <c r="CM99" s="114"/>
      <c r="CN99" s="114"/>
      <c r="CO99" s="114"/>
      <c r="CP99" s="114"/>
      <c r="CQ99" s="114"/>
      <c r="CR99" s="114"/>
      <c r="CS99" s="114"/>
      <c r="CT99" s="114"/>
      <c r="CU99" s="114"/>
      <c r="CV99" s="114"/>
      <c r="CW99" s="114"/>
      <c r="CX99" s="114"/>
      <c r="CY99" s="114"/>
      <c r="CZ99" s="114"/>
      <c r="DA99" s="114"/>
      <c r="DB99" s="114"/>
      <c r="DC99" s="114"/>
      <c r="DD99" s="114"/>
      <c r="DE99" s="114"/>
      <c r="DF99" s="114"/>
      <c r="DG99" s="114"/>
      <c r="DH99" s="114"/>
      <c r="DI99" s="114"/>
      <c r="DJ99" s="114"/>
      <c r="DK99" s="114"/>
      <c r="DL99" s="114"/>
      <c r="DM99" s="114"/>
      <c r="DN99" s="114"/>
      <c r="DO99" s="114"/>
      <c r="DP99" s="114"/>
      <c r="DQ99" s="114"/>
    </row>
    <row r="100" spans="1:121" ht="15" customHeight="1" outlineLevel="3" x14ac:dyDescent="0.25">
      <c r="A100" s="101"/>
      <c r="B100" s="101" t="s">
        <v>153</v>
      </c>
      <c r="C100" s="101">
        <v>4</v>
      </c>
      <c r="D100" s="102" t="s">
        <v>478</v>
      </c>
      <c r="E100" s="103"/>
      <c r="F100" s="103"/>
      <c r="G100" s="103"/>
      <c r="H100" s="103" t="s">
        <v>581</v>
      </c>
      <c r="I100" s="103"/>
      <c r="J100" s="103"/>
      <c r="K100" s="103"/>
      <c r="L100" s="103"/>
      <c r="M100" s="103"/>
      <c r="N100" s="103"/>
      <c r="O100" s="103" t="str">
        <f>H100</f>
        <v>1동 상온#2,3 Aging MSC</v>
      </c>
      <c r="P100" s="104"/>
      <c r="Q100" s="108">
        <v>44972</v>
      </c>
      <c r="R100" s="105">
        <v>45229</v>
      </c>
      <c r="S100" s="106"/>
      <c r="T100" s="107">
        <v>1282</v>
      </c>
      <c r="U100" s="107">
        <v>268</v>
      </c>
      <c r="V100" s="107">
        <v>258</v>
      </c>
      <c r="W100" s="107">
        <v>98</v>
      </c>
      <c r="X100" s="108"/>
      <c r="Y100" s="108"/>
      <c r="Z100" s="109">
        <v>0</v>
      </c>
      <c r="AA100" s="110">
        <v>0</v>
      </c>
      <c r="AB100" s="107"/>
      <c r="AC100" s="106"/>
      <c r="AD100" s="180"/>
      <c r="AE100" s="111">
        <v>0.20904836193447737</v>
      </c>
      <c r="AF100" s="112">
        <v>0</v>
      </c>
      <c r="AG100" s="113"/>
      <c r="AH100" s="114"/>
      <c r="AI100" s="114" t="str">
        <f>"   " &amp; TEXT(AF100,"#0.00%") &amp; " "</f>
        <v xml:space="preserve">   0.00% </v>
      </c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 t="str">
        <f>"  " &amp; "1동 상온#2,3 Aging MSC" &amp; " " &amp; IF(Q100="","",TEXT(Q100,"M/D-")) &amp; IF(R100="","",TEXT(R100,"M/D")) &amp; " "</f>
        <v xml:space="preserve">  1동 상온#2,3 Aging MSC 2/15-10/30 </v>
      </c>
      <c r="BU100" s="114"/>
      <c r="BV100" s="114"/>
      <c r="BW100" s="114"/>
      <c r="BX100" s="114"/>
      <c r="BY100" s="114"/>
      <c r="BZ100" s="114"/>
      <c r="CA100" s="114"/>
      <c r="CB100" s="114"/>
      <c r="CC100" s="114"/>
      <c r="CD100" s="114"/>
      <c r="CE100" s="114"/>
      <c r="CF100" s="114"/>
      <c r="CG100" s="114"/>
      <c r="CH100" s="114"/>
      <c r="CI100" s="114"/>
      <c r="CJ100" s="114"/>
      <c r="CK100" s="114"/>
      <c r="CL100" s="114"/>
      <c r="CM100" s="114"/>
      <c r="CN100" s="114"/>
      <c r="CO100" s="114"/>
      <c r="CP100" s="114"/>
      <c r="CQ100" s="114"/>
      <c r="CR100" s="114"/>
      <c r="CS100" s="114"/>
      <c r="CT100" s="114"/>
      <c r="CU100" s="114"/>
      <c r="CV100" s="114"/>
      <c r="CW100" s="114"/>
      <c r="CX100" s="114"/>
      <c r="CY100" s="114"/>
      <c r="CZ100" s="114"/>
      <c r="DA100" s="114"/>
      <c r="DB100" s="114"/>
      <c r="DC100" s="114"/>
      <c r="DD100" s="114"/>
      <c r="DE100" s="114"/>
      <c r="DF100" s="114"/>
      <c r="DG100" s="114"/>
      <c r="DH100" s="114"/>
      <c r="DI100" s="114"/>
      <c r="DJ100" s="114"/>
      <c r="DK100" s="114"/>
      <c r="DL100" s="114"/>
      <c r="DM100" s="114"/>
      <c r="DN100" s="114"/>
      <c r="DO100" s="114"/>
      <c r="DP100" s="114"/>
      <c r="DQ100" s="114"/>
    </row>
    <row r="101" spans="1:121" ht="15" customHeight="1" outlineLevel="4" x14ac:dyDescent="0.25">
      <c r="A101" s="101"/>
      <c r="B101" s="101"/>
      <c r="C101" s="101">
        <v>5</v>
      </c>
      <c r="D101" s="102" t="s">
        <v>479</v>
      </c>
      <c r="E101" s="103"/>
      <c r="F101" s="103"/>
      <c r="G101" s="103"/>
      <c r="H101" s="103"/>
      <c r="I101" s="103" t="s">
        <v>217</v>
      </c>
      <c r="J101" s="103"/>
      <c r="K101" s="103"/>
      <c r="L101" s="103"/>
      <c r="M101" s="103"/>
      <c r="N101" s="103"/>
      <c r="O101" s="103" t="str">
        <f>O100</f>
        <v>1동 상온#2,3 Aging MSC</v>
      </c>
      <c r="P101" s="104"/>
      <c r="Q101" s="108">
        <v>44972</v>
      </c>
      <c r="R101" s="105">
        <v>45168</v>
      </c>
      <c r="S101" s="106">
        <f>R101-Q101</f>
        <v>196</v>
      </c>
      <c r="T101" s="107">
        <v>394</v>
      </c>
      <c r="U101" s="107">
        <v>196</v>
      </c>
      <c r="V101" s="107">
        <v>197</v>
      </c>
      <c r="W101" s="107">
        <v>98</v>
      </c>
      <c r="X101" s="108"/>
      <c r="Y101" s="108"/>
      <c r="Z101" s="109"/>
      <c r="AA101" s="110">
        <v>0</v>
      </c>
      <c r="AB101" s="107">
        <v>2</v>
      </c>
      <c r="AC101" s="106"/>
      <c r="AD101" s="180"/>
      <c r="AE101" s="111">
        <v>0.49746192893401014</v>
      </c>
      <c r="AF101" s="117">
        <v>0</v>
      </c>
      <c r="AG101" s="113"/>
      <c r="AH101" s="114"/>
      <c r="AI101" s="114" t="str">
        <f>"   " &amp; TEXT(AF101,"#0.00%") &amp; " "</f>
        <v xml:space="preserve">   0.00% </v>
      </c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 t="str">
        <f>"    " &amp; "장납기 구매품 발주 및 입고" &amp; " " &amp; IF(Q101="","",TEXT(Q101,"M/D-")) &amp; IF(R101="","",TEXT(R101,"M/D")) &amp; " "</f>
        <v xml:space="preserve">    장납기 구매품 발주 및 입고 2/15-8/30 </v>
      </c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  <c r="CA101" s="114"/>
      <c r="CB101" s="114"/>
      <c r="CC101" s="114"/>
      <c r="CD101" s="114"/>
      <c r="CE101" s="114"/>
      <c r="CF101" s="114"/>
      <c r="CG101" s="114"/>
      <c r="CH101" s="114"/>
      <c r="CI101" s="114"/>
      <c r="CJ101" s="114"/>
      <c r="CK101" s="114"/>
      <c r="CL101" s="114"/>
      <c r="CM101" s="114"/>
      <c r="CN101" s="114"/>
      <c r="CO101" s="114"/>
      <c r="CP101" s="114"/>
      <c r="CQ101" s="114"/>
      <c r="CR101" s="114"/>
      <c r="CS101" s="114"/>
      <c r="CT101" s="114"/>
      <c r="CU101" s="114"/>
      <c r="CV101" s="114"/>
      <c r="CW101" s="114"/>
      <c r="CX101" s="114"/>
      <c r="CY101" s="114"/>
      <c r="CZ101" s="114"/>
      <c r="DA101" s="114"/>
      <c r="DB101" s="114"/>
      <c r="DC101" s="114"/>
      <c r="DD101" s="114"/>
      <c r="DE101" s="114"/>
      <c r="DF101" s="114"/>
      <c r="DG101" s="114"/>
      <c r="DH101" s="114"/>
      <c r="DI101" s="114"/>
      <c r="DJ101" s="114"/>
      <c r="DK101" s="114"/>
      <c r="DL101" s="114"/>
      <c r="DM101" s="114"/>
      <c r="DN101" s="114"/>
      <c r="DO101" s="114"/>
      <c r="DP101" s="114"/>
      <c r="DQ101" s="114"/>
    </row>
    <row r="102" spans="1:121" ht="15" customHeight="1" outlineLevel="4" x14ac:dyDescent="0.25">
      <c r="A102" s="101"/>
      <c r="B102" s="101"/>
      <c r="C102" s="101">
        <v>5</v>
      </c>
      <c r="D102" s="102" t="s">
        <v>480</v>
      </c>
      <c r="E102" s="103"/>
      <c r="F102" s="103"/>
      <c r="G102" s="103"/>
      <c r="H102" s="103"/>
      <c r="I102" s="103" t="s">
        <v>219</v>
      </c>
      <c r="J102" s="103"/>
      <c r="K102" s="103"/>
      <c r="L102" s="103"/>
      <c r="M102" s="103"/>
      <c r="N102" s="103"/>
      <c r="O102" s="103" t="str">
        <f>O101</f>
        <v>1동 상온#2,3 Aging MSC</v>
      </c>
      <c r="P102" s="104"/>
      <c r="Q102" s="108">
        <v>45046</v>
      </c>
      <c r="R102" s="105">
        <v>45153</v>
      </c>
      <c r="S102" s="106">
        <f>R102-Q102</f>
        <v>107</v>
      </c>
      <c r="T102" s="107">
        <v>324</v>
      </c>
      <c r="U102" s="107">
        <v>72</v>
      </c>
      <c r="V102" s="107">
        <v>108</v>
      </c>
      <c r="W102" s="107">
        <v>24</v>
      </c>
      <c r="X102" s="108"/>
      <c r="Y102" s="108"/>
      <c r="Z102" s="109"/>
      <c r="AA102" s="110">
        <v>0</v>
      </c>
      <c r="AB102" s="107">
        <v>3</v>
      </c>
      <c r="AC102" s="106"/>
      <c r="AD102" s="180"/>
      <c r="AE102" s="111">
        <v>0.22222222222222221</v>
      </c>
      <c r="AF102" s="117">
        <v>0</v>
      </c>
      <c r="AG102" s="113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 t="str">
        <f>"" &amp; TEXT(AF102,"#0.00%") &amp; " "</f>
        <v xml:space="preserve">0.00% </v>
      </c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 t="str">
        <f>"   " &amp; "단품제작" &amp; " " &amp; IF(Q102="","",TEXT(Q102,"M/D-")) &amp; IF(R102="","",TEXT(R102,"M/D")) &amp; " "</f>
        <v xml:space="preserve">   단품제작 4/30-8/15 </v>
      </c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  <c r="CA102" s="114"/>
      <c r="CB102" s="114"/>
      <c r="CC102" s="114"/>
      <c r="CD102" s="114"/>
      <c r="CE102" s="114"/>
      <c r="CF102" s="114"/>
      <c r="CG102" s="114"/>
      <c r="CH102" s="114"/>
      <c r="CI102" s="114"/>
      <c r="CJ102" s="114"/>
      <c r="CK102" s="114"/>
      <c r="CL102" s="114"/>
      <c r="CM102" s="114"/>
      <c r="CN102" s="114"/>
      <c r="CO102" s="114"/>
      <c r="CP102" s="114"/>
      <c r="CQ102" s="114"/>
      <c r="CR102" s="114"/>
      <c r="CS102" s="114"/>
      <c r="CT102" s="114"/>
      <c r="CU102" s="114"/>
      <c r="CV102" s="114"/>
      <c r="CW102" s="114"/>
      <c r="CX102" s="114"/>
      <c r="CY102" s="114"/>
      <c r="CZ102" s="114"/>
      <c r="DA102" s="114"/>
      <c r="DB102" s="114"/>
      <c r="DC102" s="114"/>
      <c r="DD102" s="114"/>
      <c r="DE102" s="114"/>
      <c r="DF102" s="114"/>
      <c r="DG102" s="114"/>
      <c r="DH102" s="114"/>
      <c r="DI102" s="114"/>
      <c r="DJ102" s="114"/>
      <c r="DK102" s="114"/>
      <c r="DL102" s="114"/>
      <c r="DM102" s="114"/>
      <c r="DN102" s="114"/>
      <c r="DO102" s="114"/>
      <c r="DP102" s="114"/>
      <c r="DQ102" s="114"/>
    </row>
    <row r="103" spans="1:121" ht="15" customHeight="1" outlineLevel="4" x14ac:dyDescent="0.25">
      <c r="A103" s="101"/>
      <c r="B103" s="101"/>
      <c r="C103" s="101">
        <v>5</v>
      </c>
      <c r="D103" s="102" t="s">
        <v>481</v>
      </c>
      <c r="E103" s="103"/>
      <c r="F103" s="103"/>
      <c r="G103" s="103"/>
      <c r="H103" s="103"/>
      <c r="I103" s="103" t="s">
        <v>220</v>
      </c>
      <c r="J103" s="103"/>
      <c r="K103" s="103"/>
      <c r="L103" s="103"/>
      <c r="M103" s="103"/>
      <c r="N103" s="103"/>
      <c r="O103" s="103" t="str">
        <f>O102</f>
        <v>1동 상온#2,3 Aging MSC</v>
      </c>
      <c r="P103" s="104"/>
      <c r="Q103" s="108">
        <v>45078</v>
      </c>
      <c r="R103" s="105">
        <v>45214</v>
      </c>
      <c r="S103" s="106">
        <f>R103-Q103</f>
        <v>136</v>
      </c>
      <c r="T103" s="107">
        <v>548</v>
      </c>
      <c r="U103" s="107">
        <v>0</v>
      </c>
      <c r="V103" s="107">
        <v>137</v>
      </c>
      <c r="W103" s="107">
        <v>0</v>
      </c>
      <c r="X103" s="108"/>
      <c r="Y103" s="108"/>
      <c r="Z103" s="109"/>
      <c r="AA103" s="110">
        <v>0</v>
      </c>
      <c r="AB103" s="107">
        <v>4</v>
      </c>
      <c r="AC103" s="106"/>
      <c r="AD103" s="180"/>
      <c r="AE103" s="111">
        <v>0</v>
      </c>
      <c r="AF103" s="121">
        <v>0</v>
      </c>
      <c r="AG103" s="113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 t="str">
        <f>"    " &amp; TEXT(AF103,"#0.00%") &amp; " "</f>
        <v xml:space="preserve">    0.00% </v>
      </c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 t="str">
        <f>" " &amp; "기구조립" &amp; " " &amp; IF(Q103="","",TEXT(Q103,"M/D-")) &amp; IF(R103="","",TEXT(R103,"M/D")) &amp; " "</f>
        <v xml:space="preserve"> 기구조립 6/1-10/15 </v>
      </c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4"/>
      <c r="CD103" s="114"/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4"/>
      <c r="CY103" s="114"/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</row>
    <row r="104" spans="1:121" ht="15" customHeight="1" outlineLevel="4" x14ac:dyDescent="0.25">
      <c r="A104" s="101"/>
      <c r="B104" s="101"/>
      <c r="C104" s="101">
        <v>5</v>
      </c>
      <c r="D104" s="102" t="s">
        <v>482</v>
      </c>
      <c r="E104" s="103"/>
      <c r="F104" s="103"/>
      <c r="G104" s="103"/>
      <c r="H104" s="103"/>
      <c r="I104" s="103" t="s">
        <v>221</v>
      </c>
      <c r="J104" s="103"/>
      <c r="K104" s="103"/>
      <c r="L104" s="103"/>
      <c r="M104" s="103"/>
      <c r="N104" s="103"/>
      <c r="O104" s="103" t="str">
        <f>O103</f>
        <v>1동 상온#2,3 Aging MSC</v>
      </c>
      <c r="P104" s="104"/>
      <c r="Q104" s="108">
        <v>45214</v>
      </c>
      <c r="R104" s="105">
        <v>45229</v>
      </c>
      <c r="S104" s="106">
        <f>R104-Q104</f>
        <v>15</v>
      </c>
      <c r="T104" s="107">
        <v>16</v>
      </c>
      <c r="U104" s="107">
        <v>0</v>
      </c>
      <c r="V104" s="107">
        <v>16</v>
      </c>
      <c r="W104" s="107">
        <v>0</v>
      </c>
      <c r="X104" s="108"/>
      <c r="Y104" s="108"/>
      <c r="Z104" s="109"/>
      <c r="AA104" s="110">
        <v>0</v>
      </c>
      <c r="AB104" s="107">
        <v>1</v>
      </c>
      <c r="AC104" s="106"/>
      <c r="AD104" s="180"/>
      <c r="AE104" s="111">
        <v>0</v>
      </c>
      <c r="AF104" s="121">
        <v>0</v>
      </c>
      <c r="AG104" s="113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 t="str">
        <f>"" &amp; TEXT(AF104,"#0.00%") &amp; " " &amp; "전장조립" &amp; " " &amp; IF(Q104="","",TEXT(Q104,"M/D-")) &amp; IF(R104="","",TEXT(R104,"M/D")) &amp; " "</f>
        <v xml:space="preserve">0.00% 전장조립 10/15-10/30 </v>
      </c>
      <c r="BS104" s="114"/>
      <c r="BT104" s="114"/>
      <c r="BU104" s="114"/>
      <c r="BV104" s="114"/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114"/>
      <c r="DH104" s="114"/>
      <c r="DI104" s="114"/>
      <c r="DJ104" s="114"/>
      <c r="DK104" s="114"/>
      <c r="DL104" s="114"/>
      <c r="DM104" s="114"/>
      <c r="DN104" s="114"/>
      <c r="DO104" s="114"/>
      <c r="DP104" s="114"/>
      <c r="DQ104" s="114"/>
    </row>
    <row r="105" spans="1:121" ht="15" customHeight="1" outlineLevel="3" x14ac:dyDescent="0.25">
      <c r="A105" s="101"/>
      <c r="B105" s="101" t="s">
        <v>153</v>
      </c>
      <c r="C105" s="101">
        <v>4</v>
      </c>
      <c r="D105" s="102" t="s">
        <v>483</v>
      </c>
      <c r="E105" s="103"/>
      <c r="F105" s="103"/>
      <c r="G105" s="103"/>
      <c r="H105" s="103" t="s">
        <v>582</v>
      </c>
      <c r="I105" s="103"/>
      <c r="J105" s="103"/>
      <c r="K105" s="103"/>
      <c r="L105" s="103"/>
      <c r="M105" s="103"/>
      <c r="N105" s="103"/>
      <c r="O105" s="103" t="str">
        <f>H105</f>
        <v>1동 공 Tray Buffer MSC</v>
      </c>
      <c r="P105" s="104"/>
      <c r="Q105" s="108">
        <v>44972</v>
      </c>
      <c r="R105" s="105">
        <v>45214</v>
      </c>
      <c r="S105" s="106"/>
      <c r="T105" s="107">
        <v>1143</v>
      </c>
      <c r="U105" s="107">
        <v>268</v>
      </c>
      <c r="V105" s="107">
        <v>243</v>
      </c>
      <c r="W105" s="107">
        <v>98</v>
      </c>
      <c r="X105" s="108"/>
      <c r="Y105" s="108"/>
      <c r="Z105" s="109">
        <v>0</v>
      </c>
      <c r="AA105" s="110">
        <v>0</v>
      </c>
      <c r="AB105" s="107"/>
      <c r="AC105" s="106"/>
      <c r="AD105" s="180"/>
      <c r="AE105" s="111">
        <v>0.23447069116360456</v>
      </c>
      <c r="AF105" s="112">
        <v>0</v>
      </c>
      <c r="AG105" s="113"/>
      <c r="AH105" s="114"/>
      <c r="AI105" s="114" t="str">
        <f>"   " &amp; TEXT(AF105,"#0.00%") &amp; " "</f>
        <v xml:space="preserve">   0.00% </v>
      </c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 t="str">
        <f>" " &amp; "1동 공 Tray Buffer MSC" &amp; " " &amp; IF(Q105="","",TEXT(Q105,"M/D-")) &amp; IF(R105="","",TEXT(R105,"M/D")) &amp; " "</f>
        <v xml:space="preserve"> 1동 공 Tray Buffer MSC 2/15-10/15 </v>
      </c>
      <c r="BS105" s="114"/>
      <c r="BT105" s="114"/>
      <c r="BU105" s="114"/>
      <c r="BV105" s="114"/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114"/>
      <c r="DH105" s="114"/>
      <c r="DI105" s="114"/>
      <c r="DJ105" s="114"/>
      <c r="DK105" s="114"/>
      <c r="DL105" s="114"/>
      <c r="DM105" s="114"/>
      <c r="DN105" s="114"/>
      <c r="DO105" s="114"/>
      <c r="DP105" s="114"/>
      <c r="DQ105" s="114"/>
    </row>
    <row r="106" spans="1:121" ht="15" customHeight="1" outlineLevel="4" x14ac:dyDescent="0.25">
      <c r="A106" s="101"/>
      <c r="B106" s="101"/>
      <c r="C106" s="101">
        <v>5</v>
      </c>
      <c r="D106" s="102" t="s">
        <v>484</v>
      </c>
      <c r="E106" s="103"/>
      <c r="F106" s="103"/>
      <c r="G106" s="103"/>
      <c r="H106" s="103"/>
      <c r="I106" s="103" t="s">
        <v>217</v>
      </c>
      <c r="J106" s="103"/>
      <c r="K106" s="103"/>
      <c r="L106" s="103"/>
      <c r="M106" s="103"/>
      <c r="N106" s="103"/>
      <c r="O106" s="103" t="str">
        <f>O105</f>
        <v>1동 공 Tray Buffer MSC</v>
      </c>
      <c r="P106" s="104"/>
      <c r="Q106" s="108">
        <v>44972</v>
      </c>
      <c r="R106" s="105">
        <v>45168</v>
      </c>
      <c r="S106" s="106">
        <f>R106-Q106</f>
        <v>196</v>
      </c>
      <c r="T106" s="107">
        <v>394</v>
      </c>
      <c r="U106" s="107">
        <v>196</v>
      </c>
      <c r="V106" s="107">
        <v>197</v>
      </c>
      <c r="W106" s="107">
        <v>98</v>
      </c>
      <c r="X106" s="108"/>
      <c r="Y106" s="108"/>
      <c r="Z106" s="109"/>
      <c r="AA106" s="110">
        <v>0</v>
      </c>
      <c r="AB106" s="107">
        <v>2</v>
      </c>
      <c r="AC106" s="106"/>
      <c r="AD106" s="180"/>
      <c r="AE106" s="111">
        <v>0.49746192893401014</v>
      </c>
      <c r="AF106" s="117">
        <v>0</v>
      </c>
      <c r="AG106" s="113"/>
      <c r="AH106" s="114"/>
      <c r="AI106" s="114" t="str">
        <f>"   " &amp; TEXT(AF106,"#0.00%") &amp; " "</f>
        <v xml:space="preserve">   0.00% </v>
      </c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 t="str">
        <f>"    " &amp; "장납기 구매품 발주 및 입고" &amp; " " &amp; IF(Q106="","",TEXT(Q106,"M/D-")) &amp; IF(R106="","",TEXT(R106,"M/D")) &amp; " "</f>
        <v xml:space="preserve">    장납기 구매품 발주 및 입고 2/15-8/30 </v>
      </c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  <c r="CA106" s="114"/>
      <c r="CB106" s="114"/>
      <c r="CC106" s="114"/>
      <c r="CD106" s="114"/>
      <c r="CE106" s="114"/>
      <c r="CF106" s="114"/>
      <c r="CG106" s="114"/>
      <c r="CH106" s="114"/>
      <c r="CI106" s="114"/>
      <c r="CJ106" s="114"/>
      <c r="CK106" s="114"/>
      <c r="CL106" s="114"/>
      <c r="CM106" s="114"/>
      <c r="CN106" s="114"/>
      <c r="CO106" s="114"/>
      <c r="CP106" s="114"/>
      <c r="CQ106" s="114"/>
      <c r="CR106" s="114"/>
      <c r="CS106" s="114"/>
      <c r="CT106" s="114"/>
      <c r="CU106" s="114"/>
      <c r="CV106" s="114"/>
      <c r="CW106" s="114"/>
      <c r="CX106" s="114"/>
      <c r="CY106" s="114"/>
      <c r="CZ106" s="114"/>
      <c r="DA106" s="114"/>
      <c r="DB106" s="114"/>
      <c r="DC106" s="114"/>
      <c r="DD106" s="114"/>
      <c r="DE106" s="114"/>
      <c r="DF106" s="114"/>
      <c r="DG106" s="114"/>
      <c r="DH106" s="114"/>
      <c r="DI106" s="114"/>
      <c r="DJ106" s="114"/>
      <c r="DK106" s="114"/>
      <c r="DL106" s="114"/>
      <c r="DM106" s="114"/>
      <c r="DN106" s="114"/>
      <c r="DO106" s="114"/>
      <c r="DP106" s="114"/>
      <c r="DQ106" s="114"/>
    </row>
    <row r="107" spans="1:121" ht="15" customHeight="1" outlineLevel="4" x14ac:dyDescent="0.25">
      <c r="A107" s="101"/>
      <c r="B107" s="101"/>
      <c r="C107" s="101">
        <v>5</v>
      </c>
      <c r="D107" s="102" t="s">
        <v>485</v>
      </c>
      <c r="E107" s="103"/>
      <c r="F107" s="103"/>
      <c r="G107" s="103"/>
      <c r="H107" s="103"/>
      <c r="I107" s="103" t="s">
        <v>219</v>
      </c>
      <c r="J107" s="103"/>
      <c r="K107" s="103"/>
      <c r="L107" s="103"/>
      <c r="M107" s="103"/>
      <c r="N107" s="103"/>
      <c r="O107" s="103" t="str">
        <f>O106</f>
        <v>1동 공 Tray Buffer MSC</v>
      </c>
      <c r="P107" s="104"/>
      <c r="Q107" s="108">
        <v>45046</v>
      </c>
      <c r="R107" s="105">
        <v>45137</v>
      </c>
      <c r="S107" s="106">
        <f>R107-Q107</f>
        <v>91</v>
      </c>
      <c r="T107" s="107">
        <v>276</v>
      </c>
      <c r="U107" s="107">
        <v>72</v>
      </c>
      <c r="V107" s="107">
        <v>92</v>
      </c>
      <c r="W107" s="107">
        <v>24</v>
      </c>
      <c r="X107" s="108"/>
      <c r="Y107" s="108"/>
      <c r="Z107" s="109"/>
      <c r="AA107" s="110">
        <v>0</v>
      </c>
      <c r="AB107" s="107">
        <v>3</v>
      </c>
      <c r="AC107" s="106"/>
      <c r="AD107" s="180"/>
      <c r="AE107" s="111">
        <v>0.2608695652173913</v>
      </c>
      <c r="AF107" s="117">
        <v>0</v>
      </c>
      <c r="AG107" s="113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 t="str">
        <f>"" &amp; TEXT(AF107,"#0.00%") &amp; " "</f>
        <v xml:space="preserve">0.00% </v>
      </c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 t="str">
        <f>" " &amp; "단품제작" &amp; " " &amp; IF(Q107="","",TEXT(Q107,"M/D-")) &amp; IF(R107="","",TEXT(R107,"M/D")) &amp; " "</f>
        <v xml:space="preserve"> 단품제작 4/30-7/30 </v>
      </c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  <c r="CA107" s="114"/>
      <c r="CB107" s="114"/>
      <c r="CC107" s="114"/>
      <c r="CD107" s="114"/>
      <c r="CE107" s="114"/>
      <c r="CF107" s="114"/>
      <c r="CG107" s="114"/>
      <c r="CH107" s="114"/>
      <c r="CI107" s="114"/>
      <c r="CJ107" s="114"/>
      <c r="CK107" s="114"/>
      <c r="CL107" s="114"/>
      <c r="CM107" s="114"/>
      <c r="CN107" s="114"/>
      <c r="CO107" s="114"/>
      <c r="CP107" s="114"/>
      <c r="CQ107" s="114"/>
      <c r="CR107" s="114"/>
      <c r="CS107" s="114"/>
      <c r="CT107" s="114"/>
      <c r="CU107" s="114"/>
      <c r="CV107" s="114"/>
      <c r="CW107" s="114"/>
      <c r="CX107" s="114"/>
      <c r="CY107" s="114"/>
      <c r="CZ107" s="114"/>
      <c r="DA107" s="114"/>
      <c r="DB107" s="114"/>
      <c r="DC107" s="114"/>
      <c r="DD107" s="114"/>
      <c r="DE107" s="114"/>
      <c r="DF107" s="114"/>
      <c r="DG107" s="114"/>
      <c r="DH107" s="114"/>
      <c r="DI107" s="114"/>
      <c r="DJ107" s="114"/>
      <c r="DK107" s="114"/>
      <c r="DL107" s="114"/>
      <c r="DM107" s="114"/>
      <c r="DN107" s="114"/>
      <c r="DO107" s="114"/>
      <c r="DP107" s="114"/>
      <c r="DQ107" s="114"/>
    </row>
    <row r="108" spans="1:121" ht="15" customHeight="1" outlineLevel="4" x14ac:dyDescent="0.25">
      <c r="A108" s="101"/>
      <c r="B108" s="101"/>
      <c r="C108" s="101">
        <v>5</v>
      </c>
      <c r="D108" s="102" t="s">
        <v>486</v>
      </c>
      <c r="E108" s="103"/>
      <c r="F108" s="103"/>
      <c r="G108" s="103"/>
      <c r="H108" s="103"/>
      <c r="I108" s="103" t="s">
        <v>220</v>
      </c>
      <c r="J108" s="103"/>
      <c r="K108" s="103"/>
      <c r="L108" s="103"/>
      <c r="M108" s="103"/>
      <c r="N108" s="103"/>
      <c r="O108" s="103" t="str">
        <f>O107</f>
        <v>1동 공 Tray Buffer MSC</v>
      </c>
      <c r="P108" s="104"/>
      <c r="Q108" s="108">
        <v>45078</v>
      </c>
      <c r="R108" s="105">
        <v>45184</v>
      </c>
      <c r="S108" s="106">
        <f>R108-Q108</f>
        <v>106</v>
      </c>
      <c r="T108" s="107">
        <v>428</v>
      </c>
      <c r="U108" s="107">
        <v>0</v>
      </c>
      <c r="V108" s="107">
        <v>107</v>
      </c>
      <c r="W108" s="107">
        <v>0</v>
      </c>
      <c r="X108" s="108"/>
      <c r="Y108" s="108"/>
      <c r="Z108" s="109"/>
      <c r="AA108" s="110">
        <v>0</v>
      </c>
      <c r="AB108" s="107">
        <v>4</v>
      </c>
      <c r="AC108" s="106"/>
      <c r="AD108" s="180"/>
      <c r="AE108" s="111">
        <v>0</v>
      </c>
      <c r="AF108" s="121">
        <v>0</v>
      </c>
      <c r="AG108" s="113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 t="str">
        <f>"    " &amp; TEXT(AF108,"#0.00%") &amp; " "</f>
        <v xml:space="preserve">    0.00% </v>
      </c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 t="str">
        <f>"      " &amp; "기구조립" &amp; " " &amp; IF(Q108="","",TEXT(Q108,"M/D-")) &amp; IF(R108="","",TEXT(R108,"M/D")) &amp; " "</f>
        <v xml:space="preserve">      기구조립 6/1-9/15 </v>
      </c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  <c r="CA108" s="114"/>
      <c r="CB108" s="114"/>
      <c r="CC108" s="114"/>
      <c r="CD108" s="114"/>
      <c r="CE108" s="114"/>
      <c r="CF108" s="114"/>
      <c r="CG108" s="114"/>
      <c r="CH108" s="114"/>
      <c r="CI108" s="114"/>
      <c r="CJ108" s="114"/>
      <c r="CK108" s="114"/>
      <c r="CL108" s="114"/>
      <c r="CM108" s="114"/>
      <c r="CN108" s="114"/>
      <c r="CO108" s="114"/>
      <c r="CP108" s="114"/>
      <c r="CQ108" s="114"/>
      <c r="CR108" s="114"/>
      <c r="CS108" s="114"/>
      <c r="CT108" s="114"/>
      <c r="CU108" s="114"/>
      <c r="CV108" s="114"/>
      <c r="CW108" s="114"/>
      <c r="CX108" s="114"/>
      <c r="CY108" s="114"/>
      <c r="CZ108" s="114"/>
      <c r="DA108" s="114"/>
      <c r="DB108" s="114"/>
      <c r="DC108" s="114"/>
      <c r="DD108" s="114"/>
      <c r="DE108" s="114"/>
      <c r="DF108" s="114"/>
      <c r="DG108" s="114"/>
      <c r="DH108" s="114"/>
      <c r="DI108" s="114"/>
      <c r="DJ108" s="114"/>
      <c r="DK108" s="114"/>
      <c r="DL108" s="114"/>
      <c r="DM108" s="114"/>
      <c r="DN108" s="114"/>
      <c r="DO108" s="114"/>
      <c r="DP108" s="114"/>
      <c r="DQ108" s="114"/>
    </row>
    <row r="109" spans="1:121" ht="15" customHeight="1" outlineLevel="4" x14ac:dyDescent="0.25">
      <c r="A109" s="101"/>
      <c r="B109" s="101"/>
      <c r="C109" s="101">
        <v>5</v>
      </c>
      <c r="D109" s="102" t="s">
        <v>487</v>
      </c>
      <c r="E109" s="103"/>
      <c r="F109" s="103"/>
      <c r="G109" s="103"/>
      <c r="H109" s="103"/>
      <c r="I109" s="103" t="s">
        <v>221</v>
      </c>
      <c r="J109" s="103"/>
      <c r="K109" s="103"/>
      <c r="L109" s="103"/>
      <c r="M109" s="103"/>
      <c r="N109" s="103"/>
      <c r="O109" s="103" t="str">
        <f>O108</f>
        <v>1동 공 Tray Buffer MSC</v>
      </c>
      <c r="P109" s="104"/>
      <c r="Q109" s="108">
        <v>45170</v>
      </c>
      <c r="R109" s="105">
        <v>45214</v>
      </c>
      <c r="S109" s="106">
        <f>R109-Q109</f>
        <v>44</v>
      </c>
      <c r="T109" s="107">
        <v>45</v>
      </c>
      <c r="U109" s="107">
        <v>0</v>
      </c>
      <c r="V109" s="107">
        <v>45</v>
      </c>
      <c r="W109" s="107">
        <v>0</v>
      </c>
      <c r="X109" s="108"/>
      <c r="Y109" s="108"/>
      <c r="Z109" s="109"/>
      <c r="AA109" s="110">
        <v>0</v>
      </c>
      <c r="AB109" s="107">
        <v>1</v>
      </c>
      <c r="AC109" s="106"/>
      <c r="AD109" s="180"/>
      <c r="AE109" s="111">
        <v>0</v>
      </c>
      <c r="AF109" s="121">
        <v>0</v>
      </c>
      <c r="AG109" s="113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 t="str">
        <f>"     " &amp; TEXT(AF109,"#0.00%") &amp; " "</f>
        <v xml:space="preserve">     0.00% </v>
      </c>
      <c r="BL109" s="114"/>
      <c r="BM109" s="114"/>
      <c r="BN109" s="114"/>
      <c r="BO109" s="114"/>
      <c r="BP109" s="114"/>
      <c r="BQ109" s="114"/>
      <c r="BR109" s="114" t="str">
        <f>" " &amp; "전장조립" &amp; " " &amp; IF(Q109="","",TEXT(Q109,"M/D-")) &amp; IF(R109="","",TEXT(R109,"M/D")) &amp; " "</f>
        <v xml:space="preserve"> 전장조립 9/1-10/15 </v>
      </c>
      <c r="BS109" s="114"/>
      <c r="BT109" s="114"/>
      <c r="BU109" s="114"/>
      <c r="BV109" s="114"/>
      <c r="BW109" s="114"/>
      <c r="BX109" s="114"/>
      <c r="BY109" s="114"/>
      <c r="BZ109" s="114"/>
      <c r="CA109" s="114"/>
      <c r="CB109" s="114"/>
      <c r="CC109" s="114"/>
      <c r="CD109" s="114"/>
      <c r="CE109" s="114"/>
      <c r="CF109" s="114"/>
      <c r="CG109" s="114"/>
      <c r="CH109" s="114"/>
      <c r="CI109" s="114"/>
      <c r="CJ109" s="114"/>
      <c r="CK109" s="114"/>
      <c r="CL109" s="114"/>
      <c r="CM109" s="114"/>
      <c r="CN109" s="114"/>
      <c r="CO109" s="114"/>
      <c r="CP109" s="114"/>
      <c r="CQ109" s="114"/>
      <c r="CR109" s="114"/>
      <c r="CS109" s="114"/>
      <c r="CT109" s="114"/>
      <c r="CU109" s="114"/>
      <c r="CV109" s="114"/>
      <c r="CW109" s="114"/>
      <c r="CX109" s="114"/>
      <c r="CY109" s="114"/>
      <c r="CZ109" s="114"/>
      <c r="DA109" s="114"/>
      <c r="DB109" s="114"/>
      <c r="DC109" s="114"/>
      <c r="DD109" s="114"/>
      <c r="DE109" s="114"/>
      <c r="DF109" s="114"/>
      <c r="DG109" s="114"/>
      <c r="DH109" s="114"/>
      <c r="DI109" s="114"/>
      <c r="DJ109" s="114"/>
      <c r="DK109" s="114"/>
      <c r="DL109" s="114"/>
      <c r="DM109" s="114"/>
      <c r="DN109" s="114"/>
      <c r="DO109" s="114"/>
      <c r="DP109" s="114"/>
      <c r="DQ109" s="114"/>
    </row>
    <row r="110" spans="1:121" ht="15" customHeight="1" outlineLevel="2" x14ac:dyDescent="0.25">
      <c r="A110" s="101"/>
      <c r="B110" s="101" t="s">
        <v>153</v>
      </c>
      <c r="C110" s="101">
        <v>3</v>
      </c>
      <c r="D110" s="102" t="s">
        <v>244</v>
      </c>
      <c r="E110" s="103"/>
      <c r="F110" s="103"/>
      <c r="G110" s="103" t="s">
        <v>583</v>
      </c>
      <c r="H110" s="103"/>
      <c r="I110" s="103"/>
      <c r="J110" s="103"/>
      <c r="K110" s="103"/>
      <c r="L110" s="103"/>
      <c r="M110" s="103"/>
      <c r="N110" s="103"/>
      <c r="O110" s="103" t="str">
        <f>G110</f>
        <v>2동 MSC Crane(FR)</v>
      </c>
      <c r="P110" s="104"/>
      <c r="Q110" s="108">
        <v>44972</v>
      </c>
      <c r="R110" s="108">
        <v>45320</v>
      </c>
      <c r="S110" s="106"/>
      <c r="T110" s="107">
        <v>8113</v>
      </c>
      <c r="U110" s="107">
        <v>652</v>
      </c>
      <c r="V110" s="107">
        <v>349</v>
      </c>
      <c r="W110" s="107">
        <v>98</v>
      </c>
      <c r="X110" s="108"/>
      <c r="Y110" s="108"/>
      <c r="Z110" s="109">
        <v>0</v>
      </c>
      <c r="AA110" s="110">
        <v>0</v>
      </c>
      <c r="AB110" s="107"/>
      <c r="AC110" s="106"/>
      <c r="AD110" s="180"/>
      <c r="AE110" s="111">
        <v>8.036484654258598E-2</v>
      </c>
      <c r="AF110" s="112">
        <v>0</v>
      </c>
      <c r="AG110" s="113"/>
      <c r="AH110" s="114"/>
      <c r="AI110" s="114" t="str">
        <f>"   " &amp; TEXT(AF110,"#0.00%") &amp; " "</f>
        <v xml:space="preserve">   0.00% </v>
      </c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  <c r="CA110" s="114"/>
      <c r="CB110" s="114"/>
      <c r="CC110" s="114"/>
      <c r="CD110" s="114"/>
      <c r="CE110" s="114"/>
      <c r="CF110" s="114"/>
      <c r="CG110" s="114" t="str">
        <f>"  " &amp; "2동 MSC Crane(FR)" &amp; " " &amp; IF(Q110="","",TEXT(Q110,"M/D-")) &amp; IF(R110="","",TEXT(R110,"M/D")) &amp; " "</f>
        <v xml:space="preserve">  2동 MSC Crane(FR) 2/15-1/29 </v>
      </c>
      <c r="CH110" s="114"/>
      <c r="CI110" s="114"/>
      <c r="CJ110" s="114"/>
      <c r="CK110" s="114"/>
      <c r="CL110" s="114"/>
      <c r="CM110" s="114"/>
      <c r="CN110" s="114"/>
      <c r="CO110" s="114"/>
      <c r="CP110" s="114"/>
      <c r="CQ110" s="114"/>
      <c r="CR110" s="114"/>
      <c r="CS110" s="114"/>
      <c r="CT110" s="114"/>
      <c r="CU110" s="114"/>
      <c r="CV110" s="114"/>
      <c r="CW110" s="114"/>
      <c r="CX110" s="114"/>
      <c r="CY110" s="114"/>
      <c r="CZ110" s="114"/>
      <c r="DA110" s="114"/>
      <c r="DB110" s="114"/>
      <c r="DC110" s="114"/>
      <c r="DD110" s="114"/>
      <c r="DE110" s="114"/>
      <c r="DF110" s="114"/>
      <c r="DG110" s="114"/>
      <c r="DH110" s="114"/>
      <c r="DI110" s="114"/>
      <c r="DJ110" s="114"/>
      <c r="DK110" s="114"/>
      <c r="DL110" s="114"/>
      <c r="DM110" s="114"/>
      <c r="DN110" s="114"/>
      <c r="DO110" s="114"/>
      <c r="DP110" s="114"/>
      <c r="DQ110" s="114"/>
    </row>
    <row r="111" spans="1:121" ht="15" customHeight="1" outlineLevel="3" x14ac:dyDescent="0.25">
      <c r="A111" s="131"/>
      <c r="B111" s="131" t="s">
        <v>153</v>
      </c>
      <c r="C111" s="131">
        <v>4</v>
      </c>
      <c r="D111" s="123" t="s">
        <v>245</v>
      </c>
      <c r="E111" s="132"/>
      <c r="F111" s="132"/>
      <c r="G111" s="132"/>
      <c r="H111" s="124" t="s">
        <v>584</v>
      </c>
      <c r="I111" s="132"/>
      <c r="J111" s="132"/>
      <c r="K111" s="132"/>
      <c r="L111" s="132"/>
      <c r="M111" s="132"/>
      <c r="N111" s="132"/>
      <c r="O111" s="103" t="str">
        <f>H111</f>
        <v>2동 상온#1 Aging MSC</v>
      </c>
      <c r="P111" s="133"/>
      <c r="Q111" s="134">
        <v>45032</v>
      </c>
      <c r="R111" s="134">
        <v>45259</v>
      </c>
      <c r="S111" s="135"/>
      <c r="T111" s="136">
        <v>1114</v>
      </c>
      <c r="U111" s="136">
        <v>76</v>
      </c>
      <c r="V111" s="136">
        <v>228</v>
      </c>
      <c r="W111" s="136">
        <v>38</v>
      </c>
      <c r="X111" s="134"/>
      <c r="Y111" s="134"/>
      <c r="Z111" s="137">
        <v>0</v>
      </c>
      <c r="AA111" s="138">
        <v>0</v>
      </c>
      <c r="AB111" s="136"/>
      <c r="AC111" s="135"/>
      <c r="AD111" s="182"/>
      <c r="AE111" s="139">
        <v>6.8222621184919216E-2</v>
      </c>
      <c r="AF111" s="112">
        <v>0</v>
      </c>
      <c r="AG111" s="113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 t="str">
        <f>"" &amp; TEXT(AF111,"#0.00%") &amp; " "</f>
        <v xml:space="preserve">0.00% </v>
      </c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 t="str">
        <f>"    " &amp; "2동 상온#1 Aging MSC" &amp; " " &amp; IF(Q111="","",TEXT(Q111,"M/D-")) &amp; IF(R111="","",TEXT(R111,"M/D")) &amp; " "</f>
        <v xml:space="preserve">    2동 상온#1 Aging MSC 4/16-11/29 </v>
      </c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  <c r="DL111" s="114"/>
      <c r="DM111" s="114"/>
      <c r="DN111" s="114"/>
      <c r="DO111" s="114"/>
      <c r="DP111" s="114"/>
      <c r="DQ111" s="114"/>
    </row>
    <row r="112" spans="1:121" ht="15" customHeight="1" outlineLevel="4" x14ac:dyDescent="0.25">
      <c r="A112" s="101"/>
      <c r="B112" s="101"/>
      <c r="C112" s="101">
        <v>5</v>
      </c>
      <c r="D112" s="102" t="s">
        <v>246</v>
      </c>
      <c r="E112" s="103"/>
      <c r="F112" s="103"/>
      <c r="G112" s="103"/>
      <c r="H112" s="103"/>
      <c r="I112" s="103" t="s">
        <v>217</v>
      </c>
      <c r="J112" s="103"/>
      <c r="K112" s="103"/>
      <c r="L112" s="103"/>
      <c r="M112" s="103"/>
      <c r="N112" s="103"/>
      <c r="O112" s="103" t="str">
        <f>O111</f>
        <v>2동 상온#1 Aging MSC</v>
      </c>
      <c r="P112" s="104"/>
      <c r="Q112" s="108">
        <v>45032</v>
      </c>
      <c r="R112" s="108">
        <v>45228</v>
      </c>
      <c r="S112" s="106">
        <f>R112-Q112</f>
        <v>196</v>
      </c>
      <c r="T112" s="107">
        <v>394</v>
      </c>
      <c r="U112" s="107">
        <v>76</v>
      </c>
      <c r="V112" s="107">
        <v>197</v>
      </c>
      <c r="W112" s="107">
        <v>38</v>
      </c>
      <c r="X112" s="108"/>
      <c r="Y112" s="108"/>
      <c r="Z112" s="109"/>
      <c r="AA112" s="110">
        <v>0</v>
      </c>
      <c r="AB112" s="107">
        <v>2</v>
      </c>
      <c r="AC112" s="106"/>
      <c r="AD112" s="180"/>
      <c r="AE112" s="111">
        <v>0.19289340101522842</v>
      </c>
      <c r="AF112" s="117">
        <v>0</v>
      </c>
      <c r="AG112" s="113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 t="str">
        <f>"" &amp; TEXT(AF112,"#0.00%") &amp; " "</f>
        <v xml:space="preserve">0.00% </v>
      </c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 t="str">
        <f>" " &amp; "장납기 구매품 발주 및 입고" &amp; " " &amp; IF(Q112="","",TEXT(Q112,"M/D-")) &amp; IF(R112="","",TEXT(R112,"M/D")) &amp; " "</f>
        <v xml:space="preserve"> 장납기 구매품 발주 및 입고 4/16-10/29 </v>
      </c>
      <c r="BU112" s="114"/>
      <c r="BV112" s="114"/>
      <c r="BW112" s="114"/>
      <c r="BX112" s="114"/>
      <c r="BY112" s="114"/>
      <c r="BZ112" s="114"/>
      <c r="CA112" s="114"/>
      <c r="CB112" s="114"/>
      <c r="CC112" s="114"/>
      <c r="CD112" s="114"/>
      <c r="CE112" s="114"/>
      <c r="CF112" s="114"/>
      <c r="CG112" s="114"/>
      <c r="CH112" s="114"/>
      <c r="CI112" s="114"/>
      <c r="CJ112" s="114"/>
      <c r="CK112" s="114"/>
      <c r="CL112" s="114"/>
      <c r="CM112" s="114"/>
      <c r="CN112" s="114"/>
      <c r="CO112" s="114"/>
      <c r="CP112" s="114"/>
      <c r="CQ112" s="114"/>
      <c r="CR112" s="114"/>
      <c r="CS112" s="114"/>
      <c r="CT112" s="114"/>
      <c r="CU112" s="114"/>
      <c r="CV112" s="114"/>
      <c r="CW112" s="114"/>
      <c r="CX112" s="114"/>
      <c r="CY112" s="114"/>
      <c r="CZ112" s="114"/>
      <c r="DA112" s="114"/>
      <c r="DB112" s="114"/>
      <c r="DC112" s="114"/>
      <c r="DD112" s="114"/>
      <c r="DE112" s="114"/>
      <c r="DF112" s="114"/>
      <c r="DG112" s="114"/>
      <c r="DH112" s="114"/>
      <c r="DI112" s="114"/>
      <c r="DJ112" s="114"/>
      <c r="DK112" s="114"/>
      <c r="DL112" s="114"/>
      <c r="DM112" s="114"/>
      <c r="DN112" s="114"/>
      <c r="DO112" s="114"/>
      <c r="DP112" s="114"/>
      <c r="DQ112" s="114"/>
    </row>
    <row r="113" spans="1:121" ht="15" customHeight="1" outlineLevel="4" x14ac:dyDescent="0.25">
      <c r="A113" s="101"/>
      <c r="B113" s="101"/>
      <c r="C113" s="101">
        <v>5</v>
      </c>
      <c r="D113" s="102" t="s">
        <v>247</v>
      </c>
      <c r="E113" s="103"/>
      <c r="F113" s="103"/>
      <c r="G113" s="103"/>
      <c r="H113" s="103"/>
      <c r="I113" s="103" t="s">
        <v>219</v>
      </c>
      <c r="J113" s="103"/>
      <c r="K113" s="103"/>
      <c r="L113" s="103"/>
      <c r="M113" s="103"/>
      <c r="N113" s="103"/>
      <c r="O113" s="103" t="str">
        <f>O112</f>
        <v>2동 상온#1 Aging MSC</v>
      </c>
      <c r="P113" s="104"/>
      <c r="Q113" s="108">
        <v>45106</v>
      </c>
      <c r="R113" s="108">
        <v>45197</v>
      </c>
      <c r="S113" s="106">
        <f>R113-Q113</f>
        <v>91</v>
      </c>
      <c r="T113" s="107">
        <v>276</v>
      </c>
      <c r="U113" s="107">
        <v>0</v>
      </c>
      <c r="V113" s="107">
        <v>92</v>
      </c>
      <c r="W113" s="107">
        <v>0</v>
      </c>
      <c r="X113" s="108"/>
      <c r="Y113" s="108"/>
      <c r="Z113" s="109"/>
      <c r="AA113" s="110">
        <v>0</v>
      </c>
      <c r="AB113" s="107">
        <v>3</v>
      </c>
      <c r="AC113" s="106"/>
      <c r="AD113" s="180"/>
      <c r="AE113" s="111">
        <v>0</v>
      </c>
      <c r="AF113" s="121">
        <v>0</v>
      </c>
      <c r="AG113" s="113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 t="str">
        <f>"    " &amp; TEXT(AF113,"#0.00%") &amp; " "</f>
        <v xml:space="preserve">    0.00% </v>
      </c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 t="str">
        <f>"     " &amp; "단품제작" &amp; " " &amp; IF(Q113="","",TEXT(Q113,"M/D-")) &amp; IF(R113="","",TEXT(R113,"M/D")) &amp; " "</f>
        <v xml:space="preserve">     단품제작 6/29-9/28 </v>
      </c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  <c r="DL113" s="114"/>
      <c r="DM113" s="114"/>
      <c r="DN113" s="114"/>
      <c r="DO113" s="114"/>
      <c r="DP113" s="114"/>
      <c r="DQ113" s="114"/>
    </row>
    <row r="114" spans="1:121" ht="15" customHeight="1" outlineLevel="4" x14ac:dyDescent="0.25">
      <c r="A114" s="101"/>
      <c r="B114" s="101"/>
      <c r="C114" s="101">
        <v>5</v>
      </c>
      <c r="D114" s="102" t="s">
        <v>248</v>
      </c>
      <c r="E114" s="103"/>
      <c r="F114" s="103"/>
      <c r="G114" s="103"/>
      <c r="H114" s="103"/>
      <c r="I114" s="103" t="s">
        <v>220</v>
      </c>
      <c r="J114" s="103"/>
      <c r="K114" s="103"/>
      <c r="L114" s="103"/>
      <c r="M114" s="103"/>
      <c r="N114" s="103"/>
      <c r="O114" s="103" t="str">
        <f>O113</f>
        <v>2동 상온#1 Aging MSC</v>
      </c>
      <c r="P114" s="104"/>
      <c r="Q114" s="108">
        <v>45138</v>
      </c>
      <c r="R114" s="108">
        <v>45244</v>
      </c>
      <c r="S114" s="106">
        <f>R114-Q114</f>
        <v>106</v>
      </c>
      <c r="T114" s="107">
        <v>428</v>
      </c>
      <c r="U114" s="107">
        <v>0</v>
      </c>
      <c r="V114" s="107">
        <v>107</v>
      </c>
      <c r="W114" s="107">
        <v>0</v>
      </c>
      <c r="X114" s="108"/>
      <c r="Y114" s="108"/>
      <c r="Z114" s="109"/>
      <c r="AA114" s="110">
        <v>0</v>
      </c>
      <c r="AB114" s="107">
        <v>4</v>
      </c>
      <c r="AC114" s="106"/>
      <c r="AD114" s="180"/>
      <c r="AE114" s="111">
        <v>0</v>
      </c>
      <c r="AF114" s="121">
        <v>0</v>
      </c>
      <c r="AG114" s="113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 t="str">
        <f>" " &amp; TEXT(AF114,"#0.00%") &amp; " "</f>
        <v xml:space="preserve"> 0.00% </v>
      </c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 t="str">
        <f>"   " &amp; "기구조립" &amp; " " &amp; IF(Q114="","",TEXT(Q114,"M/D-")) &amp; IF(R114="","",TEXT(R114,"M/D")) &amp; " "</f>
        <v xml:space="preserve">   기구조립 7/31-11/14 </v>
      </c>
      <c r="BW114" s="114"/>
      <c r="BX114" s="114"/>
      <c r="BY114" s="114"/>
      <c r="BZ114" s="114"/>
      <c r="CA114" s="114"/>
      <c r="CB114" s="114"/>
      <c r="CC114" s="114"/>
      <c r="CD114" s="114"/>
      <c r="CE114" s="114"/>
      <c r="CF114" s="114"/>
      <c r="CG114" s="114"/>
      <c r="CH114" s="114"/>
      <c r="CI114" s="114"/>
      <c r="CJ114" s="114"/>
      <c r="CK114" s="114"/>
      <c r="CL114" s="114"/>
      <c r="CM114" s="114"/>
      <c r="CN114" s="114"/>
      <c r="CO114" s="114"/>
      <c r="CP114" s="114"/>
      <c r="CQ114" s="114"/>
      <c r="CR114" s="114"/>
      <c r="CS114" s="114"/>
      <c r="CT114" s="114"/>
      <c r="CU114" s="114"/>
      <c r="CV114" s="114"/>
      <c r="CW114" s="114"/>
      <c r="CX114" s="114"/>
      <c r="CY114" s="114"/>
      <c r="CZ114" s="114"/>
      <c r="DA114" s="114"/>
      <c r="DB114" s="114"/>
      <c r="DC114" s="114"/>
      <c r="DD114" s="114"/>
      <c r="DE114" s="114"/>
      <c r="DF114" s="114"/>
      <c r="DG114" s="114"/>
      <c r="DH114" s="114"/>
      <c r="DI114" s="114"/>
      <c r="DJ114" s="114"/>
      <c r="DK114" s="114"/>
      <c r="DL114" s="114"/>
      <c r="DM114" s="114"/>
      <c r="DN114" s="114"/>
      <c r="DO114" s="114"/>
      <c r="DP114" s="114"/>
      <c r="DQ114" s="114"/>
    </row>
    <row r="115" spans="1:121" ht="15" customHeight="1" outlineLevel="4" x14ac:dyDescent="0.25">
      <c r="A115" s="101"/>
      <c r="B115" s="101"/>
      <c r="C115" s="101">
        <v>5</v>
      </c>
      <c r="D115" s="102" t="s">
        <v>585</v>
      </c>
      <c r="E115" s="103"/>
      <c r="F115" s="103"/>
      <c r="G115" s="103"/>
      <c r="H115" s="103"/>
      <c r="I115" s="103" t="s">
        <v>221</v>
      </c>
      <c r="J115" s="103"/>
      <c r="K115" s="103"/>
      <c r="L115" s="103"/>
      <c r="M115" s="103"/>
      <c r="N115" s="103"/>
      <c r="O115" s="103" t="str">
        <f>O114</f>
        <v>2동 상온#1 Aging MSC</v>
      </c>
      <c r="P115" s="104"/>
      <c r="Q115" s="108">
        <v>45244</v>
      </c>
      <c r="R115" s="108">
        <v>45259</v>
      </c>
      <c r="S115" s="106">
        <f>R115-Q115</f>
        <v>15</v>
      </c>
      <c r="T115" s="107">
        <v>16</v>
      </c>
      <c r="U115" s="107">
        <v>0</v>
      </c>
      <c r="V115" s="107">
        <v>16</v>
      </c>
      <c r="W115" s="107">
        <v>0</v>
      </c>
      <c r="X115" s="108"/>
      <c r="Y115" s="108"/>
      <c r="Z115" s="109"/>
      <c r="AA115" s="110">
        <v>0</v>
      </c>
      <c r="AB115" s="107">
        <v>1</v>
      </c>
      <c r="AC115" s="106"/>
      <c r="AD115" s="180"/>
      <c r="AE115" s="111">
        <v>0</v>
      </c>
      <c r="AF115" s="121">
        <v>0</v>
      </c>
      <c r="AG115" s="113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 t="str">
        <f>"  " &amp; TEXT(AF115,"#0.00%") &amp; " " &amp; "전장조립" &amp; " " &amp; IF(Q115="","",TEXT(Q115,"M/D-")) &amp; IF(R115="","",TEXT(R115,"M/D")) &amp; " "</f>
        <v xml:space="preserve">  0.00% 전장조립 11/14-11/29 </v>
      </c>
      <c r="BW115" s="114"/>
      <c r="BX115" s="114"/>
      <c r="BY115" s="114"/>
      <c r="BZ115" s="114"/>
      <c r="CA115" s="114"/>
      <c r="CB115" s="114"/>
      <c r="CC115" s="114"/>
      <c r="CD115" s="114"/>
      <c r="CE115" s="114"/>
      <c r="CF115" s="114"/>
      <c r="CG115" s="114"/>
      <c r="CH115" s="114"/>
      <c r="CI115" s="114"/>
      <c r="CJ115" s="114"/>
      <c r="CK115" s="114"/>
      <c r="CL115" s="114"/>
      <c r="CM115" s="114"/>
      <c r="CN115" s="114"/>
      <c r="CO115" s="114"/>
      <c r="CP115" s="114"/>
      <c r="CQ115" s="114"/>
      <c r="CR115" s="114"/>
      <c r="CS115" s="114"/>
      <c r="CT115" s="114"/>
      <c r="CU115" s="114"/>
      <c r="CV115" s="114"/>
      <c r="CW115" s="114"/>
      <c r="CX115" s="114"/>
      <c r="CY115" s="114"/>
      <c r="CZ115" s="114"/>
      <c r="DA115" s="114"/>
      <c r="DB115" s="114"/>
      <c r="DC115" s="114"/>
      <c r="DD115" s="114"/>
      <c r="DE115" s="114"/>
      <c r="DF115" s="114"/>
      <c r="DG115" s="114"/>
      <c r="DH115" s="114"/>
      <c r="DI115" s="114"/>
      <c r="DJ115" s="114"/>
      <c r="DK115" s="114"/>
      <c r="DL115" s="114"/>
      <c r="DM115" s="114"/>
      <c r="DN115" s="114"/>
      <c r="DO115" s="114"/>
      <c r="DP115" s="114"/>
      <c r="DQ115" s="114"/>
    </row>
    <row r="116" spans="1:121" ht="15" customHeight="1" outlineLevel="3" x14ac:dyDescent="0.25">
      <c r="A116" s="131"/>
      <c r="B116" s="131" t="s">
        <v>153</v>
      </c>
      <c r="C116" s="131">
        <v>4</v>
      </c>
      <c r="D116" s="123" t="s">
        <v>249</v>
      </c>
      <c r="E116" s="132"/>
      <c r="F116" s="132"/>
      <c r="G116" s="132"/>
      <c r="H116" s="124" t="s">
        <v>586</v>
      </c>
      <c r="I116" s="132"/>
      <c r="J116" s="132"/>
      <c r="K116" s="132"/>
      <c r="L116" s="132"/>
      <c r="M116" s="132"/>
      <c r="N116" s="132"/>
      <c r="O116" s="103" t="str">
        <f>H116</f>
        <v>2동 고온#1 Aging MSC</v>
      </c>
      <c r="P116" s="133"/>
      <c r="Q116" s="134">
        <v>45032</v>
      </c>
      <c r="R116" s="105">
        <v>45320</v>
      </c>
      <c r="S116" s="135"/>
      <c r="T116" s="136">
        <v>1154</v>
      </c>
      <c r="U116" s="136">
        <v>76</v>
      </c>
      <c r="V116" s="136">
        <v>289</v>
      </c>
      <c r="W116" s="136">
        <v>38</v>
      </c>
      <c r="X116" s="134"/>
      <c r="Y116" s="134"/>
      <c r="Z116" s="137">
        <v>0</v>
      </c>
      <c r="AA116" s="138">
        <v>0</v>
      </c>
      <c r="AB116" s="136"/>
      <c r="AC116" s="135"/>
      <c r="AD116" s="182"/>
      <c r="AE116" s="139">
        <v>6.5857885615251299E-2</v>
      </c>
      <c r="AF116" s="112">
        <v>0</v>
      </c>
      <c r="AG116" s="113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 t="str">
        <f>"" &amp; TEXT(AF116,"#0.00%") &amp; " "</f>
        <v xml:space="preserve">0.00% </v>
      </c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  <c r="CA116" s="114"/>
      <c r="CB116" s="114"/>
      <c r="CC116" s="114"/>
      <c r="CD116" s="114"/>
      <c r="CE116" s="114"/>
      <c r="CF116" s="114"/>
      <c r="CG116" s="114" t="str">
        <f>"  " &amp; "2동 고온#1 Aging MSC" &amp; " " &amp; IF(Q116="","",TEXT(Q116,"M/D-")) &amp; IF(R116="","",TEXT(R116,"M/D")) &amp; " "</f>
        <v xml:space="preserve">  2동 고온#1 Aging MSC 4/16-1/29 </v>
      </c>
      <c r="CH116" s="114"/>
      <c r="CI116" s="114"/>
      <c r="CJ116" s="114"/>
      <c r="CK116" s="114"/>
      <c r="CL116" s="114"/>
      <c r="CM116" s="114"/>
      <c r="CN116" s="114"/>
      <c r="CO116" s="114"/>
      <c r="CP116" s="114"/>
      <c r="CQ116" s="114"/>
      <c r="CR116" s="114"/>
      <c r="CS116" s="114"/>
      <c r="CT116" s="114"/>
      <c r="CU116" s="114"/>
      <c r="CV116" s="114"/>
      <c r="CW116" s="114"/>
      <c r="CX116" s="114"/>
      <c r="CY116" s="114"/>
      <c r="CZ116" s="114"/>
      <c r="DA116" s="114"/>
      <c r="DB116" s="114"/>
      <c r="DC116" s="114"/>
      <c r="DD116" s="114"/>
      <c r="DE116" s="114"/>
      <c r="DF116" s="114"/>
      <c r="DG116" s="114"/>
      <c r="DH116" s="114"/>
      <c r="DI116" s="114"/>
      <c r="DJ116" s="114"/>
      <c r="DK116" s="114"/>
      <c r="DL116" s="114"/>
      <c r="DM116" s="114"/>
      <c r="DN116" s="114"/>
      <c r="DO116" s="114"/>
      <c r="DP116" s="114"/>
      <c r="DQ116" s="114"/>
    </row>
    <row r="117" spans="1:121" ht="15" customHeight="1" outlineLevel="4" x14ac:dyDescent="0.25">
      <c r="A117" s="101"/>
      <c r="B117" s="101"/>
      <c r="C117" s="101">
        <v>5</v>
      </c>
      <c r="D117" s="102" t="s">
        <v>250</v>
      </c>
      <c r="E117" s="103"/>
      <c r="F117" s="103"/>
      <c r="G117" s="103"/>
      <c r="H117" s="103"/>
      <c r="I117" s="103" t="s">
        <v>217</v>
      </c>
      <c r="J117" s="103"/>
      <c r="K117" s="103"/>
      <c r="L117" s="103"/>
      <c r="M117" s="103"/>
      <c r="N117" s="103"/>
      <c r="O117" s="103" t="str">
        <f>O116</f>
        <v>2동 고온#1 Aging MSC</v>
      </c>
      <c r="P117" s="104"/>
      <c r="Q117" s="108">
        <v>45032</v>
      </c>
      <c r="R117" s="108">
        <v>45213</v>
      </c>
      <c r="S117" s="106">
        <f>R117-Q117</f>
        <v>181</v>
      </c>
      <c r="T117" s="107">
        <v>364</v>
      </c>
      <c r="U117" s="107">
        <v>76</v>
      </c>
      <c r="V117" s="107">
        <v>182</v>
      </c>
      <c r="W117" s="107">
        <v>38</v>
      </c>
      <c r="X117" s="108"/>
      <c r="Y117" s="108"/>
      <c r="Z117" s="109"/>
      <c r="AA117" s="110">
        <v>0</v>
      </c>
      <c r="AB117" s="107">
        <v>2</v>
      </c>
      <c r="AC117" s="106"/>
      <c r="AD117" s="180"/>
      <c r="AE117" s="111">
        <v>0.2087912087912088</v>
      </c>
      <c r="AF117" s="117">
        <v>0</v>
      </c>
      <c r="AG117" s="113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 t="str">
        <f>"" &amp; TEXT(AF117,"#0.00%") &amp; " "</f>
        <v xml:space="preserve">0.00% </v>
      </c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 t="str">
        <f>"" &amp; "장납기 구매품 발주 및 입고" &amp; " " &amp; IF(Q117="","",TEXT(Q117,"M/D-")) &amp; IF(R117="","",TEXT(R117,"M/D")) &amp; " "</f>
        <v xml:space="preserve">장납기 구매품 발주 및 입고 4/16-10/14 </v>
      </c>
      <c r="BS117" s="114"/>
      <c r="BT117" s="114"/>
      <c r="BU117" s="114"/>
      <c r="BV117" s="114"/>
      <c r="BW117" s="114"/>
      <c r="BX117" s="114"/>
      <c r="BY117" s="114"/>
      <c r="BZ117" s="114"/>
      <c r="CA117" s="114"/>
      <c r="CB117" s="114"/>
      <c r="CC117" s="114"/>
      <c r="CD117" s="114"/>
      <c r="CE117" s="114"/>
      <c r="CF117" s="114"/>
      <c r="CG117" s="114"/>
      <c r="CH117" s="114"/>
      <c r="CI117" s="114"/>
      <c r="CJ117" s="114"/>
      <c r="CK117" s="114"/>
      <c r="CL117" s="114"/>
      <c r="CM117" s="114"/>
      <c r="CN117" s="114"/>
      <c r="CO117" s="114"/>
      <c r="CP117" s="114"/>
      <c r="CQ117" s="114"/>
      <c r="CR117" s="114"/>
      <c r="CS117" s="114"/>
      <c r="CT117" s="114"/>
      <c r="CU117" s="114"/>
      <c r="CV117" s="114"/>
      <c r="CW117" s="114"/>
      <c r="CX117" s="114"/>
      <c r="CY117" s="114"/>
      <c r="CZ117" s="114"/>
      <c r="DA117" s="114"/>
      <c r="DB117" s="114"/>
      <c r="DC117" s="114"/>
      <c r="DD117" s="114"/>
      <c r="DE117" s="114"/>
      <c r="DF117" s="114"/>
      <c r="DG117" s="114"/>
      <c r="DH117" s="114"/>
      <c r="DI117" s="114"/>
      <c r="DJ117" s="114"/>
      <c r="DK117" s="114"/>
      <c r="DL117" s="114"/>
      <c r="DM117" s="114"/>
      <c r="DN117" s="114"/>
      <c r="DO117" s="114"/>
      <c r="DP117" s="114"/>
      <c r="DQ117" s="114"/>
    </row>
    <row r="118" spans="1:121" ht="15" customHeight="1" outlineLevel="4" x14ac:dyDescent="0.25">
      <c r="A118" s="101"/>
      <c r="B118" s="101"/>
      <c r="C118" s="101">
        <v>5</v>
      </c>
      <c r="D118" s="102" t="s">
        <v>251</v>
      </c>
      <c r="E118" s="103"/>
      <c r="F118" s="103"/>
      <c r="G118" s="103"/>
      <c r="H118" s="103"/>
      <c r="I118" s="103" t="s">
        <v>219</v>
      </c>
      <c r="J118" s="103"/>
      <c r="K118" s="103"/>
      <c r="L118" s="103"/>
      <c r="M118" s="103"/>
      <c r="N118" s="103"/>
      <c r="O118" s="103" t="str">
        <f>O117</f>
        <v>2동 고온#1 Aging MSC</v>
      </c>
      <c r="P118" s="104"/>
      <c r="Q118" s="108">
        <v>45138</v>
      </c>
      <c r="R118" s="108">
        <v>45197</v>
      </c>
      <c r="S118" s="106">
        <f>R118-Q118</f>
        <v>59</v>
      </c>
      <c r="T118" s="107">
        <v>180</v>
      </c>
      <c r="U118" s="107">
        <v>0</v>
      </c>
      <c r="V118" s="107">
        <v>60</v>
      </c>
      <c r="W118" s="107">
        <v>0</v>
      </c>
      <c r="X118" s="108"/>
      <c r="Y118" s="108"/>
      <c r="Z118" s="109"/>
      <c r="AA118" s="110">
        <v>0</v>
      </c>
      <c r="AB118" s="107">
        <v>3</v>
      </c>
      <c r="AC118" s="106"/>
      <c r="AD118" s="180"/>
      <c r="AE118" s="111">
        <v>0</v>
      </c>
      <c r="AF118" s="121">
        <v>0</v>
      </c>
      <c r="AG118" s="113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 t="str">
        <f>" " &amp; TEXT(AF118,"#0.00%") &amp; " "</f>
        <v xml:space="preserve"> 0.00% </v>
      </c>
      <c r="BH118" s="114"/>
      <c r="BI118" s="114"/>
      <c r="BJ118" s="114"/>
      <c r="BK118" s="114"/>
      <c r="BL118" s="114"/>
      <c r="BM118" s="114"/>
      <c r="BN118" s="114"/>
      <c r="BO118" s="114" t="str">
        <f>"     " &amp; "단품제작" &amp; " " &amp; IF(Q118="","",TEXT(Q118,"M/D-")) &amp; IF(R118="","",TEXT(R118,"M/D")) &amp; " "</f>
        <v xml:space="preserve">     단품제작 7/31-9/28 </v>
      </c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  <c r="CA118" s="114"/>
      <c r="CB118" s="114"/>
      <c r="CC118" s="114"/>
      <c r="CD118" s="114"/>
      <c r="CE118" s="114"/>
      <c r="CF118" s="114"/>
      <c r="CG118" s="114"/>
      <c r="CH118" s="114"/>
      <c r="CI118" s="114"/>
      <c r="CJ118" s="114"/>
      <c r="CK118" s="114"/>
      <c r="CL118" s="114"/>
      <c r="CM118" s="114"/>
      <c r="CN118" s="114"/>
      <c r="CO118" s="114"/>
      <c r="CP118" s="114"/>
      <c r="CQ118" s="114"/>
      <c r="CR118" s="114"/>
      <c r="CS118" s="114"/>
      <c r="CT118" s="114"/>
      <c r="CU118" s="114"/>
      <c r="CV118" s="114"/>
      <c r="CW118" s="114"/>
      <c r="CX118" s="114"/>
      <c r="CY118" s="114"/>
      <c r="CZ118" s="114"/>
      <c r="DA118" s="114"/>
      <c r="DB118" s="114"/>
      <c r="DC118" s="114"/>
      <c r="DD118" s="114"/>
      <c r="DE118" s="114"/>
      <c r="DF118" s="114"/>
      <c r="DG118" s="114"/>
      <c r="DH118" s="114"/>
      <c r="DI118" s="114"/>
      <c r="DJ118" s="114"/>
      <c r="DK118" s="114"/>
      <c r="DL118" s="114"/>
      <c r="DM118" s="114"/>
      <c r="DN118" s="114"/>
      <c r="DO118" s="114"/>
      <c r="DP118" s="114"/>
      <c r="DQ118" s="114"/>
    </row>
    <row r="119" spans="1:121" ht="15" customHeight="1" outlineLevel="4" x14ac:dyDescent="0.25">
      <c r="A119" s="101"/>
      <c r="B119" s="101"/>
      <c r="C119" s="101">
        <v>5</v>
      </c>
      <c r="D119" s="102" t="s">
        <v>252</v>
      </c>
      <c r="E119" s="103"/>
      <c r="F119" s="103"/>
      <c r="G119" s="103"/>
      <c r="H119" s="103"/>
      <c r="I119" s="103" t="s">
        <v>220</v>
      </c>
      <c r="J119" s="103"/>
      <c r="K119" s="103"/>
      <c r="L119" s="103"/>
      <c r="M119" s="103"/>
      <c r="N119" s="103"/>
      <c r="O119" s="103" t="str">
        <f>O118</f>
        <v>2동 고온#1 Aging MSC</v>
      </c>
      <c r="P119" s="104"/>
      <c r="Q119" s="108">
        <v>45138</v>
      </c>
      <c r="R119" s="108">
        <v>45259</v>
      </c>
      <c r="S119" s="106">
        <f>R119-Q119</f>
        <v>121</v>
      </c>
      <c r="T119" s="107">
        <v>488</v>
      </c>
      <c r="U119" s="107">
        <v>0</v>
      </c>
      <c r="V119" s="107">
        <v>122</v>
      </c>
      <c r="W119" s="107">
        <v>0</v>
      </c>
      <c r="X119" s="108"/>
      <c r="Y119" s="108"/>
      <c r="Z119" s="109"/>
      <c r="AA119" s="110">
        <v>0</v>
      </c>
      <c r="AB119" s="107">
        <v>4</v>
      </c>
      <c r="AC119" s="106"/>
      <c r="AD119" s="180"/>
      <c r="AE119" s="111">
        <v>0</v>
      </c>
      <c r="AF119" s="121">
        <v>0</v>
      </c>
      <c r="AG119" s="113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 t="str">
        <f>" " &amp; TEXT(AF119,"#0.00%") &amp; " "</f>
        <v xml:space="preserve"> 0.00% </v>
      </c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 t="str">
        <f>"    " &amp; "기구조립" &amp; " " &amp; IF(Q119="","",TEXT(Q119,"M/D-")) &amp; IF(R119="","",TEXT(R119,"M/D")) &amp; " "</f>
        <v xml:space="preserve">    기구조립 7/31-11/29 </v>
      </c>
      <c r="BY119" s="114"/>
      <c r="BZ119" s="114"/>
      <c r="CA119" s="114"/>
      <c r="CB119" s="114"/>
      <c r="CC119" s="114"/>
      <c r="CD119" s="114"/>
      <c r="CE119" s="114"/>
      <c r="CF119" s="114"/>
      <c r="CG119" s="114"/>
      <c r="CH119" s="114"/>
      <c r="CI119" s="114"/>
      <c r="CJ119" s="114"/>
      <c r="CK119" s="114"/>
      <c r="CL119" s="114"/>
      <c r="CM119" s="114"/>
      <c r="CN119" s="114"/>
      <c r="CO119" s="114"/>
      <c r="CP119" s="114"/>
      <c r="CQ119" s="114"/>
      <c r="CR119" s="114"/>
      <c r="CS119" s="114"/>
      <c r="CT119" s="114"/>
      <c r="CU119" s="114"/>
      <c r="CV119" s="114"/>
      <c r="CW119" s="114"/>
      <c r="CX119" s="114"/>
      <c r="CY119" s="114"/>
      <c r="CZ119" s="114"/>
      <c r="DA119" s="114"/>
      <c r="DB119" s="114"/>
      <c r="DC119" s="114"/>
      <c r="DD119" s="114"/>
      <c r="DE119" s="114"/>
      <c r="DF119" s="114"/>
      <c r="DG119" s="114"/>
      <c r="DH119" s="114"/>
      <c r="DI119" s="114"/>
      <c r="DJ119" s="114"/>
      <c r="DK119" s="114"/>
      <c r="DL119" s="114"/>
      <c r="DM119" s="114"/>
      <c r="DN119" s="114"/>
      <c r="DO119" s="114"/>
      <c r="DP119" s="114"/>
      <c r="DQ119" s="114"/>
    </row>
    <row r="120" spans="1:121" ht="15" customHeight="1" outlineLevel="4" x14ac:dyDescent="0.25">
      <c r="A120" s="101"/>
      <c r="B120" s="101"/>
      <c r="C120" s="101">
        <v>5</v>
      </c>
      <c r="D120" s="102" t="s">
        <v>587</v>
      </c>
      <c r="E120" s="103"/>
      <c r="F120" s="103"/>
      <c r="G120" s="103"/>
      <c r="H120" s="103"/>
      <c r="I120" s="103" t="s">
        <v>221</v>
      </c>
      <c r="J120" s="103"/>
      <c r="K120" s="103"/>
      <c r="L120" s="103"/>
      <c r="M120" s="103"/>
      <c r="N120" s="103"/>
      <c r="O120" s="103" t="str">
        <f>O119</f>
        <v>2동 고온#1 Aging MSC</v>
      </c>
      <c r="P120" s="104"/>
      <c r="Q120" s="108">
        <v>45199</v>
      </c>
      <c r="R120" s="108">
        <v>45320</v>
      </c>
      <c r="S120" s="106">
        <f>R120-Q120</f>
        <v>121</v>
      </c>
      <c r="T120" s="107">
        <v>122</v>
      </c>
      <c r="U120" s="107">
        <v>0</v>
      </c>
      <c r="V120" s="107">
        <v>122</v>
      </c>
      <c r="W120" s="107">
        <v>0</v>
      </c>
      <c r="X120" s="108"/>
      <c r="Y120" s="108"/>
      <c r="Z120" s="109"/>
      <c r="AA120" s="110">
        <v>0</v>
      </c>
      <c r="AB120" s="107">
        <v>1</v>
      </c>
      <c r="AC120" s="106"/>
      <c r="AD120" s="180"/>
      <c r="AE120" s="111">
        <v>0</v>
      </c>
      <c r="AF120" s="121">
        <v>0</v>
      </c>
      <c r="AG120" s="113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 t="str">
        <f>"      " &amp; TEXT(AF120,"#0.00%") &amp; " "</f>
        <v xml:space="preserve">      0.00% </v>
      </c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  <c r="CA120" s="114"/>
      <c r="CB120" s="114"/>
      <c r="CC120" s="114"/>
      <c r="CD120" s="114"/>
      <c r="CE120" s="114"/>
      <c r="CF120" s="114"/>
      <c r="CG120" s="114" t="str">
        <f>"  " &amp; "전장조립" &amp; " " &amp; IF(Q120="","",TEXT(Q120,"M/D-")) &amp; IF(R120="","",TEXT(R120,"M/D")) &amp; " "</f>
        <v xml:space="preserve">  전장조립 9/30-1/29 </v>
      </c>
      <c r="CH120" s="114"/>
      <c r="CI120" s="114"/>
      <c r="CJ120" s="114"/>
      <c r="CK120" s="114"/>
      <c r="CL120" s="114"/>
      <c r="CM120" s="114"/>
      <c r="CN120" s="114"/>
      <c r="CO120" s="114"/>
      <c r="CP120" s="114"/>
      <c r="CQ120" s="114"/>
      <c r="CR120" s="114"/>
      <c r="CS120" s="114"/>
      <c r="CT120" s="114"/>
      <c r="CU120" s="114"/>
      <c r="CV120" s="114"/>
      <c r="CW120" s="114"/>
      <c r="CX120" s="114"/>
      <c r="CY120" s="114"/>
      <c r="CZ120" s="114"/>
      <c r="DA120" s="114"/>
      <c r="DB120" s="114"/>
      <c r="DC120" s="114"/>
      <c r="DD120" s="114"/>
      <c r="DE120" s="114"/>
      <c r="DF120" s="114"/>
      <c r="DG120" s="114"/>
      <c r="DH120" s="114"/>
      <c r="DI120" s="114"/>
      <c r="DJ120" s="114"/>
      <c r="DK120" s="114"/>
      <c r="DL120" s="114"/>
      <c r="DM120" s="114"/>
      <c r="DN120" s="114"/>
      <c r="DO120" s="114"/>
      <c r="DP120" s="114"/>
      <c r="DQ120" s="114"/>
    </row>
    <row r="121" spans="1:121" ht="15" customHeight="1" outlineLevel="3" x14ac:dyDescent="0.25">
      <c r="A121" s="131"/>
      <c r="B121" s="131" t="s">
        <v>153</v>
      </c>
      <c r="C121" s="131">
        <v>4</v>
      </c>
      <c r="D121" s="123" t="s">
        <v>253</v>
      </c>
      <c r="E121" s="132"/>
      <c r="F121" s="132"/>
      <c r="G121" s="132"/>
      <c r="H121" s="124" t="s">
        <v>588</v>
      </c>
      <c r="I121" s="132"/>
      <c r="J121" s="132"/>
      <c r="K121" s="132"/>
      <c r="L121" s="132"/>
      <c r="M121" s="132"/>
      <c r="N121" s="132"/>
      <c r="O121" s="103" t="str">
        <f>H121</f>
        <v>2동 PPC MSC</v>
      </c>
      <c r="P121" s="133"/>
      <c r="Q121" s="134">
        <v>45032</v>
      </c>
      <c r="R121" s="105">
        <v>45259</v>
      </c>
      <c r="S121" s="135"/>
      <c r="T121" s="136">
        <v>1114</v>
      </c>
      <c r="U121" s="136">
        <v>76</v>
      </c>
      <c r="V121" s="136">
        <v>228</v>
      </c>
      <c r="W121" s="136">
        <v>38</v>
      </c>
      <c r="X121" s="134"/>
      <c r="Y121" s="134"/>
      <c r="Z121" s="137">
        <v>0</v>
      </c>
      <c r="AA121" s="138">
        <v>0</v>
      </c>
      <c r="AB121" s="136"/>
      <c r="AC121" s="135"/>
      <c r="AD121" s="182"/>
      <c r="AE121" s="139">
        <v>6.8222621184919216E-2</v>
      </c>
      <c r="AF121" s="112">
        <v>0</v>
      </c>
      <c r="AG121" s="113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 t="str">
        <f>"" &amp; TEXT(AF121,"#0.00%") &amp; " "</f>
        <v xml:space="preserve">0.00% </v>
      </c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 t="str">
        <f>"    " &amp; "2동 PPC MSC" &amp; " " &amp; IF(Q121="","",TEXT(Q121,"M/D-")) &amp; IF(R121="","",TEXT(R121,"M/D")) &amp; " "</f>
        <v xml:space="preserve">    2동 PPC MSC 4/16-11/29 </v>
      </c>
      <c r="BY121" s="114"/>
      <c r="BZ121" s="114"/>
      <c r="CA121" s="114"/>
      <c r="CB121" s="114"/>
      <c r="CC121" s="114"/>
      <c r="CD121" s="114"/>
      <c r="CE121" s="114"/>
      <c r="CF121" s="114"/>
      <c r="CG121" s="114"/>
      <c r="CH121" s="114"/>
      <c r="CI121" s="114"/>
      <c r="CJ121" s="114"/>
      <c r="CK121" s="114"/>
      <c r="CL121" s="114"/>
      <c r="CM121" s="114"/>
      <c r="CN121" s="114"/>
      <c r="CO121" s="114"/>
      <c r="CP121" s="114"/>
      <c r="CQ121" s="114"/>
      <c r="CR121" s="114"/>
      <c r="CS121" s="114"/>
      <c r="CT121" s="114"/>
      <c r="CU121" s="114"/>
      <c r="CV121" s="114"/>
      <c r="CW121" s="114"/>
      <c r="CX121" s="114"/>
      <c r="CY121" s="114"/>
      <c r="CZ121" s="114"/>
      <c r="DA121" s="114"/>
      <c r="DB121" s="114"/>
      <c r="DC121" s="114"/>
      <c r="DD121" s="114"/>
      <c r="DE121" s="114"/>
      <c r="DF121" s="114"/>
      <c r="DG121" s="114"/>
      <c r="DH121" s="114"/>
      <c r="DI121" s="114"/>
      <c r="DJ121" s="114"/>
      <c r="DK121" s="114"/>
      <c r="DL121" s="114"/>
      <c r="DM121" s="114"/>
      <c r="DN121" s="114"/>
      <c r="DO121" s="114"/>
      <c r="DP121" s="114"/>
      <c r="DQ121" s="114"/>
    </row>
    <row r="122" spans="1:121" ht="15" customHeight="1" outlineLevel="4" x14ac:dyDescent="0.25">
      <c r="A122" s="101"/>
      <c r="B122" s="101"/>
      <c r="C122" s="101">
        <v>5</v>
      </c>
      <c r="D122" s="102" t="s">
        <v>254</v>
      </c>
      <c r="E122" s="103"/>
      <c r="F122" s="103"/>
      <c r="G122" s="103"/>
      <c r="H122" s="103"/>
      <c r="I122" s="103" t="s">
        <v>217</v>
      </c>
      <c r="J122" s="103"/>
      <c r="K122" s="103"/>
      <c r="L122" s="103"/>
      <c r="M122" s="103"/>
      <c r="N122" s="103"/>
      <c r="O122" s="103" t="str">
        <f>O121</f>
        <v>2동 PPC MSC</v>
      </c>
      <c r="P122" s="104"/>
      <c r="Q122" s="108">
        <v>45032</v>
      </c>
      <c r="R122" s="108">
        <v>45228</v>
      </c>
      <c r="S122" s="106">
        <f>R122-Q122</f>
        <v>196</v>
      </c>
      <c r="T122" s="107">
        <v>394</v>
      </c>
      <c r="U122" s="107">
        <v>76</v>
      </c>
      <c r="V122" s="107">
        <v>197</v>
      </c>
      <c r="W122" s="107">
        <v>38</v>
      </c>
      <c r="X122" s="108"/>
      <c r="Y122" s="108"/>
      <c r="Z122" s="109"/>
      <c r="AA122" s="110">
        <v>0</v>
      </c>
      <c r="AB122" s="107">
        <v>2</v>
      </c>
      <c r="AC122" s="106"/>
      <c r="AD122" s="180"/>
      <c r="AE122" s="111">
        <v>0.19289340101522842</v>
      </c>
      <c r="AF122" s="117">
        <v>0</v>
      </c>
      <c r="AG122" s="113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 t="str">
        <f>"" &amp; TEXT(AF122,"#0.00%") &amp; " "</f>
        <v xml:space="preserve">0.00% </v>
      </c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 t="str">
        <f>" " &amp; "장납기 구매품 발주 및 입고" &amp; " " &amp; IF(Q122="","",TEXT(Q122,"M/D-")) &amp; IF(R122="","",TEXT(R122,"M/D")) &amp; " "</f>
        <v xml:space="preserve"> 장납기 구매품 발주 및 입고 4/16-10/29 </v>
      </c>
      <c r="BU122" s="114"/>
      <c r="BV122" s="114"/>
      <c r="BW122" s="114"/>
      <c r="BX122" s="114"/>
      <c r="BY122" s="114"/>
      <c r="BZ122" s="114"/>
      <c r="CA122" s="114"/>
      <c r="CB122" s="114"/>
      <c r="CC122" s="114"/>
      <c r="CD122" s="114"/>
      <c r="CE122" s="114"/>
      <c r="CF122" s="114"/>
      <c r="CG122" s="114"/>
      <c r="CH122" s="114"/>
      <c r="CI122" s="114"/>
      <c r="CJ122" s="114"/>
      <c r="CK122" s="114"/>
      <c r="CL122" s="114"/>
      <c r="CM122" s="114"/>
      <c r="CN122" s="114"/>
      <c r="CO122" s="114"/>
      <c r="CP122" s="114"/>
      <c r="CQ122" s="114"/>
      <c r="CR122" s="114"/>
      <c r="CS122" s="114"/>
      <c r="CT122" s="114"/>
      <c r="CU122" s="114"/>
      <c r="CV122" s="114"/>
      <c r="CW122" s="114"/>
      <c r="CX122" s="114"/>
      <c r="CY122" s="114"/>
      <c r="CZ122" s="114"/>
      <c r="DA122" s="114"/>
      <c r="DB122" s="114"/>
      <c r="DC122" s="114"/>
      <c r="DD122" s="114"/>
      <c r="DE122" s="114"/>
      <c r="DF122" s="114"/>
      <c r="DG122" s="114"/>
      <c r="DH122" s="114"/>
      <c r="DI122" s="114"/>
      <c r="DJ122" s="114"/>
      <c r="DK122" s="114"/>
      <c r="DL122" s="114"/>
      <c r="DM122" s="114"/>
      <c r="DN122" s="114"/>
      <c r="DO122" s="114"/>
      <c r="DP122" s="114"/>
      <c r="DQ122" s="114"/>
    </row>
    <row r="123" spans="1:121" ht="15" customHeight="1" outlineLevel="4" x14ac:dyDescent="0.25">
      <c r="A123" s="101"/>
      <c r="B123" s="101"/>
      <c r="C123" s="101">
        <v>5</v>
      </c>
      <c r="D123" s="102" t="s">
        <v>255</v>
      </c>
      <c r="E123" s="103"/>
      <c r="F123" s="103"/>
      <c r="G123" s="103"/>
      <c r="H123" s="103"/>
      <c r="I123" s="103" t="s">
        <v>219</v>
      </c>
      <c r="J123" s="103"/>
      <c r="K123" s="103"/>
      <c r="L123" s="103"/>
      <c r="M123" s="103"/>
      <c r="N123" s="103"/>
      <c r="O123" s="103" t="str">
        <f>O122</f>
        <v>2동 PPC MSC</v>
      </c>
      <c r="P123" s="104"/>
      <c r="Q123" s="108">
        <v>45106</v>
      </c>
      <c r="R123" s="108">
        <v>45197</v>
      </c>
      <c r="S123" s="106">
        <f>R123-Q123</f>
        <v>91</v>
      </c>
      <c r="T123" s="107">
        <v>276</v>
      </c>
      <c r="U123" s="107">
        <v>0</v>
      </c>
      <c r="V123" s="107">
        <v>92</v>
      </c>
      <c r="W123" s="107">
        <v>0</v>
      </c>
      <c r="X123" s="108"/>
      <c r="Y123" s="108"/>
      <c r="Z123" s="109"/>
      <c r="AA123" s="110">
        <v>0</v>
      </c>
      <c r="AB123" s="107">
        <v>3</v>
      </c>
      <c r="AC123" s="106"/>
      <c r="AD123" s="180"/>
      <c r="AE123" s="111">
        <v>0</v>
      </c>
      <c r="AF123" s="121">
        <v>0</v>
      </c>
      <c r="AG123" s="113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 t="str">
        <f>"    " &amp; TEXT(AF123,"#0.00%") &amp; " "</f>
        <v xml:space="preserve">    0.00% </v>
      </c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 t="str">
        <f>"     " &amp; "단품제작" &amp; " " &amp; IF(Q123="","",TEXT(Q123,"M/D-")) &amp; IF(R123="","",TEXT(R123,"M/D")) &amp; " "</f>
        <v xml:space="preserve">     단품제작 6/29-9/28 </v>
      </c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  <c r="CA123" s="114"/>
      <c r="CB123" s="114"/>
      <c r="CC123" s="114"/>
      <c r="CD123" s="114"/>
      <c r="CE123" s="114"/>
      <c r="CF123" s="114"/>
      <c r="CG123" s="114"/>
      <c r="CH123" s="114"/>
      <c r="CI123" s="114"/>
      <c r="CJ123" s="114"/>
      <c r="CK123" s="114"/>
      <c r="CL123" s="114"/>
      <c r="CM123" s="114"/>
      <c r="CN123" s="114"/>
      <c r="CO123" s="114"/>
      <c r="CP123" s="114"/>
      <c r="CQ123" s="114"/>
      <c r="CR123" s="114"/>
      <c r="CS123" s="114"/>
      <c r="CT123" s="114"/>
      <c r="CU123" s="114"/>
      <c r="CV123" s="114"/>
      <c r="CW123" s="114"/>
      <c r="CX123" s="114"/>
      <c r="CY123" s="114"/>
      <c r="CZ123" s="114"/>
      <c r="DA123" s="114"/>
      <c r="DB123" s="114"/>
      <c r="DC123" s="114"/>
      <c r="DD123" s="114"/>
      <c r="DE123" s="114"/>
      <c r="DF123" s="114"/>
      <c r="DG123" s="114"/>
      <c r="DH123" s="114"/>
      <c r="DI123" s="114"/>
      <c r="DJ123" s="114"/>
      <c r="DK123" s="114"/>
      <c r="DL123" s="114"/>
      <c r="DM123" s="114"/>
      <c r="DN123" s="114"/>
      <c r="DO123" s="114"/>
      <c r="DP123" s="114"/>
      <c r="DQ123" s="114"/>
    </row>
    <row r="124" spans="1:121" ht="15" customHeight="1" outlineLevel="4" x14ac:dyDescent="0.25">
      <c r="A124" s="101"/>
      <c r="B124" s="101"/>
      <c r="C124" s="101">
        <v>5</v>
      </c>
      <c r="D124" s="102" t="s">
        <v>256</v>
      </c>
      <c r="E124" s="103"/>
      <c r="F124" s="103"/>
      <c r="G124" s="103"/>
      <c r="H124" s="103"/>
      <c r="I124" s="103" t="s">
        <v>220</v>
      </c>
      <c r="J124" s="103"/>
      <c r="K124" s="103"/>
      <c r="L124" s="103"/>
      <c r="M124" s="103"/>
      <c r="N124" s="103"/>
      <c r="O124" s="103" t="str">
        <f>O123</f>
        <v>2동 PPC MSC</v>
      </c>
      <c r="P124" s="104"/>
      <c r="Q124" s="108">
        <v>45138</v>
      </c>
      <c r="R124" s="108">
        <v>45244</v>
      </c>
      <c r="S124" s="106">
        <f>R124-Q124</f>
        <v>106</v>
      </c>
      <c r="T124" s="107">
        <v>428</v>
      </c>
      <c r="U124" s="107">
        <v>0</v>
      </c>
      <c r="V124" s="107">
        <v>107</v>
      </c>
      <c r="W124" s="107">
        <v>0</v>
      </c>
      <c r="X124" s="108"/>
      <c r="Y124" s="108"/>
      <c r="Z124" s="109"/>
      <c r="AA124" s="110">
        <v>0</v>
      </c>
      <c r="AB124" s="107">
        <v>4</v>
      </c>
      <c r="AC124" s="106"/>
      <c r="AD124" s="180"/>
      <c r="AE124" s="111">
        <v>0</v>
      </c>
      <c r="AF124" s="121">
        <v>0</v>
      </c>
      <c r="AG124" s="113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 t="str">
        <f>" " &amp; TEXT(AF124,"#0.00%") &amp; " "</f>
        <v xml:space="preserve"> 0.00% </v>
      </c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 t="str">
        <f>"   " &amp; "기구조립" &amp; " " &amp; IF(Q124="","",TEXT(Q124,"M/D-")) &amp; IF(R124="","",TEXT(R124,"M/D")) &amp; " "</f>
        <v xml:space="preserve">   기구조립 7/31-11/14 </v>
      </c>
      <c r="BW124" s="114"/>
      <c r="BX124" s="114"/>
      <c r="BY124" s="114"/>
      <c r="BZ124" s="114"/>
      <c r="CA124" s="114"/>
      <c r="CB124" s="114"/>
      <c r="CC124" s="114"/>
      <c r="CD124" s="114"/>
      <c r="CE124" s="114"/>
      <c r="CF124" s="114"/>
      <c r="CG124" s="114"/>
      <c r="CH124" s="114"/>
      <c r="CI124" s="114"/>
      <c r="CJ124" s="114"/>
      <c r="CK124" s="114"/>
      <c r="CL124" s="114"/>
      <c r="CM124" s="114"/>
      <c r="CN124" s="114"/>
      <c r="CO124" s="114"/>
      <c r="CP124" s="114"/>
      <c r="CQ124" s="114"/>
      <c r="CR124" s="114"/>
      <c r="CS124" s="114"/>
      <c r="CT124" s="114"/>
      <c r="CU124" s="114"/>
      <c r="CV124" s="114"/>
      <c r="CW124" s="114"/>
      <c r="CX124" s="114"/>
      <c r="CY124" s="114"/>
      <c r="CZ124" s="114"/>
      <c r="DA124" s="114"/>
      <c r="DB124" s="114"/>
      <c r="DC124" s="114"/>
      <c r="DD124" s="114"/>
      <c r="DE124" s="114"/>
      <c r="DF124" s="114"/>
      <c r="DG124" s="114"/>
      <c r="DH124" s="114"/>
      <c r="DI124" s="114"/>
      <c r="DJ124" s="114"/>
      <c r="DK124" s="114"/>
      <c r="DL124" s="114"/>
      <c r="DM124" s="114"/>
      <c r="DN124" s="114"/>
      <c r="DO124" s="114"/>
      <c r="DP124" s="114"/>
      <c r="DQ124" s="114"/>
    </row>
    <row r="125" spans="1:121" ht="15" customHeight="1" outlineLevel="4" x14ac:dyDescent="0.25">
      <c r="A125" s="101"/>
      <c r="B125" s="101"/>
      <c r="C125" s="101">
        <v>5</v>
      </c>
      <c r="D125" s="102" t="s">
        <v>589</v>
      </c>
      <c r="E125" s="103"/>
      <c r="F125" s="103"/>
      <c r="G125" s="103"/>
      <c r="H125" s="103"/>
      <c r="I125" s="103" t="s">
        <v>221</v>
      </c>
      <c r="J125" s="103"/>
      <c r="K125" s="103"/>
      <c r="L125" s="103"/>
      <c r="M125" s="103"/>
      <c r="N125" s="103"/>
      <c r="O125" s="103" t="str">
        <f>O124</f>
        <v>2동 PPC MSC</v>
      </c>
      <c r="P125" s="104"/>
      <c r="Q125" s="108">
        <v>45244</v>
      </c>
      <c r="R125" s="108">
        <v>45259</v>
      </c>
      <c r="S125" s="106">
        <f>R125-Q125</f>
        <v>15</v>
      </c>
      <c r="T125" s="107">
        <v>16</v>
      </c>
      <c r="U125" s="107">
        <v>0</v>
      </c>
      <c r="V125" s="107">
        <v>16</v>
      </c>
      <c r="W125" s="107">
        <v>0</v>
      </c>
      <c r="X125" s="108"/>
      <c r="Y125" s="108"/>
      <c r="Z125" s="109"/>
      <c r="AA125" s="110">
        <v>0</v>
      </c>
      <c r="AB125" s="107">
        <v>1</v>
      </c>
      <c r="AC125" s="106"/>
      <c r="AD125" s="180"/>
      <c r="AE125" s="111">
        <v>0</v>
      </c>
      <c r="AF125" s="121">
        <v>0</v>
      </c>
      <c r="AG125" s="113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 t="str">
        <f>"  " &amp; TEXT(AF125,"#0.00%") &amp; " " &amp; "전장조립" &amp; " " &amp; IF(Q125="","",TEXT(Q125,"M/D-")) &amp; IF(R125="","",TEXT(R125,"M/D")) &amp; " "</f>
        <v xml:space="preserve">  0.00% 전장조립 11/14-11/29 </v>
      </c>
      <c r="BW125" s="114"/>
      <c r="BX125" s="114"/>
      <c r="BY125" s="114"/>
      <c r="BZ125" s="114"/>
      <c r="CA125" s="114"/>
      <c r="CB125" s="114"/>
      <c r="CC125" s="114"/>
      <c r="CD125" s="114"/>
      <c r="CE125" s="114"/>
      <c r="CF125" s="114"/>
      <c r="CG125" s="114"/>
      <c r="CH125" s="114"/>
      <c r="CI125" s="114"/>
      <c r="CJ125" s="114"/>
      <c r="CK125" s="114"/>
      <c r="CL125" s="114"/>
      <c r="CM125" s="114"/>
      <c r="CN125" s="114"/>
      <c r="CO125" s="114"/>
      <c r="CP125" s="114"/>
      <c r="CQ125" s="114"/>
      <c r="CR125" s="114"/>
      <c r="CS125" s="114"/>
      <c r="CT125" s="114"/>
      <c r="CU125" s="114"/>
      <c r="CV125" s="114"/>
      <c r="CW125" s="114"/>
      <c r="CX125" s="114"/>
      <c r="CY125" s="114"/>
      <c r="CZ125" s="114"/>
      <c r="DA125" s="114"/>
      <c r="DB125" s="114"/>
      <c r="DC125" s="114"/>
      <c r="DD125" s="114"/>
      <c r="DE125" s="114"/>
      <c r="DF125" s="114"/>
      <c r="DG125" s="114"/>
      <c r="DH125" s="114"/>
      <c r="DI125" s="114"/>
      <c r="DJ125" s="114"/>
      <c r="DK125" s="114"/>
      <c r="DL125" s="114"/>
      <c r="DM125" s="114"/>
      <c r="DN125" s="114"/>
      <c r="DO125" s="114"/>
      <c r="DP125" s="114"/>
      <c r="DQ125" s="114"/>
    </row>
    <row r="126" spans="1:121" ht="15" customHeight="1" outlineLevel="3" x14ac:dyDescent="0.25">
      <c r="A126" s="101"/>
      <c r="B126" s="101" t="s">
        <v>153</v>
      </c>
      <c r="C126" s="101">
        <v>4</v>
      </c>
      <c r="D126" s="102" t="s">
        <v>257</v>
      </c>
      <c r="E126" s="103"/>
      <c r="F126" s="103"/>
      <c r="G126" s="103"/>
      <c r="H126" s="103" t="s">
        <v>590</v>
      </c>
      <c r="I126" s="103"/>
      <c r="J126" s="103"/>
      <c r="K126" s="103"/>
      <c r="L126" s="103"/>
      <c r="M126" s="103"/>
      <c r="N126" s="103"/>
      <c r="O126" s="103" t="str">
        <f>H126</f>
        <v>2동 충방전 MSC</v>
      </c>
      <c r="P126" s="104"/>
      <c r="Q126" s="108">
        <v>45032</v>
      </c>
      <c r="R126" s="105">
        <v>45259</v>
      </c>
      <c r="S126" s="106"/>
      <c r="T126" s="107">
        <v>1114</v>
      </c>
      <c r="U126" s="107">
        <v>76</v>
      </c>
      <c r="V126" s="107">
        <v>228</v>
      </c>
      <c r="W126" s="107">
        <v>38</v>
      </c>
      <c r="X126" s="108"/>
      <c r="Y126" s="108"/>
      <c r="Z126" s="109">
        <v>0</v>
      </c>
      <c r="AA126" s="110">
        <v>0</v>
      </c>
      <c r="AB126" s="107"/>
      <c r="AC126" s="106"/>
      <c r="AD126" s="180"/>
      <c r="AE126" s="111">
        <v>6.8222621184919216E-2</v>
      </c>
      <c r="AF126" s="112">
        <v>0</v>
      </c>
      <c r="AG126" s="113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 t="str">
        <f>"" &amp; TEXT(AF126,"#0.00%") &amp; " "</f>
        <v xml:space="preserve">0.00% </v>
      </c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 t="str">
        <f>"    " &amp; "2동 충방전 MSC" &amp; " " &amp; IF(Q126="","",TEXT(Q126,"M/D-")) &amp; IF(R126="","",TEXT(R126,"M/D")) &amp; " "</f>
        <v xml:space="preserve">    2동 충방전 MSC 4/16-11/29 </v>
      </c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114"/>
      <c r="DH126" s="114"/>
      <c r="DI126" s="114"/>
      <c r="DJ126" s="114"/>
      <c r="DK126" s="114"/>
      <c r="DL126" s="114"/>
      <c r="DM126" s="114"/>
      <c r="DN126" s="114"/>
      <c r="DO126" s="114"/>
      <c r="DP126" s="114"/>
      <c r="DQ126" s="114"/>
    </row>
    <row r="127" spans="1:121" ht="15" customHeight="1" outlineLevel="4" x14ac:dyDescent="0.25">
      <c r="A127" s="101"/>
      <c r="B127" s="101"/>
      <c r="C127" s="101">
        <v>5</v>
      </c>
      <c r="D127" s="102" t="s">
        <v>258</v>
      </c>
      <c r="E127" s="103"/>
      <c r="F127" s="103"/>
      <c r="G127" s="103"/>
      <c r="H127" s="103"/>
      <c r="I127" s="103" t="s">
        <v>217</v>
      </c>
      <c r="J127" s="103"/>
      <c r="K127" s="103"/>
      <c r="L127" s="103"/>
      <c r="M127" s="103"/>
      <c r="N127" s="103"/>
      <c r="O127" s="103" t="str">
        <f>O126</f>
        <v>2동 충방전 MSC</v>
      </c>
      <c r="P127" s="104"/>
      <c r="Q127" s="108">
        <v>45032</v>
      </c>
      <c r="R127" s="108">
        <v>45228</v>
      </c>
      <c r="S127" s="106">
        <f>R127-Q127</f>
        <v>196</v>
      </c>
      <c r="T127" s="107">
        <v>394</v>
      </c>
      <c r="U127" s="107">
        <v>76</v>
      </c>
      <c r="V127" s="107">
        <v>197</v>
      </c>
      <c r="W127" s="107">
        <v>38</v>
      </c>
      <c r="X127" s="108"/>
      <c r="Y127" s="108"/>
      <c r="Z127" s="109"/>
      <c r="AA127" s="110">
        <v>0</v>
      </c>
      <c r="AB127" s="107">
        <v>2</v>
      </c>
      <c r="AC127" s="106"/>
      <c r="AD127" s="180"/>
      <c r="AE127" s="111">
        <v>0.19289340101522842</v>
      </c>
      <c r="AF127" s="117">
        <v>0</v>
      </c>
      <c r="AG127" s="113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 t="str">
        <f>"" &amp; TEXT(AF127,"#0.00%") &amp; " "</f>
        <v xml:space="preserve">0.00% </v>
      </c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 t="str">
        <f>" " &amp; "장납기 구매품 발주 및 입고" &amp; " " &amp; IF(Q127="","",TEXT(Q127,"M/D-")) &amp; IF(R127="","",TEXT(R127,"M/D")) &amp; " "</f>
        <v xml:space="preserve"> 장납기 구매품 발주 및 입고 4/16-10/29 </v>
      </c>
      <c r="BU127" s="114"/>
      <c r="BV127" s="114"/>
      <c r="BW127" s="114"/>
      <c r="BX127" s="114"/>
      <c r="BY127" s="114"/>
      <c r="BZ127" s="114"/>
      <c r="CA127" s="114"/>
      <c r="CB127" s="114"/>
      <c r="CC127" s="114"/>
      <c r="CD127" s="114"/>
      <c r="CE127" s="114"/>
      <c r="CF127" s="114"/>
      <c r="CG127" s="114"/>
      <c r="CH127" s="114"/>
      <c r="CI127" s="114"/>
      <c r="CJ127" s="114"/>
      <c r="CK127" s="114"/>
      <c r="CL127" s="114"/>
      <c r="CM127" s="114"/>
      <c r="CN127" s="114"/>
      <c r="CO127" s="114"/>
      <c r="CP127" s="114"/>
      <c r="CQ127" s="114"/>
      <c r="CR127" s="114"/>
      <c r="CS127" s="114"/>
      <c r="CT127" s="114"/>
      <c r="CU127" s="114"/>
      <c r="CV127" s="114"/>
      <c r="CW127" s="114"/>
      <c r="CX127" s="114"/>
      <c r="CY127" s="114"/>
      <c r="CZ127" s="114"/>
      <c r="DA127" s="114"/>
      <c r="DB127" s="114"/>
      <c r="DC127" s="114"/>
      <c r="DD127" s="114"/>
      <c r="DE127" s="114"/>
      <c r="DF127" s="114"/>
      <c r="DG127" s="114"/>
      <c r="DH127" s="114"/>
      <c r="DI127" s="114"/>
      <c r="DJ127" s="114"/>
      <c r="DK127" s="114"/>
      <c r="DL127" s="114"/>
      <c r="DM127" s="114"/>
      <c r="DN127" s="114"/>
      <c r="DO127" s="114"/>
      <c r="DP127" s="114"/>
      <c r="DQ127" s="114"/>
    </row>
    <row r="128" spans="1:121" ht="15" customHeight="1" outlineLevel="4" x14ac:dyDescent="0.25">
      <c r="A128" s="101"/>
      <c r="B128" s="101"/>
      <c r="C128" s="101">
        <v>5</v>
      </c>
      <c r="D128" s="102" t="s">
        <v>259</v>
      </c>
      <c r="E128" s="103"/>
      <c r="F128" s="103"/>
      <c r="G128" s="103"/>
      <c r="H128" s="103"/>
      <c r="I128" s="103" t="s">
        <v>219</v>
      </c>
      <c r="J128" s="103"/>
      <c r="K128" s="103"/>
      <c r="L128" s="103"/>
      <c r="M128" s="103"/>
      <c r="N128" s="103"/>
      <c r="O128" s="103" t="str">
        <f>O127</f>
        <v>2동 충방전 MSC</v>
      </c>
      <c r="P128" s="104"/>
      <c r="Q128" s="108">
        <v>45106</v>
      </c>
      <c r="R128" s="108">
        <v>45197</v>
      </c>
      <c r="S128" s="106">
        <f>R128-Q128</f>
        <v>91</v>
      </c>
      <c r="T128" s="107">
        <v>276</v>
      </c>
      <c r="U128" s="107">
        <v>0</v>
      </c>
      <c r="V128" s="107">
        <v>92</v>
      </c>
      <c r="W128" s="107">
        <v>0</v>
      </c>
      <c r="X128" s="108"/>
      <c r="Y128" s="108"/>
      <c r="Z128" s="109"/>
      <c r="AA128" s="110">
        <v>0</v>
      </c>
      <c r="AB128" s="107">
        <v>3</v>
      </c>
      <c r="AC128" s="106"/>
      <c r="AD128" s="180"/>
      <c r="AE128" s="111">
        <v>0</v>
      </c>
      <c r="AF128" s="121">
        <v>0</v>
      </c>
      <c r="AG128" s="113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 t="str">
        <f>"    " &amp; TEXT(AF128,"#0.00%") &amp; " "</f>
        <v xml:space="preserve">    0.00% </v>
      </c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 t="str">
        <f>"     " &amp; "단품제작" &amp; " " &amp; IF(Q128="","",TEXT(Q128,"M/D-")) &amp; IF(R128="","",TEXT(R128,"M/D")) &amp; " "</f>
        <v xml:space="preserve">     단품제작 6/29-9/28 </v>
      </c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114"/>
      <c r="CC128" s="114"/>
      <c r="CD128" s="114"/>
      <c r="CE128" s="114"/>
      <c r="CF128" s="114"/>
      <c r="CG128" s="114"/>
      <c r="CH128" s="114"/>
      <c r="CI128" s="114"/>
      <c r="CJ128" s="114"/>
      <c r="CK128" s="114"/>
      <c r="CL128" s="114"/>
      <c r="CM128" s="114"/>
      <c r="CN128" s="114"/>
      <c r="CO128" s="114"/>
      <c r="CP128" s="114"/>
      <c r="CQ128" s="114"/>
      <c r="CR128" s="114"/>
      <c r="CS128" s="114"/>
      <c r="CT128" s="114"/>
      <c r="CU128" s="114"/>
      <c r="CV128" s="114"/>
      <c r="CW128" s="114"/>
      <c r="CX128" s="114"/>
      <c r="CY128" s="114"/>
      <c r="CZ128" s="114"/>
      <c r="DA128" s="114"/>
      <c r="DB128" s="114"/>
      <c r="DC128" s="114"/>
      <c r="DD128" s="114"/>
      <c r="DE128" s="114"/>
      <c r="DF128" s="114"/>
      <c r="DG128" s="114"/>
      <c r="DH128" s="114"/>
      <c r="DI128" s="114"/>
      <c r="DJ128" s="114"/>
      <c r="DK128" s="114"/>
      <c r="DL128" s="114"/>
      <c r="DM128" s="114"/>
      <c r="DN128" s="114"/>
      <c r="DO128" s="114"/>
      <c r="DP128" s="114"/>
      <c r="DQ128" s="114"/>
    </row>
    <row r="129" spans="1:121" ht="15" customHeight="1" outlineLevel="4" x14ac:dyDescent="0.25">
      <c r="A129" s="101"/>
      <c r="B129" s="101"/>
      <c r="C129" s="101">
        <v>5</v>
      </c>
      <c r="D129" s="102" t="s">
        <v>260</v>
      </c>
      <c r="E129" s="103"/>
      <c r="F129" s="103"/>
      <c r="G129" s="103"/>
      <c r="H129" s="103"/>
      <c r="I129" s="103" t="s">
        <v>220</v>
      </c>
      <c r="J129" s="103"/>
      <c r="K129" s="103"/>
      <c r="L129" s="103"/>
      <c r="M129" s="103"/>
      <c r="N129" s="103"/>
      <c r="O129" s="103" t="str">
        <f>O128</f>
        <v>2동 충방전 MSC</v>
      </c>
      <c r="P129" s="104"/>
      <c r="Q129" s="108">
        <v>45138</v>
      </c>
      <c r="R129" s="108">
        <v>45244</v>
      </c>
      <c r="S129" s="106">
        <f>R129-Q129</f>
        <v>106</v>
      </c>
      <c r="T129" s="107">
        <v>428</v>
      </c>
      <c r="U129" s="107">
        <v>0</v>
      </c>
      <c r="V129" s="107">
        <v>107</v>
      </c>
      <c r="W129" s="107">
        <v>0</v>
      </c>
      <c r="X129" s="108"/>
      <c r="Y129" s="108"/>
      <c r="Z129" s="109"/>
      <c r="AA129" s="110">
        <v>0</v>
      </c>
      <c r="AB129" s="107">
        <v>4</v>
      </c>
      <c r="AC129" s="106"/>
      <c r="AD129" s="180"/>
      <c r="AE129" s="111">
        <v>0</v>
      </c>
      <c r="AF129" s="121">
        <v>0</v>
      </c>
      <c r="AG129" s="113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 t="str">
        <f>" " &amp; TEXT(AF129,"#0.00%") &amp; " "</f>
        <v xml:space="preserve"> 0.00% </v>
      </c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 t="str">
        <f>"   " &amp; "기구조립" &amp; " " &amp; IF(Q129="","",TEXT(Q129,"M/D-")) &amp; IF(R129="","",TEXT(R129,"M/D")) &amp; " "</f>
        <v xml:space="preserve">   기구조립 7/31-11/14 </v>
      </c>
      <c r="BW129" s="114"/>
      <c r="BX129" s="114"/>
      <c r="BY129" s="114"/>
      <c r="BZ129" s="114"/>
      <c r="CA129" s="114"/>
      <c r="CB129" s="114"/>
      <c r="CC129" s="114"/>
      <c r="CD129" s="114"/>
      <c r="CE129" s="114"/>
      <c r="CF129" s="114"/>
      <c r="CG129" s="114"/>
      <c r="CH129" s="114"/>
      <c r="CI129" s="114"/>
      <c r="CJ129" s="114"/>
      <c r="CK129" s="114"/>
      <c r="CL129" s="114"/>
      <c r="CM129" s="114"/>
      <c r="CN129" s="114"/>
      <c r="CO129" s="114"/>
      <c r="CP129" s="114"/>
      <c r="CQ129" s="114"/>
      <c r="CR129" s="114"/>
      <c r="CS129" s="114"/>
      <c r="CT129" s="114"/>
      <c r="CU129" s="114"/>
      <c r="CV129" s="114"/>
      <c r="CW129" s="114"/>
      <c r="CX129" s="114"/>
      <c r="CY129" s="114"/>
      <c r="CZ129" s="114"/>
      <c r="DA129" s="114"/>
      <c r="DB129" s="114"/>
      <c r="DC129" s="114"/>
      <c r="DD129" s="114"/>
      <c r="DE129" s="114"/>
      <c r="DF129" s="114"/>
      <c r="DG129" s="114"/>
      <c r="DH129" s="114"/>
      <c r="DI129" s="114"/>
      <c r="DJ129" s="114"/>
      <c r="DK129" s="114"/>
      <c r="DL129" s="114"/>
      <c r="DM129" s="114"/>
      <c r="DN129" s="114"/>
      <c r="DO129" s="114"/>
      <c r="DP129" s="114"/>
      <c r="DQ129" s="114"/>
    </row>
    <row r="130" spans="1:121" ht="15" customHeight="1" outlineLevel="4" x14ac:dyDescent="0.25">
      <c r="A130" s="101"/>
      <c r="B130" s="101"/>
      <c r="C130" s="101">
        <v>5</v>
      </c>
      <c r="D130" s="102" t="s">
        <v>591</v>
      </c>
      <c r="E130" s="103"/>
      <c r="F130" s="103"/>
      <c r="G130" s="103"/>
      <c r="H130" s="103"/>
      <c r="I130" s="103" t="s">
        <v>221</v>
      </c>
      <c r="J130" s="103"/>
      <c r="K130" s="103"/>
      <c r="L130" s="103"/>
      <c r="M130" s="103"/>
      <c r="N130" s="103"/>
      <c r="O130" s="103" t="str">
        <f>O129</f>
        <v>2동 충방전 MSC</v>
      </c>
      <c r="P130" s="104"/>
      <c r="Q130" s="108">
        <v>45244</v>
      </c>
      <c r="R130" s="108">
        <v>45259</v>
      </c>
      <c r="S130" s="106">
        <f>R130-Q130</f>
        <v>15</v>
      </c>
      <c r="T130" s="107">
        <v>16</v>
      </c>
      <c r="U130" s="107">
        <v>0</v>
      </c>
      <c r="V130" s="107">
        <v>16</v>
      </c>
      <c r="W130" s="107">
        <v>0</v>
      </c>
      <c r="X130" s="108"/>
      <c r="Y130" s="108"/>
      <c r="Z130" s="109"/>
      <c r="AA130" s="110">
        <v>0</v>
      </c>
      <c r="AB130" s="107">
        <v>1</v>
      </c>
      <c r="AC130" s="106"/>
      <c r="AD130" s="180"/>
      <c r="AE130" s="111">
        <v>0</v>
      </c>
      <c r="AF130" s="121">
        <v>0</v>
      </c>
      <c r="AG130" s="113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 t="str">
        <f>"  " &amp; TEXT(AF130,"#0.00%") &amp; " " &amp; "전장조립" &amp; " " &amp; IF(Q130="","",TEXT(Q130,"M/D-")) &amp; IF(R130="","",TEXT(R130,"M/D")) &amp; " "</f>
        <v xml:space="preserve">  0.00% 전장조립 11/14-11/29 </v>
      </c>
      <c r="BW130" s="114"/>
      <c r="BX130" s="114"/>
      <c r="BY130" s="114"/>
      <c r="BZ130" s="114"/>
      <c r="CA130" s="114"/>
      <c r="CB130" s="114"/>
      <c r="CC130" s="114"/>
      <c r="CD130" s="114"/>
      <c r="CE130" s="114"/>
      <c r="CF130" s="114"/>
      <c r="CG130" s="114"/>
      <c r="CH130" s="114"/>
      <c r="CI130" s="114"/>
      <c r="CJ130" s="114"/>
      <c r="CK130" s="114"/>
      <c r="CL130" s="114"/>
      <c r="CM130" s="114"/>
      <c r="CN130" s="114"/>
      <c r="CO130" s="114"/>
      <c r="CP130" s="114"/>
      <c r="CQ130" s="114"/>
      <c r="CR130" s="114"/>
      <c r="CS130" s="114"/>
      <c r="CT130" s="114"/>
      <c r="CU130" s="114"/>
      <c r="CV130" s="114"/>
      <c r="CW130" s="114"/>
      <c r="CX130" s="114"/>
      <c r="CY130" s="114"/>
      <c r="CZ130" s="114"/>
      <c r="DA130" s="114"/>
      <c r="DB130" s="114"/>
      <c r="DC130" s="114"/>
      <c r="DD130" s="114"/>
      <c r="DE130" s="114"/>
      <c r="DF130" s="114"/>
      <c r="DG130" s="114"/>
      <c r="DH130" s="114"/>
      <c r="DI130" s="114"/>
      <c r="DJ130" s="114"/>
      <c r="DK130" s="114"/>
      <c r="DL130" s="114"/>
      <c r="DM130" s="114"/>
      <c r="DN130" s="114"/>
      <c r="DO130" s="114"/>
      <c r="DP130" s="114"/>
      <c r="DQ130" s="114"/>
    </row>
    <row r="131" spans="1:121" ht="15" customHeight="1" outlineLevel="3" x14ac:dyDescent="0.25">
      <c r="A131" s="101"/>
      <c r="B131" s="101" t="s">
        <v>153</v>
      </c>
      <c r="C131" s="101">
        <v>4</v>
      </c>
      <c r="D131" s="102" t="s">
        <v>261</v>
      </c>
      <c r="E131" s="103"/>
      <c r="F131" s="103"/>
      <c r="G131" s="103"/>
      <c r="H131" s="103" t="s">
        <v>592</v>
      </c>
      <c r="I131" s="103"/>
      <c r="J131" s="103"/>
      <c r="K131" s="103"/>
      <c r="L131" s="103"/>
      <c r="M131" s="103"/>
      <c r="N131" s="103"/>
      <c r="O131" s="103" t="str">
        <f>H131</f>
        <v>2동 고온#2 Aging MSC</v>
      </c>
      <c r="P131" s="104"/>
      <c r="Q131" s="108">
        <v>45032</v>
      </c>
      <c r="R131" s="105">
        <v>45289</v>
      </c>
      <c r="S131" s="106"/>
      <c r="T131" s="107">
        <v>1188</v>
      </c>
      <c r="U131" s="107">
        <v>76</v>
      </c>
      <c r="V131" s="107">
        <v>258</v>
      </c>
      <c r="W131" s="107">
        <v>38</v>
      </c>
      <c r="X131" s="108"/>
      <c r="Y131" s="108"/>
      <c r="Z131" s="109">
        <v>0</v>
      </c>
      <c r="AA131" s="110">
        <v>0</v>
      </c>
      <c r="AB131" s="107"/>
      <c r="AC131" s="106"/>
      <c r="AD131" s="180"/>
      <c r="AE131" s="111">
        <v>6.3973063973063973E-2</v>
      </c>
      <c r="AF131" s="112">
        <v>0</v>
      </c>
      <c r="AG131" s="113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 t="str">
        <f>"" &amp; TEXT(AF131,"#0.00%") &amp; " "</f>
        <v xml:space="preserve">0.00% </v>
      </c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  <c r="CA131" s="114"/>
      <c r="CB131" s="114" t="str">
        <f>"      " &amp; "2동 고온#2 Aging MSC" &amp; " " &amp; IF(Q131="","",TEXT(Q131,"M/D-")) &amp; IF(R131="","",TEXT(R131,"M/D")) &amp; " "</f>
        <v xml:space="preserve">      2동 고온#2 Aging MSC 4/16-12/29 </v>
      </c>
      <c r="CC131" s="114"/>
      <c r="CD131" s="114"/>
      <c r="CE131" s="114"/>
      <c r="CF131" s="114"/>
      <c r="CG131" s="114"/>
      <c r="CH131" s="114"/>
      <c r="CI131" s="114"/>
      <c r="CJ131" s="114"/>
      <c r="CK131" s="114"/>
      <c r="CL131" s="114"/>
      <c r="CM131" s="114"/>
      <c r="CN131" s="114"/>
      <c r="CO131" s="114"/>
      <c r="CP131" s="114"/>
      <c r="CQ131" s="114"/>
      <c r="CR131" s="114"/>
      <c r="CS131" s="114"/>
      <c r="CT131" s="114"/>
      <c r="CU131" s="114"/>
      <c r="CV131" s="114"/>
      <c r="CW131" s="114"/>
      <c r="CX131" s="114"/>
      <c r="CY131" s="114"/>
      <c r="CZ131" s="114"/>
      <c r="DA131" s="114"/>
      <c r="DB131" s="114"/>
      <c r="DC131" s="114"/>
      <c r="DD131" s="114"/>
      <c r="DE131" s="114"/>
      <c r="DF131" s="114"/>
      <c r="DG131" s="114"/>
      <c r="DH131" s="114"/>
      <c r="DI131" s="114"/>
      <c r="DJ131" s="114"/>
      <c r="DK131" s="114"/>
      <c r="DL131" s="114"/>
      <c r="DM131" s="114"/>
      <c r="DN131" s="114"/>
      <c r="DO131" s="114"/>
      <c r="DP131" s="114"/>
      <c r="DQ131" s="114"/>
    </row>
    <row r="132" spans="1:121" ht="15" customHeight="1" outlineLevel="4" x14ac:dyDescent="0.25">
      <c r="A132" s="101"/>
      <c r="B132" s="101"/>
      <c r="C132" s="101">
        <v>5</v>
      </c>
      <c r="D132" s="102" t="s">
        <v>262</v>
      </c>
      <c r="E132" s="103"/>
      <c r="F132" s="103"/>
      <c r="G132" s="103"/>
      <c r="H132" s="103"/>
      <c r="I132" s="103" t="s">
        <v>217</v>
      </c>
      <c r="J132" s="103"/>
      <c r="K132" s="103"/>
      <c r="L132" s="103"/>
      <c r="M132" s="103"/>
      <c r="N132" s="103"/>
      <c r="O132" s="103" t="str">
        <f>O131</f>
        <v>2동 고온#2 Aging MSC</v>
      </c>
      <c r="P132" s="104"/>
      <c r="Q132" s="108">
        <v>45032</v>
      </c>
      <c r="R132" s="108">
        <v>45228</v>
      </c>
      <c r="S132" s="106">
        <f>R132-Q132</f>
        <v>196</v>
      </c>
      <c r="T132" s="107">
        <v>394</v>
      </c>
      <c r="U132" s="107">
        <v>76</v>
      </c>
      <c r="V132" s="107">
        <v>197</v>
      </c>
      <c r="W132" s="107">
        <v>38</v>
      </c>
      <c r="X132" s="108"/>
      <c r="Y132" s="108"/>
      <c r="Z132" s="109"/>
      <c r="AA132" s="110">
        <v>0</v>
      </c>
      <c r="AB132" s="107">
        <v>2</v>
      </c>
      <c r="AC132" s="106"/>
      <c r="AD132" s="180"/>
      <c r="AE132" s="111">
        <v>0.19289340101522842</v>
      </c>
      <c r="AF132" s="117">
        <v>0</v>
      </c>
      <c r="AG132" s="113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 t="str">
        <f>"" &amp; TEXT(AF132,"#0.00%") &amp; " "</f>
        <v xml:space="preserve">0.00% </v>
      </c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 t="str">
        <f>" " &amp; "장납기 구매품 발주 및 입고" &amp; " " &amp; IF(Q132="","",TEXT(Q132,"M/D-")) &amp; IF(R132="","",TEXT(R132,"M/D")) &amp; " "</f>
        <v xml:space="preserve"> 장납기 구매품 발주 및 입고 4/16-10/29 </v>
      </c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  <c r="CH132" s="114"/>
      <c r="CI132" s="114"/>
      <c r="CJ132" s="114"/>
      <c r="CK132" s="114"/>
      <c r="CL132" s="114"/>
      <c r="CM132" s="114"/>
      <c r="CN132" s="114"/>
      <c r="CO132" s="114"/>
      <c r="CP132" s="114"/>
      <c r="CQ132" s="114"/>
      <c r="CR132" s="114"/>
      <c r="CS132" s="114"/>
      <c r="CT132" s="114"/>
      <c r="CU132" s="114"/>
      <c r="CV132" s="114"/>
      <c r="CW132" s="114"/>
      <c r="CX132" s="114"/>
      <c r="CY132" s="114"/>
      <c r="CZ132" s="114"/>
      <c r="DA132" s="114"/>
      <c r="DB132" s="114"/>
      <c r="DC132" s="114"/>
      <c r="DD132" s="114"/>
      <c r="DE132" s="114"/>
      <c r="DF132" s="114"/>
      <c r="DG132" s="114"/>
      <c r="DH132" s="114"/>
      <c r="DI132" s="114"/>
      <c r="DJ132" s="114"/>
      <c r="DK132" s="114"/>
      <c r="DL132" s="114"/>
      <c r="DM132" s="114"/>
      <c r="DN132" s="114"/>
      <c r="DO132" s="114"/>
      <c r="DP132" s="114"/>
      <c r="DQ132" s="114"/>
    </row>
    <row r="133" spans="1:121" ht="15" customHeight="1" outlineLevel="4" x14ac:dyDescent="0.25">
      <c r="A133" s="101"/>
      <c r="B133" s="101"/>
      <c r="C133" s="101">
        <v>5</v>
      </c>
      <c r="D133" s="102" t="s">
        <v>263</v>
      </c>
      <c r="E133" s="103"/>
      <c r="F133" s="103"/>
      <c r="G133" s="103"/>
      <c r="H133" s="103"/>
      <c r="I133" s="103" t="s">
        <v>219</v>
      </c>
      <c r="J133" s="103"/>
      <c r="K133" s="103"/>
      <c r="L133" s="103"/>
      <c r="M133" s="103"/>
      <c r="N133" s="103"/>
      <c r="O133" s="103" t="str">
        <f>O132</f>
        <v>2동 고온#2 Aging MSC</v>
      </c>
      <c r="P133" s="104"/>
      <c r="Q133" s="108">
        <v>45106</v>
      </c>
      <c r="R133" s="108">
        <v>45197</v>
      </c>
      <c r="S133" s="106">
        <f>R133-Q133</f>
        <v>91</v>
      </c>
      <c r="T133" s="107">
        <v>276</v>
      </c>
      <c r="U133" s="107">
        <v>0</v>
      </c>
      <c r="V133" s="107">
        <v>92</v>
      </c>
      <c r="W133" s="107">
        <v>0</v>
      </c>
      <c r="X133" s="108"/>
      <c r="Y133" s="108"/>
      <c r="Z133" s="109"/>
      <c r="AA133" s="110">
        <v>0</v>
      </c>
      <c r="AB133" s="107">
        <v>3</v>
      </c>
      <c r="AC133" s="106"/>
      <c r="AD133" s="180"/>
      <c r="AE133" s="111">
        <v>0</v>
      </c>
      <c r="AF133" s="121">
        <v>0</v>
      </c>
      <c r="AG133" s="113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 t="str">
        <f>"    " &amp; TEXT(AF133,"#0.00%") &amp; " "</f>
        <v xml:space="preserve">    0.00% </v>
      </c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 t="str">
        <f>"     " &amp; "단품제작" &amp; " " &amp; IF(Q133="","",TEXT(Q133,"M/D-")) &amp; IF(R133="","",TEXT(R133,"M/D")) &amp; " "</f>
        <v xml:space="preserve">     단품제작 6/29-9/28 </v>
      </c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  <c r="CH133" s="114"/>
      <c r="CI133" s="114"/>
      <c r="CJ133" s="114"/>
      <c r="CK133" s="114"/>
      <c r="CL133" s="114"/>
      <c r="CM133" s="114"/>
      <c r="CN133" s="114"/>
      <c r="CO133" s="114"/>
      <c r="CP133" s="114"/>
      <c r="CQ133" s="114"/>
      <c r="CR133" s="114"/>
      <c r="CS133" s="114"/>
      <c r="CT133" s="114"/>
      <c r="CU133" s="114"/>
      <c r="CV133" s="114"/>
      <c r="CW133" s="114"/>
      <c r="CX133" s="114"/>
      <c r="CY133" s="114"/>
      <c r="CZ133" s="114"/>
      <c r="DA133" s="114"/>
      <c r="DB133" s="114"/>
      <c r="DC133" s="114"/>
      <c r="DD133" s="114"/>
      <c r="DE133" s="114"/>
      <c r="DF133" s="114"/>
      <c r="DG133" s="114"/>
      <c r="DH133" s="114"/>
      <c r="DI133" s="114"/>
      <c r="DJ133" s="114"/>
      <c r="DK133" s="114"/>
      <c r="DL133" s="114"/>
      <c r="DM133" s="114"/>
      <c r="DN133" s="114"/>
      <c r="DO133" s="114"/>
      <c r="DP133" s="114"/>
      <c r="DQ133" s="114"/>
    </row>
    <row r="134" spans="1:121" ht="15" customHeight="1" outlineLevel="4" x14ac:dyDescent="0.25">
      <c r="A134" s="101"/>
      <c r="B134" s="101"/>
      <c r="C134" s="101">
        <v>5</v>
      </c>
      <c r="D134" s="102" t="s">
        <v>264</v>
      </c>
      <c r="E134" s="103"/>
      <c r="F134" s="103"/>
      <c r="G134" s="103"/>
      <c r="H134" s="103"/>
      <c r="I134" s="103" t="s">
        <v>220</v>
      </c>
      <c r="J134" s="103"/>
      <c r="K134" s="103"/>
      <c r="L134" s="103"/>
      <c r="M134" s="103"/>
      <c r="N134" s="103"/>
      <c r="O134" s="103" t="str">
        <f>O133</f>
        <v>2동 고온#2 Aging MSC</v>
      </c>
      <c r="P134" s="104"/>
      <c r="Q134" s="108">
        <v>45138</v>
      </c>
      <c r="R134" s="108">
        <v>45259</v>
      </c>
      <c r="S134" s="106">
        <f>R134-Q134</f>
        <v>121</v>
      </c>
      <c r="T134" s="107">
        <v>488</v>
      </c>
      <c r="U134" s="107">
        <v>0</v>
      </c>
      <c r="V134" s="107">
        <v>122</v>
      </c>
      <c r="W134" s="107">
        <v>0</v>
      </c>
      <c r="X134" s="108"/>
      <c r="Y134" s="108"/>
      <c r="Z134" s="109"/>
      <c r="AA134" s="110">
        <v>0</v>
      </c>
      <c r="AB134" s="107">
        <v>4</v>
      </c>
      <c r="AC134" s="106"/>
      <c r="AD134" s="180"/>
      <c r="AE134" s="111">
        <v>0</v>
      </c>
      <c r="AF134" s="121">
        <v>0</v>
      </c>
      <c r="AG134" s="113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 t="str">
        <f>" " &amp; TEXT(AF134,"#0.00%") &amp; " "</f>
        <v xml:space="preserve"> 0.00% </v>
      </c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 t="str">
        <f>"    " &amp; "기구조립" &amp; " " &amp; IF(Q134="","",TEXT(Q134,"M/D-")) &amp; IF(R134="","",TEXT(R134,"M/D")) &amp; " "</f>
        <v xml:space="preserve">    기구조립 7/31-11/29 </v>
      </c>
      <c r="BY134" s="114"/>
      <c r="BZ134" s="114"/>
      <c r="CA134" s="114"/>
      <c r="CB134" s="114"/>
      <c r="CC134" s="114"/>
      <c r="CD134" s="114"/>
      <c r="CE134" s="114"/>
      <c r="CF134" s="114"/>
      <c r="CG134" s="114"/>
      <c r="CH134" s="114"/>
      <c r="CI134" s="114"/>
      <c r="CJ134" s="114"/>
      <c r="CK134" s="114"/>
      <c r="CL134" s="114"/>
      <c r="CM134" s="114"/>
      <c r="CN134" s="114"/>
      <c r="CO134" s="114"/>
      <c r="CP134" s="114"/>
      <c r="CQ134" s="114"/>
      <c r="CR134" s="114"/>
      <c r="CS134" s="114"/>
      <c r="CT134" s="114"/>
      <c r="CU134" s="114"/>
      <c r="CV134" s="114"/>
      <c r="CW134" s="114"/>
      <c r="CX134" s="114"/>
      <c r="CY134" s="114"/>
      <c r="CZ134" s="114"/>
      <c r="DA134" s="114"/>
      <c r="DB134" s="114"/>
      <c r="DC134" s="114"/>
      <c r="DD134" s="114"/>
      <c r="DE134" s="114"/>
      <c r="DF134" s="114"/>
      <c r="DG134" s="114"/>
      <c r="DH134" s="114"/>
      <c r="DI134" s="114"/>
      <c r="DJ134" s="114"/>
      <c r="DK134" s="114"/>
      <c r="DL134" s="114"/>
      <c r="DM134" s="114"/>
      <c r="DN134" s="114"/>
      <c r="DO134" s="114"/>
      <c r="DP134" s="114"/>
      <c r="DQ134" s="114"/>
    </row>
    <row r="135" spans="1:121" ht="15" customHeight="1" outlineLevel="4" x14ac:dyDescent="0.25">
      <c r="A135" s="101"/>
      <c r="B135" s="101"/>
      <c r="C135" s="101">
        <v>5</v>
      </c>
      <c r="D135" s="102" t="s">
        <v>593</v>
      </c>
      <c r="E135" s="103"/>
      <c r="F135" s="103"/>
      <c r="G135" s="103"/>
      <c r="H135" s="103"/>
      <c r="I135" s="103" t="s">
        <v>221</v>
      </c>
      <c r="J135" s="103"/>
      <c r="K135" s="103"/>
      <c r="L135" s="103"/>
      <c r="M135" s="103"/>
      <c r="N135" s="103"/>
      <c r="O135" s="103" t="str">
        <f>O134</f>
        <v>2동 고온#2 Aging MSC</v>
      </c>
      <c r="P135" s="104"/>
      <c r="Q135" s="108">
        <v>45260</v>
      </c>
      <c r="R135" s="108">
        <v>45289</v>
      </c>
      <c r="S135" s="106">
        <f>R135-Q135</f>
        <v>29</v>
      </c>
      <c r="T135" s="107">
        <v>30</v>
      </c>
      <c r="U135" s="107">
        <v>0</v>
      </c>
      <c r="V135" s="107">
        <v>30</v>
      </c>
      <c r="W135" s="107">
        <v>0</v>
      </c>
      <c r="X135" s="108"/>
      <c r="Y135" s="108"/>
      <c r="Z135" s="109"/>
      <c r="AA135" s="110">
        <v>0</v>
      </c>
      <c r="AB135" s="107">
        <v>1</v>
      </c>
      <c r="AC135" s="106"/>
      <c r="AD135" s="180"/>
      <c r="AE135" s="111">
        <v>0</v>
      </c>
      <c r="AF135" s="121">
        <v>0</v>
      </c>
      <c r="AG135" s="113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 t="str">
        <f>"    " &amp; TEXT(AF135,"#0.00%") &amp; " "</f>
        <v xml:space="preserve">    0.00% </v>
      </c>
      <c r="BY135" s="114"/>
      <c r="BZ135" s="114"/>
      <c r="CA135" s="114"/>
      <c r="CB135" s="114" t="str">
        <f>"      " &amp; "전장조립" &amp; " " &amp; IF(Q135="","",TEXT(Q135,"M/D-")) &amp; IF(R135="","",TEXT(R135,"M/D")) &amp; " "</f>
        <v xml:space="preserve">      전장조립 11/30-12/29 </v>
      </c>
      <c r="CC135" s="114"/>
      <c r="CD135" s="114"/>
      <c r="CE135" s="114"/>
      <c r="CF135" s="114"/>
      <c r="CG135" s="114"/>
      <c r="CH135" s="114"/>
      <c r="CI135" s="114"/>
      <c r="CJ135" s="114"/>
      <c r="CK135" s="114"/>
      <c r="CL135" s="114"/>
      <c r="CM135" s="114"/>
      <c r="CN135" s="114"/>
      <c r="CO135" s="114"/>
      <c r="CP135" s="114"/>
      <c r="CQ135" s="114"/>
      <c r="CR135" s="114"/>
      <c r="CS135" s="114"/>
      <c r="CT135" s="114"/>
      <c r="CU135" s="114"/>
      <c r="CV135" s="114"/>
      <c r="CW135" s="114"/>
      <c r="CX135" s="114"/>
      <c r="CY135" s="114"/>
      <c r="CZ135" s="114"/>
      <c r="DA135" s="114"/>
      <c r="DB135" s="114"/>
      <c r="DC135" s="114"/>
      <c r="DD135" s="114"/>
      <c r="DE135" s="114"/>
      <c r="DF135" s="114"/>
      <c r="DG135" s="114"/>
      <c r="DH135" s="114"/>
      <c r="DI135" s="114"/>
      <c r="DJ135" s="114"/>
      <c r="DK135" s="114"/>
      <c r="DL135" s="114"/>
      <c r="DM135" s="114"/>
      <c r="DN135" s="114"/>
      <c r="DO135" s="114"/>
      <c r="DP135" s="114"/>
      <c r="DQ135" s="114"/>
    </row>
    <row r="136" spans="1:121" ht="15" customHeight="1" outlineLevel="3" x14ac:dyDescent="0.25">
      <c r="A136" s="101"/>
      <c r="B136" s="101" t="s">
        <v>153</v>
      </c>
      <c r="C136" s="101">
        <v>4</v>
      </c>
      <c r="D136" s="102" t="s">
        <v>265</v>
      </c>
      <c r="E136" s="103"/>
      <c r="F136" s="103"/>
      <c r="G136" s="103"/>
      <c r="H136" s="103" t="s">
        <v>594</v>
      </c>
      <c r="I136" s="103"/>
      <c r="J136" s="103"/>
      <c r="K136" s="103"/>
      <c r="L136" s="103"/>
      <c r="M136" s="103"/>
      <c r="N136" s="103"/>
      <c r="O136" s="103" t="str">
        <f>H136</f>
        <v>2동 상온#2,3 Aging MSC</v>
      </c>
      <c r="P136" s="104"/>
      <c r="Q136" s="108">
        <v>45032</v>
      </c>
      <c r="R136" s="105">
        <v>45289</v>
      </c>
      <c r="S136" s="106"/>
      <c r="T136" s="107">
        <v>1186</v>
      </c>
      <c r="U136" s="107">
        <v>76</v>
      </c>
      <c r="V136" s="107">
        <v>258</v>
      </c>
      <c r="W136" s="107">
        <v>38</v>
      </c>
      <c r="X136" s="108"/>
      <c r="Y136" s="108"/>
      <c r="Z136" s="109">
        <v>0</v>
      </c>
      <c r="AA136" s="110">
        <v>0</v>
      </c>
      <c r="AB136" s="107"/>
      <c r="AC136" s="106"/>
      <c r="AD136" s="180"/>
      <c r="AE136" s="111">
        <v>6.4080944350758853E-2</v>
      </c>
      <c r="AF136" s="112">
        <v>0</v>
      </c>
      <c r="AG136" s="113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 t="str">
        <f>"" &amp; TEXT(AF136,"#0.00%") &amp; " "</f>
        <v xml:space="preserve">0.00% </v>
      </c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 t="str">
        <f>"      " &amp; "2동 상온#2,3 Aging MSC" &amp; " " &amp; IF(Q136="","",TEXT(Q136,"M/D-")) &amp; IF(R136="","",TEXT(R136,"M/D")) &amp; " "</f>
        <v xml:space="preserve">      2동 상온#2,3 Aging MSC 4/16-12/29 </v>
      </c>
      <c r="CC136" s="114"/>
      <c r="CD136" s="114"/>
      <c r="CE136" s="114"/>
      <c r="CF136" s="114"/>
      <c r="CG136" s="114"/>
      <c r="CH136" s="114"/>
      <c r="CI136" s="114"/>
      <c r="CJ136" s="114"/>
      <c r="CK136" s="114"/>
      <c r="CL136" s="114"/>
      <c r="CM136" s="114"/>
      <c r="CN136" s="114"/>
      <c r="CO136" s="114"/>
      <c r="CP136" s="114"/>
      <c r="CQ136" s="114"/>
      <c r="CR136" s="114"/>
      <c r="CS136" s="114"/>
      <c r="CT136" s="114"/>
      <c r="CU136" s="114"/>
      <c r="CV136" s="114"/>
      <c r="CW136" s="114"/>
      <c r="CX136" s="114"/>
      <c r="CY136" s="114"/>
      <c r="CZ136" s="114"/>
      <c r="DA136" s="114"/>
      <c r="DB136" s="114"/>
      <c r="DC136" s="114"/>
      <c r="DD136" s="114"/>
      <c r="DE136" s="114"/>
      <c r="DF136" s="114"/>
      <c r="DG136" s="114"/>
      <c r="DH136" s="114"/>
      <c r="DI136" s="114"/>
      <c r="DJ136" s="114"/>
      <c r="DK136" s="114"/>
      <c r="DL136" s="114"/>
      <c r="DM136" s="114"/>
      <c r="DN136" s="114"/>
      <c r="DO136" s="114"/>
      <c r="DP136" s="114"/>
      <c r="DQ136" s="114"/>
    </row>
    <row r="137" spans="1:121" ht="15" customHeight="1" outlineLevel="4" x14ac:dyDescent="0.25">
      <c r="A137" s="101"/>
      <c r="B137" s="101"/>
      <c r="C137" s="101">
        <v>5</v>
      </c>
      <c r="D137" s="102" t="s">
        <v>266</v>
      </c>
      <c r="E137" s="103"/>
      <c r="F137" s="103"/>
      <c r="G137" s="103"/>
      <c r="H137" s="103"/>
      <c r="I137" s="103" t="s">
        <v>217</v>
      </c>
      <c r="J137" s="103"/>
      <c r="K137" s="103"/>
      <c r="L137" s="103"/>
      <c r="M137" s="103"/>
      <c r="N137" s="103"/>
      <c r="O137" s="103" t="str">
        <f>O136</f>
        <v>2동 상온#2,3 Aging MSC</v>
      </c>
      <c r="P137" s="104"/>
      <c r="Q137" s="108">
        <v>45032</v>
      </c>
      <c r="R137" s="108">
        <v>45228</v>
      </c>
      <c r="S137" s="106">
        <f>R137-Q137</f>
        <v>196</v>
      </c>
      <c r="T137" s="107">
        <v>394</v>
      </c>
      <c r="U137" s="107">
        <v>76</v>
      </c>
      <c r="V137" s="107">
        <v>197</v>
      </c>
      <c r="W137" s="107">
        <v>38</v>
      </c>
      <c r="X137" s="108"/>
      <c r="Y137" s="108"/>
      <c r="Z137" s="109"/>
      <c r="AA137" s="110">
        <v>0</v>
      </c>
      <c r="AB137" s="107">
        <v>2</v>
      </c>
      <c r="AC137" s="106"/>
      <c r="AD137" s="180"/>
      <c r="AE137" s="111">
        <v>0.19289340101522842</v>
      </c>
      <c r="AF137" s="117">
        <v>0</v>
      </c>
      <c r="AG137" s="113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 t="str">
        <f>"" &amp; TEXT(AF137,"#0.00%") &amp; " "</f>
        <v xml:space="preserve">0.00% </v>
      </c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 t="str">
        <f>" " &amp; "장납기 구매품 발주 및 입고" &amp; " " &amp; IF(Q137="","",TEXT(Q137,"M/D-")) &amp; IF(R137="","",TEXT(R137,"M/D")) &amp; " "</f>
        <v xml:space="preserve"> 장납기 구매품 발주 및 입고 4/16-10/29 </v>
      </c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  <c r="CH137" s="114"/>
      <c r="CI137" s="114"/>
      <c r="CJ137" s="114"/>
      <c r="CK137" s="114"/>
      <c r="CL137" s="114"/>
      <c r="CM137" s="114"/>
      <c r="CN137" s="114"/>
      <c r="CO137" s="114"/>
      <c r="CP137" s="114"/>
      <c r="CQ137" s="114"/>
      <c r="CR137" s="114"/>
      <c r="CS137" s="114"/>
      <c r="CT137" s="114"/>
      <c r="CU137" s="114"/>
      <c r="CV137" s="114"/>
      <c r="CW137" s="114"/>
      <c r="CX137" s="114"/>
      <c r="CY137" s="114"/>
      <c r="CZ137" s="114"/>
      <c r="DA137" s="114"/>
      <c r="DB137" s="114"/>
      <c r="DC137" s="114"/>
      <c r="DD137" s="114"/>
      <c r="DE137" s="114"/>
      <c r="DF137" s="114"/>
      <c r="DG137" s="114"/>
      <c r="DH137" s="114"/>
      <c r="DI137" s="114"/>
      <c r="DJ137" s="114"/>
      <c r="DK137" s="114"/>
      <c r="DL137" s="114"/>
      <c r="DM137" s="114"/>
      <c r="DN137" s="114"/>
      <c r="DO137" s="114"/>
      <c r="DP137" s="114"/>
      <c r="DQ137" s="114"/>
    </row>
    <row r="138" spans="1:121" ht="15" customHeight="1" outlineLevel="4" x14ac:dyDescent="0.25">
      <c r="A138" s="101"/>
      <c r="B138" s="101"/>
      <c r="C138" s="101">
        <v>5</v>
      </c>
      <c r="D138" s="102" t="s">
        <v>267</v>
      </c>
      <c r="E138" s="103"/>
      <c r="F138" s="103"/>
      <c r="G138" s="103"/>
      <c r="H138" s="103"/>
      <c r="I138" s="103" t="s">
        <v>219</v>
      </c>
      <c r="J138" s="103"/>
      <c r="K138" s="103"/>
      <c r="L138" s="103"/>
      <c r="M138" s="103"/>
      <c r="N138" s="103"/>
      <c r="O138" s="103" t="str">
        <f>O137</f>
        <v>2동 상온#2,3 Aging MSC</v>
      </c>
      <c r="P138" s="104"/>
      <c r="Q138" s="108">
        <v>45138</v>
      </c>
      <c r="R138" s="108">
        <v>45213</v>
      </c>
      <c r="S138" s="106">
        <f>R138-Q138</f>
        <v>75</v>
      </c>
      <c r="T138" s="107">
        <v>228</v>
      </c>
      <c r="U138" s="107">
        <v>0</v>
      </c>
      <c r="V138" s="107">
        <v>76</v>
      </c>
      <c r="W138" s="107">
        <v>0</v>
      </c>
      <c r="X138" s="108"/>
      <c r="Y138" s="108"/>
      <c r="Z138" s="109"/>
      <c r="AA138" s="110">
        <v>0</v>
      </c>
      <c r="AB138" s="107">
        <v>3</v>
      </c>
      <c r="AC138" s="106"/>
      <c r="AD138" s="180"/>
      <c r="AE138" s="111">
        <v>0</v>
      </c>
      <c r="AF138" s="121">
        <v>0</v>
      </c>
      <c r="AG138" s="113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 t="str">
        <f>" " &amp; TEXT(AF138,"#0.00%") &amp; " "</f>
        <v xml:space="preserve"> 0.00% </v>
      </c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 t="str">
        <f>"" &amp; "단품제작" &amp; " " &amp; IF(Q138="","",TEXT(Q138,"M/D-")) &amp; IF(R138="","",TEXT(R138,"M/D")) &amp; " "</f>
        <v xml:space="preserve">단품제작 7/31-10/14 </v>
      </c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  <c r="CH138" s="114"/>
      <c r="CI138" s="114"/>
      <c r="CJ138" s="114"/>
      <c r="CK138" s="114"/>
      <c r="CL138" s="114"/>
      <c r="CM138" s="114"/>
      <c r="CN138" s="114"/>
      <c r="CO138" s="114"/>
      <c r="CP138" s="114"/>
      <c r="CQ138" s="114"/>
      <c r="CR138" s="114"/>
      <c r="CS138" s="114"/>
      <c r="CT138" s="114"/>
      <c r="CU138" s="114"/>
      <c r="CV138" s="114"/>
      <c r="CW138" s="114"/>
      <c r="CX138" s="114"/>
      <c r="CY138" s="114"/>
      <c r="CZ138" s="114"/>
      <c r="DA138" s="114"/>
      <c r="DB138" s="114"/>
      <c r="DC138" s="114"/>
      <c r="DD138" s="114"/>
      <c r="DE138" s="114"/>
      <c r="DF138" s="114"/>
      <c r="DG138" s="114"/>
      <c r="DH138" s="114"/>
      <c r="DI138" s="114"/>
      <c r="DJ138" s="114"/>
      <c r="DK138" s="114"/>
      <c r="DL138" s="114"/>
      <c r="DM138" s="114"/>
      <c r="DN138" s="114"/>
      <c r="DO138" s="114"/>
      <c r="DP138" s="114"/>
      <c r="DQ138" s="114"/>
    </row>
    <row r="139" spans="1:121" ht="15" customHeight="1" outlineLevel="4" x14ac:dyDescent="0.25">
      <c r="A139" s="101"/>
      <c r="B139" s="101"/>
      <c r="C139" s="101">
        <v>5</v>
      </c>
      <c r="D139" s="102" t="s">
        <v>268</v>
      </c>
      <c r="E139" s="103"/>
      <c r="F139" s="103"/>
      <c r="G139" s="103"/>
      <c r="H139" s="103"/>
      <c r="I139" s="103" t="s">
        <v>220</v>
      </c>
      <c r="J139" s="103"/>
      <c r="K139" s="103"/>
      <c r="L139" s="103"/>
      <c r="M139" s="103"/>
      <c r="N139" s="103"/>
      <c r="O139" s="103" t="str">
        <f>O138</f>
        <v>2동 상온#2,3 Aging MSC</v>
      </c>
      <c r="P139" s="104"/>
      <c r="Q139" s="108">
        <v>45138</v>
      </c>
      <c r="R139" s="108">
        <v>45274</v>
      </c>
      <c r="S139" s="106">
        <f>R139-Q139</f>
        <v>136</v>
      </c>
      <c r="T139" s="107">
        <v>548</v>
      </c>
      <c r="U139" s="107">
        <v>0</v>
      </c>
      <c r="V139" s="107">
        <v>137</v>
      </c>
      <c r="W139" s="107">
        <v>0</v>
      </c>
      <c r="X139" s="108"/>
      <c r="Y139" s="108"/>
      <c r="Z139" s="109"/>
      <c r="AA139" s="110">
        <v>0</v>
      </c>
      <c r="AB139" s="107">
        <v>4</v>
      </c>
      <c r="AC139" s="106"/>
      <c r="AD139" s="180"/>
      <c r="AE139" s="111">
        <v>0</v>
      </c>
      <c r="AF139" s="121">
        <v>0</v>
      </c>
      <c r="AG139" s="113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 t="str">
        <f>" " &amp; TEXT(AF139,"#0.00%") &amp; " "</f>
        <v xml:space="preserve"> 0.00% </v>
      </c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 t="str">
        <f>"     " &amp; "기구조립" &amp; " " &amp; IF(Q139="","",TEXT(Q139,"M/D-")) &amp; IF(R139="","",TEXT(R139,"M/D")) &amp; " "</f>
        <v xml:space="preserve">     기구조립 7/31-12/14 </v>
      </c>
      <c r="CA139" s="114"/>
      <c r="CB139" s="114"/>
      <c r="CC139" s="114"/>
      <c r="CD139" s="114"/>
      <c r="CE139" s="114"/>
      <c r="CF139" s="114"/>
      <c r="CG139" s="114"/>
      <c r="CH139" s="114"/>
      <c r="CI139" s="114"/>
      <c r="CJ139" s="114"/>
      <c r="CK139" s="114"/>
      <c r="CL139" s="114"/>
      <c r="CM139" s="114"/>
      <c r="CN139" s="114"/>
      <c r="CO139" s="114"/>
      <c r="CP139" s="114"/>
      <c r="CQ139" s="114"/>
      <c r="CR139" s="114"/>
      <c r="CS139" s="114"/>
      <c r="CT139" s="114"/>
      <c r="CU139" s="114"/>
      <c r="CV139" s="114"/>
      <c r="CW139" s="114"/>
      <c r="CX139" s="114"/>
      <c r="CY139" s="114"/>
      <c r="CZ139" s="114"/>
      <c r="DA139" s="114"/>
      <c r="DB139" s="114"/>
      <c r="DC139" s="114"/>
      <c r="DD139" s="114"/>
      <c r="DE139" s="114"/>
      <c r="DF139" s="114"/>
      <c r="DG139" s="114"/>
      <c r="DH139" s="114"/>
      <c r="DI139" s="114"/>
      <c r="DJ139" s="114"/>
      <c r="DK139" s="114"/>
      <c r="DL139" s="114"/>
      <c r="DM139" s="114"/>
      <c r="DN139" s="114"/>
      <c r="DO139" s="114"/>
      <c r="DP139" s="114"/>
      <c r="DQ139" s="114"/>
    </row>
    <row r="140" spans="1:121" ht="15" customHeight="1" outlineLevel="4" x14ac:dyDescent="0.25">
      <c r="A140" s="101"/>
      <c r="B140" s="101"/>
      <c r="C140" s="101">
        <v>5</v>
      </c>
      <c r="D140" s="102" t="s">
        <v>595</v>
      </c>
      <c r="E140" s="103"/>
      <c r="F140" s="103"/>
      <c r="G140" s="103"/>
      <c r="H140" s="103"/>
      <c r="I140" s="103" t="s">
        <v>221</v>
      </c>
      <c r="J140" s="103"/>
      <c r="K140" s="103"/>
      <c r="L140" s="103"/>
      <c r="M140" s="103"/>
      <c r="N140" s="103"/>
      <c r="O140" s="103" t="str">
        <f>O139</f>
        <v>2동 상온#2,3 Aging MSC</v>
      </c>
      <c r="P140" s="104"/>
      <c r="Q140" s="108">
        <v>45274</v>
      </c>
      <c r="R140" s="108">
        <v>45289</v>
      </c>
      <c r="S140" s="106">
        <f>R140-Q140</f>
        <v>15</v>
      </c>
      <c r="T140" s="107">
        <v>16</v>
      </c>
      <c r="U140" s="107">
        <v>0</v>
      </c>
      <c r="V140" s="107">
        <v>16</v>
      </c>
      <c r="W140" s="107">
        <v>0</v>
      </c>
      <c r="X140" s="108"/>
      <c r="Y140" s="108"/>
      <c r="Z140" s="109"/>
      <c r="AA140" s="110">
        <v>0</v>
      </c>
      <c r="AB140" s="107">
        <v>1</v>
      </c>
      <c r="AC140" s="106"/>
      <c r="AD140" s="180"/>
      <c r="AE140" s="111">
        <v>0</v>
      </c>
      <c r="AF140" s="121">
        <v>0</v>
      </c>
      <c r="AG140" s="113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 t="str">
        <f>"    " &amp; TEXT(AF140,"#0.00%") &amp; " " &amp; "전장조립" &amp; " " &amp; IF(Q140="","",TEXT(Q140,"M/D-")) &amp; IF(R140="","",TEXT(R140,"M/D")) &amp; " "</f>
        <v xml:space="preserve">    0.00% 전장조립 12/14-12/29 </v>
      </c>
      <c r="CA140" s="114"/>
      <c r="CB140" s="114"/>
      <c r="CC140" s="114"/>
      <c r="CD140" s="114"/>
      <c r="CE140" s="114"/>
      <c r="CF140" s="114"/>
      <c r="CG140" s="114"/>
      <c r="CH140" s="114"/>
      <c r="CI140" s="114"/>
      <c r="CJ140" s="114"/>
      <c r="CK140" s="114"/>
      <c r="CL140" s="114"/>
      <c r="CM140" s="114"/>
      <c r="CN140" s="114"/>
      <c r="CO140" s="114"/>
      <c r="CP140" s="114"/>
      <c r="CQ140" s="114"/>
      <c r="CR140" s="114"/>
      <c r="CS140" s="114"/>
      <c r="CT140" s="114"/>
      <c r="CU140" s="114"/>
      <c r="CV140" s="114"/>
      <c r="CW140" s="114"/>
      <c r="CX140" s="114"/>
      <c r="CY140" s="114"/>
      <c r="CZ140" s="114"/>
      <c r="DA140" s="114"/>
      <c r="DB140" s="114"/>
      <c r="DC140" s="114"/>
      <c r="DD140" s="114"/>
      <c r="DE140" s="114"/>
      <c r="DF140" s="114"/>
      <c r="DG140" s="114"/>
      <c r="DH140" s="114"/>
      <c r="DI140" s="114"/>
      <c r="DJ140" s="114"/>
      <c r="DK140" s="114"/>
      <c r="DL140" s="114"/>
      <c r="DM140" s="114"/>
      <c r="DN140" s="114"/>
      <c r="DO140" s="114"/>
      <c r="DP140" s="114"/>
      <c r="DQ140" s="114"/>
    </row>
    <row r="141" spans="1:121" ht="15" customHeight="1" outlineLevel="3" x14ac:dyDescent="0.25">
      <c r="A141" s="101"/>
      <c r="B141" s="101" t="s">
        <v>153</v>
      </c>
      <c r="C141" s="101">
        <v>4</v>
      </c>
      <c r="D141" s="102" t="s">
        <v>488</v>
      </c>
      <c r="E141" s="103"/>
      <c r="F141" s="103"/>
      <c r="G141" s="103"/>
      <c r="H141" s="103" t="s">
        <v>596</v>
      </c>
      <c r="I141" s="103"/>
      <c r="J141" s="103"/>
      <c r="K141" s="103"/>
      <c r="L141" s="103"/>
      <c r="M141" s="103"/>
      <c r="N141" s="103"/>
      <c r="O141" s="103" t="str">
        <f>H141</f>
        <v>2동 공 Tray Buffer MSC</v>
      </c>
      <c r="P141" s="104"/>
      <c r="Q141" s="108">
        <v>44972</v>
      </c>
      <c r="R141" s="105">
        <v>45260</v>
      </c>
      <c r="S141" s="106"/>
      <c r="T141" s="107">
        <v>1243</v>
      </c>
      <c r="U141" s="107">
        <v>196</v>
      </c>
      <c r="V141" s="107">
        <v>289</v>
      </c>
      <c r="W141" s="107">
        <v>98</v>
      </c>
      <c r="X141" s="108"/>
      <c r="Y141" s="108"/>
      <c r="Z141" s="109">
        <v>0</v>
      </c>
      <c r="AA141" s="110">
        <v>0</v>
      </c>
      <c r="AB141" s="107"/>
      <c r="AC141" s="106"/>
      <c r="AD141" s="180"/>
      <c r="AE141" s="111">
        <v>0.1576830249396621</v>
      </c>
      <c r="AF141" s="112">
        <v>0</v>
      </c>
      <c r="AG141" s="113"/>
      <c r="AH141" s="114"/>
      <c r="AI141" s="114" t="str">
        <f>"   " &amp; TEXT(AF141,"#0.00%") &amp; " "</f>
        <v xml:space="preserve">   0.00% </v>
      </c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 t="str">
        <f>"     " &amp; "2동 공 Tray Buffer MSC" &amp; " " &amp; IF(Q141="","",TEXT(Q141,"M/D-")) &amp; IF(R141="","",TEXT(R141,"M/D")) &amp; " "</f>
        <v xml:space="preserve">     2동 공 Tray Buffer MSC 2/15-11/30 </v>
      </c>
      <c r="BY141" s="114"/>
      <c r="BZ141" s="114"/>
      <c r="CA141" s="114"/>
      <c r="CB141" s="114"/>
      <c r="CC141" s="114"/>
      <c r="CD141" s="114"/>
      <c r="CE141" s="114"/>
      <c r="CF141" s="114"/>
      <c r="CG141" s="114"/>
      <c r="CH141" s="114"/>
      <c r="CI141" s="114"/>
      <c r="CJ141" s="114"/>
      <c r="CK141" s="114"/>
      <c r="CL141" s="114"/>
      <c r="CM141" s="114"/>
      <c r="CN141" s="114"/>
      <c r="CO141" s="114"/>
      <c r="CP141" s="114"/>
      <c r="CQ141" s="114"/>
      <c r="CR141" s="114"/>
      <c r="CS141" s="114"/>
      <c r="CT141" s="114"/>
      <c r="CU141" s="114"/>
      <c r="CV141" s="114"/>
      <c r="CW141" s="114"/>
      <c r="CX141" s="114"/>
      <c r="CY141" s="114"/>
      <c r="CZ141" s="114"/>
      <c r="DA141" s="114"/>
      <c r="DB141" s="114"/>
      <c r="DC141" s="114"/>
      <c r="DD141" s="114"/>
      <c r="DE141" s="114"/>
      <c r="DF141" s="114"/>
      <c r="DG141" s="114"/>
      <c r="DH141" s="114"/>
      <c r="DI141" s="114"/>
      <c r="DJ141" s="114"/>
      <c r="DK141" s="114"/>
      <c r="DL141" s="114"/>
      <c r="DM141" s="114"/>
      <c r="DN141" s="114"/>
      <c r="DO141" s="114"/>
      <c r="DP141" s="114"/>
      <c r="DQ141" s="114"/>
    </row>
    <row r="142" spans="1:121" ht="15" customHeight="1" outlineLevel="4" x14ac:dyDescent="0.25">
      <c r="A142" s="101"/>
      <c r="B142" s="101"/>
      <c r="C142" s="101">
        <v>5</v>
      </c>
      <c r="D142" s="102" t="s">
        <v>489</v>
      </c>
      <c r="E142" s="103"/>
      <c r="F142" s="103"/>
      <c r="G142" s="103"/>
      <c r="H142" s="103"/>
      <c r="I142" s="103" t="s">
        <v>217</v>
      </c>
      <c r="J142" s="103"/>
      <c r="K142" s="103"/>
      <c r="L142" s="103"/>
      <c r="M142" s="103"/>
      <c r="N142" s="103"/>
      <c r="O142" s="103" t="str">
        <f>O141</f>
        <v>2동 공 Tray Buffer MSC</v>
      </c>
      <c r="P142" s="104"/>
      <c r="Q142" s="108">
        <v>44972</v>
      </c>
      <c r="R142" s="105">
        <v>45153</v>
      </c>
      <c r="S142" s="106">
        <f>R142-Q142</f>
        <v>181</v>
      </c>
      <c r="T142" s="107">
        <v>364</v>
      </c>
      <c r="U142" s="107">
        <v>196</v>
      </c>
      <c r="V142" s="107">
        <v>182</v>
      </c>
      <c r="W142" s="107">
        <v>98</v>
      </c>
      <c r="X142" s="108"/>
      <c r="Y142" s="108"/>
      <c r="Z142" s="109"/>
      <c r="AA142" s="110">
        <v>0</v>
      </c>
      <c r="AB142" s="107">
        <v>2</v>
      </c>
      <c r="AC142" s="106"/>
      <c r="AD142" s="180"/>
      <c r="AE142" s="111">
        <v>0.53846153846153844</v>
      </c>
      <c r="AF142" s="117">
        <v>0</v>
      </c>
      <c r="AG142" s="113"/>
      <c r="AH142" s="114"/>
      <c r="AI142" s="114" t="str">
        <f>"   " &amp; TEXT(AF142,"#0.00%") &amp; " "</f>
        <v xml:space="preserve">   0.00% </v>
      </c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 t="str">
        <f>"   " &amp; "장납기 구매품 발주 및 입고" &amp; " " &amp; IF(Q142="","",TEXT(Q142,"M/D-")) &amp; IF(R142="","",TEXT(R142,"M/D")) &amp; " "</f>
        <v xml:space="preserve">   장납기 구매품 발주 및 입고 2/15-8/15 </v>
      </c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  <c r="CA142" s="114"/>
      <c r="CB142" s="114"/>
      <c r="CC142" s="114"/>
      <c r="CD142" s="114"/>
      <c r="CE142" s="114"/>
      <c r="CF142" s="114"/>
      <c r="CG142" s="114"/>
      <c r="CH142" s="114"/>
      <c r="CI142" s="114"/>
      <c r="CJ142" s="114"/>
      <c r="CK142" s="114"/>
      <c r="CL142" s="114"/>
      <c r="CM142" s="114"/>
      <c r="CN142" s="114"/>
      <c r="CO142" s="114"/>
      <c r="CP142" s="114"/>
      <c r="CQ142" s="114"/>
      <c r="CR142" s="114"/>
      <c r="CS142" s="114"/>
      <c r="CT142" s="114"/>
      <c r="CU142" s="114"/>
      <c r="CV142" s="114"/>
      <c r="CW142" s="114"/>
      <c r="CX142" s="114"/>
      <c r="CY142" s="114"/>
      <c r="CZ142" s="114"/>
      <c r="DA142" s="114"/>
      <c r="DB142" s="114"/>
      <c r="DC142" s="114"/>
      <c r="DD142" s="114"/>
      <c r="DE142" s="114"/>
      <c r="DF142" s="114"/>
      <c r="DG142" s="114"/>
      <c r="DH142" s="114"/>
      <c r="DI142" s="114"/>
      <c r="DJ142" s="114"/>
      <c r="DK142" s="114"/>
      <c r="DL142" s="114"/>
      <c r="DM142" s="114"/>
      <c r="DN142" s="114"/>
      <c r="DO142" s="114"/>
      <c r="DP142" s="114"/>
      <c r="DQ142" s="114"/>
    </row>
    <row r="143" spans="1:121" ht="15" customHeight="1" outlineLevel="4" x14ac:dyDescent="0.25">
      <c r="A143" s="101"/>
      <c r="B143" s="101"/>
      <c r="C143" s="101">
        <v>5</v>
      </c>
      <c r="D143" s="102" t="s">
        <v>490</v>
      </c>
      <c r="E143" s="103"/>
      <c r="F143" s="103"/>
      <c r="G143" s="103"/>
      <c r="H143" s="103"/>
      <c r="I143" s="103" t="s">
        <v>219</v>
      </c>
      <c r="J143" s="103"/>
      <c r="K143" s="103"/>
      <c r="L143" s="103"/>
      <c r="M143" s="103"/>
      <c r="N143" s="103"/>
      <c r="O143" s="103" t="str">
        <f>O142</f>
        <v>2동 공 Tray Buffer MSC</v>
      </c>
      <c r="P143" s="104"/>
      <c r="Q143" s="108">
        <v>45138</v>
      </c>
      <c r="R143" s="108">
        <v>45197</v>
      </c>
      <c r="S143" s="106">
        <f>R143-Q143</f>
        <v>59</v>
      </c>
      <c r="T143" s="107">
        <v>180</v>
      </c>
      <c r="U143" s="107">
        <v>0</v>
      </c>
      <c r="V143" s="107">
        <v>60</v>
      </c>
      <c r="W143" s="107">
        <v>0</v>
      </c>
      <c r="X143" s="108"/>
      <c r="Y143" s="108"/>
      <c r="Z143" s="109"/>
      <c r="AA143" s="110">
        <v>0</v>
      </c>
      <c r="AB143" s="107">
        <v>3</v>
      </c>
      <c r="AC143" s="106"/>
      <c r="AD143" s="180"/>
      <c r="AE143" s="111">
        <v>0</v>
      </c>
      <c r="AF143" s="121">
        <v>0</v>
      </c>
      <c r="AG143" s="113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 t="str">
        <f>" " &amp; TEXT(AF143,"#0.00%") &amp; " "</f>
        <v xml:space="preserve"> 0.00% </v>
      </c>
      <c r="BH143" s="114"/>
      <c r="BI143" s="114"/>
      <c r="BJ143" s="114"/>
      <c r="BK143" s="114"/>
      <c r="BL143" s="114"/>
      <c r="BM143" s="114"/>
      <c r="BN143" s="114"/>
      <c r="BO143" s="114" t="str">
        <f>"     " &amp; "단품제작" &amp; " " &amp; IF(Q143="","",TEXT(Q143,"M/D-")) &amp; IF(R143="","",TEXT(R143,"M/D")) &amp; " "</f>
        <v xml:space="preserve">     단품제작 7/31-9/28 </v>
      </c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  <c r="CA143" s="114"/>
      <c r="CB143" s="114"/>
      <c r="CC143" s="114"/>
      <c r="CD143" s="114"/>
      <c r="CE143" s="114"/>
      <c r="CF143" s="114"/>
      <c r="CG143" s="114"/>
      <c r="CH143" s="114"/>
      <c r="CI143" s="114"/>
      <c r="CJ143" s="114"/>
      <c r="CK143" s="114"/>
      <c r="CL143" s="114"/>
      <c r="CM143" s="114"/>
      <c r="CN143" s="114"/>
      <c r="CO143" s="114"/>
      <c r="CP143" s="114"/>
      <c r="CQ143" s="114"/>
      <c r="CR143" s="114"/>
      <c r="CS143" s="114"/>
      <c r="CT143" s="114"/>
      <c r="CU143" s="114"/>
      <c r="CV143" s="114"/>
      <c r="CW143" s="114"/>
      <c r="CX143" s="114"/>
      <c r="CY143" s="114"/>
      <c r="CZ143" s="114"/>
      <c r="DA143" s="114"/>
      <c r="DB143" s="114"/>
      <c r="DC143" s="114"/>
      <c r="DD143" s="114"/>
      <c r="DE143" s="114"/>
      <c r="DF143" s="114"/>
      <c r="DG143" s="114"/>
      <c r="DH143" s="114"/>
      <c r="DI143" s="114"/>
      <c r="DJ143" s="114"/>
      <c r="DK143" s="114"/>
      <c r="DL143" s="114"/>
      <c r="DM143" s="114"/>
      <c r="DN143" s="114"/>
      <c r="DO143" s="114"/>
      <c r="DP143" s="114"/>
      <c r="DQ143" s="114"/>
    </row>
    <row r="144" spans="1:121" ht="15" customHeight="1" outlineLevel="4" x14ac:dyDescent="0.25">
      <c r="A144" s="101"/>
      <c r="B144" s="101"/>
      <c r="C144" s="101">
        <v>5</v>
      </c>
      <c r="D144" s="102" t="s">
        <v>491</v>
      </c>
      <c r="E144" s="103"/>
      <c r="F144" s="103"/>
      <c r="G144" s="103"/>
      <c r="H144" s="103"/>
      <c r="I144" s="103" t="s">
        <v>220</v>
      </c>
      <c r="J144" s="103"/>
      <c r="K144" s="103"/>
      <c r="L144" s="103"/>
      <c r="M144" s="103"/>
      <c r="N144" s="103"/>
      <c r="O144" s="103" t="str">
        <f>O143</f>
        <v>2동 공 Tray Buffer MSC</v>
      </c>
      <c r="P144" s="104"/>
      <c r="Q144" s="108">
        <v>45078</v>
      </c>
      <c r="R144" s="105">
        <v>45229</v>
      </c>
      <c r="S144" s="106">
        <f>R144-Q144</f>
        <v>151</v>
      </c>
      <c r="T144" s="107">
        <v>608</v>
      </c>
      <c r="U144" s="107">
        <v>0</v>
      </c>
      <c r="V144" s="107">
        <v>152</v>
      </c>
      <c r="W144" s="107">
        <v>0</v>
      </c>
      <c r="X144" s="108"/>
      <c r="Y144" s="108"/>
      <c r="Z144" s="109"/>
      <c r="AA144" s="110">
        <v>0</v>
      </c>
      <c r="AB144" s="107">
        <v>4</v>
      </c>
      <c r="AC144" s="106"/>
      <c r="AD144" s="180"/>
      <c r="AE144" s="111">
        <v>0</v>
      </c>
      <c r="AF144" s="121">
        <v>0</v>
      </c>
      <c r="AG144" s="113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 t="str">
        <f>"    " &amp; TEXT(AF144,"#0.00%") &amp; " "</f>
        <v xml:space="preserve">    0.00% </v>
      </c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 t="str">
        <f>"  " &amp; "기구조립" &amp; " " &amp; IF(Q144="","",TEXT(Q144,"M/D-")) &amp; IF(R144="","",TEXT(R144,"M/D")) &amp; " "</f>
        <v xml:space="preserve">  기구조립 6/1-10/30 </v>
      </c>
      <c r="BU144" s="114"/>
      <c r="BV144" s="114"/>
      <c r="BW144" s="114"/>
      <c r="BX144" s="114"/>
      <c r="BY144" s="114"/>
      <c r="BZ144" s="114"/>
      <c r="CA144" s="114"/>
      <c r="CB144" s="114"/>
      <c r="CC144" s="114"/>
      <c r="CD144" s="114"/>
      <c r="CE144" s="114"/>
      <c r="CF144" s="114"/>
      <c r="CG144" s="114"/>
      <c r="CH144" s="114"/>
      <c r="CI144" s="114"/>
      <c r="CJ144" s="114"/>
      <c r="CK144" s="114"/>
      <c r="CL144" s="114"/>
      <c r="CM144" s="114"/>
      <c r="CN144" s="114"/>
      <c r="CO144" s="114"/>
      <c r="CP144" s="114"/>
      <c r="CQ144" s="114"/>
      <c r="CR144" s="114"/>
      <c r="CS144" s="114"/>
      <c r="CT144" s="114"/>
      <c r="CU144" s="114"/>
      <c r="CV144" s="114"/>
      <c r="CW144" s="114"/>
      <c r="CX144" s="114"/>
      <c r="CY144" s="114"/>
      <c r="CZ144" s="114"/>
      <c r="DA144" s="114"/>
      <c r="DB144" s="114"/>
      <c r="DC144" s="114"/>
      <c r="DD144" s="114"/>
      <c r="DE144" s="114"/>
      <c r="DF144" s="114"/>
      <c r="DG144" s="114"/>
      <c r="DH144" s="114"/>
      <c r="DI144" s="114"/>
      <c r="DJ144" s="114"/>
      <c r="DK144" s="114"/>
      <c r="DL144" s="114"/>
      <c r="DM144" s="114"/>
      <c r="DN144" s="114"/>
      <c r="DO144" s="114"/>
      <c r="DP144" s="114"/>
      <c r="DQ144" s="114"/>
    </row>
    <row r="145" spans="1:121" ht="15" customHeight="1" outlineLevel="4" x14ac:dyDescent="0.25">
      <c r="A145" s="101"/>
      <c r="B145" s="101"/>
      <c r="C145" s="101">
        <v>5</v>
      </c>
      <c r="D145" s="102" t="s">
        <v>597</v>
      </c>
      <c r="E145" s="103"/>
      <c r="F145" s="103"/>
      <c r="G145" s="103"/>
      <c r="H145" s="103"/>
      <c r="I145" s="103" t="s">
        <v>221</v>
      </c>
      <c r="J145" s="103"/>
      <c r="K145" s="103"/>
      <c r="L145" s="103"/>
      <c r="M145" s="103"/>
      <c r="N145" s="103"/>
      <c r="O145" s="103" t="str">
        <f>O144</f>
        <v>2동 공 Tray Buffer MSC</v>
      </c>
      <c r="P145" s="104"/>
      <c r="Q145" s="108">
        <v>45170</v>
      </c>
      <c r="R145" s="105">
        <v>45260</v>
      </c>
      <c r="S145" s="106">
        <f>R145-Q145</f>
        <v>90</v>
      </c>
      <c r="T145" s="107">
        <v>91</v>
      </c>
      <c r="U145" s="107">
        <v>0</v>
      </c>
      <c r="V145" s="107">
        <v>91</v>
      </c>
      <c r="W145" s="107">
        <v>0</v>
      </c>
      <c r="X145" s="108"/>
      <c r="Y145" s="108"/>
      <c r="Z145" s="109"/>
      <c r="AA145" s="110">
        <v>0</v>
      </c>
      <c r="AB145" s="107">
        <v>1</v>
      </c>
      <c r="AC145" s="106"/>
      <c r="AD145" s="180"/>
      <c r="AE145" s="111">
        <v>0</v>
      </c>
      <c r="AF145" s="121">
        <v>0</v>
      </c>
      <c r="AG145" s="113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 t="str">
        <f>"     " &amp; TEXT(AF145,"#0.00%") &amp; " "</f>
        <v xml:space="preserve">     0.00% </v>
      </c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 t="str">
        <f>"     " &amp; "전장조립" &amp; " " &amp; IF(Q145="","",TEXT(Q145,"M/D-")) &amp; IF(R145="","",TEXT(R145,"M/D")) &amp; " "</f>
        <v xml:space="preserve">     전장조립 9/1-11/30 </v>
      </c>
      <c r="BY145" s="114"/>
      <c r="BZ145" s="114"/>
      <c r="CA145" s="114"/>
      <c r="CB145" s="114"/>
      <c r="CC145" s="114"/>
      <c r="CD145" s="114"/>
      <c r="CE145" s="114"/>
      <c r="CF145" s="114"/>
      <c r="CG145" s="114"/>
      <c r="CH145" s="114"/>
      <c r="CI145" s="114"/>
      <c r="CJ145" s="114"/>
      <c r="CK145" s="114"/>
      <c r="CL145" s="114"/>
      <c r="CM145" s="114"/>
      <c r="CN145" s="114"/>
      <c r="CO145" s="114"/>
      <c r="CP145" s="114"/>
      <c r="CQ145" s="114"/>
      <c r="CR145" s="114"/>
      <c r="CS145" s="114"/>
      <c r="CT145" s="114"/>
      <c r="CU145" s="114"/>
      <c r="CV145" s="114"/>
      <c r="CW145" s="114"/>
      <c r="CX145" s="114"/>
      <c r="CY145" s="114"/>
      <c r="CZ145" s="114"/>
      <c r="DA145" s="114"/>
      <c r="DB145" s="114"/>
      <c r="DC145" s="114"/>
      <c r="DD145" s="114"/>
      <c r="DE145" s="114"/>
      <c r="DF145" s="114"/>
      <c r="DG145" s="114"/>
      <c r="DH145" s="114"/>
      <c r="DI145" s="114"/>
      <c r="DJ145" s="114"/>
      <c r="DK145" s="114"/>
      <c r="DL145" s="114"/>
      <c r="DM145" s="114"/>
      <c r="DN145" s="114"/>
      <c r="DO145" s="114"/>
      <c r="DP145" s="114"/>
      <c r="DQ145" s="114"/>
    </row>
    <row r="146" spans="1:121" ht="15" customHeight="1" outlineLevel="2" x14ac:dyDescent="0.25">
      <c r="A146" s="101"/>
      <c r="B146" s="101" t="s">
        <v>153</v>
      </c>
      <c r="C146" s="101">
        <v>3</v>
      </c>
      <c r="D146" s="102" t="s">
        <v>598</v>
      </c>
      <c r="E146" s="103"/>
      <c r="F146" s="103"/>
      <c r="G146" s="103" t="s">
        <v>599</v>
      </c>
      <c r="H146" s="103"/>
      <c r="I146" s="103"/>
      <c r="J146" s="103"/>
      <c r="K146" s="103"/>
      <c r="L146" s="103"/>
      <c r="M146" s="103"/>
      <c r="N146" s="103"/>
      <c r="O146" s="103" t="str">
        <f>G146</f>
        <v>1동 Conveyor &amp; Deck</v>
      </c>
      <c r="P146" s="104"/>
      <c r="Q146" s="108">
        <v>44972</v>
      </c>
      <c r="R146" s="105">
        <v>45219</v>
      </c>
      <c r="S146" s="106"/>
      <c r="T146" s="107">
        <v>5422</v>
      </c>
      <c r="U146" s="107">
        <v>1644</v>
      </c>
      <c r="V146" s="107">
        <v>248</v>
      </c>
      <c r="W146" s="107">
        <v>98</v>
      </c>
      <c r="X146" s="108"/>
      <c r="Y146" s="108"/>
      <c r="Z146" s="109">
        <v>0</v>
      </c>
      <c r="AA146" s="110">
        <v>0</v>
      </c>
      <c r="AB146" s="107"/>
      <c r="AC146" s="106"/>
      <c r="AD146" s="180"/>
      <c r="AE146" s="111">
        <v>0.3032091479158982</v>
      </c>
      <c r="AF146" s="112">
        <v>0</v>
      </c>
      <c r="AG146" s="113"/>
      <c r="AH146" s="114"/>
      <c r="AI146" s="114" t="str">
        <f>"   " &amp; TEXT(AF146,"#0.00%") &amp; " "</f>
        <v xml:space="preserve">   0.00% </v>
      </c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 t="str">
        <f>"      " &amp; "1동 Conveyor &amp; Deck" &amp; " " &amp; IF(Q146="","",TEXT(Q146,"M/D-")) &amp; IF(R146="","",TEXT(R146,"M/D")) &amp; " "</f>
        <v xml:space="preserve">      1동 Conveyor &amp; Deck 2/15-10/20 </v>
      </c>
      <c r="BS146" s="114"/>
      <c r="BT146" s="114"/>
      <c r="BU146" s="114"/>
      <c r="BV146" s="114"/>
      <c r="BW146" s="114"/>
      <c r="BX146" s="114"/>
      <c r="BY146" s="114"/>
      <c r="BZ146" s="114"/>
      <c r="CA146" s="114"/>
      <c r="CB146" s="114"/>
      <c r="CC146" s="114"/>
      <c r="CD146" s="114"/>
      <c r="CE146" s="114"/>
      <c r="CF146" s="114"/>
      <c r="CG146" s="114"/>
      <c r="CH146" s="114"/>
      <c r="CI146" s="114"/>
      <c r="CJ146" s="114"/>
      <c r="CK146" s="114"/>
      <c r="CL146" s="114"/>
      <c r="CM146" s="114"/>
      <c r="CN146" s="114"/>
      <c r="CO146" s="114"/>
      <c r="CP146" s="114"/>
      <c r="CQ146" s="114"/>
      <c r="CR146" s="114"/>
      <c r="CS146" s="114"/>
      <c r="CT146" s="114"/>
      <c r="CU146" s="114"/>
      <c r="CV146" s="114"/>
      <c r="CW146" s="114"/>
      <c r="CX146" s="114"/>
      <c r="CY146" s="114"/>
      <c r="CZ146" s="114"/>
      <c r="DA146" s="114"/>
      <c r="DB146" s="114"/>
      <c r="DC146" s="114"/>
      <c r="DD146" s="114"/>
      <c r="DE146" s="114"/>
      <c r="DF146" s="114"/>
      <c r="DG146" s="114"/>
      <c r="DH146" s="114"/>
      <c r="DI146" s="114"/>
      <c r="DJ146" s="114"/>
      <c r="DK146" s="114"/>
      <c r="DL146" s="114"/>
      <c r="DM146" s="114"/>
      <c r="DN146" s="114"/>
      <c r="DO146" s="114"/>
      <c r="DP146" s="114"/>
      <c r="DQ146" s="114"/>
    </row>
    <row r="147" spans="1:121" ht="15" customHeight="1" outlineLevel="3" x14ac:dyDescent="0.25">
      <c r="A147" s="101"/>
      <c r="B147" s="101" t="s">
        <v>153</v>
      </c>
      <c r="C147" s="101">
        <v>4</v>
      </c>
      <c r="D147" s="102" t="s">
        <v>600</v>
      </c>
      <c r="E147" s="103"/>
      <c r="F147" s="103"/>
      <c r="G147" s="103"/>
      <c r="H147" s="103" t="s">
        <v>601</v>
      </c>
      <c r="I147" s="103"/>
      <c r="J147" s="103"/>
      <c r="K147" s="103"/>
      <c r="L147" s="103"/>
      <c r="M147" s="103"/>
      <c r="N147" s="103"/>
      <c r="O147" s="103" t="str">
        <f>H147</f>
        <v>1동 조립동 CV</v>
      </c>
      <c r="P147" s="104"/>
      <c r="Q147" s="108">
        <v>44972</v>
      </c>
      <c r="R147" s="105">
        <v>45199</v>
      </c>
      <c r="S147" s="106"/>
      <c r="T147" s="107">
        <v>920</v>
      </c>
      <c r="U147" s="107">
        <v>274</v>
      </c>
      <c r="V147" s="107">
        <v>228</v>
      </c>
      <c r="W147" s="107">
        <v>98</v>
      </c>
      <c r="X147" s="108"/>
      <c r="Y147" s="108"/>
      <c r="Z147" s="109">
        <v>0</v>
      </c>
      <c r="AA147" s="110">
        <v>0</v>
      </c>
      <c r="AB147" s="107"/>
      <c r="AC147" s="106"/>
      <c r="AD147" s="180"/>
      <c r="AE147" s="111">
        <v>0.29782608695652174</v>
      </c>
      <c r="AF147" s="112">
        <v>0</v>
      </c>
      <c r="AG147" s="113"/>
      <c r="AH147" s="114"/>
      <c r="AI147" s="114" t="str">
        <f>"   " &amp; TEXT(AF147,"#0.00%") &amp; " "</f>
        <v xml:space="preserve">   0.00% </v>
      </c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 t="str">
        <f>"" &amp; "1동 조립동 CV" &amp; " " &amp; IF(Q147="","",TEXT(Q147,"M/D-")) &amp; IF(R147="","",TEXT(R147,"M/D")) &amp; " "</f>
        <v xml:space="preserve">1동 조립동 CV 2/15-9/30 </v>
      </c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  <c r="CA147" s="114"/>
      <c r="CB147" s="114"/>
      <c r="CC147" s="114"/>
      <c r="CD147" s="114"/>
      <c r="CE147" s="114"/>
      <c r="CF147" s="114"/>
      <c r="CG147" s="114"/>
      <c r="CH147" s="114"/>
      <c r="CI147" s="114"/>
      <c r="CJ147" s="114"/>
      <c r="CK147" s="114"/>
      <c r="CL147" s="114"/>
      <c r="CM147" s="114"/>
      <c r="CN147" s="114"/>
      <c r="CO147" s="114"/>
      <c r="CP147" s="114"/>
      <c r="CQ147" s="114"/>
      <c r="CR147" s="114"/>
      <c r="CS147" s="114"/>
      <c r="CT147" s="114"/>
      <c r="CU147" s="114"/>
      <c r="CV147" s="114"/>
      <c r="CW147" s="114"/>
      <c r="CX147" s="114"/>
      <c r="CY147" s="114"/>
      <c r="CZ147" s="114"/>
      <c r="DA147" s="114"/>
      <c r="DB147" s="114"/>
      <c r="DC147" s="114"/>
      <c r="DD147" s="114"/>
      <c r="DE147" s="114"/>
      <c r="DF147" s="114"/>
      <c r="DG147" s="114"/>
      <c r="DH147" s="114"/>
      <c r="DI147" s="114"/>
      <c r="DJ147" s="114"/>
      <c r="DK147" s="114"/>
      <c r="DL147" s="114"/>
      <c r="DM147" s="114"/>
      <c r="DN147" s="114"/>
      <c r="DO147" s="114"/>
      <c r="DP147" s="114"/>
      <c r="DQ147" s="114"/>
    </row>
    <row r="148" spans="1:121" ht="15" customHeight="1" outlineLevel="4" x14ac:dyDescent="0.25">
      <c r="A148" s="101"/>
      <c r="B148" s="101"/>
      <c r="C148" s="101">
        <v>5</v>
      </c>
      <c r="D148" s="102" t="s">
        <v>602</v>
      </c>
      <c r="E148" s="103"/>
      <c r="F148" s="103"/>
      <c r="G148" s="103"/>
      <c r="H148" s="103"/>
      <c r="I148" s="103" t="s">
        <v>217</v>
      </c>
      <c r="J148" s="103"/>
      <c r="K148" s="103"/>
      <c r="L148" s="103"/>
      <c r="M148" s="103"/>
      <c r="N148" s="103"/>
      <c r="O148" s="103" t="str">
        <f>O147</f>
        <v>1동 조립동 CV</v>
      </c>
      <c r="P148" s="104"/>
      <c r="Q148" s="108">
        <v>44972</v>
      </c>
      <c r="R148" s="105">
        <v>45168</v>
      </c>
      <c r="S148" s="106">
        <f>R148-Q148</f>
        <v>196</v>
      </c>
      <c r="T148" s="107">
        <v>394</v>
      </c>
      <c r="U148" s="107">
        <v>196</v>
      </c>
      <c r="V148" s="107">
        <v>197</v>
      </c>
      <c r="W148" s="107">
        <v>98</v>
      </c>
      <c r="X148" s="108"/>
      <c r="Y148" s="108"/>
      <c r="Z148" s="109"/>
      <c r="AA148" s="110">
        <v>0</v>
      </c>
      <c r="AB148" s="107">
        <v>2</v>
      </c>
      <c r="AC148" s="106"/>
      <c r="AD148" s="180"/>
      <c r="AE148" s="111">
        <v>0.49746192893401014</v>
      </c>
      <c r="AF148" s="117">
        <v>0</v>
      </c>
      <c r="AG148" s="113"/>
      <c r="AH148" s="114"/>
      <c r="AI148" s="114" t="str">
        <f>"   " &amp; TEXT(AF148,"#0.00%") &amp; " "</f>
        <v xml:space="preserve">   0.00% </v>
      </c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 t="str">
        <f>"    " &amp; "장납기 구매품 발주 및 입고" &amp; " " &amp; IF(Q148="","",TEXT(Q148,"M/D-")) &amp; IF(R148="","",TEXT(R148,"M/D")) &amp; " "</f>
        <v xml:space="preserve">    장납기 구매품 발주 및 입고 2/15-8/30 </v>
      </c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  <c r="CA148" s="114"/>
      <c r="CB148" s="114"/>
      <c r="CC148" s="114"/>
      <c r="CD148" s="114"/>
      <c r="CE148" s="114"/>
      <c r="CF148" s="114"/>
      <c r="CG148" s="114"/>
      <c r="CH148" s="114"/>
      <c r="CI148" s="114"/>
      <c r="CJ148" s="114"/>
      <c r="CK148" s="114"/>
      <c r="CL148" s="114"/>
      <c r="CM148" s="114"/>
      <c r="CN148" s="114"/>
      <c r="CO148" s="114"/>
      <c r="CP148" s="114"/>
      <c r="CQ148" s="114"/>
      <c r="CR148" s="114"/>
      <c r="CS148" s="114"/>
      <c r="CT148" s="114"/>
      <c r="CU148" s="114"/>
      <c r="CV148" s="114"/>
      <c r="CW148" s="114"/>
      <c r="CX148" s="114"/>
      <c r="CY148" s="114"/>
      <c r="CZ148" s="114"/>
      <c r="DA148" s="114"/>
      <c r="DB148" s="114"/>
      <c r="DC148" s="114"/>
      <c r="DD148" s="114"/>
      <c r="DE148" s="114"/>
      <c r="DF148" s="114"/>
      <c r="DG148" s="114"/>
      <c r="DH148" s="114"/>
      <c r="DI148" s="114"/>
      <c r="DJ148" s="114"/>
      <c r="DK148" s="114"/>
      <c r="DL148" s="114"/>
      <c r="DM148" s="114"/>
      <c r="DN148" s="114"/>
      <c r="DO148" s="114"/>
      <c r="DP148" s="114"/>
      <c r="DQ148" s="114"/>
    </row>
    <row r="149" spans="1:121" ht="15" customHeight="1" outlineLevel="4" x14ac:dyDescent="0.25">
      <c r="A149" s="101"/>
      <c r="B149" s="101"/>
      <c r="C149" s="101">
        <v>5</v>
      </c>
      <c r="D149" s="102" t="s">
        <v>603</v>
      </c>
      <c r="E149" s="103"/>
      <c r="F149" s="103"/>
      <c r="G149" s="103"/>
      <c r="H149" s="103"/>
      <c r="I149" s="103" t="s">
        <v>241</v>
      </c>
      <c r="J149" s="103"/>
      <c r="K149" s="103"/>
      <c r="L149" s="103"/>
      <c r="M149" s="103"/>
      <c r="N149" s="103"/>
      <c r="O149" s="103" t="str">
        <f>O148</f>
        <v>1동 조립동 CV</v>
      </c>
      <c r="P149" s="104"/>
      <c r="Q149" s="108">
        <v>45031</v>
      </c>
      <c r="R149" s="105">
        <v>45137</v>
      </c>
      <c r="S149" s="106">
        <f>R149-Q149</f>
        <v>106</v>
      </c>
      <c r="T149" s="107">
        <v>214</v>
      </c>
      <c r="U149" s="107">
        <v>78</v>
      </c>
      <c r="V149" s="107">
        <v>107</v>
      </c>
      <c r="W149" s="107">
        <v>39</v>
      </c>
      <c r="X149" s="108"/>
      <c r="Y149" s="108"/>
      <c r="Z149" s="109"/>
      <c r="AA149" s="110">
        <v>0</v>
      </c>
      <c r="AB149" s="107">
        <v>2</v>
      </c>
      <c r="AC149" s="106"/>
      <c r="AD149" s="180"/>
      <c r="AE149" s="111">
        <v>0.3644859813084112</v>
      </c>
      <c r="AF149" s="117">
        <v>0</v>
      </c>
      <c r="AG149" s="113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 t="str">
        <f>"      " &amp; TEXT(AF149,"#0.00%") &amp; " "</f>
        <v xml:space="preserve">      0.00% </v>
      </c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 t="str">
        <f>" " &amp; "가공품 발주 및 입고" &amp; " " &amp; IF(Q149="","",TEXT(Q149,"M/D-")) &amp; IF(R149="","",TEXT(R149,"M/D")) &amp; " "</f>
        <v xml:space="preserve"> 가공품 발주 및 입고 4/15-7/30 </v>
      </c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4"/>
      <c r="CV149" s="114"/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</row>
    <row r="150" spans="1:121" ht="15" customHeight="1" outlineLevel="4" x14ac:dyDescent="0.25">
      <c r="A150" s="101"/>
      <c r="B150" s="101"/>
      <c r="C150" s="101">
        <v>5</v>
      </c>
      <c r="D150" s="102" t="s">
        <v>604</v>
      </c>
      <c r="E150" s="103"/>
      <c r="F150" s="103"/>
      <c r="G150" s="103"/>
      <c r="H150" s="103"/>
      <c r="I150" s="103" t="s">
        <v>220</v>
      </c>
      <c r="J150" s="103"/>
      <c r="K150" s="103"/>
      <c r="L150" s="103"/>
      <c r="M150" s="103"/>
      <c r="N150" s="103"/>
      <c r="O150" s="103" t="str">
        <f>O149</f>
        <v>1동 조립동 CV</v>
      </c>
      <c r="P150" s="104"/>
      <c r="Q150" s="108">
        <v>45122</v>
      </c>
      <c r="R150" s="105">
        <v>45184</v>
      </c>
      <c r="S150" s="106">
        <f>R150-Q150</f>
        <v>62</v>
      </c>
      <c r="T150" s="107">
        <v>252</v>
      </c>
      <c r="U150" s="107">
        <v>0</v>
      </c>
      <c r="V150" s="107">
        <v>63</v>
      </c>
      <c r="W150" s="107">
        <v>0</v>
      </c>
      <c r="X150" s="108"/>
      <c r="Y150" s="108"/>
      <c r="Z150" s="109"/>
      <c r="AA150" s="110">
        <v>0</v>
      </c>
      <c r="AB150" s="107">
        <v>4</v>
      </c>
      <c r="AC150" s="106"/>
      <c r="AD150" s="180"/>
      <c r="AE150" s="111">
        <v>0</v>
      </c>
      <c r="AF150" s="121">
        <v>0</v>
      </c>
      <c r="AG150" s="113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 t="str">
        <f>"      " &amp; TEXT(AF150,"#0.00%") &amp; " "</f>
        <v xml:space="preserve">      0.00% </v>
      </c>
      <c r="BE150" s="114"/>
      <c r="BF150" s="114"/>
      <c r="BG150" s="114"/>
      <c r="BH150" s="114"/>
      <c r="BI150" s="114"/>
      <c r="BJ150" s="114"/>
      <c r="BK150" s="114"/>
      <c r="BL150" s="114"/>
      <c r="BM150" s="114" t="str">
        <f>"      " &amp; "기구조립" &amp; " " &amp; IF(Q150="","",TEXT(Q150,"M/D-")) &amp; IF(R150="","",TEXT(R150,"M/D")) &amp; " "</f>
        <v xml:space="preserve">      기구조립 7/15-9/15 </v>
      </c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  <c r="CA150" s="114"/>
      <c r="CB150" s="114"/>
      <c r="CC150" s="114"/>
      <c r="CD150" s="114"/>
      <c r="CE150" s="114"/>
      <c r="CF150" s="114"/>
      <c r="CG150" s="114"/>
      <c r="CH150" s="114"/>
      <c r="CI150" s="114"/>
      <c r="CJ150" s="114"/>
      <c r="CK150" s="114"/>
      <c r="CL150" s="114"/>
      <c r="CM150" s="114"/>
      <c r="CN150" s="114"/>
      <c r="CO150" s="114"/>
      <c r="CP150" s="114"/>
      <c r="CQ150" s="114"/>
      <c r="CR150" s="114"/>
      <c r="CS150" s="114"/>
      <c r="CT150" s="114"/>
      <c r="CU150" s="114"/>
      <c r="CV150" s="114"/>
      <c r="CW150" s="114"/>
      <c r="CX150" s="114"/>
      <c r="CY150" s="114"/>
      <c r="CZ150" s="114"/>
      <c r="DA150" s="114"/>
      <c r="DB150" s="114"/>
      <c r="DC150" s="114"/>
      <c r="DD150" s="114"/>
      <c r="DE150" s="114"/>
      <c r="DF150" s="114"/>
      <c r="DG150" s="114"/>
      <c r="DH150" s="114"/>
      <c r="DI150" s="114"/>
      <c r="DJ150" s="114"/>
      <c r="DK150" s="114"/>
      <c r="DL150" s="114"/>
      <c r="DM150" s="114"/>
      <c r="DN150" s="114"/>
      <c r="DO150" s="114"/>
      <c r="DP150" s="114"/>
      <c r="DQ150" s="114"/>
    </row>
    <row r="151" spans="1:121" ht="15" customHeight="1" outlineLevel="4" x14ac:dyDescent="0.25">
      <c r="A151" s="101"/>
      <c r="B151" s="101"/>
      <c r="C151" s="101">
        <v>5</v>
      </c>
      <c r="D151" s="102" t="s">
        <v>605</v>
      </c>
      <c r="E151" s="103"/>
      <c r="F151" s="103"/>
      <c r="G151" s="103"/>
      <c r="H151" s="103"/>
      <c r="I151" s="103" t="s">
        <v>221</v>
      </c>
      <c r="J151" s="103"/>
      <c r="K151" s="103"/>
      <c r="L151" s="103"/>
      <c r="M151" s="103"/>
      <c r="N151" s="103"/>
      <c r="O151" s="103" t="str">
        <f>O150</f>
        <v>1동 조립동 CV</v>
      </c>
      <c r="P151" s="104"/>
      <c r="Q151" s="108">
        <v>45170</v>
      </c>
      <c r="R151" s="105">
        <v>45199</v>
      </c>
      <c r="S151" s="106">
        <f>R151-Q151</f>
        <v>29</v>
      </c>
      <c r="T151" s="107">
        <v>60</v>
      </c>
      <c r="U151" s="107">
        <v>0</v>
      </c>
      <c r="V151" s="107">
        <v>30</v>
      </c>
      <c r="W151" s="107">
        <v>0</v>
      </c>
      <c r="X151" s="108"/>
      <c r="Y151" s="108"/>
      <c r="Z151" s="109"/>
      <c r="AA151" s="110">
        <v>0</v>
      </c>
      <c r="AB151" s="107">
        <v>2</v>
      </c>
      <c r="AC151" s="106"/>
      <c r="AD151" s="180"/>
      <c r="AE151" s="111">
        <v>0</v>
      </c>
      <c r="AF151" s="121">
        <v>0</v>
      </c>
      <c r="AG151" s="113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 t="str">
        <f>"     " &amp; TEXT(AF151,"#0.00%") &amp; " "</f>
        <v xml:space="preserve">     0.00% </v>
      </c>
      <c r="BL151" s="114"/>
      <c r="BM151" s="114"/>
      <c r="BN151" s="114"/>
      <c r="BO151" s="114"/>
      <c r="BP151" s="114" t="str">
        <f>"" &amp; "전장조립" &amp; " " &amp; IF(Q151="","",TEXT(Q151,"M/D-")) &amp; IF(R151="","",TEXT(R151,"M/D")) &amp; " "</f>
        <v xml:space="preserve">전장조립 9/1-9/30 </v>
      </c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  <c r="CA151" s="114"/>
      <c r="CB151" s="114"/>
      <c r="CC151" s="114"/>
      <c r="CD151" s="114"/>
      <c r="CE151" s="114"/>
      <c r="CF151" s="114"/>
      <c r="CG151" s="114"/>
      <c r="CH151" s="114"/>
      <c r="CI151" s="114"/>
      <c r="CJ151" s="114"/>
      <c r="CK151" s="114"/>
      <c r="CL151" s="114"/>
      <c r="CM151" s="114"/>
      <c r="CN151" s="114"/>
      <c r="CO151" s="114"/>
      <c r="CP151" s="114"/>
      <c r="CQ151" s="114"/>
      <c r="CR151" s="114"/>
      <c r="CS151" s="114"/>
      <c r="CT151" s="114"/>
      <c r="CU151" s="114"/>
      <c r="CV151" s="114"/>
      <c r="CW151" s="114"/>
      <c r="CX151" s="114"/>
      <c r="CY151" s="114"/>
      <c r="CZ151" s="114"/>
      <c r="DA151" s="114"/>
      <c r="DB151" s="114"/>
      <c r="DC151" s="114"/>
      <c r="DD151" s="114"/>
      <c r="DE151" s="114"/>
      <c r="DF151" s="114"/>
      <c r="DG151" s="114"/>
      <c r="DH151" s="114"/>
      <c r="DI151" s="114"/>
      <c r="DJ151" s="114"/>
      <c r="DK151" s="114"/>
      <c r="DL151" s="114"/>
      <c r="DM151" s="114"/>
      <c r="DN151" s="114"/>
      <c r="DO151" s="114"/>
      <c r="DP151" s="114"/>
      <c r="DQ151" s="114"/>
    </row>
    <row r="152" spans="1:121" ht="15" customHeight="1" outlineLevel="3" x14ac:dyDescent="0.25">
      <c r="A152" s="101"/>
      <c r="B152" s="101" t="s">
        <v>153</v>
      </c>
      <c r="C152" s="101">
        <v>4</v>
      </c>
      <c r="D152" s="102" t="s">
        <v>606</v>
      </c>
      <c r="E152" s="103"/>
      <c r="F152" s="103"/>
      <c r="G152" s="103"/>
      <c r="H152" s="103" t="s">
        <v>607</v>
      </c>
      <c r="I152" s="103"/>
      <c r="J152" s="103"/>
      <c r="K152" s="103"/>
      <c r="L152" s="103"/>
      <c r="M152" s="103"/>
      <c r="N152" s="103"/>
      <c r="O152" s="103" t="str">
        <f>H152</f>
        <v>1동 1F PPC CV</v>
      </c>
      <c r="P152" s="104"/>
      <c r="Q152" s="108">
        <v>44972</v>
      </c>
      <c r="R152" s="105">
        <v>45168</v>
      </c>
      <c r="S152" s="106"/>
      <c r="T152" s="107">
        <v>886</v>
      </c>
      <c r="U152" s="107">
        <v>274</v>
      </c>
      <c r="V152" s="107">
        <v>197</v>
      </c>
      <c r="W152" s="107">
        <v>98</v>
      </c>
      <c r="X152" s="108"/>
      <c r="Y152" s="108"/>
      <c r="Z152" s="109">
        <v>0</v>
      </c>
      <c r="AA152" s="110">
        <v>0</v>
      </c>
      <c r="AB152" s="107"/>
      <c r="AC152" s="106"/>
      <c r="AD152" s="180"/>
      <c r="AE152" s="111">
        <v>0.30925507900677202</v>
      </c>
      <c r="AF152" s="112">
        <v>0</v>
      </c>
      <c r="AG152" s="113"/>
      <c r="AH152" s="114"/>
      <c r="AI152" s="114" t="str">
        <f>"   " &amp; TEXT(AF152,"#0.00%") &amp; " "</f>
        <v xml:space="preserve">   0.00% </v>
      </c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 t="str">
        <f>"    " &amp; "1동 1F PPC CV" &amp; " " &amp; IF(Q152="","",TEXT(Q152,"M/D-")) &amp; IF(R152="","",TEXT(R152,"M/D")) &amp; " "</f>
        <v xml:space="preserve">    1동 1F PPC CV 2/15-8/30 </v>
      </c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  <c r="CA152" s="114"/>
      <c r="CB152" s="114"/>
      <c r="CC152" s="114"/>
      <c r="CD152" s="114"/>
      <c r="CE152" s="114"/>
      <c r="CF152" s="114"/>
      <c r="CG152" s="114"/>
      <c r="CH152" s="114"/>
      <c r="CI152" s="114"/>
      <c r="CJ152" s="114"/>
      <c r="CK152" s="114"/>
      <c r="CL152" s="114"/>
      <c r="CM152" s="114"/>
      <c r="CN152" s="114"/>
      <c r="CO152" s="114"/>
      <c r="CP152" s="114"/>
      <c r="CQ152" s="114"/>
      <c r="CR152" s="114"/>
      <c r="CS152" s="114"/>
      <c r="CT152" s="114"/>
      <c r="CU152" s="114"/>
      <c r="CV152" s="114"/>
      <c r="CW152" s="114"/>
      <c r="CX152" s="114"/>
      <c r="CY152" s="114"/>
      <c r="CZ152" s="114"/>
      <c r="DA152" s="114"/>
      <c r="DB152" s="114"/>
      <c r="DC152" s="114"/>
      <c r="DD152" s="114"/>
      <c r="DE152" s="114"/>
      <c r="DF152" s="114"/>
      <c r="DG152" s="114"/>
      <c r="DH152" s="114"/>
      <c r="DI152" s="114"/>
      <c r="DJ152" s="114"/>
      <c r="DK152" s="114"/>
      <c r="DL152" s="114"/>
      <c r="DM152" s="114"/>
      <c r="DN152" s="114"/>
      <c r="DO152" s="114"/>
      <c r="DP152" s="114"/>
      <c r="DQ152" s="114"/>
    </row>
    <row r="153" spans="1:121" ht="15" customHeight="1" outlineLevel="4" x14ac:dyDescent="0.25">
      <c r="A153" s="101"/>
      <c r="B153" s="101"/>
      <c r="C153" s="101">
        <v>5</v>
      </c>
      <c r="D153" s="102" t="s">
        <v>608</v>
      </c>
      <c r="E153" s="103"/>
      <c r="F153" s="103"/>
      <c r="G153" s="103"/>
      <c r="H153" s="103"/>
      <c r="I153" s="103" t="s">
        <v>217</v>
      </c>
      <c r="J153" s="103"/>
      <c r="K153" s="103"/>
      <c r="L153" s="103"/>
      <c r="M153" s="103"/>
      <c r="N153" s="103"/>
      <c r="O153" s="103" t="str">
        <f>O152</f>
        <v>1동 1F PPC CV</v>
      </c>
      <c r="P153" s="104"/>
      <c r="Q153" s="108">
        <v>44972</v>
      </c>
      <c r="R153" s="105">
        <v>45168</v>
      </c>
      <c r="S153" s="106">
        <f>R153-Q153</f>
        <v>196</v>
      </c>
      <c r="T153" s="107">
        <v>394</v>
      </c>
      <c r="U153" s="107">
        <v>196</v>
      </c>
      <c r="V153" s="107">
        <v>197</v>
      </c>
      <c r="W153" s="107">
        <v>98</v>
      </c>
      <c r="X153" s="108"/>
      <c r="Y153" s="108"/>
      <c r="Z153" s="109"/>
      <c r="AA153" s="110">
        <v>0</v>
      </c>
      <c r="AB153" s="107">
        <v>2</v>
      </c>
      <c r="AC153" s="106"/>
      <c r="AD153" s="180"/>
      <c r="AE153" s="111">
        <v>0.49746192893401014</v>
      </c>
      <c r="AF153" s="117">
        <v>0</v>
      </c>
      <c r="AG153" s="113"/>
      <c r="AH153" s="114"/>
      <c r="AI153" s="114" t="str">
        <f>"   " &amp; TEXT(AF153,"#0.00%") &amp; " "</f>
        <v xml:space="preserve">   0.00% </v>
      </c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 t="str">
        <f>"    " &amp; "장납기 구매품 발주 및 입고" &amp; " " &amp; IF(Q153="","",TEXT(Q153,"M/D-")) &amp; IF(R153="","",TEXT(R153,"M/D")) &amp; " "</f>
        <v xml:space="preserve">    장납기 구매품 발주 및 입고 2/15-8/30 </v>
      </c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  <c r="CA153" s="114"/>
      <c r="CB153" s="114"/>
      <c r="CC153" s="114"/>
      <c r="CD153" s="114"/>
      <c r="CE153" s="114"/>
      <c r="CF153" s="114"/>
      <c r="CG153" s="114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4"/>
      <c r="CV153" s="114"/>
      <c r="CW153" s="114"/>
      <c r="CX153" s="114"/>
      <c r="CY153" s="114"/>
      <c r="CZ153" s="114"/>
      <c r="DA153" s="114"/>
      <c r="DB153" s="114"/>
      <c r="DC153" s="114"/>
      <c r="DD153" s="114"/>
      <c r="DE153" s="114"/>
      <c r="DF153" s="114"/>
      <c r="DG153" s="114"/>
      <c r="DH153" s="114"/>
      <c r="DI153" s="114"/>
      <c r="DJ153" s="114"/>
      <c r="DK153" s="114"/>
      <c r="DL153" s="114"/>
      <c r="DM153" s="114"/>
      <c r="DN153" s="114"/>
      <c r="DO153" s="114"/>
      <c r="DP153" s="114"/>
      <c r="DQ153" s="114"/>
    </row>
    <row r="154" spans="1:121" ht="15" customHeight="1" outlineLevel="4" x14ac:dyDescent="0.25">
      <c r="A154" s="101"/>
      <c r="B154" s="101"/>
      <c r="C154" s="101">
        <v>5</v>
      </c>
      <c r="D154" s="102" t="s">
        <v>609</v>
      </c>
      <c r="E154" s="103"/>
      <c r="F154" s="103"/>
      <c r="G154" s="103"/>
      <c r="H154" s="103"/>
      <c r="I154" s="103" t="s">
        <v>241</v>
      </c>
      <c r="J154" s="103"/>
      <c r="K154" s="103"/>
      <c r="L154" s="103"/>
      <c r="M154" s="103"/>
      <c r="N154" s="103"/>
      <c r="O154" s="103" t="str">
        <f>O153</f>
        <v>1동 1F PPC CV</v>
      </c>
      <c r="P154" s="104"/>
      <c r="Q154" s="108">
        <v>45031</v>
      </c>
      <c r="R154" s="105">
        <v>45122</v>
      </c>
      <c r="S154" s="106">
        <f>R154-Q154</f>
        <v>91</v>
      </c>
      <c r="T154" s="107">
        <v>184</v>
      </c>
      <c r="U154" s="107">
        <v>78</v>
      </c>
      <c r="V154" s="107">
        <v>92</v>
      </c>
      <c r="W154" s="107">
        <v>39</v>
      </c>
      <c r="X154" s="108"/>
      <c r="Y154" s="108"/>
      <c r="Z154" s="109"/>
      <c r="AA154" s="110">
        <v>0</v>
      </c>
      <c r="AB154" s="107">
        <v>2</v>
      </c>
      <c r="AC154" s="106"/>
      <c r="AD154" s="180"/>
      <c r="AE154" s="111">
        <v>0.42391304347826086</v>
      </c>
      <c r="AF154" s="117">
        <v>0</v>
      </c>
      <c r="AG154" s="113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 t="str">
        <f>"      " &amp; TEXT(AF154,"#0.00%") &amp; " "</f>
        <v xml:space="preserve">      0.00% </v>
      </c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 t="str">
        <f>"" &amp; "가공품 발주 및 입고" &amp; " " &amp; IF(Q154="","",TEXT(Q154,"M/D-")) &amp; IF(R154="","",TEXT(R154,"M/D")) &amp; " "</f>
        <v xml:space="preserve">가공품 발주 및 입고 4/15-7/15 </v>
      </c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  <c r="CA154" s="114"/>
      <c r="CB154" s="114"/>
      <c r="CC154" s="114"/>
      <c r="CD154" s="114"/>
      <c r="CE154" s="114"/>
      <c r="CF154" s="114"/>
      <c r="CG154" s="114"/>
      <c r="CH154" s="114"/>
      <c r="CI154" s="114"/>
      <c r="CJ154" s="114"/>
      <c r="CK154" s="114"/>
      <c r="CL154" s="114"/>
      <c r="CM154" s="114"/>
      <c r="CN154" s="114"/>
      <c r="CO154" s="114"/>
      <c r="CP154" s="114"/>
      <c r="CQ154" s="114"/>
      <c r="CR154" s="114"/>
      <c r="CS154" s="114"/>
      <c r="CT154" s="114"/>
      <c r="CU154" s="114"/>
      <c r="CV154" s="114"/>
      <c r="CW154" s="114"/>
      <c r="CX154" s="114"/>
      <c r="CY154" s="114"/>
      <c r="CZ154" s="114"/>
      <c r="DA154" s="114"/>
      <c r="DB154" s="114"/>
      <c r="DC154" s="114"/>
      <c r="DD154" s="114"/>
      <c r="DE154" s="114"/>
      <c r="DF154" s="114"/>
      <c r="DG154" s="114"/>
      <c r="DH154" s="114"/>
      <c r="DI154" s="114"/>
      <c r="DJ154" s="114"/>
      <c r="DK154" s="114"/>
      <c r="DL154" s="114"/>
      <c r="DM154" s="114"/>
      <c r="DN154" s="114"/>
      <c r="DO154" s="114"/>
      <c r="DP154" s="114"/>
      <c r="DQ154" s="114"/>
    </row>
    <row r="155" spans="1:121" ht="15" customHeight="1" outlineLevel="4" x14ac:dyDescent="0.25">
      <c r="A155" s="101"/>
      <c r="B155" s="101"/>
      <c r="C155" s="101">
        <v>5</v>
      </c>
      <c r="D155" s="102" t="s">
        <v>610</v>
      </c>
      <c r="E155" s="103"/>
      <c r="F155" s="103"/>
      <c r="G155" s="103"/>
      <c r="H155" s="103"/>
      <c r="I155" s="103" t="s">
        <v>220</v>
      </c>
      <c r="J155" s="103"/>
      <c r="K155" s="103"/>
      <c r="L155" s="103"/>
      <c r="M155" s="103"/>
      <c r="N155" s="103"/>
      <c r="O155" s="103" t="str">
        <f>O154</f>
        <v>1동 1F PPC CV</v>
      </c>
      <c r="P155" s="104"/>
      <c r="Q155" s="108">
        <v>45107</v>
      </c>
      <c r="R155" s="105">
        <v>45168</v>
      </c>
      <c r="S155" s="106">
        <f>R155-Q155</f>
        <v>61</v>
      </c>
      <c r="T155" s="107">
        <v>248</v>
      </c>
      <c r="U155" s="107">
        <v>0</v>
      </c>
      <c r="V155" s="107">
        <v>62</v>
      </c>
      <c r="W155" s="107">
        <v>0</v>
      </c>
      <c r="X155" s="108"/>
      <c r="Y155" s="108"/>
      <c r="Z155" s="109"/>
      <c r="AA155" s="110">
        <v>0</v>
      </c>
      <c r="AB155" s="107">
        <v>4</v>
      </c>
      <c r="AC155" s="106"/>
      <c r="AD155" s="180"/>
      <c r="AE155" s="111">
        <v>0</v>
      </c>
      <c r="AF155" s="121">
        <v>0</v>
      </c>
      <c r="AG155" s="113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 t="str">
        <f>"     " &amp; TEXT(AF155,"#0.00%") &amp; " "</f>
        <v xml:space="preserve">     0.00% </v>
      </c>
      <c r="BC155" s="114"/>
      <c r="BD155" s="114"/>
      <c r="BE155" s="114"/>
      <c r="BF155" s="114"/>
      <c r="BG155" s="114"/>
      <c r="BH155" s="114"/>
      <c r="BI155" s="114"/>
      <c r="BJ155" s="114"/>
      <c r="BK155" s="114" t="str">
        <f>"    " &amp; "기구조립" &amp; " " &amp; IF(Q155="","",TEXT(Q155,"M/D-")) &amp; IF(R155="","",TEXT(R155,"M/D")) &amp; " "</f>
        <v xml:space="preserve">    기구조립 6/30-8/30 </v>
      </c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  <c r="CA155" s="114"/>
      <c r="CB155" s="114"/>
      <c r="CC155" s="114"/>
      <c r="CD155" s="114"/>
      <c r="CE155" s="114"/>
      <c r="CF155" s="114"/>
      <c r="CG155" s="114"/>
      <c r="CH155" s="114"/>
      <c r="CI155" s="114"/>
      <c r="CJ155" s="114"/>
      <c r="CK155" s="114"/>
      <c r="CL155" s="114"/>
      <c r="CM155" s="114"/>
      <c r="CN155" s="114"/>
      <c r="CO155" s="114"/>
      <c r="CP155" s="114"/>
      <c r="CQ155" s="114"/>
      <c r="CR155" s="114"/>
      <c r="CS155" s="114"/>
      <c r="CT155" s="114"/>
      <c r="CU155" s="114"/>
      <c r="CV155" s="114"/>
      <c r="CW155" s="114"/>
      <c r="CX155" s="114"/>
      <c r="CY155" s="114"/>
      <c r="CZ155" s="114"/>
      <c r="DA155" s="114"/>
      <c r="DB155" s="114"/>
      <c r="DC155" s="114"/>
      <c r="DD155" s="114"/>
      <c r="DE155" s="114"/>
      <c r="DF155" s="114"/>
      <c r="DG155" s="114"/>
      <c r="DH155" s="114"/>
      <c r="DI155" s="114"/>
      <c r="DJ155" s="114"/>
      <c r="DK155" s="114"/>
      <c r="DL155" s="114"/>
      <c r="DM155" s="114"/>
      <c r="DN155" s="114"/>
      <c r="DO155" s="114"/>
      <c r="DP155" s="114"/>
      <c r="DQ155" s="114"/>
    </row>
    <row r="156" spans="1:121" ht="15" customHeight="1" outlineLevel="4" x14ac:dyDescent="0.25">
      <c r="A156" s="101"/>
      <c r="B156" s="101"/>
      <c r="C156" s="101">
        <v>5</v>
      </c>
      <c r="D156" s="102" t="s">
        <v>611</v>
      </c>
      <c r="E156" s="103"/>
      <c r="F156" s="103"/>
      <c r="G156" s="103"/>
      <c r="H156" s="103"/>
      <c r="I156" s="103" t="s">
        <v>221</v>
      </c>
      <c r="J156" s="103"/>
      <c r="K156" s="103"/>
      <c r="L156" s="103"/>
      <c r="M156" s="103"/>
      <c r="N156" s="103"/>
      <c r="O156" s="103" t="str">
        <f>O155</f>
        <v>1동 1F PPC CV</v>
      </c>
      <c r="P156" s="104"/>
      <c r="Q156" s="108">
        <v>45139</v>
      </c>
      <c r="R156" s="105">
        <v>45168</v>
      </c>
      <c r="S156" s="106">
        <f>R156-Q156</f>
        <v>29</v>
      </c>
      <c r="T156" s="107">
        <v>60</v>
      </c>
      <c r="U156" s="107">
        <v>0</v>
      </c>
      <c r="V156" s="107">
        <v>30</v>
      </c>
      <c r="W156" s="107">
        <v>0</v>
      </c>
      <c r="X156" s="108"/>
      <c r="Y156" s="108"/>
      <c r="Z156" s="109"/>
      <c r="AA156" s="110">
        <v>0</v>
      </c>
      <c r="AB156" s="107">
        <v>2</v>
      </c>
      <c r="AC156" s="106"/>
      <c r="AD156" s="180"/>
      <c r="AE156" s="111">
        <v>0</v>
      </c>
      <c r="AF156" s="121">
        <v>0</v>
      </c>
      <c r="AG156" s="113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 t="str">
        <f>"  " &amp; TEXT(AF156,"#0.00%") &amp; " "</f>
        <v xml:space="preserve">  0.00% </v>
      </c>
      <c r="BH156" s="114"/>
      <c r="BI156" s="114"/>
      <c r="BJ156" s="114"/>
      <c r="BK156" s="114" t="str">
        <f>"    " &amp; "전장조립" &amp; " " &amp; IF(Q156="","",TEXT(Q156,"M/D-")) &amp; IF(R156="","",TEXT(R156,"M/D")) &amp; " "</f>
        <v xml:space="preserve">    전장조립 8/1-8/30 </v>
      </c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  <c r="CA156" s="114"/>
      <c r="CB156" s="114"/>
      <c r="CC156" s="114"/>
      <c r="CD156" s="114"/>
      <c r="CE156" s="114"/>
      <c r="CF156" s="114"/>
      <c r="CG156" s="114"/>
      <c r="CH156" s="114"/>
      <c r="CI156" s="114"/>
      <c r="CJ156" s="114"/>
      <c r="CK156" s="114"/>
      <c r="CL156" s="114"/>
      <c r="CM156" s="114"/>
      <c r="CN156" s="114"/>
      <c r="CO156" s="114"/>
      <c r="CP156" s="114"/>
      <c r="CQ156" s="114"/>
      <c r="CR156" s="114"/>
      <c r="CS156" s="114"/>
      <c r="CT156" s="114"/>
      <c r="CU156" s="114"/>
      <c r="CV156" s="114"/>
      <c r="CW156" s="114"/>
      <c r="CX156" s="114"/>
      <c r="CY156" s="114"/>
      <c r="CZ156" s="114"/>
      <c r="DA156" s="114"/>
      <c r="DB156" s="114"/>
      <c r="DC156" s="114"/>
      <c r="DD156" s="114"/>
      <c r="DE156" s="114"/>
      <c r="DF156" s="114"/>
      <c r="DG156" s="114"/>
      <c r="DH156" s="114"/>
      <c r="DI156" s="114"/>
      <c r="DJ156" s="114"/>
      <c r="DK156" s="114"/>
      <c r="DL156" s="114"/>
      <c r="DM156" s="114"/>
      <c r="DN156" s="114"/>
      <c r="DO156" s="114"/>
      <c r="DP156" s="114"/>
      <c r="DQ156" s="114"/>
    </row>
    <row r="157" spans="1:121" ht="15" customHeight="1" outlineLevel="3" x14ac:dyDescent="0.25">
      <c r="A157" s="101"/>
      <c r="B157" s="101" t="s">
        <v>153</v>
      </c>
      <c r="C157" s="101">
        <v>4</v>
      </c>
      <c r="D157" s="102" t="s">
        <v>612</v>
      </c>
      <c r="E157" s="103"/>
      <c r="F157" s="103"/>
      <c r="G157" s="103"/>
      <c r="H157" s="103" t="s">
        <v>613</v>
      </c>
      <c r="I157" s="103"/>
      <c r="J157" s="103"/>
      <c r="K157" s="103"/>
      <c r="L157" s="103"/>
      <c r="M157" s="103"/>
      <c r="N157" s="103"/>
      <c r="O157" s="103" t="str">
        <f>H157</f>
        <v>1동 1F 충방전 CV</v>
      </c>
      <c r="P157" s="104"/>
      <c r="Q157" s="108">
        <v>44972</v>
      </c>
      <c r="R157" s="105">
        <v>45168</v>
      </c>
      <c r="S157" s="106"/>
      <c r="T157" s="107">
        <v>886</v>
      </c>
      <c r="U157" s="107">
        <v>274</v>
      </c>
      <c r="V157" s="107">
        <v>197</v>
      </c>
      <c r="W157" s="107">
        <v>98</v>
      </c>
      <c r="X157" s="108"/>
      <c r="Y157" s="108"/>
      <c r="Z157" s="109">
        <v>0</v>
      </c>
      <c r="AA157" s="110">
        <v>0</v>
      </c>
      <c r="AB157" s="107"/>
      <c r="AC157" s="106"/>
      <c r="AD157" s="180"/>
      <c r="AE157" s="111">
        <v>0.30925507900677202</v>
      </c>
      <c r="AF157" s="112">
        <v>0</v>
      </c>
      <c r="AG157" s="113"/>
      <c r="AH157" s="114"/>
      <c r="AI157" s="114" t="str">
        <f>"   " &amp; TEXT(AF157,"#0.00%") &amp; " "</f>
        <v xml:space="preserve">   0.00% </v>
      </c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 t="str">
        <f>"    " &amp; "1동 1F 충방전 CV" &amp; " " &amp; IF(Q157="","",TEXT(Q157,"M/D-")) &amp; IF(R157="","",TEXT(R157,"M/D")) &amp; " "</f>
        <v xml:space="preserve">    1동 1F 충방전 CV 2/15-8/30 </v>
      </c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  <c r="CA157" s="114"/>
      <c r="CB157" s="114"/>
      <c r="CC157" s="114"/>
      <c r="CD157" s="114"/>
      <c r="CE157" s="114"/>
      <c r="CF157" s="114"/>
      <c r="CG157" s="114"/>
      <c r="CH157" s="114"/>
      <c r="CI157" s="114"/>
      <c r="CJ157" s="114"/>
      <c r="CK157" s="114"/>
      <c r="CL157" s="114"/>
      <c r="CM157" s="114"/>
      <c r="CN157" s="114"/>
      <c r="CO157" s="114"/>
      <c r="CP157" s="114"/>
      <c r="CQ157" s="114"/>
      <c r="CR157" s="114"/>
      <c r="CS157" s="114"/>
      <c r="CT157" s="114"/>
      <c r="CU157" s="114"/>
      <c r="CV157" s="114"/>
      <c r="CW157" s="114"/>
      <c r="CX157" s="114"/>
      <c r="CY157" s="114"/>
      <c r="CZ157" s="114"/>
      <c r="DA157" s="114"/>
      <c r="DB157" s="114"/>
      <c r="DC157" s="114"/>
      <c r="DD157" s="114"/>
      <c r="DE157" s="114"/>
      <c r="DF157" s="114"/>
      <c r="DG157" s="114"/>
      <c r="DH157" s="114"/>
      <c r="DI157" s="114"/>
      <c r="DJ157" s="114"/>
      <c r="DK157" s="114"/>
      <c r="DL157" s="114"/>
      <c r="DM157" s="114"/>
      <c r="DN157" s="114"/>
      <c r="DO157" s="114"/>
      <c r="DP157" s="114"/>
      <c r="DQ157" s="114"/>
    </row>
    <row r="158" spans="1:121" ht="15" customHeight="1" outlineLevel="4" x14ac:dyDescent="0.25">
      <c r="A158" s="101"/>
      <c r="B158" s="101"/>
      <c r="C158" s="101">
        <v>5</v>
      </c>
      <c r="D158" s="102" t="s">
        <v>614</v>
      </c>
      <c r="E158" s="103"/>
      <c r="F158" s="103"/>
      <c r="G158" s="103"/>
      <c r="H158" s="103"/>
      <c r="I158" s="103" t="s">
        <v>217</v>
      </c>
      <c r="J158" s="103"/>
      <c r="K158" s="103"/>
      <c r="L158" s="103"/>
      <c r="M158" s="103"/>
      <c r="N158" s="103"/>
      <c r="O158" s="103" t="str">
        <f>O157</f>
        <v>1동 1F 충방전 CV</v>
      </c>
      <c r="P158" s="104"/>
      <c r="Q158" s="108">
        <v>44972</v>
      </c>
      <c r="R158" s="105">
        <v>45168</v>
      </c>
      <c r="S158" s="106">
        <f>R158-Q158</f>
        <v>196</v>
      </c>
      <c r="T158" s="107">
        <v>394</v>
      </c>
      <c r="U158" s="107">
        <v>196</v>
      </c>
      <c r="V158" s="107">
        <v>197</v>
      </c>
      <c r="W158" s="107">
        <v>98</v>
      </c>
      <c r="X158" s="108"/>
      <c r="Y158" s="108"/>
      <c r="Z158" s="109"/>
      <c r="AA158" s="110">
        <v>0</v>
      </c>
      <c r="AB158" s="107">
        <v>2</v>
      </c>
      <c r="AC158" s="106"/>
      <c r="AD158" s="180"/>
      <c r="AE158" s="111">
        <v>0.49746192893401014</v>
      </c>
      <c r="AF158" s="117">
        <v>0</v>
      </c>
      <c r="AG158" s="113"/>
      <c r="AH158" s="114"/>
      <c r="AI158" s="114" t="str">
        <f>"   " &amp; TEXT(AF158,"#0.00%") &amp; " "</f>
        <v xml:space="preserve">   0.00% </v>
      </c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 t="str">
        <f>"    " &amp; "장납기 구매품 발주 및 입고" &amp; " " &amp; IF(Q158="","",TEXT(Q158,"M/D-")) &amp; IF(R158="","",TEXT(R158,"M/D")) &amp; " "</f>
        <v xml:space="preserve">    장납기 구매품 발주 및 입고 2/15-8/30 </v>
      </c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  <c r="CA158" s="114"/>
      <c r="CB158" s="114"/>
      <c r="CC158" s="114"/>
      <c r="CD158" s="114"/>
      <c r="CE158" s="114"/>
      <c r="CF158" s="114"/>
      <c r="CG158" s="114"/>
      <c r="CH158" s="114"/>
      <c r="CI158" s="114"/>
      <c r="CJ158" s="114"/>
      <c r="CK158" s="114"/>
      <c r="CL158" s="114"/>
      <c r="CM158" s="114"/>
      <c r="CN158" s="114"/>
      <c r="CO158" s="114"/>
      <c r="CP158" s="114"/>
      <c r="CQ158" s="114"/>
      <c r="CR158" s="114"/>
      <c r="CS158" s="114"/>
      <c r="CT158" s="114"/>
      <c r="CU158" s="114"/>
      <c r="CV158" s="114"/>
      <c r="CW158" s="114"/>
      <c r="CX158" s="114"/>
      <c r="CY158" s="114"/>
      <c r="CZ158" s="114"/>
      <c r="DA158" s="114"/>
      <c r="DB158" s="114"/>
      <c r="DC158" s="114"/>
      <c r="DD158" s="114"/>
      <c r="DE158" s="114"/>
      <c r="DF158" s="114"/>
      <c r="DG158" s="114"/>
      <c r="DH158" s="114"/>
      <c r="DI158" s="114"/>
      <c r="DJ158" s="114"/>
      <c r="DK158" s="114"/>
      <c r="DL158" s="114"/>
      <c r="DM158" s="114"/>
      <c r="DN158" s="114"/>
      <c r="DO158" s="114"/>
      <c r="DP158" s="114"/>
      <c r="DQ158" s="114"/>
    </row>
    <row r="159" spans="1:121" ht="15" customHeight="1" outlineLevel="4" x14ac:dyDescent="0.25">
      <c r="A159" s="101"/>
      <c r="B159" s="101"/>
      <c r="C159" s="101">
        <v>5</v>
      </c>
      <c r="D159" s="102" t="s">
        <v>615</v>
      </c>
      <c r="E159" s="103"/>
      <c r="F159" s="103"/>
      <c r="G159" s="103"/>
      <c r="H159" s="103"/>
      <c r="I159" s="103" t="s">
        <v>241</v>
      </c>
      <c r="J159" s="103"/>
      <c r="K159" s="103"/>
      <c r="L159" s="103"/>
      <c r="M159" s="103"/>
      <c r="N159" s="103"/>
      <c r="O159" s="103" t="str">
        <f>O158</f>
        <v>1동 1F 충방전 CV</v>
      </c>
      <c r="P159" s="104"/>
      <c r="Q159" s="108">
        <v>45031</v>
      </c>
      <c r="R159" s="105">
        <v>45122</v>
      </c>
      <c r="S159" s="106">
        <f>R159-Q159</f>
        <v>91</v>
      </c>
      <c r="T159" s="107">
        <v>184</v>
      </c>
      <c r="U159" s="107">
        <v>78</v>
      </c>
      <c r="V159" s="107">
        <v>92</v>
      </c>
      <c r="W159" s="107">
        <v>39</v>
      </c>
      <c r="X159" s="108"/>
      <c r="Y159" s="108"/>
      <c r="Z159" s="109"/>
      <c r="AA159" s="110">
        <v>0</v>
      </c>
      <c r="AB159" s="107">
        <v>2</v>
      </c>
      <c r="AC159" s="106"/>
      <c r="AD159" s="180"/>
      <c r="AE159" s="111">
        <v>0.42391304347826086</v>
      </c>
      <c r="AF159" s="117">
        <v>0</v>
      </c>
      <c r="AG159" s="113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 t="str">
        <f>"      " &amp; TEXT(AF159,"#0.00%") &amp; " "</f>
        <v xml:space="preserve">      0.00% </v>
      </c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 t="str">
        <f>"" &amp; "가공품 발주 및 입고" &amp; " " &amp; IF(Q159="","",TEXT(Q159,"M/D-")) &amp; IF(R159="","",TEXT(R159,"M/D")) &amp; " "</f>
        <v xml:space="preserve">가공품 발주 및 입고 4/15-7/15 </v>
      </c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  <c r="CA159" s="114"/>
      <c r="CB159" s="114"/>
      <c r="CC159" s="114"/>
      <c r="CD159" s="114"/>
      <c r="CE159" s="114"/>
      <c r="CF159" s="114"/>
      <c r="CG159" s="114"/>
      <c r="CH159" s="114"/>
      <c r="CI159" s="114"/>
      <c r="CJ159" s="114"/>
      <c r="CK159" s="114"/>
      <c r="CL159" s="114"/>
      <c r="CM159" s="114"/>
      <c r="CN159" s="114"/>
      <c r="CO159" s="114"/>
      <c r="CP159" s="114"/>
      <c r="CQ159" s="114"/>
      <c r="CR159" s="114"/>
      <c r="CS159" s="114"/>
      <c r="CT159" s="114"/>
      <c r="CU159" s="114"/>
      <c r="CV159" s="114"/>
      <c r="CW159" s="114"/>
      <c r="CX159" s="114"/>
      <c r="CY159" s="114"/>
      <c r="CZ159" s="114"/>
      <c r="DA159" s="114"/>
      <c r="DB159" s="114"/>
      <c r="DC159" s="114"/>
      <c r="DD159" s="114"/>
      <c r="DE159" s="114"/>
      <c r="DF159" s="114"/>
      <c r="DG159" s="114"/>
      <c r="DH159" s="114"/>
      <c r="DI159" s="114"/>
      <c r="DJ159" s="114"/>
      <c r="DK159" s="114"/>
      <c r="DL159" s="114"/>
      <c r="DM159" s="114"/>
      <c r="DN159" s="114"/>
      <c r="DO159" s="114"/>
      <c r="DP159" s="114"/>
      <c r="DQ159" s="114"/>
    </row>
    <row r="160" spans="1:121" ht="15" customHeight="1" outlineLevel="4" x14ac:dyDescent="0.25">
      <c r="A160" s="101"/>
      <c r="B160" s="101"/>
      <c r="C160" s="101">
        <v>5</v>
      </c>
      <c r="D160" s="102" t="s">
        <v>616</v>
      </c>
      <c r="E160" s="103"/>
      <c r="F160" s="103"/>
      <c r="G160" s="103"/>
      <c r="H160" s="103"/>
      <c r="I160" s="103" t="s">
        <v>220</v>
      </c>
      <c r="J160" s="103"/>
      <c r="K160" s="103"/>
      <c r="L160" s="103"/>
      <c r="M160" s="103"/>
      <c r="N160" s="103"/>
      <c r="O160" s="103" t="str">
        <f>O159</f>
        <v>1동 1F 충방전 CV</v>
      </c>
      <c r="P160" s="104"/>
      <c r="Q160" s="108">
        <v>45107</v>
      </c>
      <c r="R160" s="105">
        <v>45168</v>
      </c>
      <c r="S160" s="106">
        <f>R160-Q160</f>
        <v>61</v>
      </c>
      <c r="T160" s="107">
        <v>248</v>
      </c>
      <c r="U160" s="107">
        <v>0</v>
      </c>
      <c r="V160" s="107">
        <v>62</v>
      </c>
      <c r="W160" s="107">
        <v>0</v>
      </c>
      <c r="X160" s="108"/>
      <c r="Y160" s="108"/>
      <c r="Z160" s="109"/>
      <c r="AA160" s="110">
        <v>0</v>
      </c>
      <c r="AB160" s="107">
        <v>4</v>
      </c>
      <c r="AC160" s="106"/>
      <c r="AD160" s="180"/>
      <c r="AE160" s="111">
        <v>0</v>
      </c>
      <c r="AF160" s="121">
        <v>0</v>
      </c>
      <c r="AG160" s="113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 t="str">
        <f>"     " &amp; TEXT(AF160,"#0.00%") &amp; " "</f>
        <v xml:space="preserve">     0.00% </v>
      </c>
      <c r="BC160" s="114"/>
      <c r="BD160" s="114"/>
      <c r="BE160" s="114"/>
      <c r="BF160" s="114"/>
      <c r="BG160" s="114"/>
      <c r="BH160" s="114"/>
      <c r="BI160" s="114"/>
      <c r="BJ160" s="114"/>
      <c r="BK160" s="114" t="str">
        <f>"    " &amp; "기구조립" &amp; " " &amp; IF(Q160="","",TEXT(Q160,"M/D-")) &amp; IF(R160="","",TEXT(R160,"M/D")) &amp; " "</f>
        <v xml:space="preserve">    기구조립 6/30-8/30 </v>
      </c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  <c r="CA160" s="114"/>
      <c r="CB160" s="114"/>
      <c r="CC160" s="114"/>
      <c r="CD160" s="114"/>
      <c r="CE160" s="114"/>
      <c r="CF160" s="114"/>
      <c r="CG160" s="114"/>
      <c r="CH160" s="114"/>
      <c r="CI160" s="114"/>
      <c r="CJ160" s="114"/>
      <c r="CK160" s="114"/>
      <c r="CL160" s="114"/>
      <c r="CM160" s="114"/>
      <c r="CN160" s="114"/>
      <c r="CO160" s="114"/>
      <c r="CP160" s="114"/>
      <c r="CQ160" s="114"/>
      <c r="CR160" s="114"/>
      <c r="CS160" s="114"/>
      <c r="CT160" s="114"/>
      <c r="CU160" s="114"/>
      <c r="CV160" s="114"/>
      <c r="CW160" s="114"/>
      <c r="CX160" s="114"/>
      <c r="CY160" s="114"/>
      <c r="CZ160" s="114"/>
      <c r="DA160" s="114"/>
      <c r="DB160" s="114"/>
      <c r="DC160" s="114"/>
      <c r="DD160" s="114"/>
      <c r="DE160" s="114"/>
      <c r="DF160" s="114"/>
      <c r="DG160" s="114"/>
      <c r="DH160" s="114"/>
      <c r="DI160" s="114"/>
      <c r="DJ160" s="114"/>
      <c r="DK160" s="114"/>
      <c r="DL160" s="114"/>
      <c r="DM160" s="114"/>
      <c r="DN160" s="114"/>
      <c r="DO160" s="114"/>
      <c r="DP160" s="114"/>
      <c r="DQ160" s="114"/>
    </row>
    <row r="161" spans="1:121" ht="15" customHeight="1" outlineLevel="4" x14ac:dyDescent="0.25">
      <c r="A161" s="101"/>
      <c r="B161" s="101"/>
      <c r="C161" s="101">
        <v>5</v>
      </c>
      <c r="D161" s="102" t="s">
        <v>617</v>
      </c>
      <c r="E161" s="103"/>
      <c r="F161" s="103"/>
      <c r="G161" s="103"/>
      <c r="H161" s="103"/>
      <c r="I161" s="103" t="s">
        <v>221</v>
      </c>
      <c r="J161" s="103"/>
      <c r="K161" s="103"/>
      <c r="L161" s="103"/>
      <c r="M161" s="103"/>
      <c r="N161" s="103"/>
      <c r="O161" s="103" t="str">
        <f>O160</f>
        <v>1동 1F 충방전 CV</v>
      </c>
      <c r="P161" s="104"/>
      <c r="Q161" s="108">
        <v>45139</v>
      </c>
      <c r="R161" s="105">
        <v>45168</v>
      </c>
      <c r="S161" s="106">
        <f>R161-Q161</f>
        <v>29</v>
      </c>
      <c r="T161" s="107">
        <v>60</v>
      </c>
      <c r="U161" s="107">
        <v>0</v>
      </c>
      <c r="V161" s="107">
        <v>30</v>
      </c>
      <c r="W161" s="107">
        <v>0</v>
      </c>
      <c r="X161" s="108"/>
      <c r="Y161" s="108"/>
      <c r="Z161" s="109"/>
      <c r="AA161" s="110">
        <v>0</v>
      </c>
      <c r="AB161" s="107">
        <v>2</v>
      </c>
      <c r="AC161" s="106"/>
      <c r="AD161" s="180"/>
      <c r="AE161" s="111">
        <v>0</v>
      </c>
      <c r="AF161" s="121">
        <v>0</v>
      </c>
      <c r="AG161" s="113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 t="str">
        <f>"  " &amp; TEXT(AF161,"#0.00%") &amp; " "</f>
        <v xml:space="preserve">  0.00% </v>
      </c>
      <c r="BH161" s="114"/>
      <c r="BI161" s="114"/>
      <c r="BJ161" s="114"/>
      <c r="BK161" s="114" t="str">
        <f>"    " &amp; "전장조립" &amp; " " &amp; IF(Q161="","",TEXT(Q161,"M/D-")) &amp; IF(R161="","",TEXT(R161,"M/D")) &amp; " "</f>
        <v xml:space="preserve">    전장조립 8/1-8/30 </v>
      </c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  <c r="CA161" s="114"/>
      <c r="CB161" s="114"/>
      <c r="CC161" s="114"/>
      <c r="CD161" s="114"/>
      <c r="CE161" s="114"/>
      <c r="CF161" s="114"/>
      <c r="CG161" s="114"/>
      <c r="CH161" s="114"/>
      <c r="CI161" s="114"/>
      <c r="CJ161" s="114"/>
      <c r="CK161" s="114"/>
      <c r="CL161" s="114"/>
      <c r="CM161" s="114"/>
      <c r="CN161" s="114"/>
      <c r="CO161" s="114"/>
      <c r="CP161" s="114"/>
      <c r="CQ161" s="114"/>
      <c r="CR161" s="114"/>
      <c r="CS161" s="114"/>
      <c r="CT161" s="114"/>
      <c r="CU161" s="114"/>
      <c r="CV161" s="114"/>
      <c r="CW161" s="114"/>
      <c r="CX161" s="114"/>
      <c r="CY161" s="114"/>
      <c r="CZ161" s="114"/>
      <c r="DA161" s="114"/>
      <c r="DB161" s="114"/>
      <c r="DC161" s="114"/>
      <c r="DD161" s="114"/>
      <c r="DE161" s="114"/>
      <c r="DF161" s="114"/>
      <c r="DG161" s="114"/>
      <c r="DH161" s="114"/>
      <c r="DI161" s="114"/>
      <c r="DJ161" s="114"/>
      <c r="DK161" s="114"/>
      <c r="DL161" s="114"/>
      <c r="DM161" s="114"/>
      <c r="DN161" s="114"/>
      <c r="DO161" s="114"/>
      <c r="DP161" s="114"/>
      <c r="DQ161" s="114"/>
    </row>
    <row r="162" spans="1:121" ht="15" customHeight="1" outlineLevel="3" x14ac:dyDescent="0.25">
      <c r="A162" s="101"/>
      <c r="B162" s="101" t="s">
        <v>153</v>
      </c>
      <c r="C162" s="101">
        <v>4</v>
      </c>
      <c r="D162" s="102" t="s">
        <v>618</v>
      </c>
      <c r="E162" s="103"/>
      <c r="F162" s="103"/>
      <c r="G162" s="103"/>
      <c r="H162" s="103" t="s">
        <v>619</v>
      </c>
      <c r="I162" s="103"/>
      <c r="J162" s="103"/>
      <c r="K162" s="103"/>
      <c r="L162" s="103"/>
      <c r="M162" s="103"/>
      <c r="N162" s="103"/>
      <c r="O162" s="103" t="str">
        <f>H162</f>
        <v>1동 1F Folding CV</v>
      </c>
      <c r="P162" s="104"/>
      <c r="Q162" s="108">
        <v>44972</v>
      </c>
      <c r="R162" s="105">
        <v>45219</v>
      </c>
      <c r="S162" s="106"/>
      <c r="T162" s="107">
        <v>930</v>
      </c>
      <c r="U162" s="107">
        <v>274</v>
      </c>
      <c r="V162" s="107">
        <v>248</v>
      </c>
      <c r="W162" s="107">
        <v>98</v>
      </c>
      <c r="X162" s="108"/>
      <c r="Y162" s="108"/>
      <c r="Z162" s="109">
        <v>0</v>
      </c>
      <c r="AA162" s="110">
        <v>0</v>
      </c>
      <c r="AB162" s="107"/>
      <c r="AC162" s="106"/>
      <c r="AD162" s="180"/>
      <c r="AE162" s="111">
        <v>0.29462365591397849</v>
      </c>
      <c r="AF162" s="112">
        <v>0</v>
      </c>
      <c r="AG162" s="113"/>
      <c r="AH162" s="114"/>
      <c r="AI162" s="114" t="str">
        <f>"   " &amp; TEXT(AF162,"#0.00%") &amp; " "</f>
        <v xml:space="preserve">   0.00% </v>
      </c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 t="str">
        <f>"      " &amp; "1동 1F Folding CV" &amp; " " &amp; IF(Q162="","",TEXT(Q162,"M/D-")) &amp; IF(R162="","",TEXT(R162,"M/D")) &amp; " "</f>
        <v xml:space="preserve">      1동 1F Folding CV 2/15-10/20 </v>
      </c>
      <c r="BS162" s="114"/>
      <c r="BT162" s="114"/>
      <c r="BU162" s="114"/>
      <c r="BV162" s="114"/>
      <c r="BW162" s="114"/>
      <c r="BX162" s="114"/>
      <c r="BY162" s="114"/>
      <c r="BZ162" s="114"/>
      <c r="CA162" s="114"/>
      <c r="CB162" s="114"/>
      <c r="CC162" s="114"/>
      <c r="CD162" s="114"/>
      <c r="CE162" s="114"/>
      <c r="CF162" s="114"/>
      <c r="CG162" s="114"/>
      <c r="CH162" s="114"/>
      <c r="CI162" s="114"/>
      <c r="CJ162" s="114"/>
      <c r="CK162" s="114"/>
      <c r="CL162" s="114"/>
      <c r="CM162" s="114"/>
      <c r="CN162" s="114"/>
      <c r="CO162" s="114"/>
      <c r="CP162" s="114"/>
      <c r="CQ162" s="114"/>
      <c r="CR162" s="114"/>
      <c r="CS162" s="114"/>
      <c r="CT162" s="114"/>
      <c r="CU162" s="114"/>
      <c r="CV162" s="114"/>
      <c r="CW162" s="114"/>
      <c r="CX162" s="114"/>
      <c r="CY162" s="114"/>
      <c r="CZ162" s="114"/>
      <c r="DA162" s="114"/>
      <c r="DB162" s="114"/>
      <c r="DC162" s="114"/>
      <c r="DD162" s="114"/>
      <c r="DE162" s="114"/>
      <c r="DF162" s="114"/>
      <c r="DG162" s="114"/>
      <c r="DH162" s="114"/>
      <c r="DI162" s="114"/>
      <c r="DJ162" s="114"/>
      <c r="DK162" s="114"/>
      <c r="DL162" s="114"/>
      <c r="DM162" s="114"/>
      <c r="DN162" s="114"/>
      <c r="DO162" s="114"/>
      <c r="DP162" s="114"/>
      <c r="DQ162" s="114"/>
    </row>
    <row r="163" spans="1:121" ht="15" customHeight="1" outlineLevel="4" x14ac:dyDescent="0.25">
      <c r="A163" s="101"/>
      <c r="B163" s="101"/>
      <c r="C163" s="101">
        <v>5</v>
      </c>
      <c r="D163" s="102" t="s">
        <v>620</v>
      </c>
      <c r="E163" s="103"/>
      <c r="F163" s="103"/>
      <c r="G163" s="103"/>
      <c r="H163" s="103"/>
      <c r="I163" s="103" t="s">
        <v>217</v>
      </c>
      <c r="J163" s="103"/>
      <c r="K163" s="103"/>
      <c r="L163" s="103"/>
      <c r="M163" s="103"/>
      <c r="N163" s="103"/>
      <c r="O163" s="103" t="str">
        <f>O162</f>
        <v>1동 1F Folding CV</v>
      </c>
      <c r="P163" s="104"/>
      <c r="Q163" s="108">
        <v>44972</v>
      </c>
      <c r="R163" s="105">
        <v>45168</v>
      </c>
      <c r="S163" s="106">
        <f>R163-Q163</f>
        <v>196</v>
      </c>
      <c r="T163" s="107">
        <v>394</v>
      </c>
      <c r="U163" s="107">
        <v>196</v>
      </c>
      <c r="V163" s="107">
        <v>197</v>
      </c>
      <c r="W163" s="107">
        <v>98</v>
      </c>
      <c r="X163" s="108"/>
      <c r="Y163" s="108"/>
      <c r="Z163" s="109"/>
      <c r="AA163" s="110">
        <v>0</v>
      </c>
      <c r="AB163" s="107">
        <v>2</v>
      </c>
      <c r="AC163" s="106"/>
      <c r="AD163" s="180"/>
      <c r="AE163" s="111">
        <v>0.49746192893401014</v>
      </c>
      <c r="AF163" s="117">
        <v>0</v>
      </c>
      <c r="AG163" s="113"/>
      <c r="AH163" s="114"/>
      <c r="AI163" s="114" t="str">
        <f>"   " &amp; TEXT(AF163,"#0.00%") &amp; " "</f>
        <v xml:space="preserve">   0.00% </v>
      </c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 t="str">
        <f>"    " &amp; "장납기 구매품 발주 및 입고" &amp; " " &amp; IF(Q163="","",TEXT(Q163,"M/D-")) &amp; IF(R163="","",TEXT(R163,"M/D")) &amp; " "</f>
        <v xml:space="preserve">    장납기 구매품 발주 및 입고 2/15-8/30 </v>
      </c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  <c r="CA163" s="114"/>
      <c r="CB163" s="114"/>
      <c r="CC163" s="114"/>
      <c r="CD163" s="114"/>
      <c r="CE163" s="114"/>
      <c r="CF163" s="114"/>
      <c r="CG163" s="114"/>
      <c r="CH163" s="114"/>
      <c r="CI163" s="114"/>
      <c r="CJ163" s="114"/>
      <c r="CK163" s="114"/>
      <c r="CL163" s="114"/>
      <c r="CM163" s="114"/>
      <c r="CN163" s="114"/>
      <c r="CO163" s="114"/>
      <c r="CP163" s="114"/>
      <c r="CQ163" s="114"/>
      <c r="CR163" s="114"/>
      <c r="CS163" s="114"/>
      <c r="CT163" s="114"/>
      <c r="CU163" s="114"/>
      <c r="CV163" s="114"/>
      <c r="CW163" s="114"/>
      <c r="CX163" s="114"/>
      <c r="CY163" s="114"/>
      <c r="CZ163" s="114"/>
      <c r="DA163" s="114"/>
      <c r="DB163" s="114"/>
      <c r="DC163" s="114"/>
      <c r="DD163" s="114"/>
      <c r="DE163" s="114"/>
      <c r="DF163" s="114"/>
      <c r="DG163" s="114"/>
      <c r="DH163" s="114"/>
      <c r="DI163" s="114"/>
      <c r="DJ163" s="114"/>
      <c r="DK163" s="114"/>
      <c r="DL163" s="114"/>
      <c r="DM163" s="114"/>
      <c r="DN163" s="114"/>
      <c r="DO163" s="114"/>
      <c r="DP163" s="114"/>
      <c r="DQ163" s="114"/>
    </row>
    <row r="164" spans="1:121" ht="15" customHeight="1" outlineLevel="4" x14ac:dyDescent="0.25">
      <c r="A164" s="101"/>
      <c r="B164" s="101"/>
      <c r="C164" s="101">
        <v>5</v>
      </c>
      <c r="D164" s="102" t="s">
        <v>621</v>
      </c>
      <c r="E164" s="103"/>
      <c r="F164" s="103"/>
      <c r="G164" s="103"/>
      <c r="H164" s="103"/>
      <c r="I164" s="103" t="s">
        <v>241</v>
      </c>
      <c r="J164" s="103"/>
      <c r="K164" s="103"/>
      <c r="L164" s="103"/>
      <c r="M164" s="103"/>
      <c r="N164" s="103"/>
      <c r="O164" s="103" t="str">
        <f>O163</f>
        <v>1동 1F Folding CV</v>
      </c>
      <c r="P164" s="104"/>
      <c r="Q164" s="108">
        <v>45031</v>
      </c>
      <c r="R164" s="105">
        <v>45168</v>
      </c>
      <c r="S164" s="106">
        <f>R164-Q164</f>
        <v>137</v>
      </c>
      <c r="T164" s="107">
        <v>276</v>
      </c>
      <c r="U164" s="107">
        <v>78</v>
      </c>
      <c r="V164" s="107">
        <v>138</v>
      </c>
      <c r="W164" s="107">
        <v>39</v>
      </c>
      <c r="X164" s="108"/>
      <c r="Y164" s="108"/>
      <c r="Z164" s="109"/>
      <c r="AA164" s="110">
        <v>0</v>
      </c>
      <c r="AB164" s="107">
        <v>2</v>
      </c>
      <c r="AC164" s="106"/>
      <c r="AD164" s="180"/>
      <c r="AE164" s="111">
        <v>0.28260869565217389</v>
      </c>
      <c r="AF164" s="117">
        <v>0</v>
      </c>
      <c r="AG164" s="113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 t="str">
        <f>"      " &amp; TEXT(AF164,"#0.00%") &amp; " "</f>
        <v xml:space="preserve">      0.00% </v>
      </c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 t="str">
        <f>"    " &amp; "가공품 발주 및 입고" &amp; " " &amp; IF(Q164="","",TEXT(Q164,"M/D-")) &amp; IF(R164="","",TEXT(R164,"M/D")) &amp; " "</f>
        <v xml:space="preserve">    가공품 발주 및 입고 4/15-8/30 </v>
      </c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  <c r="CA164" s="114"/>
      <c r="CB164" s="114"/>
      <c r="CC164" s="114"/>
      <c r="CD164" s="114"/>
      <c r="CE164" s="114"/>
      <c r="CF164" s="114"/>
      <c r="CG164" s="114"/>
      <c r="CH164" s="114"/>
      <c r="CI164" s="114"/>
      <c r="CJ164" s="114"/>
      <c r="CK164" s="114"/>
      <c r="CL164" s="114"/>
      <c r="CM164" s="114"/>
      <c r="CN164" s="114"/>
      <c r="CO164" s="114"/>
      <c r="CP164" s="114"/>
      <c r="CQ164" s="114"/>
      <c r="CR164" s="114"/>
      <c r="CS164" s="114"/>
      <c r="CT164" s="114"/>
      <c r="CU164" s="114"/>
      <c r="CV164" s="114"/>
      <c r="CW164" s="114"/>
      <c r="CX164" s="114"/>
      <c r="CY164" s="114"/>
      <c r="CZ164" s="114"/>
      <c r="DA164" s="114"/>
      <c r="DB164" s="114"/>
      <c r="DC164" s="114"/>
      <c r="DD164" s="114"/>
      <c r="DE164" s="114"/>
      <c r="DF164" s="114"/>
      <c r="DG164" s="114"/>
      <c r="DH164" s="114"/>
      <c r="DI164" s="114"/>
      <c r="DJ164" s="114"/>
      <c r="DK164" s="114"/>
      <c r="DL164" s="114"/>
      <c r="DM164" s="114"/>
      <c r="DN164" s="114"/>
      <c r="DO164" s="114"/>
      <c r="DP164" s="114"/>
      <c r="DQ164" s="114"/>
    </row>
    <row r="165" spans="1:121" ht="15" customHeight="1" outlineLevel="4" x14ac:dyDescent="0.25">
      <c r="A165" s="101"/>
      <c r="B165" s="101"/>
      <c r="C165" s="101">
        <v>5</v>
      </c>
      <c r="D165" s="102" t="s">
        <v>622</v>
      </c>
      <c r="E165" s="103"/>
      <c r="F165" s="103"/>
      <c r="G165" s="103"/>
      <c r="H165" s="103"/>
      <c r="I165" s="103" t="s">
        <v>220</v>
      </c>
      <c r="J165" s="103"/>
      <c r="K165" s="103"/>
      <c r="L165" s="103"/>
      <c r="M165" s="103"/>
      <c r="N165" s="103"/>
      <c r="O165" s="103" t="str">
        <f>O164</f>
        <v>1동 1F Folding CV</v>
      </c>
      <c r="P165" s="104"/>
      <c r="Q165" s="108">
        <v>45153</v>
      </c>
      <c r="R165" s="105">
        <v>45199</v>
      </c>
      <c r="S165" s="106">
        <f>R165-Q165</f>
        <v>46</v>
      </c>
      <c r="T165" s="107">
        <v>188</v>
      </c>
      <c r="U165" s="107">
        <v>0</v>
      </c>
      <c r="V165" s="107">
        <v>47</v>
      </c>
      <c r="W165" s="107">
        <v>0</v>
      </c>
      <c r="X165" s="108"/>
      <c r="Y165" s="108"/>
      <c r="Z165" s="109"/>
      <c r="AA165" s="110">
        <v>0</v>
      </c>
      <c r="AB165" s="107">
        <v>4</v>
      </c>
      <c r="AC165" s="106"/>
      <c r="AD165" s="180"/>
      <c r="AE165" s="111">
        <v>0</v>
      </c>
      <c r="AF165" s="121">
        <v>0</v>
      </c>
      <c r="AG165" s="113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 t="str">
        <f>"  " &amp; TEXT(AF165,"#0.00%") &amp; " "</f>
        <v xml:space="preserve">  0.00% </v>
      </c>
      <c r="BJ165" s="114"/>
      <c r="BK165" s="114"/>
      <c r="BL165" s="114"/>
      <c r="BM165" s="114"/>
      <c r="BN165" s="114"/>
      <c r="BO165" s="114"/>
      <c r="BP165" s="114" t="str">
        <f>"" &amp; "기구조립" &amp; " " &amp; IF(Q165="","",TEXT(Q165,"M/D-")) &amp; IF(R165="","",TEXT(R165,"M/D")) &amp; " "</f>
        <v xml:space="preserve">기구조립 8/15-9/30 </v>
      </c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  <c r="CA165" s="114"/>
      <c r="CB165" s="114"/>
      <c r="CC165" s="114"/>
      <c r="CD165" s="114"/>
      <c r="CE165" s="114"/>
      <c r="CF165" s="114"/>
      <c r="CG165" s="114"/>
      <c r="CH165" s="114"/>
      <c r="CI165" s="114"/>
      <c r="CJ165" s="114"/>
      <c r="CK165" s="114"/>
      <c r="CL165" s="114"/>
      <c r="CM165" s="114"/>
      <c r="CN165" s="114"/>
      <c r="CO165" s="114"/>
      <c r="CP165" s="114"/>
      <c r="CQ165" s="114"/>
      <c r="CR165" s="114"/>
      <c r="CS165" s="114"/>
      <c r="CT165" s="114"/>
      <c r="CU165" s="114"/>
      <c r="CV165" s="114"/>
      <c r="CW165" s="114"/>
      <c r="CX165" s="114"/>
      <c r="CY165" s="114"/>
      <c r="CZ165" s="114"/>
      <c r="DA165" s="114"/>
      <c r="DB165" s="114"/>
      <c r="DC165" s="114"/>
      <c r="DD165" s="114"/>
      <c r="DE165" s="114"/>
      <c r="DF165" s="114"/>
      <c r="DG165" s="114"/>
      <c r="DH165" s="114"/>
      <c r="DI165" s="114"/>
      <c r="DJ165" s="114"/>
      <c r="DK165" s="114"/>
      <c r="DL165" s="114"/>
      <c r="DM165" s="114"/>
      <c r="DN165" s="114"/>
      <c r="DO165" s="114"/>
      <c r="DP165" s="114"/>
      <c r="DQ165" s="114"/>
    </row>
    <row r="166" spans="1:121" ht="15" customHeight="1" outlineLevel="4" x14ac:dyDescent="0.25">
      <c r="A166" s="101"/>
      <c r="B166" s="101"/>
      <c r="C166" s="101">
        <v>5</v>
      </c>
      <c r="D166" s="102" t="s">
        <v>623</v>
      </c>
      <c r="E166" s="103"/>
      <c r="F166" s="103"/>
      <c r="G166" s="103"/>
      <c r="H166" s="103"/>
      <c r="I166" s="103" t="s">
        <v>221</v>
      </c>
      <c r="J166" s="103"/>
      <c r="K166" s="103"/>
      <c r="L166" s="103"/>
      <c r="M166" s="103"/>
      <c r="N166" s="103"/>
      <c r="O166" s="103" t="str">
        <f>O165</f>
        <v>1동 1F Folding CV</v>
      </c>
      <c r="P166" s="104"/>
      <c r="Q166" s="108">
        <v>45184</v>
      </c>
      <c r="R166" s="105">
        <v>45219</v>
      </c>
      <c r="S166" s="106">
        <f>R166-Q166</f>
        <v>35</v>
      </c>
      <c r="T166" s="107">
        <v>72</v>
      </c>
      <c r="U166" s="107">
        <v>0</v>
      </c>
      <c r="V166" s="107">
        <v>36</v>
      </c>
      <c r="W166" s="107">
        <v>0</v>
      </c>
      <c r="X166" s="108"/>
      <c r="Y166" s="108"/>
      <c r="Z166" s="109"/>
      <c r="AA166" s="110">
        <v>0</v>
      </c>
      <c r="AB166" s="107">
        <v>2</v>
      </c>
      <c r="AC166" s="106"/>
      <c r="AD166" s="180"/>
      <c r="AE166" s="111">
        <v>0</v>
      </c>
      <c r="AF166" s="121">
        <v>0</v>
      </c>
      <c r="AG166" s="113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 t="str">
        <f>"     " &amp; TEXT(AF166,"#0.00%") &amp; " "</f>
        <v xml:space="preserve">     0.00% </v>
      </c>
      <c r="BN166" s="114"/>
      <c r="BO166" s="114"/>
      <c r="BP166" s="114"/>
      <c r="BQ166" s="114"/>
      <c r="BR166" s="114" t="str">
        <f>"      " &amp; "전장조립" &amp; " " &amp; IF(Q166="","",TEXT(Q166,"M/D-")) &amp; IF(R166="","",TEXT(R166,"M/D")) &amp; " "</f>
        <v xml:space="preserve">      전장조립 9/15-10/20 </v>
      </c>
      <c r="BS166" s="114"/>
      <c r="BT166" s="114"/>
      <c r="BU166" s="114"/>
      <c r="BV166" s="114"/>
      <c r="BW166" s="114"/>
      <c r="BX166" s="114"/>
      <c r="BY166" s="114"/>
      <c r="BZ166" s="114"/>
      <c r="CA166" s="114"/>
      <c r="CB166" s="114"/>
      <c r="CC166" s="114"/>
      <c r="CD166" s="114"/>
      <c r="CE166" s="114"/>
      <c r="CF166" s="114"/>
      <c r="CG166" s="114"/>
      <c r="CH166" s="114"/>
      <c r="CI166" s="114"/>
      <c r="CJ166" s="114"/>
      <c r="CK166" s="114"/>
      <c r="CL166" s="114"/>
      <c r="CM166" s="114"/>
      <c r="CN166" s="114"/>
      <c r="CO166" s="114"/>
      <c r="CP166" s="114"/>
      <c r="CQ166" s="114"/>
      <c r="CR166" s="114"/>
      <c r="CS166" s="114"/>
      <c r="CT166" s="114"/>
      <c r="CU166" s="114"/>
      <c r="CV166" s="114"/>
      <c r="CW166" s="114"/>
      <c r="CX166" s="114"/>
      <c r="CY166" s="114"/>
      <c r="CZ166" s="114"/>
      <c r="DA166" s="114"/>
      <c r="DB166" s="114"/>
      <c r="DC166" s="114"/>
      <c r="DD166" s="114"/>
      <c r="DE166" s="114"/>
      <c r="DF166" s="114"/>
      <c r="DG166" s="114"/>
      <c r="DH166" s="114"/>
      <c r="DI166" s="114"/>
      <c r="DJ166" s="114"/>
      <c r="DK166" s="114"/>
      <c r="DL166" s="114"/>
      <c r="DM166" s="114"/>
      <c r="DN166" s="114"/>
      <c r="DO166" s="114"/>
      <c r="DP166" s="114"/>
      <c r="DQ166" s="114"/>
    </row>
    <row r="167" spans="1:121" ht="15" customHeight="1" outlineLevel="3" x14ac:dyDescent="0.25">
      <c r="A167" s="101"/>
      <c r="B167" s="101" t="s">
        <v>153</v>
      </c>
      <c r="C167" s="101">
        <v>4</v>
      </c>
      <c r="D167" s="123" t="s">
        <v>624</v>
      </c>
      <c r="E167" s="124"/>
      <c r="F167" s="124"/>
      <c r="G167" s="124"/>
      <c r="H167" s="124" t="s">
        <v>625</v>
      </c>
      <c r="I167" s="124"/>
      <c r="J167" s="124"/>
      <c r="K167" s="124"/>
      <c r="L167" s="124"/>
      <c r="M167" s="124"/>
      <c r="N167" s="124"/>
      <c r="O167" s="103" t="str">
        <f>H167</f>
        <v>1동 2F Degasssing전 CV</v>
      </c>
      <c r="P167" s="140"/>
      <c r="Q167" s="125">
        <v>44972</v>
      </c>
      <c r="R167" s="183">
        <v>45199</v>
      </c>
      <c r="S167" s="126"/>
      <c r="T167" s="127">
        <v>920</v>
      </c>
      <c r="U167" s="127">
        <v>274</v>
      </c>
      <c r="V167" s="127">
        <v>228</v>
      </c>
      <c r="W167" s="127">
        <v>98</v>
      </c>
      <c r="X167" s="125"/>
      <c r="Y167" s="125"/>
      <c r="Z167" s="128">
        <v>0</v>
      </c>
      <c r="AA167" s="129">
        <v>0</v>
      </c>
      <c r="AB167" s="127"/>
      <c r="AC167" s="126"/>
      <c r="AD167" s="181"/>
      <c r="AE167" s="130">
        <v>0.29782608695652174</v>
      </c>
      <c r="AF167" s="112">
        <v>0</v>
      </c>
      <c r="AG167" s="113"/>
      <c r="AH167" s="114"/>
      <c r="AI167" s="114" t="str">
        <f>"   " &amp; TEXT(AF167,"#0.00%") &amp; " "</f>
        <v xml:space="preserve">   0.00% </v>
      </c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 t="str">
        <f>"" &amp; "1동 2F Degasssing전 CV" &amp; " " &amp; IF(Q167="","",TEXT(Q167,"M/D-")) &amp; IF(R167="","",TEXT(R167,"M/D")) &amp; " "</f>
        <v xml:space="preserve">1동 2F Degasssing전 CV 2/15-9/30 </v>
      </c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  <c r="CA167" s="114"/>
      <c r="CB167" s="114"/>
      <c r="CC167" s="114"/>
      <c r="CD167" s="114"/>
      <c r="CE167" s="114"/>
      <c r="CF167" s="114"/>
      <c r="CG167" s="114"/>
      <c r="CH167" s="114"/>
      <c r="CI167" s="114"/>
      <c r="CJ167" s="114"/>
      <c r="CK167" s="114"/>
      <c r="CL167" s="114"/>
      <c r="CM167" s="114"/>
      <c r="CN167" s="114"/>
      <c r="CO167" s="114"/>
      <c r="CP167" s="114"/>
      <c r="CQ167" s="114"/>
      <c r="CR167" s="114"/>
      <c r="CS167" s="114"/>
      <c r="CT167" s="114"/>
      <c r="CU167" s="114"/>
      <c r="CV167" s="114"/>
      <c r="CW167" s="114"/>
      <c r="CX167" s="114"/>
      <c r="CY167" s="114"/>
      <c r="CZ167" s="114"/>
      <c r="DA167" s="114"/>
      <c r="DB167" s="114"/>
      <c r="DC167" s="114"/>
      <c r="DD167" s="114"/>
      <c r="DE167" s="114"/>
      <c r="DF167" s="114"/>
      <c r="DG167" s="114"/>
      <c r="DH167" s="114"/>
      <c r="DI167" s="114"/>
      <c r="DJ167" s="114"/>
      <c r="DK167" s="114"/>
      <c r="DL167" s="114"/>
      <c r="DM167" s="114"/>
      <c r="DN167" s="114"/>
      <c r="DO167" s="114"/>
      <c r="DP167" s="114"/>
      <c r="DQ167" s="114"/>
    </row>
    <row r="168" spans="1:121" ht="15" customHeight="1" outlineLevel="4" x14ac:dyDescent="0.25">
      <c r="A168" s="101"/>
      <c r="B168" s="101"/>
      <c r="C168" s="101">
        <v>5</v>
      </c>
      <c r="D168" s="102" t="s">
        <v>626</v>
      </c>
      <c r="E168" s="103"/>
      <c r="F168" s="103"/>
      <c r="G168" s="103"/>
      <c r="H168" s="103"/>
      <c r="I168" s="103" t="s">
        <v>217</v>
      </c>
      <c r="J168" s="103"/>
      <c r="K168" s="103"/>
      <c r="L168" s="103"/>
      <c r="M168" s="103"/>
      <c r="N168" s="103"/>
      <c r="O168" s="103" t="str">
        <f>O167</f>
        <v>1동 2F Degasssing전 CV</v>
      </c>
      <c r="P168" s="104"/>
      <c r="Q168" s="108">
        <v>44972</v>
      </c>
      <c r="R168" s="105">
        <v>45168</v>
      </c>
      <c r="S168" s="106">
        <f>R168-Q168</f>
        <v>196</v>
      </c>
      <c r="T168" s="107">
        <v>394</v>
      </c>
      <c r="U168" s="107">
        <v>196</v>
      </c>
      <c r="V168" s="107">
        <v>197</v>
      </c>
      <c r="W168" s="107">
        <v>98</v>
      </c>
      <c r="X168" s="108"/>
      <c r="Y168" s="108"/>
      <c r="Z168" s="109"/>
      <c r="AA168" s="110">
        <v>0</v>
      </c>
      <c r="AB168" s="107">
        <v>2</v>
      </c>
      <c r="AC168" s="106"/>
      <c r="AD168" s="180"/>
      <c r="AE168" s="111">
        <v>0.49746192893401014</v>
      </c>
      <c r="AF168" s="117">
        <v>0</v>
      </c>
      <c r="AG168" s="113"/>
      <c r="AH168" s="114"/>
      <c r="AI168" s="114" t="str">
        <f>"   " &amp; TEXT(AF168,"#0.00%") &amp; " "</f>
        <v xml:space="preserve">   0.00% </v>
      </c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 t="str">
        <f>"    " &amp; "장납기 구매품 발주 및 입고" &amp; " " &amp; IF(Q168="","",TEXT(Q168,"M/D-")) &amp; IF(R168="","",TEXT(R168,"M/D")) &amp; " "</f>
        <v xml:space="preserve">    장납기 구매품 발주 및 입고 2/15-8/30 </v>
      </c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  <c r="CA168" s="114"/>
      <c r="CB168" s="114"/>
      <c r="CC168" s="114"/>
      <c r="CD168" s="114"/>
      <c r="CE168" s="114"/>
      <c r="CF168" s="114"/>
      <c r="CG168" s="114"/>
      <c r="CH168" s="114"/>
      <c r="CI168" s="114"/>
      <c r="CJ168" s="114"/>
      <c r="CK168" s="114"/>
      <c r="CL168" s="114"/>
      <c r="CM168" s="114"/>
      <c r="CN168" s="114"/>
      <c r="CO168" s="114"/>
      <c r="CP168" s="114"/>
      <c r="CQ168" s="114"/>
      <c r="CR168" s="114"/>
      <c r="CS168" s="114"/>
      <c r="CT168" s="114"/>
      <c r="CU168" s="114"/>
      <c r="CV168" s="114"/>
      <c r="CW168" s="114"/>
      <c r="CX168" s="114"/>
      <c r="CY168" s="114"/>
      <c r="CZ168" s="114"/>
      <c r="DA168" s="114"/>
      <c r="DB168" s="114"/>
      <c r="DC168" s="114"/>
      <c r="DD168" s="114"/>
      <c r="DE168" s="114"/>
      <c r="DF168" s="114"/>
      <c r="DG168" s="114"/>
      <c r="DH168" s="114"/>
      <c r="DI168" s="114"/>
      <c r="DJ168" s="114"/>
      <c r="DK168" s="114"/>
      <c r="DL168" s="114"/>
      <c r="DM168" s="114"/>
      <c r="DN168" s="114"/>
      <c r="DO168" s="114"/>
      <c r="DP168" s="114"/>
      <c r="DQ168" s="114"/>
    </row>
    <row r="169" spans="1:121" ht="15" customHeight="1" outlineLevel="4" x14ac:dyDescent="0.25">
      <c r="A169" s="101"/>
      <c r="B169" s="101"/>
      <c r="C169" s="101">
        <v>5</v>
      </c>
      <c r="D169" s="102" t="s">
        <v>627</v>
      </c>
      <c r="E169" s="103"/>
      <c r="F169" s="103"/>
      <c r="G169" s="103"/>
      <c r="H169" s="103"/>
      <c r="I169" s="103" t="s">
        <v>241</v>
      </c>
      <c r="J169" s="103"/>
      <c r="K169" s="103"/>
      <c r="L169" s="103"/>
      <c r="M169" s="103"/>
      <c r="N169" s="103"/>
      <c r="O169" s="103" t="str">
        <f>O168</f>
        <v>1동 2F Degasssing전 CV</v>
      </c>
      <c r="P169" s="104"/>
      <c r="Q169" s="108">
        <v>45031</v>
      </c>
      <c r="R169" s="105">
        <v>45137</v>
      </c>
      <c r="S169" s="106">
        <f>R169-Q169</f>
        <v>106</v>
      </c>
      <c r="T169" s="107">
        <v>214</v>
      </c>
      <c r="U169" s="107">
        <v>78</v>
      </c>
      <c r="V169" s="107">
        <v>107</v>
      </c>
      <c r="W169" s="107">
        <v>39</v>
      </c>
      <c r="X169" s="108"/>
      <c r="Y169" s="108"/>
      <c r="Z169" s="109"/>
      <c r="AA169" s="110">
        <v>0</v>
      </c>
      <c r="AB169" s="107">
        <v>2</v>
      </c>
      <c r="AC169" s="106"/>
      <c r="AD169" s="180"/>
      <c r="AE169" s="111">
        <v>0.3644859813084112</v>
      </c>
      <c r="AF169" s="117">
        <v>0</v>
      </c>
      <c r="AG169" s="113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 t="str">
        <f>"      " &amp; TEXT(AF169,"#0.00%") &amp; " "</f>
        <v xml:space="preserve">      0.00% </v>
      </c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 t="str">
        <f>" " &amp; "가공품 발주 및 입고" &amp; " " &amp; IF(Q169="","",TEXT(Q169,"M/D-")) &amp; IF(R169="","",TEXT(R169,"M/D")) &amp; " "</f>
        <v xml:space="preserve"> 가공품 발주 및 입고 4/15-7/30 </v>
      </c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  <c r="CA169" s="114"/>
      <c r="CB169" s="114"/>
      <c r="CC169" s="114"/>
      <c r="CD169" s="114"/>
      <c r="CE169" s="114"/>
      <c r="CF169" s="114"/>
      <c r="CG169" s="114"/>
      <c r="CH169" s="114"/>
      <c r="CI169" s="114"/>
      <c r="CJ169" s="114"/>
      <c r="CK169" s="114"/>
      <c r="CL169" s="114"/>
      <c r="CM169" s="114"/>
      <c r="CN169" s="114"/>
      <c r="CO169" s="114"/>
      <c r="CP169" s="114"/>
      <c r="CQ169" s="114"/>
      <c r="CR169" s="114"/>
      <c r="CS169" s="114"/>
      <c r="CT169" s="114"/>
      <c r="CU169" s="114"/>
      <c r="CV169" s="114"/>
      <c r="CW169" s="114"/>
      <c r="CX169" s="114"/>
      <c r="CY169" s="114"/>
      <c r="CZ169" s="114"/>
      <c r="DA169" s="114"/>
      <c r="DB169" s="114"/>
      <c r="DC169" s="114"/>
      <c r="DD169" s="114"/>
      <c r="DE169" s="114"/>
      <c r="DF169" s="114"/>
      <c r="DG169" s="114"/>
      <c r="DH169" s="114"/>
      <c r="DI169" s="114"/>
      <c r="DJ169" s="114"/>
      <c r="DK169" s="114"/>
      <c r="DL169" s="114"/>
      <c r="DM169" s="114"/>
      <c r="DN169" s="114"/>
      <c r="DO169" s="114"/>
      <c r="DP169" s="114"/>
      <c r="DQ169" s="114"/>
    </row>
    <row r="170" spans="1:121" ht="15" customHeight="1" outlineLevel="4" x14ac:dyDescent="0.25">
      <c r="A170" s="101"/>
      <c r="B170" s="101"/>
      <c r="C170" s="101">
        <v>5</v>
      </c>
      <c r="D170" s="102" t="s">
        <v>628</v>
      </c>
      <c r="E170" s="103"/>
      <c r="F170" s="103"/>
      <c r="G170" s="103"/>
      <c r="H170" s="103"/>
      <c r="I170" s="103" t="s">
        <v>220</v>
      </c>
      <c r="J170" s="103"/>
      <c r="K170" s="103"/>
      <c r="L170" s="103"/>
      <c r="M170" s="103"/>
      <c r="N170" s="103"/>
      <c r="O170" s="103" t="str">
        <f>O169</f>
        <v>1동 2F Degasssing전 CV</v>
      </c>
      <c r="P170" s="104"/>
      <c r="Q170" s="108">
        <v>45122</v>
      </c>
      <c r="R170" s="105">
        <v>45184</v>
      </c>
      <c r="S170" s="106">
        <f>R170-Q170</f>
        <v>62</v>
      </c>
      <c r="T170" s="107">
        <v>252</v>
      </c>
      <c r="U170" s="107">
        <v>0</v>
      </c>
      <c r="V170" s="107">
        <v>63</v>
      </c>
      <c r="W170" s="107">
        <v>0</v>
      </c>
      <c r="X170" s="108"/>
      <c r="Y170" s="108"/>
      <c r="Z170" s="109"/>
      <c r="AA170" s="110">
        <v>0</v>
      </c>
      <c r="AB170" s="107">
        <v>4</v>
      </c>
      <c r="AC170" s="106"/>
      <c r="AD170" s="180"/>
      <c r="AE170" s="111">
        <v>0</v>
      </c>
      <c r="AF170" s="121">
        <v>0</v>
      </c>
      <c r="AG170" s="113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 t="str">
        <f>"      " &amp; TEXT(AF170,"#0.00%") &amp; " "</f>
        <v xml:space="preserve">      0.00% </v>
      </c>
      <c r="BE170" s="114"/>
      <c r="BF170" s="114"/>
      <c r="BG170" s="114"/>
      <c r="BH170" s="114"/>
      <c r="BI170" s="114"/>
      <c r="BJ170" s="114"/>
      <c r="BK170" s="114"/>
      <c r="BL170" s="114"/>
      <c r="BM170" s="114" t="str">
        <f>"      " &amp; "기구조립" &amp; " " &amp; IF(Q170="","",TEXT(Q170,"M/D-")) &amp; IF(R170="","",TEXT(R170,"M/D")) &amp; " "</f>
        <v xml:space="preserve">      기구조립 7/15-9/15 </v>
      </c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4"/>
      <c r="BZ170" s="114"/>
      <c r="CA170" s="114"/>
      <c r="CB170" s="114"/>
      <c r="CC170" s="114"/>
      <c r="CD170" s="114"/>
      <c r="CE170" s="114"/>
      <c r="CF170" s="114"/>
      <c r="CG170" s="114"/>
      <c r="CH170" s="114"/>
      <c r="CI170" s="114"/>
      <c r="CJ170" s="114"/>
      <c r="CK170" s="114"/>
      <c r="CL170" s="114"/>
      <c r="CM170" s="114"/>
      <c r="CN170" s="114"/>
      <c r="CO170" s="114"/>
      <c r="CP170" s="114"/>
      <c r="CQ170" s="114"/>
      <c r="CR170" s="114"/>
      <c r="CS170" s="114"/>
      <c r="CT170" s="114"/>
      <c r="CU170" s="114"/>
      <c r="CV170" s="114"/>
      <c r="CW170" s="114"/>
      <c r="CX170" s="114"/>
      <c r="CY170" s="114"/>
      <c r="CZ170" s="114"/>
      <c r="DA170" s="114"/>
      <c r="DB170" s="114"/>
      <c r="DC170" s="114"/>
      <c r="DD170" s="114"/>
      <c r="DE170" s="114"/>
      <c r="DF170" s="114"/>
      <c r="DG170" s="114"/>
      <c r="DH170" s="114"/>
      <c r="DI170" s="114"/>
      <c r="DJ170" s="114"/>
      <c r="DK170" s="114"/>
      <c r="DL170" s="114"/>
      <c r="DM170" s="114"/>
      <c r="DN170" s="114"/>
      <c r="DO170" s="114"/>
      <c r="DP170" s="114"/>
      <c r="DQ170" s="114"/>
    </row>
    <row r="171" spans="1:121" ht="15" customHeight="1" outlineLevel="4" x14ac:dyDescent="0.25">
      <c r="A171" s="101"/>
      <c r="B171" s="101"/>
      <c r="C171" s="101">
        <v>5</v>
      </c>
      <c r="D171" s="102" t="s">
        <v>629</v>
      </c>
      <c r="E171" s="103"/>
      <c r="F171" s="103"/>
      <c r="G171" s="103"/>
      <c r="H171" s="103"/>
      <c r="I171" s="103" t="s">
        <v>221</v>
      </c>
      <c r="J171" s="103"/>
      <c r="K171" s="103"/>
      <c r="L171" s="103"/>
      <c r="M171" s="103"/>
      <c r="N171" s="103"/>
      <c r="O171" s="103" t="str">
        <f>O170</f>
        <v>1동 2F Degasssing전 CV</v>
      </c>
      <c r="P171" s="104"/>
      <c r="Q171" s="108">
        <v>45170</v>
      </c>
      <c r="R171" s="105">
        <v>45199</v>
      </c>
      <c r="S171" s="106">
        <f>R171-Q171</f>
        <v>29</v>
      </c>
      <c r="T171" s="107">
        <v>60</v>
      </c>
      <c r="U171" s="107">
        <v>0</v>
      </c>
      <c r="V171" s="107">
        <v>30</v>
      </c>
      <c r="W171" s="107">
        <v>0</v>
      </c>
      <c r="X171" s="108"/>
      <c r="Y171" s="108"/>
      <c r="Z171" s="109"/>
      <c r="AA171" s="110">
        <v>0</v>
      </c>
      <c r="AB171" s="107">
        <v>2</v>
      </c>
      <c r="AC171" s="106"/>
      <c r="AD171" s="180"/>
      <c r="AE171" s="111">
        <v>0</v>
      </c>
      <c r="AF171" s="121">
        <v>0</v>
      </c>
      <c r="AG171" s="113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 t="str">
        <f>"     " &amp; TEXT(AF171,"#0.00%") &amp; " "</f>
        <v xml:space="preserve">     0.00% </v>
      </c>
      <c r="BL171" s="114"/>
      <c r="BM171" s="114"/>
      <c r="BN171" s="114"/>
      <c r="BO171" s="114"/>
      <c r="BP171" s="114" t="str">
        <f>"" &amp; "전장조립" &amp; " " &amp; IF(Q171="","",TEXT(Q171,"M/D-")) &amp; IF(R171="","",TEXT(R171,"M/D")) &amp; " "</f>
        <v xml:space="preserve">전장조립 9/1-9/30 </v>
      </c>
      <c r="BQ171" s="114"/>
      <c r="BR171" s="114"/>
      <c r="BS171" s="114"/>
      <c r="BT171" s="114"/>
      <c r="BU171" s="114"/>
      <c r="BV171" s="114"/>
      <c r="BW171" s="114"/>
      <c r="BX171" s="114"/>
      <c r="BY171" s="114"/>
      <c r="BZ171" s="114"/>
      <c r="CA171" s="114"/>
      <c r="CB171" s="114"/>
      <c r="CC171" s="114"/>
      <c r="CD171" s="114"/>
      <c r="CE171" s="114"/>
      <c r="CF171" s="114"/>
      <c r="CG171" s="114"/>
      <c r="CH171" s="114"/>
      <c r="CI171" s="114"/>
      <c r="CJ171" s="114"/>
      <c r="CK171" s="114"/>
      <c r="CL171" s="114"/>
      <c r="CM171" s="114"/>
      <c r="CN171" s="114"/>
      <c r="CO171" s="114"/>
      <c r="CP171" s="114"/>
      <c r="CQ171" s="114"/>
      <c r="CR171" s="114"/>
      <c r="CS171" s="114"/>
      <c r="CT171" s="114"/>
      <c r="CU171" s="114"/>
      <c r="CV171" s="114"/>
      <c r="CW171" s="114"/>
      <c r="CX171" s="114"/>
      <c r="CY171" s="114"/>
      <c r="CZ171" s="114"/>
      <c r="DA171" s="114"/>
      <c r="DB171" s="114"/>
      <c r="DC171" s="114"/>
      <c r="DD171" s="114"/>
      <c r="DE171" s="114"/>
      <c r="DF171" s="114"/>
      <c r="DG171" s="114"/>
      <c r="DH171" s="114"/>
      <c r="DI171" s="114"/>
      <c r="DJ171" s="114"/>
      <c r="DK171" s="114"/>
      <c r="DL171" s="114"/>
      <c r="DM171" s="114"/>
      <c r="DN171" s="114"/>
      <c r="DO171" s="114"/>
      <c r="DP171" s="114"/>
      <c r="DQ171" s="114"/>
    </row>
    <row r="172" spans="1:121" ht="15" customHeight="1" outlineLevel="3" x14ac:dyDescent="0.25">
      <c r="A172" s="101"/>
      <c r="B172" s="101" t="s">
        <v>153</v>
      </c>
      <c r="C172" s="101">
        <v>4</v>
      </c>
      <c r="D172" s="123" t="s">
        <v>630</v>
      </c>
      <c r="E172" s="124"/>
      <c r="F172" s="124"/>
      <c r="G172" s="124"/>
      <c r="H172" s="124" t="s">
        <v>631</v>
      </c>
      <c r="I172" s="124"/>
      <c r="J172" s="124"/>
      <c r="K172" s="124"/>
      <c r="L172" s="124"/>
      <c r="M172" s="124"/>
      <c r="N172" s="124"/>
      <c r="O172" s="103" t="str">
        <f>H172</f>
        <v>1동 2F Degasssing후 CV</v>
      </c>
      <c r="P172" s="140"/>
      <c r="Q172" s="125">
        <v>44972</v>
      </c>
      <c r="R172" s="183">
        <v>45219</v>
      </c>
      <c r="S172" s="126"/>
      <c r="T172" s="127">
        <v>880</v>
      </c>
      <c r="U172" s="127">
        <v>274</v>
      </c>
      <c r="V172" s="127">
        <v>248</v>
      </c>
      <c r="W172" s="127">
        <v>98</v>
      </c>
      <c r="X172" s="125"/>
      <c r="Y172" s="125"/>
      <c r="Z172" s="128">
        <v>0</v>
      </c>
      <c r="AA172" s="129">
        <v>0</v>
      </c>
      <c r="AB172" s="127"/>
      <c r="AC172" s="126"/>
      <c r="AD172" s="181"/>
      <c r="AE172" s="130">
        <v>0.31136363636363634</v>
      </c>
      <c r="AF172" s="112">
        <v>0</v>
      </c>
      <c r="AG172" s="113"/>
      <c r="AH172" s="114"/>
      <c r="AI172" s="114" t="str">
        <f>"   " &amp; TEXT(AF172,"#0.00%") &amp; " "</f>
        <v xml:space="preserve">   0.00% </v>
      </c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 t="str">
        <f>"      " &amp; "1동 2F Degasssing후 CV" &amp; " " &amp; IF(Q172="","",TEXT(Q172,"M/D-")) &amp; IF(R172="","",TEXT(R172,"M/D")) &amp; " "</f>
        <v xml:space="preserve">      1동 2F Degasssing후 CV 2/15-10/20 </v>
      </c>
      <c r="BS172" s="114"/>
      <c r="BT172" s="114"/>
      <c r="BU172" s="114"/>
      <c r="BV172" s="114"/>
      <c r="BW172" s="114"/>
      <c r="BX172" s="114"/>
      <c r="BY172" s="114"/>
      <c r="BZ172" s="114"/>
      <c r="CA172" s="114"/>
      <c r="CB172" s="114"/>
      <c r="CC172" s="114"/>
      <c r="CD172" s="114"/>
      <c r="CE172" s="114"/>
      <c r="CF172" s="114"/>
      <c r="CG172" s="114"/>
      <c r="CH172" s="114"/>
      <c r="CI172" s="114"/>
      <c r="CJ172" s="114"/>
      <c r="CK172" s="114"/>
      <c r="CL172" s="114"/>
      <c r="CM172" s="114"/>
      <c r="CN172" s="114"/>
      <c r="CO172" s="114"/>
      <c r="CP172" s="114"/>
      <c r="CQ172" s="114"/>
      <c r="CR172" s="114"/>
      <c r="CS172" s="114"/>
      <c r="CT172" s="114"/>
      <c r="CU172" s="114"/>
      <c r="CV172" s="114"/>
      <c r="CW172" s="114"/>
      <c r="CX172" s="114"/>
      <c r="CY172" s="114"/>
      <c r="CZ172" s="114"/>
      <c r="DA172" s="114"/>
      <c r="DB172" s="114"/>
      <c r="DC172" s="114"/>
      <c r="DD172" s="114"/>
      <c r="DE172" s="114"/>
      <c r="DF172" s="114"/>
      <c r="DG172" s="114"/>
      <c r="DH172" s="114"/>
      <c r="DI172" s="114"/>
      <c r="DJ172" s="114"/>
      <c r="DK172" s="114"/>
      <c r="DL172" s="114"/>
      <c r="DM172" s="114"/>
      <c r="DN172" s="114"/>
      <c r="DO172" s="114"/>
      <c r="DP172" s="114"/>
      <c r="DQ172" s="114"/>
    </row>
    <row r="173" spans="1:121" ht="15" customHeight="1" outlineLevel="4" x14ac:dyDescent="0.25">
      <c r="A173" s="101"/>
      <c r="B173" s="101"/>
      <c r="C173" s="101">
        <v>5</v>
      </c>
      <c r="D173" s="102" t="s">
        <v>632</v>
      </c>
      <c r="E173" s="103"/>
      <c r="F173" s="103"/>
      <c r="G173" s="103"/>
      <c r="H173" s="103"/>
      <c r="I173" s="103" t="s">
        <v>217</v>
      </c>
      <c r="J173" s="103"/>
      <c r="K173" s="103"/>
      <c r="L173" s="103"/>
      <c r="M173" s="103"/>
      <c r="N173" s="103"/>
      <c r="O173" s="103" t="str">
        <f>O172</f>
        <v>1동 2F Degasssing후 CV</v>
      </c>
      <c r="P173" s="104"/>
      <c r="Q173" s="108">
        <v>44972</v>
      </c>
      <c r="R173" s="105">
        <v>45168</v>
      </c>
      <c r="S173" s="106">
        <f>R173-Q173</f>
        <v>196</v>
      </c>
      <c r="T173" s="107">
        <v>394</v>
      </c>
      <c r="U173" s="107">
        <v>196</v>
      </c>
      <c r="V173" s="107">
        <v>197</v>
      </c>
      <c r="W173" s="107">
        <v>98</v>
      </c>
      <c r="X173" s="108"/>
      <c r="Y173" s="108"/>
      <c r="Z173" s="109"/>
      <c r="AA173" s="110">
        <v>0</v>
      </c>
      <c r="AB173" s="107">
        <v>2</v>
      </c>
      <c r="AC173" s="106"/>
      <c r="AD173" s="180"/>
      <c r="AE173" s="111">
        <v>0.49746192893401014</v>
      </c>
      <c r="AF173" s="117">
        <v>0</v>
      </c>
      <c r="AG173" s="113"/>
      <c r="AH173" s="114"/>
      <c r="AI173" s="114" t="str">
        <f>"   " &amp; TEXT(AF173,"#0.00%") &amp; " "</f>
        <v xml:space="preserve">   0.00% </v>
      </c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 t="str">
        <f>"    " &amp; "장납기 구매품 발주 및 입고" &amp; " " &amp; IF(Q173="","",TEXT(Q173,"M/D-")) &amp; IF(R173="","",TEXT(R173,"M/D")) &amp; " "</f>
        <v xml:space="preserve">    장납기 구매품 발주 및 입고 2/15-8/30 </v>
      </c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  <c r="CA173" s="114"/>
      <c r="CB173" s="114"/>
      <c r="CC173" s="114"/>
      <c r="CD173" s="114"/>
      <c r="CE173" s="114"/>
      <c r="CF173" s="114"/>
      <c r="CG173" s="114"/>
      <c r="CH173" s="114"/>
      <c r="CI173" s="114"/>
      <c r="CJ173" s="114"/>
      <c r="CK173" s="114"/>
      <c r="CL173" s="114"/>
      <c r="CM173" s="114"/>
      <c r="CN173" s="114"/>
      <c r="CO173" s="114"/>
      <c r="CP173" s="114"/>
      <c r="CQ173" s="114"/>
      <c r="CR173" s="114"/>
      <c r="CS173" s="114"/>
      <c r="CT173" s="114"/>
      <c r="CU173" s="114"/>
      <c r="CV173" s="114"/>
      <c r="CW173" s="114"/>
      <c r="CX173" s="114"/>
      <c r="CY173" s="114"/>
      <c r="CZ173" s="114"/>
      <c r="DA173" s="114"/>
      <c r="DB173" s="114"/>
      <c r="DC173" s="114"/>
      <c r="DD173" s="114"/>
      <c r="DE173" s="114"/>
      <c r="DF173" s="114"/>
      <c r="DG173" s="114"/>
      <c r="DH173" s="114"/>
      <c r="DI173" s="114"/>
      <c r="DJ173" s="114"/>
      <c r="DK173" s="114"/>
      <c r="DL173" s="114"/>
      <c r="DM173" s="114"/>
      <c r="DN173" s="114"/>
      <c r="DO173" s="114"/>
      <c r="DP173" s="114"/>
      <c r="DQ173" s="114"/>
    </row>
    <row r="174" spans="1:121" ht="15" customHeight="1" outlineLevel="4" x14ac:dyDescent="0.25">
      <c r="A174" s="101"/>
      <c r="B174" s="101"/>
      <c r="C174" s="101">
        <v>5</v>
      </c>
      <c r="D174" s="102" t="s">
        <v>633</v>
      </c>
      <c r="E174" s="103"/>
      <c r="F174" s="103"/>
      <c r="G174" s="103"/>
      <c r="H174" s="103"/>
      <c r="I174" s="103" t="s">
        <v>241</v>
      </c>
      <c r="J174" s="103"/>
      <c r="K174" s="103"/>
      <c r="L174" s="103"/>
      <c r="M174" s="103"/>
      <c r="N174" s="103"/>
      <c r="O174" s="103" t="str">
        <f>O173</f>
        <v>1동 2F Degasssing후 CV</v>
      </c>
      <c r="P174" s="104"/>
      <c r="Q174" s="108">
        <v>45031</v>
      </c>
      <c r="R174" s="105">
        <v>45168</v>
      </c>
      <c r="S174" s="106">
        <f>R174-Q174</f>
        <v>137</v>
      </c>
      <c r="T174" s="107">
        <v>276</v>
      </c>
      <c r="U174" s="107">
        <v>78</v>
      </c>
      <c r="V174" s="107">
        <v>138</v>
      </c>
      <c r="W174" s="107">
        <v>39</v>
      </c>
      <c r="X174" s="108"/>
      <c r="Y174" s="108"/>
      <c r="Z174" s="109"/>
      <c r="AA174" s="110">
        <v>0</v>
      </c>
      <c r="AB174" s="107">
        <v>2</v>
      </c>
      <c r="AC174" s="106"/>
      <c r="AD174" s="180"/>
      <c r="AE174" s="111">
        <v>0.28260869565217389</v>
      </c>
      <c r="AF174" s="117">
        <v>0</v>
      </c>
      <c r="AG174" s="113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 t="str">
        <f>"      " &amp; TEXT(AF174,"#0.00%") &amp; " "</f>
        <v xml:space="preserve">      0.00% </v>
      </c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 t="str">
        <f>"    " &amp; "가공품 발주 및 입고" &amp; " " &amp; IF(Q174="","",TEXT(Q174,"M/D-")) &amp; IF(R174="","",TEXT(R174,"M/D")) &amp; " "</f>
        <v xml:space="preserve">    가공품 발주 및 입고 4/15-8/30 </v>
      </c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14"/>
      <c r="CB174" s="114"/>
      <c r="CC174" s="114"/>
      <c r="CD174" s="114"/>
      <c r="CE174" s="114"/>
      <c r="CF174" s="114"/>
      <c r="CG174" s="114"/>
      <c r="CH174" s="114"/>
      <c r="CI174" s="114"/>
      <c r="CJ174" s="114"/>
      <c r="CK174" s="114"/>
      <c r="CL174" s="114"/>
      <c r="CM174" s="114"/>
      <c r="CN174" s="114"/>
      <c r="CO174" s="114"/>
      <c r="CP174" s="114"/>
      <c r="CQ174" s="114"/>
      <c r="CR174" s="114"/>
      <c r="CS174" s="114"/>
      <c r="CT174" s="114"/>
      <c r="CU174" s="114"/>
      <c r="CV174" s="114"/>
      <c r="CW174" s="114"/>
      <c r="CX174" s="114"/>
      <c r="CY174" s="114"/>
      <c r="CZ174" s="114"/>
      <c r="DA174" s="114"/>
      <c r="DB174" s="114"/>
      <c r="DC174" s="114"/>
      <c r="DD174" s="114"/>
      <c r="DE174" s="114"/>
      <c r="DF174" s="114"/>
      <c r="DG174" s="114"/>
      <c r="DH174" s="114"/>
      <c r="DI174" s="114"/>
      <c r="DJ174" s="114"/>
      <c r="DK174" s="114"/>
      <c r="DL174" s="114"/>
      <c r="DM174" s="114"/>
      <c r="DN174" s="114"/>
      <c r="DO174" s="114"/>
      <c r="DP174" s="114"/>
      <c r="DQ174" s="114"/>
    </row>
    <row r="175" spans="1:121" ht="15" customHeight="1" outlineLevel="4" x14ac:dyDescent="0.25">
      <c r="A175" s="101"/>
      <c r="B175" s="101"/>
      <c r="C175" s="101">
        <v>5</v>
      </c>
      <c r="D175" s="102" t="s">
        <v>634</v>
      </c>
      <c r="E175" s="103"/>
      <c r="F175" s="103"/>
      <c r="G175" s="103"/>
      <c r="H175" s="103"/>
      <c r="I175" s="103" t="s">
        <v>220</v>
      </c>
      <c r="J175" s="103"/>
      <c r="K175" s="103"/>
      <c r="L175" s="103"/>
      <c r="M175" s="103"/>
      <c r="N175" s="103"/>
      <c r="O175" s="103" t="str">
        <f>O174</f>
        <v>1동 2F Degasssing후 CV</v>
      </c>
      <c r="P175" s="104"/>
      <c r="Q175" s="108">
        <v>45153</v>
      </c>
      <c r="R175" s="105">
        <v>45189</v>
      </c>
      <c r="S175" s="106">
        <f>R175-Q175</f>
        <v>36</v>
      </c>
      <c r="T175" s="107">
        <v>148</v>
      </c>
      <c r="U175" s="107">
        <v>0</v>
      </c>
      <c r="V175" s="107">
        <v>37</v>
      </c>
      <c r="W175" s="107">
        <v>0</v>
      </c>
      <c r="X175" s="108"/>
      <c r="Y175" s="108"/>
      <c r="Z175" s="109"/>
      <c r="AA175" s="110">
        <v>0</v>
      </c>
      <c r="AB175" s="107">
        <v>4</v>
      </c>
      <c r="AC175" s="106"/>
      <c r="AD175" s="180"/>
      <c r="AE175" s="111">
        <v>0</v>
      </c>
      <c r="AF175" s="121">
        <v>0</v>
      </c>
      <c r="AG175" s="113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 t="str">
        <f>"  " &amp; TEXT(AF175,"#0.00%") &amp; " "</f>
        <v xml:space="preserve">  0.00% </v>
      </c>
      <c r="BJ175" s="114"/>
      <c r="BK175" s="114"/>
      <c r="BL175" s="114"/>
      <c r="BM175" s="114"/>
      <c r="BN175" s="114" t="str">
        <f>"    " &amp; "기구조립" &amp; " " &amp; IF(Q175="","",TEXT(Q175,"M/D-")) &amp; IF(R175="","",TEXT(R175,"M/D")) &amp; " "</f>
        <v xml:space="preserve">    기구조립 8/15-9/20 </v>
      </c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4"/>
      <c r="CD175" s="114"/>
      <c r="CE175" s="114"/>
      <c r="CF175" s="114"/>
      <c r="CG175" s="114"/>
      <c r="CH175" s="114"/>
      <c r="CI175" s="114"/>
      <c r="CJ175" s="114"/>
      <c r="CK175" s="114"/>
      <c r="CL175" s="114"/>
      <c r="CM175" s="114"/>
      <c r="CN175" s="114"/>
      <c r="CO175" s="114"/>
      <c r="CP175" s="114"/>
      <c r="CQ175" s="114"/>
      <c r="CR175" s="114"/>
      <c r="CS175" s="114"/>
      <c r="CT175" s="114"/>
      <c r="CU175" s="114"/>
      <c r="CV175" s="114"/>
      <c r="CW175" s="114"/>
      <c r="CX175" s="114"/>
      <c r="CY175" s="114"/>
      <c r="CZ175" s="114"/>
      <c r="DA175" s="114"/>
      <c r="DB175" s="114"/>
      <c r="DC175" s="114"/>
      <c r="DD175" s="114"/>
      <c r="DE175" s="114"/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4"/>
    </row>
    <row r="176" spans="1:121" ht="15" customHeight="1" outlineLevel="4" x14ac:dyDescent="0.25">
      <c r="A176" s="101"/>
      <c r="B176" s="101"/>
      <c r="C176" s="101">
        <v>5</v>
      </c>
      <c r="D176" s="102" t="s">
        <v>635</v>
      </c>
      <c r="E176" s="103"/>
      <c r="F176" s="103"/>
      <c r="G176" s="103"/>
      <c r="H176" s="103"/>
      <c r="I176" s="103" t="s">
        <v>221</v>
      </c>
      <c r="J176" s="103"/>
      <c r="K176" s="103"/>
      <c r="L176" s="103"/>
      <c r="M176" s="103"/>
      <c r="N176" s="103"/>
      <c r="O176" s="103" t="str">
        <f>O175</f>
        <v>1동 2F Degasssing후 CV</v>
      </c>
      <c r="P176" s="104"/>
      <c r="Q176" s="108">
        <v>45189</v>
      </c>
      <c r="R176" s="105">
        <v>45219</v>
      </c>
      <c r="S176" s="106">
        <f>R176-Q176</f>
        <v>30</v>
      </c>
      <c r="T176" s="107">
        <v>62</v>
      </c>
      <c r="U176" s="107">
        <v>0</v>
      </c>
      <c r="V176" s="107">
        <v>31</v>
      </c>
      <c r="W176" s="107">
        <v>0</v>
      </c>
      <c r="X176" s="108"/>
      <c r="Y176" s="108"/>
      <c r="Z176" s="109"/>
      <c r="AA176" s="110">
        <v>0</v>
      </c>
      <c r="AB176" s="107">
        <v>2</v>
      </c>
      <c r="AC176" s="106"/>
      <c r="AD176" s="180"/>
      <c r="AE176" s="111">
        <v>0</v>
      </c>
      <c r="AF176" s="121">
        <v>0</v>
      </c>
      <c r="AG176" s="113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 t="str">
        <f>"   " &amp; TEXT(AF176,"#0.00%") &amp; " "</f>
        <v xml:space="preserve">   0.00% </v>
      </c>
      <c r="BO176" s="114"/>
      <c r="BP176" s="114"/>
      <c r="BQ176" s="114"/>
      <c r="BR176" s="114" t="str">
        <f>"      " &amp; "전장조립" &amp; " " &amp; IF(Q176="","",TEXT(Q176,"M/D-")) &amp; IF(R176="","",TEXT(R176,"M/D")) &amp; " "</f>
        <v xml:space="preserve">      전장조립 9/20-10/20 </v>
      </c>
      <c r="BS176" s="114"/>
      <c r="BT176" s="114"/>
      <c r="BU176" s="114"/>
      <c r="BV176" s="114"/>
      <c r="BW176" s="114"/>
      <c r="BX176" s="114"/>
      <c r="BY176" s="114"/>
      <c r="BZ176" s="114"/>
      <c r="CA176" s="114"/>
      <c r="CB176" s="114"/>
      <c r="CC176" s="114"/>
      <c r="CD176" s="114"/>
      <c r="CE176" s="114"/>
      <c r="CF176" s="114"/>
      <c r="CG176" s="114"/>
      <c r="CH176" s="114"/>
      <c r="CI176" s="114"/>
      <c r="CJ176" s="114"/>
      <c r="CK176" s="114"/>
      <c r="CL176" s="114"/>
      <c r="CM176" s="114"/>
      <c r="CN176" s="114"/>
      <c r="CO176" s="114"/>
      <c r="CP176" s="114"/>
      <c r="CQ176" s="114"/>
      <c r="CR176" s="114"/>
      <c r="CS176" s="114"/>
      <c r="CT176" s="114"/>
      <c r="CU176" s="114"/>
      <c r="CV176" s="114"/>
      <c r="CW176" s="114"/>
      <c r="CX176" s="114"/>
      <c r="CY176" s="114"/>
      <c r="CZ176" s="114"/>
      <c r="DA176" s="114"/>
      <c r="DB176" s="114"/>
      <c r="DC176" s="114"/>
      <c r="DD176" s="114"/>
      <c r="DE176" s="114"/>
      <c r="DF176" s="114"/>
      <c r="DG176" s="114"/>
      <c r="DH176" s="114"/>
      <c r="DI176" s="114"/>
      <c r="DJ176" s="114"/>
      <c r="DK176" s="114"/>
      <c r="DL176" s="114"/>
      <c r="DM176" s="114"/>
      <c r="DN176" s="114"/>
      <c r="DO176" s="114"/>
      <c r="DP176" s="114"/>
      <c r="DQ176" s="114"/>
    </row>
    <row r="177" spans="1:121" ht="15" customHeight="1" outlineLevel="2" x14ac:dyDescent="0.25">
      <c r="A177" s="101"/>
      <c r="B177" s="101" t="s">
        <v>153</v>
      </c>
      <c r="C177" s="101">
        <v>3</v>
      </c>
      <c r="D177" s="102" t="s">
        <v>636</v>
      </c>
      <c r="E177" s="103"/>
      <c r="F177" s="103"/>
      <c r="G177" s="103" t="s">
        <v>637</v>
      </c>
      <c r="H177" s="103"/>
      <c r="I177" s="103"/>
      <c r="J177" s="103"/>
      <c r="K177" s="103"/>
      <c r="L177" s="103"/>
      <c r="M177" s="103"/>
      <c r="N177" s="103"/>
      <c r="O177" s="103" t="str">
        <f>G177</f>
        <v>2동 Conveyor &amp; Deck</v>
      </c>
      <c r="P177" s="104"/>
      <c r="Q177" s="108">
        <v>45032</v>
      </c>
      <c r="R177" s="105">
        <v>45279</v>
      </c>
      <c r="S177" s="106"/>
      <c r="T177" s="107">
        <v>5422</v>
      </c>
      <c r="U177" s="107">
        <v>456</v>
      </c>
      <c r="V177" s="107">
        <v>248</v>
      </c>
      <c r="W177" s="107">
        <v>38</v>
      </c>
      <c r="X177" s="108"/>
      <c r="Y177" s="108"/>
      <c r="Z177" s="109">
        <v>0</v>
      </c>
      <c r="AA177" s="110">
        <v>0</v>
      </c>
      <c r="AB177" s="107"/>
      <c r="AC177" s="106"/>
      <c r="AD177" s="180"/>
      <c r="AE177" s="111">
        <v>8.4101807451125041E-2</v>
      </c>
      <c r="AF177" s="112">
        <v>0</v>
      </c>
      <c r="AG177" s="113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 t="str">
        <f>"" &amp; TEXT(AF177,"#0.00%") &amp; " "</f>
        <v xml:space="preserve">0.00% </v>
      </c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  <c r="BY177" s="114"/>
      <c r="BZ177" s="114"/>
      <c r="CA177" s="114" t="str">
        <f>"   " &amp; "2동 Conveyor &amp; Deck" &amp; " " &amp; IF(Q177="","",TEXT(Q177,"M/D-")) &amp; IF(R177="","",TEXT(R177,"M/D")) &amp; " "</f>
        <v xml:space="preserve">   2동 Conveyor &amp; Deck 4/16-12/19 </v>
      </c>
      <c r="CB177" s="114"/>
      <c r="CC177" s="114"/>
      <c r="CD177" s="114"/>
      <c r="CE177" s="114"/>
      <c r="CF177" s="114"/>
      <c r="CG177" s="114"/>
      <c r="CH177" s="114"/>
      <c r="CI177" s="114"/>
      <c r="CJ177" s="114"/>
      <c r="CK177" s="114"/>
      <c r="CL177" s="114"/>
      <c r="CM177" s="114"/>
      <c r="CN177" s="114"/>
      <c r="CO177" s="114"/>
      <c r="CP177" s="114"/>
      <c r="CQ177" s="114"/>
      <c r="CR177" s="114"/>
      <c r="CS177" s="114"/>
      <c r="CT177" s="114"/>
      <c r="CU177" s="114"/>
      <c r="CV177" s="114"/>
      <c r="CW177" s="114"/>
      <c r="CX177" s="114"/>
      <c r="CY177" s="114"/>
      <c r="CZ177" s="114"/>
      <c r="DA177" s="114"/>
      <c r="DB177" s="114"/>
      <c r="DC177" s="114"/>
      <c r="DD177" s="114"/>
      <c r="DE177" s="114"/>
      <c r="DF177" s="114"/>
      <c r="DG177" s="114"/>
      <c r="DH177" s="114"/>
      <c r="DI177" s="114"/>
      <c r="DJ177" s="114"/>
      <c r="DK177" s="114"/>
      <c r="DL177" s="114"/>
      <c r="DM177" s="114"/>
      <c r="DN177" s="114"/>
      <c r="DO177" s="114"/>
      <c r="DP177" s="114"/>
      <c r="DQ177" s="114"/>
    </row>
    <row r="178" spans="1:121" ht="15" customHeight="1" outlineLevel="3" x14ac:dyDescent="0.25">
      <c r="A178" s="101"/>
      <c r="B178" s="101" t="s">
        <v>153</v>
      </c>
      <c r="C178" s="101">
        <v>4</v>
      </c>
      <c r="D178" s="102" t="s">
        <v>638</v>
      </c>
      <c r="E178" s="103"/>
      <c r="F178" s="103"/>
      <c r="G178" s="103"/>
      <c r="H178" s="103" t="s">
        <v>639</v>
      </c>
      <c r="I178" s="103"/>
      <c r="J178" s="103"/>
      <c r="K178" s="103"/>
      <c r="L178" s="103"/>
      <c r="M178" s="103"/>
      <c r="N178" s="103"/>
      <c r="O178" s="103" t="str">
        <f>H178</f>
        <v>2동 조립동 CV</v>
      </c>
      <c r="P178" s="104"/>
      <c r="Q178" s="108">
        <v>45032</v>
      </c>
      <c r="R178" s="105">
        <v>45259</v>
      </c>
      <c r="S178" s="106"/>
      <c r="T178" s="107">
        <v>920</v>
      </c>
      <c r="U178" s="107">
        <v>76</v>
      </c>
      <c r="V178" s="107">
        <v>228</v>
      </c>
      <c r="W178" s="107">
        <v>38</v>
      </c>
      <c r="X178" s="108"/>
      <c r="Y178" s="108"/>
      <c r="Z178" s="109">
        <v>0</v>
      </c>
      <c r="AA178" s="110">
        <v>0</v>
      </c>
      <c r="AB178" s="107"/>
      <c r="AC178" s="106"/>
      <c r="AD178" s="180"/>
      <c r="AE178" s="111">
        <v>8.2608695652173908E-2</v>
      </c>
      <c r="AF178" s="112">
        <v>0</v>
      </c>
      <c r="AG178" s="113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 t="str">
        <f>"" &amp; TEXT(AF178,"#0.00%") &amp; " "</f>
        <v xml:space="preserve">0.00% </v>
      </c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 t="str">
        <f>"    " &amp; "2동 조립동 CV" &amp; " " &amp; IF(Q178="","",TEXT(Q178,"M/D-")) &amp; IF(R178="","",TEXT(R178,"M/D")) &amp; " "</f>
        <v xml:space="preserve">    2동 조립동 CV 4/16-11/29 </v>
      </c>
      <c r="BY178" s="114"/>
      <c r="BZ178" s="114"/>
      <c r="CA178" s="114"/>
      <c r="CB178" s="114"/>
      <c r="CC178" s="114"/>
      <c r="CD178" s="114"/>
      <c r="CE178" s="114"/>
      <c r="CF178" s="114"/>
      <c r="CG178" s="114"/>
      <c r="CH178" s="114"/>
      <c r="CI178" s="114"/>
      <c r="CJ178" s="114"/>
      <c r="CK178" s="114"/>
      <c r="CL178" s="114"/>
      <c r="CM178" s="114"/>
      <c r="CN178" s="114"/>
      <c r="CO178" s="114"/>
      <c r="CP178" s="114"/>
      <c r="CQ178" s="114"/>
      <c r="CR178" s="114"/>
      <c r="CS178" s="114"/>
      <c r="CT178" s="114"/>
      <c r="CU178" s="114"/>
      <c r="CV178" s="114"/>
      <c r="CW178" s="114"/>
      <c r="CX178" s="114"/>
      <c r="CY178" s="114"/>
      <c r="CZ178" s="114"/>
      <c r="DA178" s="114"/>
      <c r="DB178" s="114"/>
      <c r="DC178" s="114"/>
      <c r="DD178" s="114"/>
      <c r="DE178" s="114"/>
      <c r="DF178" s="114"/>
      <c r="DG178" s="114"/>
      <c r="DH178" s="114"/>
      <c r="DI178" s="114"/>
      <c r="DJ178" s="114"/>
      <c r="DK178" s="114"/>
      <c r="DL178" s="114"/>
      <c r="DM178" s="114"/>
      <c r="DN178" s="114"/>
      <c r="DO178" s="114"/>
      <c r="DP178" s="114"/>
      <c r="DQ178" s="114"/>
    </row>
    <row r="179" spans="1:121" ht="15" customHeight="1" outlineLevel="4" x14ac:dyDescent="0.25">
      <c r="A179" s="101"/>
      <c r="B179" s="101"/>
      <c r="C179" s="101">
        <v>5</v>
      </c>
      <c r="D179" s="102" t="s">
        <v>640</v>
      </c>
      <c r="E179" s="103"/>
      <c r="F179" s="103"/>
      <c r="G179" s="103"/>
      <c r="H179" s="103"/>
      <c r="I179" s="103" t="s">
        <v>217</v>
      </c>
      <c r="J179" s="103"/>
      <c r="K179" s="103"/>
      <c r="L179" s="103"/>
      <c r="M179" s="103"/>
      <c r="N179" s="103"/>
      <c r="O179" s="103" t="str">
        <f>O178</f>
        <v>2동 조립동 CV</v>
      </c>
      <c r="P179" s="104"/>
      <c r="Q179" s="108">
        <v>45032</v>
      </c>
      <c r="R179" s="108">
        <v>45228</v>
      </c>
      <c r="S179" s="106">
        <f>R179-Q179</f>
        <v>196</v>
      </c>
      <c r="T179" s="107">
        <v>394</v>
      </c>
      <c r="U179" s="107">
        <v>76</v>
      </c>
      <c r="V179" s="107">
        <v>197</v>
      </c>
      <c r="W179" s="107">
        <v>38</v>
      </c>
      <c r="X179" s="108"/>
      <c r="Y179" s="108"/>
      <c r="Z179" s="109"/>
      <c r="AA179" s="110">
        <v>0</v>
      </c>
      <c r="AB179" s="107">
        <v>2</v>
      </c>
      <c r="AC179" s="106"/>
      <c r="AD179" s="180"/>
      <c r="AE179" s="111">
        <v>0.19289340101522842</v>
      </c>
      <c r="AF179" s="117">
        <v>0</v>
      </c>
      <c r="AG179" s="113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 t="str">
        <f>"" &amp; TEXT(AF179,"#0.00%") &amp; " "</f>
        <v xml:space="preserve">0.00% </v>
      </c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  <c r="BM179" s="114"/>
      <c r="BN179" s="114"/>
      <c r="BO179" s="114"/>
      <c r="BP179" s="114"/>
      <c r="BQ179" s="114"/>
      <c r="BR179" s="114"/>
      <c r="BS179" s="114"/>
      <c r="BT179" s="114" t="str">
        <f>" " &amp; "장납기 구매품 발주 및 입고" &amp; " " &amp; IF(Q179="","",TEXT(Q179,"M/D-")) &amp; IF(R179="","",TEXT(R179,"M/D")) &amp; " "</f>
        <v xml:space="preserve"> 장납기 구매품 발주 및 입고 4/16-10/29 </v>
      </c>
      <c r="BU179" s="114"/>
      <c r="BV179" s="114"/>
      <c r="BW179" s="114"/>
      <c r="BX179" s="114"/>
      <c r="BY179" s="114"/>
      <c r="BZ179" s="114"/>
      <c r="CA179" s="114"/>
      <c r="CB179" s="114"/>
      <c r="CC179" s="114"/>
      <c r="CD179" s="114"/>
      <c r="CE179" s="114"/>
      <c r="CF179" s="114"/>
      <c r="CG179" s="114"/>
      <c r="CH179" s="114"/>
      <c r="CI179" s="114"/>
      <c r="CJ179" s="114"/>
      <c r="CK179" s="114"/>
      <c r="CL179" s="114"/>
      <c r="CM179" s="114"/>
      <c r="CN179" s="114"/>
      <c r="CO179" s="114"/>
      <c r="CP179" s="114"/>
      <c r="CQ179" s="114"/>
      <c r="CR179" s="114"/>
      <c r="CS179" s="114"/>
      <c r="CT179" s="114"/>
      <c r="CU179" s="114"/>
      <c r="CV179" s="114"/>
      <c r="CW179" s="114"/>
      <c r="CX179" s="114"/>
      <c r="CY179" s="114"/>
      <c r="CZ179" s="114"/>
      <c r="DA179" s="114"/>
      <c r="DB179" s="114"/>
      <c r="DC179" s="114"/>
      <c r="DD179" s="114"/>
      <c r="DE179" s="114"/>
      <c r="DF179" s="114"/>
      <c r="DG179" s="114"/>
      <c r="DH179" s="114"/>
      <c r="DI179" s="114"/>
      <c r="DJ179" s="114"/>
      <c r="DK179" s="114"/>
      <c r="DL179" s="114"/>
      <c r="DM179" s="114"/>
      <c r="DN179" s="114"/>
      <c r="DO179" s="114"/>
      <c r="DP179" s="114"/>
      <c r="DQ179" s="114"/>
    </row>
    <row r="180" spans="1:121" ht="15" customHeight="1" outlineLevel="4" x14ac:dyDescent="0.25">
      <c r="A180" s="101"/>
      <c r="B180" s="101"/>
      <c r="C180" s="101">
        <v>5</v>
      </c>
      <c r="D180" s="102" t="s">
        <v>641</v>
      </c>
      <c r="E180" s="103"/>
      <c r="F180" s="103"/>
      <c r="G180" s="103"/>
      <c r="H180" s="103"/>
      <c r="I180" s="103" t="s">
        <v>241</v>
      </c>
      <c r="J180" s="103"/>
      <c r="K180" s="103"/>
      <c r="L180" s="103"/>
      <c r="M180" s="103"/>
      <c r="N180" s="103"/>
      <c r="O180" s="103" t="str">
        <f>O179</f>
        <v>2동 조립동 CV</v>
      </c>
      <c r="P180" s="104"/>
      <c r="Q180" s="108">
        <v>45091</v>
      </c>
      <c r="R180" s="108">
        <v>45197</v>
      </c>
      <c r="S180" s="106">
        <f>R180-Q180</f>
        <v>106</v>
      </c>
      <c r="T180" s="107">
        <v>214</v>
      </c>
      <c r="U180" s="107">
        <v>0</v>
      </c>
      <c r="V180" s="107">
        <v>107</v>
      </c>
      <c r="W180" s="107">
        <v>0</v>
      </c>
      <c r="X180" s="108"/>
      <c r="Y180" s="108"/>
      <c r="Z180" s="109"/>
      <c r="AA180" s="110">
        <v>0</v>
      </c>
      <c r="AB180" s="107">
        <v>2</v>
      </c>
      <c r="AC180" s="106"/>
      <c r="AD180" s="180"/>
      <c r="AE180" s="111">
        <v>0</v>
      </c>
      <c r="AF180" s="121">
        <v>0</v>
      </c>
      <c r="AG180" s="113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 t="str">
        <f>"   " &amp; TEXT(AF180,"#0.00%") &amp; " "</f>
        <v xml:space="preserve">   0.00% </v>
      </c>
      <c r="BA180" s="114"/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 t="str">
        <f>"     " &amp; "가공품 발주 및 입고" &amp; " " &amp; IF(Q180="","",TEXT(Q180,"M/D-")) &amp; IF(R180="","",TEXT(R180,"M/D")) &amp; " "</f>
        <v xml:space="preserve">     가공품 발주 및 입고 6/14-9/28 </v>
      </c>
      <c r="BP180" s="114"/>
      <c r="BQ180" s="114"/>
      <c r="BR180" s="114"/>
      <c r="BS180" s="114"/>
      <c r="BT180" s="114"/>
      <c r="BU180" s="114"/>
      <c r="BV180" s="114"/>
      <c r="BW180" s="114"/>
      <c r="BX180" s="114"/>
      <c r="BY180" s="114"/>
      <c r="BZ180" s="114"/>
      <c r="CA180" s="114"/>
      <c r="CB180" s="114"/>
      <c r="CC180" s="114"/>
      <c r="CD180" s="114"/>
      <c r="CE180" s="114"/>
      <c r="CF180" s="114"/>
      <c r="CG180" s="114"/>
      <c r="CH180" s="114"/>
      <c r="CI180" s="114"/>
      <c r="CJ180" s="114"/>
      <c r="CK180" s="114"/>
      <c r="CL180" s="114"/>
      <c r="CM180" s="114"/>
      <c r="CN180" s="114"/>
      <c r="CO180" s="114"/>
      <c r="CP180" s="114"/>
      <c r="CQ180" s="114"/>
      <c r="CR180" s="114"/>
      <c r="CS180" s="114"/>
      <c r="CT180" s="114"/>
      <c r="CU180" s="114"/>
      <c r="CV180" s="114"/>
      <c r="CW180" s="114"/>
      <c r="CX180" s="114"/>
      <c r="CY180" s="114"/>
      <c r="CZ180" s="114"/>
      <c r="DA180" s="114"/>
      <c r="DB180" s="114"/>
      <c r="DC180" s="114"/>
      <c r="DD180" s="114"/>
      <c r="DE180" s="114"/>
      <c r="DF180" s="114"/>
      <c r="DG180" s="114"/>
      <c r="DH180" s="114"/>
      <c r="DI180" s="114"/>
      <c r="DJ180" s="114"/>
      <c r="DK180" s="114"/>
      <c r="DL180" s="114"/>
      <c r="DM180" s="114"/>
      <c r="DN180" s="114"/>
      <c r="DO180" s="114"/>
      <c r="DP180" s="114"/>
      <c r="DQ180" s="114"/>
    </row>
    <row r="181" spans="1:121" ht="15" customHeight="1" outlineLevel="4" x14ac:dyDescent="0.25">
      <c r="A181" s="101"/>
      <c r="B181" s="101"/>
      <c r="C181" s="101">
        <v>5</v>
      </c>
      <c r="D181" s="102" t="s">
        <v>642</v>
      </c>
      <c r="E181" s="103"/>
      <c r="F181" s="103"/>
      <c r="G181" s="103"/>
      <c r="H181" s="103"/>
      <c r="I181" s="103" t="s">
        <v>220</v>
      </c>
      <c r="J181" s="103"/>
      <c r="K181" s="103"/>
      <c r="L181" s="103"/>
      <c r="M181" s="103"/>
      <c r="N181" s="103"/>
      <c r="O181" s="103" t="str">
        <f>O180</f>
        <v>2동 조립동 CV</v>
      </c>
      <c r="P181" s="104"/>
      <c r="Q181" s="108">
        <v>45182</v>
      </c>
      <c r="R181" s="108">
        <v>45244</v>
      </c>
      <c r="S181" s="106">
        <f>R181-Q181</f>
        <v>62</v>
      </c>
      <c r="T181" s="107">
        <v>252</v>
      </c>
      <c r="U181" s="107">
        <v>0</v>
      </c>
      <c r="V181" s="107">
        <v>63</v>
      </c>
      <c r="W181" s="107">
        <v>0</v>
      </c>
      <c r="X181" s="108"/>
      <c r="Y181" s="108"/>
      <c r="Z181" s="109"/>
      <c r="AA181" s="110">
        <v>0</v>
      </c>
      <c r="AB181" s="107">
        <v>4</v>
      </c>
      <c r="AC181" s="106"/>
      <c r="AD181" s="180"/>
      <c r="AE181" s="111">
        <v>0</v>
      </c>
      <c r="AF181" s="121">
        <v>0</v>
      </c>
      <c r="AG181" s="113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 t="str">
        <f>"   " &amp; TEXT(AF181,"#0.00%") &amp; " "</f>
        <v xml:space="preserve">   0.00% </v>
      </c>
      <c r="BN181" s="114"/>
      <c r="BO181" s="114"/>
      <c r="BP181" s="114"/>
      <c r="BQ181" s="114"/>
      <c r="BR181" s="114"/>
      <c r="BS181" s="114"/>
      <c r="BT181" s="114"/>
      <c r="BU181" s="114"/>
      <c r="BV181" s="114" t="str">
        <f>"   " &amp; "기구조립" &amp; " " &amp; IF(Q181="","",TEXT(Q181,"M/D-")) &amp; IF(R181="","",TEXT(R181,"M/D")) &amp; " "</f>
        <v xml:space="preserve">   기구조립 9/13-11/14 </v>
      </c>
      <c r="BW181" s="114"/>
      <c r="BX181" s="114"/>
      <c r="BY181" s="114"/>
      <c r="BZ181" s="114"/>
      <c r="CA181" s="114"/>
      <c r="CB181" s="114"/>
      <c r="CC181" s="114"/>
      <c r="CD181" s="114"/>
      <c r="CE181" s="114"/>
      <c r="CF181" s="114"/>
      <c r="CG181" s="114"/>
      <c r="CH181" s="114"/>
      <c r="CI181" s="114"/>
      <c r="CJ181" s="114"/>
      <c r="CK181" s="114"/>
      <c r="CL181" s="114"/>
      <c r="CM181" s="114"/>
      <c r="CN181" s="114"/>
      <c r="CO181" s="114"/>
      <c r="CP181" s="114"/>
      <c r="CQ181" s="114"/>
      <c r="CR181" s="114"/>
      <c r="CS181" s="114"/>
      <c r="CT181" s="114"/>
      <c r="CU181" s="114"/>
      <c r="CV181" s="114"/>
      <c r="CW181" s="114"/>
      <c r="CX181" s="114"/>
      <c r="CY181" s="114"/>
      <c r="CZ181" s="114"/>
      <c r="DA181" s="114"/>
      <c r="DB181" s="114"/>
      <c r="DC181" s="114"/>
      <c r="DD181" s="114"/>
      <c r="DE181" s="114"/>
      <c r="DF181" s="114"/>
      <c r="DG181" s="114"/>
      <c r="DH181" s="114"/>
      <c r="DI181" s="114"/>
      <c r="DJ181" s="114"/>
      <c r="DK181" s="114"/>
      <c r="DL181" s="114"/>
      <c r="DM181" s="114"/>
      <c r="DN181" s="114"/>
      <c r="DO181" s="114"/>
      <c r="DP181" s="114"/>
      <c r="DQ181" s="114"/>
    </row>
    <row r="182" spans="1:121" ht="15" customHeight="1" outlineLevel="4" x14ac:dyDescent="0.25">
      <c r="A182" s="101"/>
      <c r="B182" s="101"/>
      <c r="C182" s="101">
        <v>5</v>
      </c>
      <c r="D182" s="102" t="s">
        <v>643</v>
      </c>
      <c r="E182" s="103"/>
      <c r="F182" s="103"/>
      <c r="G182" s="103"/>
      <c r="H182" s="103"/>
      <c r="I182" s="103" t="s">
        <v>221</v>
      </c>
      <c r="J182" s="103"/>
      <c r="K182" s="103"/>
      <c r="L182" s="103"/>
      <c r="M182" s="103"/>
      <c r="N182" s="103"/>
      <c r="O182" s="103" t="str">
        <f>O181</f>
        <v>2동 조립동 CV</v>
      </c>
      <c r="P182" s="104"/>
      <c r="Q182" s="108">
        <v>45230</v>
      </c>
      <c r="R182" s="108">
        <v>45259</v>
      </c>
      <c r="S182" s="106">
        <f>R182-Q182</f>
        <v>29</v>
      </c>
      <c r="T182" s="107">
        <v>60</v>
      </c>
      <c r="U182" s="107">
        <v>0</v>
      </c>
      <c r="V182" s="107">
        <v>30</v>
      </c>
      <c r="W182" s="107">
        <v>0</v>
      </c>
      <c r="X182" s="108"/>
      <c r="Y182" s="108"/>
      <c r="Z182" s="109"/>
      <c r="AA182" s="110">
        <v>0</v>
      </c>
      <c r="AB182" s="107">
        <v>2</v>
      </c>
      <c r="AC182" s="106"/>
      <c r="AD182" s="180"/>
      <c r="AE182" s="111">
        <v>0</v>
      </c>
      <c r="AF182" s="121">
        <v>0</v>
      </c>
      <c r="AG182" s="113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 t="str">
        <f>"  " &amp; TEXT(AF182,"#0.00%") &amp; " "</f>
        <v xml:space="preserve">  0.00% </v>
      </c>
      <c r="BU182" s="114"/>
      <c r="BV182" s="114"/>
      <c r="BW182" s="114"/>
      <c r="BX182" s="114" t="str">
        <f>"    " &amp; "전장조립" &amp; " " &amp; IF(Q182="","",TEXT(Q182,"M/D-")) &amp; IF(R182="","",TEXT(R182,"M/D")) &amp; " "</f>
        <v xml:space="preserve">    전장조립 10/31-11/29 </v>
      </c>
      <c r="BY182" s="114"/>
      <c r="BZ182" s="114"/>
      <c r="CA182" s="114"/>
      <c r="CB182" s="114"/>
      <c r="CC182" s="114"/>
      <c r="CD182" s="114"/>
      <c r="CE182" s="114"/>
      <c r="CF182" s="114"/>
      <c r="CG182" s="114"/>
      <c r="CH182" s="114"/>
      <c r="CI182" s="114"/>
      <c r="CJ182" s="114"/>
      <c r="CK182" s="114"/>
      <c r="CL182" s="114"/>
      <c r="CM182" s="114"/>
      <c r="CN182" s="114"/>
      <c r="CO182" s="114"/>
      <c r="CP182" s="114"/>
      <c r="CQ182" s="114"/>
      <c r="CR182" s="114"/>
      <c r="CS182" s="114"/>
      <c r="CT182" s="114"/>
      <c r="CU182" s="114"/>
      <c r="CV182" s="114"/>
      <c r="CW182" s="114"/>
      <c r="CX182" s="114"/>
      <c r="CY182" s="114"/>
      <c r="CZ182" s="114"/>
      <c r="DA182" s="114"/>
      <c r="DB182" s="114"/>
      <c r="DC182" s="114"/>
      <c r="DD182" s="114"/>
      <c r="DE182" s="114"/>
      <c r="DF182" s="114"/>
      <c r="DG182" s="114"/>
      <c r="DH182" s="114"/>
      <c r="DI182" s="114"/>
      <c r="DJ182" s="114"/>
      <c r="DK182" s="114"/>
      <c r="DL182" s="114"/>
      <c r="DM182" s="114"/>
      <c r="DN182" s="114"/>
      <c r="DO182" s="114"/>
      <c r="DP182" s="114"/>
      <c r="DQ182" s="114"/>
    </row>
    <row r="183" spans="1:121" ht="15" customHeight="1" outlineLevel="3" x14ac:dyDescent="0.25">
      <c r="A183" s="101"/>
      <c r="B183" s="101" t="s">
        <v>153</v>
      </c>
      <c r="C183" s="101">
        <v>4</v>
      </c>
      <c r="D183" s="102" t="s">
        <v>644</v>
      </c>
      <c r="E183" s="103"/>
      <c r="F183" s="103"/>
      <c r="G183" s="103"/>
      <c r="H183" s="103" t="s">
        <v>645</v>
      </c>
      <c r="I183" s="103"/>
      <c r="J183" s="103"/>
      <c r="K183" s="103"/>
      <c r="L183" s="103"/>
      <c r="M183" s="103"/>
      <c r="N183" s="103"/>
      <c r="O183" s="103" t="str">
        <f>H183</f>
        <v>2동 1F PPC CV</v>
      </c>
      <c r="P183" s="104"/>
      <c r="Q183" s="108">
        <v>45032</v>
      </c>
      <c r="R183" s="105">
        <v>45228</v>
      </c>
      <c r="S183" s="106"/>
      <c r="T183" s="107">
        <v>886</v>
      </c>
      <c r="U183" s="107">
        <v>76</v>
      </c>
      <c r="V183" s="107">
        <v>197</v>
      </c>
      <c r="W183" s="107">
        <v>38</v>
      </c>
      <c r="X183" s="108"/>
      <c r="Y183" s="108"/>
      <c r="Z183" s="109">
        <v>0</v>
      </c>
      <c r="AA183" s="110">
        <v>0</v>
      </c>
      <c r="AB183" s="107"/>
      <c r="AC183" s="106"/>
      <c r="AD183" s="180"/>
      <c r="AE183" s="111">
        <v>8.5778781038374718E-2</v>
      </c>
      <c r="AF183" s="112">
        <v>0</v>
      </c>
      <c r="AG183" s="113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 t="str">
        <f>"" &amp; TEXT(AF183,"#0.00%") &amp; " "</f>
        <v xml:space="preserve">0.00% </v>
      </c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 t="str">
        <f>" " &amp; "2동 1F PPC CV" &amp; " " &amp; IF(Q183="","",TEXT(Q183,"M/D-")) &amp; IF(R183="","",TEXT(R183,"M/D")) &amp; " "</f>
        <v xml:space="preserve"> 2동 1F PPC CV 4/16-10/29 </v>
      </c>
      <c r="BU183" s="114"/>
      <c r="BV183" s="114"/>
      <c r="BW183" s="114"/>
      <c r="BX183" s="114"/>
      <c r="BY183" s="114"/>
      <c r="BZ183" s="114"/>
      <c r="CA183" s="114"/>
      <c r="CB183" s="114"/>
      <c r="CC183" s="114"/>
      <c r="CD183" s="114"/>
      <c r="CE183" s="114"/>
      <c r="CF183" s="114"/>
      <c r="CG183" s="114"/>
      <c r="CH183" s="114"/>
      <c r="CI183" s="114"/>
      <c r="CJ183" s="114"/>
      <c r="CK183" s="114"/>
      <c r="CL183" s="114"/>
      <c r="CM183" s="114"/>
      <c r="CN183" s="114"/>
      <c r="CO183" s="114"/>
      <c r="CP183" s="114"/>
      <c r="CQ183" s="114"/>
      <c r="CR183" s="114"/>
      <c r="CS183" s="114"/>
      <c r="CT183" s="114"/>
      <c r="CU183" s="114"/>
      <c r="CV183" s="114"/>
      <c r="CW183" s="114"/>
      <c r="CX183" s="114"/>
      <c r="CY183" s="114"/>
      <c r="CZ183" s="114"/>
      <c r="DA183" s="114"/>
      <c r="DB183" s="114"/>
      <c r="DC183" s="114"/>
      <c r="DD183" s="114"/>
      <c r="DE183" s="114"/>
      <c r="DF183" s="114"/>
      <c r="DG183" s="114"/>
      <c r="DH183" s="114"/>
      <c r="DI183" s="114"/>
      <c r="DJ183" s="114"/>
      <c r="DK183" s="114"/>
      <c r="DL183" s="114"/>
      <c r="DM183" s="114"/>
      <c r="DN183" s="114"/>
      <c r="DO183" s="114"/>
      <c r="DP183" s="114"/>
      <c r="DQ183" s="114"/>
    </row>
    <row r="184" spans="1:121" ht="15" customHeight="1" outlineLevel="4" x14ac:dyDescent="0.25">
      <c r="A184" s="101"/>
      <c r="B184" s="101"/>
      <c r="C184" s="101">
        <v>5</v>
      </c>
      <c r="D184" s="102" t="s">
        <v>646</v>
      </c>
      <c r="E184" s="103"/>
      <c r="F184" s="103"/>
      <c r="G184" s="103"/>
      <c r="H184" s="103"/>
      <c r="I184" s="103" t="s">
        <v>217</v>
      </c>
      <c r="J184" s="103"/>
      <c r="K184" s="103"/>
      <c r="L184" s="103"/>
      <c r="M184" s="103"/>
      <c r="N184" s="103"/>
      <c r="O184" s="103" t="str">
        <f>O183</f>
        <v>2동 1F PPC CV</v>
      </c>
      <c r="P184" s="104"/>
      <c r="Q184" s="108">
        <v>45032</v>
      </c>
      <c r="R184" s="108">
        <v>45228</v>
      </c>
      <c r="S184" s="106">
        <f>R184-Q184</f>
        <v>196</v>
      </c>
      <c r="T184" s="107">
        <v>394</v>
      </c>
      <c r="U184" s="107">
        <v>76</v>
      </c>
      <c r="V184" s="107">
        <v>197</v>
      </c>
      <c r="W184" s="107">
        <v>38</v>
      </c>
      <c r="X184" s="108"/>
      <c r="Y184" s="108"/>
      <c r="Z184" s="109"/>
      <c r="AA184" s="110">
        <v>0</v>
      </c>
      <c r="AB184" s="107">
        <v>2</v>
      </c>
      <c r="AC184" s="106"/>
      <c r="AD184" s="180"/>
      <c r="AE184" s="111">
        <v>0.19289340101522842</v>
      </c>
      <c r="AF184" s="117">
        <v>0</v>
      </c>
      <c r="AG184" s="113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 t="str">
        <f>"" &amp; TEXT(AF184,"#0.00%") &amp; " "</f>
        <v xml:space="preserve">0.00% </v>
      </c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 t="str">
        <f>" " &amp; "장납기 구매품 발주 및 입고" &amp; " " &amp; IF(Q184="","",TEXT(Q184,"M/D-")) &amp; IF(R184="","",TEXT(R184,"M/D")) &amp; " "</f>
        <v xml:space="preserve"> 장납기 구매품 발주 및 입고 4/16-10/29 </v>
      </c>
      <c r="BU184" s="114"/>
      <c r="BV184" s="114"/>
      <c r="BW184" s="114"/>
      <c r="BX184" s="114"/>
      <c r="BY184" s="114"/>
      <c r="BZ184" s="114"/>
      <c r="CA184" s="114"/>
      <c r="CB184" s="114"/>
      <c r="CC184" s="114"/>
      <c r="CD184" s="114"/>
      <c r="CE184" s="114"/>
      <c r="CF184" s="114"/>
      <c r="CG184" s="114"/>
      <c r="CH184" s="114"/>
      <c r="CI184" s="114"/>
      <c r="CJ184" s="114"/>
      <c r="CK184" s="114"/>
      <c r="CL184" s="114"/>
      <c r="CM184" s="114"/>
      <c r="CN184" s="114"/>
      <c r="CO184" s="114"/>
      <c r="CP184" s="114"/>
      <c r="CQ184" s="114"/>
      <c r="CR184" s="114"/>
      <c r="CS184" s="114"/>
      <c r="CT184" s="114"/>
      <c r="CU184" s="114"/>
      <c r="CV184" s="114"/>
      <c r="CW184" s="114"/>
      <c r="CX184" s="114"/>
      <c r="CY184" s="114"/>
      <c r="CZ184" s="114"/>
      <c r="DA184" s="114"/>
      <c r="DB184" s="114"/>
      <c r="DC184" s="114"/>
      <c r="DD184" s="114"/>
      <c r="DE184" s="114"/>
      <c r="DF184" s="114"/>
      <c r="DG184" s="114"/>
      <c r="DH184" s="114"/>
      <c r="DI184" s="114"/>
      <c r="DJ184" s="114"/>
      <c r="DK184" s="114"/>
      <c r="DL184" s="114"/>
      <c r="DM184" s="114"/>
      <c r="DN184" s="114"/>
      <c r="DO184" s="114"/>
      <c r="DP184" s="114"/>
      <c r="DQ184" s="114"/>
    </row>
    <row r="185" spans="1:121" ht="15" customHeight="1" outlineLevel="4" x14ac:dyDescent="0.25">
      <c r="A185" s="101"/>
      <c r="B185" s="101"/>
      <c r="C185" s="101">
        <v>5</v>
      </c>
      <c r="D185" s="102" t="s">
        <v>647</v>
      </c>
      <c r="E185" s="103"/>
      <c r="F185" s="103"/>
      <c r="G185" s="103"/>
      <c r="H185" s="103"/>
      <c r="I185" s="103" t="s">
        <v>241</v>
      </c>
      <c r="J185" s="103"/>
      <c r="K185" s="103"/>
      <c r="L185" s="103"/>
      <c r="M185" s="103"/>
      <c r="N185" s="103"/>
      <c r="O185" s="103" t="str">
        <f>O184</f>
        <v>2동 1F PPC CV</v>
      </c>
      <c r="P185" s="104"/>
      <c r="Q185" s="108">
        <v>45091</v>
      </c>
      <c r="R185" s="108">
        <v>45182</v>
      </c>
      <c r="S185" s="106">
        <f>R185-Q185</f>
        <v>91</v>
      </c>
      <c r="T185" s="107">
        <v>184</v>
      </c>
      <c r="U185" s="107">
        <v>0</v>
      </c>
      <c r="V185" s="107">
        <v>92</v>
      </c>
      <c r="W185" s="107">
        <v>0</v>
      </c>
      <c r="X185" s="108"/>
      <c r="Y185" s="108"/>
      <c r="Z185" s="109"/>
      <c r="AA185" s="110">
        <v>0</v>
      </c>
      <c r="AB185" s="107">
        <v>2</v>
      </c>
      <c r="AC185" s="106"/>
      <c r="AD185" s="180"/>
      <c r="AE185" s="111">
        <v>0</v>
      </c>
      <c r="AF185" s="121">
        <v>0</v>
      </c>
      <c r="AG185" s="113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 t="str">
        <f>"   " &amp; TEXT(AF185,"#0.00%") &amp; " "</f>
        <v xml:space="preserve">   0.00% </v>
      </c>
      <c r="BA185" s="114"/>
      <c r="BB185" s="114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/>
      <c r="BM185" s="114" t="str">
        <f>"    " &amp; "가공품 발주 및 입고" &amp; " " &amp; IF(Q185="","",TEXT(Q185,"M/D-")) &amp; IF(R185="","",TEXT(R185,"M/D")) &amp; " "</f>
        <v xml:space="preserve">    가공품 발주 및 입고 6/14-9/13 </v>
      </c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4"/>
      <c r="BY185" s="114"/>
      <c r="BZ185" s="114"/>
      <c r="CA185" s="114"/>
      <c r="CB185" s="114"/>
      <c r="CC185" s="114"/>
      <c r="CD185" s="114"/>
      <c r="CE185" s="114"/>
      <c r="CF185" s="114"/>
      <c r="CG185" s="114"/>
      <c r="CH185" s="114"/>
      <c r="CI185" s="114"/>
      <c r="CJ185" s="114"/>
      <c r="CK185" s="114"/>
      <c r="CL185" s="114"/>
      <c r="CM185" s="114"/>
      <c r="CN185" s="114"/>
      <c r="CO185" s="114"/>
      <c r="CP185" s="114"/>
      <c r="CQ185" s="114"/>
      <c r="CR185" s="114"/>
      <c r="CS185" s="114"/>
      <c r="CT185" s="114"/>
      <c r="CU185" s="114"/>
      <c r="CV185" s="114"/>
      <c r="CW185" s="114"/>
      <c r="CX185" s="114"/>
      <c r="CY185" s="114"/>
      <c r="CZ185" s="114"/>
      <c r="DA185" s="114"/>
      <c r="DB185" s="114"/>
      <c r="DC185" s="114"/>
      <c r="DD185" s="114"/>
      <c r="DE185" s="114"/>
      <c r="DF185" s="114"/>
      <c r="DG185" s="114"/>
      <c r="DH185" s="114"/>
      <c r="DI185" s="114"/>
      <c r="DJ185" s="114"/>
      <c r="DK185" s="114"/>
      <c r="DL185" s="114"/>
      <c r="DM185" s="114"/>
      <c r="DN185" s="114"/>
      <c r="DO185" s="114"/>
      <c r="DP185" s="114"/>
      <c r="DQ185" s="114"/>
    </row>
    <row r="186" spans="1:121" ht="15" customHeight="1" outlineLevel="4" x14ac:dyDescent="0.25">
      <c r="A186" s="101"/>
      <c r="B186" s="101"/>
      <c r="C186" s="101">
        <v>5</v>
      </c>
      <c r="D186" s="102" t="s">
        <v>648</v>
      </c>
      <c r="E186" s="103"/>
      <c r="F186" s="103"/>
      <c r="G186" s="103"/>
      <c r="H186" s="103"/>
      <c r="I186" s="103" t="s">
        <v>220</v>
      </c>
      <c r="J186" s="103"/>
      <c r="K186" s="103"/>
      <c r="L186" s="103"/>
      <c r="M186" s="103"/>
      <c r="N186" s="103"/>
      <c r="O186" s="103" t="str">
        <f>O185</f>
        <v>2동 1F PPC CV</v>
      </c>
      <c r="P186" s="104"/>
      <c r="Q186" s="108">
        <v>45167</v>
      </c>
      <c r="R186" s="108">
        <v>45228</v>
      </c>
      <c r="S186" s="106">
        <f>R186-Q186</f>
        <v>61</v>
      </c>
      <c r="T186" s="107">
        <v>248</v>
      </c>
      <c r="U186" s="107">
        <v>0</v>
      </c>
      <c r="V186" s="107">
        <v>62</v>
      </c>
      <c r="W186" s="107">
        <v>0</v>
      </c>
      <c r="X186" s="108"/>
      <c r="Y186" s="108"/>
      <c r="Z186" s="109"/>
      <c r="AA186" s="110">
        <v>0</v>
      </c>
      <c r="AB186" s="107">
        <v>4</v>
      </c>
      <c r="AC186" s="106"/>
      <c r="AD186" s="180"/>
      <c r="AE186" s="111">
        <v>0</v>
      </c>
      <c r="AF186" s="121">
        <v>0</v>
      </c>
      <c r="AG186" s="113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 t="str">
        <f>"  " &amp; TEXT(AF186,"#0.00%") &amp; " "</f>
        <v xml:space="preserve">  0.00% </v>
      </c>
      <c r="BL186" s="114"/>
      <c r="BM186" s="114"/>
      <c r="BN186" s="114"/>
      <c r="BO186" s="114"/>
      <c r="BP186" s="114"/>
      <c r="BQ186" s="114"/>
      <c r="BR186" s="114"/>
      <c r="BS186" s="114"/>
      <c r="BT186" s="114" t="str">
        <f>" " &amp; "기구조립" &amp; " " &amp; IF(Q186="","",TEXT(Q186,"M/D-")) &amp; IF(R186="","",TEXT(R186,"M/D")) &amp; " "</f>
        <v xml:space="preserve"> 기구조립 8/29-10/29 </v>
      </c>
      <c r="BU186" s="114"/>
      <c r="BV186" s="114"/>
      <c r="BW186" s="114"/>
      <c r="BX186" s="114"/>
      <c r="BY186" s="114"/>
      <c r="BZ186" s="114"/>
      <c r="CA186" s="114"/>
      <c r="CB186" s="114"/>
      <c r="CC186" s="114"/>
      <c r="CD186" s="114"/>
      <c r="CE186" s="114"/>
      <c r="CF186" s="114"/>
      <c r="CG186" s="114"/>
      <c r="CH186" s="114"/>
      <c r="CI186" s="114"/>
      <c r="CJ186" s="114"/>
      <c r="CK186" s="114"/>
      <c r="CL186" s="114"/>
      <c r="CM186" s="114"/>
      <c r="CN186" s="114"/>
      <c r="CO186" s="114"/>
      <c r="CP186" s="114"/>
      <c r="CQ186" s="114"/>
      <c r="CR186" s="114"/>
      <c r="CS186" s="114"/>
      <c r="CT186" s="114"/>
      <c r="CU186" s="114"/>
      <c r="CV186" s="114"/>
      <c r="CW186" s="114"/>
      <c r="CX186" s="114"/>
      <c r="CY186" s="114"/>
      <c r="CZ186" s="114"/>
      <c r="DA186" s="114"/>
      <c r="DB186" s="114"/>
      <c r="DC186" s="114"/>
      <c r="DD186" s="114"/>
      <c r="DE186" s="114"/>
      <c r="DF186" s="114"/>
      <c r="DG186" s="114"/>
      <c r="DH186" s="114"/>
      <c r="DI186" s="114"/>
      <c r="DJ186" s="114"/>
      <c r="DK186" s="114"/>
      <c r="DL186" s="114"/>
      <c r="DM186" s="114"/>
      <c r="DN186" s="114"/>
      <c r="DO186" s="114"/>
      <c r="DP186" s="114"/>
      <c r="DQ186" s="114"/>
    </row>
    <row r="187" spans="1:121" ht="15" customHeight="1" outlineLevel="4" x14ac:dyDescent="0.25">
      <c r="A187" s="101"/>
      <c r="B187" s="101"/>
      <c r="C187" s="101">
        <v>5</v>
      </c>
      <c r="D187" s="102" t="s">
        <v>649</v>
      </c>
      <c r="E187" s="103"/>
      <c r="F187" s="103"/>
      <c r="G187" s="103"/>
      <c r="H187" s="103"/>
      <c r="I187" s="103" t="s">
        <v>221</v>
      </c>
      <c r="J187" s="103"/>
      <c r="K187" s="103"/>
      <c r="L187" s="103"/>
      <c r="M187" s="103"/>
      <c r="N187" s="103"/>
      <c r="O187" s="103" t="str">
        <f>O186</f>
        <v>2동 1F PPC CV</v>
      </c>
      <c r="P187" s="104"/>
      <c r="Q187" s="108">
        <v>45199</v>
      </c>
      <c r="R187" s="108">
        <v>45228</v>
      </c>
      <c r="S187" s="106">
        <f>R187-Q187</f>
        <v>29</v>
      </c>
      <c r="T187" s="107">
        <v>60</v>
      </c>
      <c r="U187" s="107">
        <v>0</v>
      </c>
      <c r="V187" s="107">
        <v>30</v>
      </c>
      <c r="W187" s="107">
        <v>0</v>
      </c>
      <c r="X187" s="108"/>
      <c r="Y187" s="108"/>
      <c r="Z187" s="109"/>
      <c r="AA187" s="110">
        <v>0</v>
      </c>
      <c r="AB187" s="107">
        <v>2</v>
      </c>
      <c r="AC187" s="106"/>
      <c r="AD187" s="180"/>
      <c r="AE187" s="111">
        <v>0</v>
      </c>
      <c r="AF187" s="121">
        <v>0</v>
      </c>
      <c r="AG187" s="113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 t="str">
        <f>"      " &amp; TEXT(AF187,"#0.00%") &amp; " "</f>
        <v xml:space="preserve">      0.00% </v>
      </c>
      <c r="BP187" s="114"/>
      <c r="BQ187" s="114"/>
      <c r="BR187" s="114"/>
      <c r="BS187" s="114"/>
      <c r="BT187" s="114" t="str">
        <f>" " &amp; "전장조립" &amp; " " &amp; IF(Q187="","",TEXT(Q187,"M/D-")) &amp; IF(R187="","",TEXT(R187,"M/D")) &amp; " "</f>
        <v xml:space="preserve"> 전장조립 9/30-10/29 </v>
      </c>
      <c r="BU187" s="114"/>
      <c r="BV187" s="114"/>
      <c r="BW187" s="114"/>
      <c r="BX187" s="114"/>
      <c r="BY187" s="114"/>
      <c r="BZ187" s="114"/>
      <c r="CA187" s="114"/>
      <c r="CB187" s="114"/>
      <c r="CC187" s="114"/>
      <c r="CD187" s="114"/>
      <c r="CE187" s="114"/>
      <c r="CF187" s="114"/>
      <c r="CG187" s="114"/>
      <c r="CH187" s="114"/>
      <c r="CI187" s="114"/>
      <c r="CJ187" s="114"/>
      <c r="CK187" s="114"/>
      <c r="CL187" s="114"/>
      <c r="CM187" s="114"/>
      <c r="CN187" s="114"/>
      <c r="CO187" s="114"/>
      <c r="CP187" s="114"/>
      <c r="CQ187" s="114"/>
      <c r="CR187" s="114"/>
      <c r="CS187" s="114"/>
      <c r="CT187" s="114"/>
      <c r="CU187" s="114"/>
      <c r="CV187" s="114"/>
      <c r="CW187" s="114"/>
      <c r="CX187" s="114"/>
      <c r="CY187" s="114"/>
      <c r="CZ187" s="114"/>
      <c r="DA187" s="114"/>
      <c r="DB187" s="114"/>
      <c r="DC187" s="114"/>
      <c r="DD187" s="114"/>
      <c r="DE187" s="114"/>
      <c r="DF187" s="114"/>
      <c r="DG187" s="114"/>
      <c r="DH187" s="114"/>
      <c r="DI187" s="114"/>
      <c r="DJ187" s="114"/>
      <c r="DK187" s="114"/>
      <c r="DL187" s="114"/>
      <c r="DM187" s="114"/>
      <c r="DN187" s="114"/>
      <c r="DO187" s="114"/>
      <c r="DP187" s="114"/>
      <c r="DQ187" s="114"/>
    </row>
    <row r="188" spans="1:121" ht="15" customHeight="1" outlineLevel="3" x14ac:dyDescent="0.25">
      <c r="A188" s="101"/>
      <c r="B188" s="101" t="s">
        <v>153</v>
      </c>
      <c r="C188" s="101">
        <v>4</v>
      </c>
      <c r="D188" s="102" t="s">
        <v>650</v>
      </c>
      <c r="E188" s="103"/>
      <c r="F188" s="103"/>
      <c r="G188" s="103"/>
      <c r="H188" s="103" t="s">
        <v>651</v>
      </c>
      <c r="I188" s="103"/>
      <c r="J188" s="103"/>
      <c r="K188" s="103"/>
      <c r="L188" s="103"/>
      <c r="M188" s="103"/>
      <c r="N188" s="103"/>
      <c r="O188" s="103" t="str">
        <f>H188</f>
        <v>2동 1F 충방전 CV</v>
      </c>
      <c r="P188" s="104"/>
      <c r="Q188" s="108">
        <v>45032</v>
      </c>
      <c r="R188" s="105">
        <v>45228</v>
      </c>
      <c r="S188" s="106"/>
      <c r="T188" s="107">
        <v>886</v>
      </c>
      <c r="U188" s="107">
        <v>76</v>
      </c>
      <c r="V188" s="107">
        <v>197</v>
      </c>
      <c r="W188" s="107">
        <v>38</v>
      </c>
      <c r="X188" s="108"/>
      <c r="Y188" s="108"/>
      <c r="Z188" s="109">
        <v>0</v>
      </c>
      <c r="AA188" s="110">
        <v>0</v>
      </c>
      <c r="AB188" s="107"/>
      <c r="AC188" s="106"/>
      <c r="AD188" s="180"/>
      <c r="AE188" s="111">
        <v>8.5778781038374718E-2</v>
      </c>
      <c r="AF188" s="112">
        <v>0</v>
      </c>
      <c r="AG188" s="113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 t="str">
        <f>"" &amp; TEXT(AF188,"#0.00%") &amp; " "</f>
        <v xml:space="preserve">0.00% </v>
      </c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 t="str">
        <f>" " &amp; "2동 1F 충방전 CV" &amp; " " &amp; IF(Q188="","",TEXT(Q188,"M/D-")) &amp; IF(R188="","",TEXT(R188,"M/D")) &amp; " "</f>
        <v xml:space="preserve"> 2동 1F 충방전 CV 4/16-10/29 </v>
      </c>
      <c r="BU188" s="114"/>
      <c r="BV188" s="114"/>
      <c r="BW188" s="114"/>
      <c r="BX188" s="114"/>
      <c r="BY188" s="114"/>
      <c r="BZ188" s="114"/>
      <c r="CA188" s="114"/>
      <c r="CB188" s="114"/>
      <c r="CC188" s="114"/>
      <c r="CD188" s="114"/>
      <c r="CE188" s="114"/>
      <c r="CF188" s="114"/>
      <c r="CG188" s="114"/>
      <c r="CH188" s="114"/>
      <c r="CI188" s="114"/>
      <c r="CJ188" s="114"/>
      <c r="CK188" s="114"/>
      <c r="CL188" s="114"/>
      <c r="CM188" s="114"/>
      <c r="CN188" s="114"/>
      <c r="CO188" s="114"/>
      <c r="CP188" s="114"/>
      <c r="CQ188" s="114"/>
      <c r="CR188" s="114"/>
      <c r="CS188" s="114"/>
      <c r="CT188" s="114"/>
      <c r="CU188" s="114"/>
      <c r="CV188" s="114"/>
      <c r="CW188" s="114"/>
      <c r="CX188" s="114"/>
      <c r="CY188" s="114"/>
      <c r="CZ188" s="114"/>
      <c r="DA188" s="114"/>
      <c r="DB188" s="114"/>
      <c r="DC188" s="114"/>
      <c r="DD188" s="114"/>
      <c r="DE188" s="114"/>
      <c r="DF188" s="114"/>
      <c r="DG188" s="114"/>
      <c r="DH188" s="114"/>
      <c r="DI188" s="114"/>
      <c r="DJ188" s="114"/>
      <c r="DK188" s="114"/>
      <c r="DL188" s="114"/>
      <c r="DM188" s="114"/>
      <c r="DN188" s="114"/>
      <c r="DO188" s="114"/>
      <c r="DP188" s="114"/>
      <c r="DQ188" s="114"/>
    </row>
    <row r="189" spans="1:121" ht="15" customHeight="1" outlineLevel="4" x14ac:dyDescent="0.25">
      <c r="A189" s="101"/>
      <c r="B189" s="101"/>
      <c r="C189" s="101">
        <v>5</v>
      </c>
      <c r="D189" s="102" t="s">
        <v>652</v>
      </c>
      <c r="E189" s="103"/>
      <c r="F189" s="103"/>
      <c r="G189" s="103"/>
      <c r="H189" s="103"/>
      <c r="I189" s="103" t="s">
        <v>217</v>
      </c>
      <c r="J189" s="103"/>
      <c r="K189" s="103"/>
      <c r="L189" s="103"/>
      <c r="M189" s="103"/>
      <c r="N189" s="103"/>
      <c r="O189" s="103" t="str">
        <f>O188</f>
        <v>2동 1F 충방전 CV</v>
      </c>
      <c r="P189" s="104"/>
      <c r="Q189" s="108">
        <v>45032</v>
      </c>
      <c r="R189" s="108">
        <v>45228</v>
      </c>
      <c r="S189" s="106">
        <f>R189-Q189</f>
        <v>196</v>
      </c>
      <c r="T189" s="107">
        <v>394</v>
      </c>
      <c r="U189" s="107">
        <v>76</v>
      </c>
      <c r="V189" s="107">
        <v>197</v>
      </c>
      <c r="W189" s="107">
        <v>38</v>
      </c>
      <c r="X189" s="108"/>
      <c r="Y189" s="108"/>
      <c r="Z189" s="109"/>
      <c r="AA189" s="110">
        <v>0</v>
      </c>
      <c r="AB189" s="107">
        <v>2</v>
      </c>
      <c r="AC189" s="106"/>
      <c r="AD189" s="180"/>
      <c r="AE189" s="111">
        <v>0.19289340101522842</v>
      </c>
      <c r="AF189" s="117">
        <v>0</v>
      </c>
      <c r="AG189" s="113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 t="str">
        <f>"" &amp; TEXT(AF189,"#0.00%") &amp; " "</f>
        <v xml:space="preserve">0.00% </v>
      </c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 t="str">
        <f>" " &amp; "장납기 구매품 발주 및 입고" &amp; " " &amp; IF(Q189="","",TEXT(Q189,"M/D-")) &amp; IF(R189="","",TEXT(R189,"M/D")) &amp; " "</f>
        <v xml:space="preserve"> 장납기 구매품 발주 및 입고 4/16-10/29 </v>
      </c>
      <c r="BU189" s="114"/>
      <c r="BV189" s="114"/>
      <c r="BW189" s="114"/>
      <c r="BX189" s="114"/>
      <c r="BY189" s="114"/>
      <c r="BZ189" s="114"/>
      <c r="CA189" s="114"/>
      <c r="CB189" s="114"/>
      <c r="CC189" s="114"/>
      <c r="CD189" s="114"/>
      <c r="CE189" s="114"/>
      <c r="CF189" s="114"/>
      <c r="CG189" s="114"/>
      <c r="CH189" s="114"/>
      <c r="CI189" s="114"/>
      <c r="CJ189" s="114"/>
      <c r="CK189" s="114"/>
      <c r="CL189" s="114"/>
      <c r="CM189" s="114"/>
      <c r="CN189" s="114"/>
      <c r="CO189" s="114"/>
      <c r="CP189" s="114"/>
      <c r="CQ189" s="114"/>
      <c r="CR189" s="114"/>
      <c r="CS189" s="114"/>
      <c r="CT189" s="114"/>
      <c r="CU189" s="114"/>
      <c r="CV189" s="114"/>
      <c r="CW189" s="114"/>
      <c r="CX189" s="114"/>
      <c r="CY189" s="114"/>
      <c r="CZ189" s="114"/>
      <c r="DA189" s="114"/>
      <c r="DB189" s="114"/>
      <c r="DC189" s="114"/>
      <c r="DD189" s="114"/>
      <c r="DE189" s="114"/>
      <c r="DF189" s="114"/>
      <c r="DG189" s="114"/>
      <c r="DH189" s="114"/>
      <c r="DI189" s="114"/>
      <c r="DJ189" s="114"/>
      <c r="DK189" s="114"/>
      <c r="DL189" s="114"/>
      <c r="DM189" s="114"/>
      <c r="DN189" s="114"/>
      <c r="DO189" s="114"/>
      <c r="DP189" s="114"/>
      <c r="DQ189" s="114"/>
    </row>
    <row r="190" spans="1:121" ht="15" customHeight="1" outlineLevel="4" x14ac:dyDescent="0.25">
      <c r="A190" s="101"/>
      <c r="B190" s="101"/>
      <c r="C190" s="101">
        <v>5</v>
      </c>
      <c r="D190" s="102" t="s">
        <v>653</v>
      </c>
      <c r="E190" s="103"/>
      <c r="F190" s="103"/>
      <c r="G190" s="103"/>
      <c r="H190" s="103"/>
      <c r="I190" s="103" t="s">
        <v>241</v>
      </c>
      <c r="J190" s="103"/>
      <c r="K190" s="103"/>
      <c r="L190" s="103"/>
      <c r="M190" s="103"/>
      <c r="N190" s="103"/>
      <c r="O190" s="103" t="str">
        <f>O189</f>
        <v>2동 1F 충방전 CV</v>
      </c>
      <c r="P190" s="104"/>
      <c r="Q190" s="108">
        <v>45091</v>
      </c>
      <c r="R190" s="108">
        <v>45182</v>
      </c>
      <c r="S190" s="106">
        <f>R190-Q190</f>
        <v>91</v>
      </c>
      <c r="T190" s="107">
        <v>184</v>
      </c>
      <c r="U190" s="107">
        <v>0</v>
      </c>
      <c r="V190" s="107">
        <v>92</v>
      </c>
      <c r="W190" s="107">
        <v>0</v>
      </c>
      <c r="X190" s="108"/>
      <c r="Y190" s="108"/>
      <c r="Z190" s="109"/>
      <c r="AA190" s="110">
        <v>0</v>
      </c>
      <c r="AB190" s="107">
        <v>2</v>
      </c>
      <c r="AC190" s="106"/>
      <c r="AD190" s="180"/>
      <c r="AE190" s="111">
        <v>0</v>
      </c>
      <c r="AF190" s="121">
        <v>0</v>
      </c>
      <c r="AG190" s="113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 t="str">
        <f>"   " &amp; TEXT(AF190,"#0.00%") &amp; " "</f>
        <v xml:space="preserve">   0.00% </v>
      </c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 t="str">
        <f>"    " &amp; "가공품 발주 및 입고" &amp; " " &amp; IF(Q190="","",TEXT(Q190,"M/D-")) &amp; IF(R190="","",TEXT(R190,"M/D")) &amp; " "</f>
        <v xml:space="preserve">    가공품 발주 및 입고 6/14-9/13 </v>
      </c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  <c r="BY190" s="114"/>
      <c r="BZ190" s="114"/>
      <c r="CA190" s="114"/>
      <c r="CB190" s="114"/>
      <c r="CC190" s="114"/>
      <c r="CD190" s="114"/>
      <c r="CE190" s="114"/>
      <c r="CF190" s="114"/>
      <c r="CG190" s="114"/>
      <c r="CH190" s="114"/>
      <c r="CI190" s="114"/>
      <c r="CJ190" s="114"/>
      <c r="CK190" s="114"/>
      <c r="CL190" s="114"/>
      <c r="CM190" s="114"/>
      <c r="CN190" s="114"/>
      <c r="CO190" s="114"/>
      <c r="CP190" s="114"/>
      <c r="CQ190" s="114"/>
      <c r="CR190" s="114"/>
      <c r="CS190" s="114"/>
      <c r="CT190" s="114"/>
      <c r="CU190" s="114"/>
      <c r="CV190" s="114"/>
      <c r="CW190" s="114"/>
      <c r="CX190" s="114"/>
      <c r="CY190" s="114"/>
      <c r="CZ190" s="114"/>
      <c r="DA190" s="114"/>
      <c r="DB190" s="114"/>
      <c r="DC190" s="114"/>
      <c r="DD190" s="114"/>
      <c r="DE190" s="114"/>
      <c r="DF190" s="114"/>
      <c r="DG190" s="114"/>
      <c r="DH190" s="114"/>
      <c r="DI190" s="114"/>
      <c r="DJ190" s="114"/>
      <c r="DK190" s="114"/>
      <c r="DL190" s="114"/>
      <c r="DM190" s="114"/>
      <c r="DN190" s="114"/>
      <c r="DO190" s="114"/>
      <c r="DP190" s="114"/>
      <c r="DQ190" s="114"/>
    </row>
    <row r="191" spans="1:121" ht="15" customHeight="1" outlineLevel="4" x14ac:dyDescent="0.25">
      <c r="A191" s="101"/>
      <c r="B191" s="101"/>
      <c r="C191" s="101">
        <v>5</v>
      </c>
      <c r="D191" s="102" t="s">
        <v>654</v>
      </c>
      <c r="E191" s="103"/>
      <c r="F191" s="103"/>
      <c r="G191" s="103"/>
      <c r="H191" s="103"/>
      <c r="I191" s="103" t="s">
        <v>220</v>
      </c>
      <c r="J191" s="103"/>
      <c r="K191" s="103"/>
      <c r="L191" s="103"/>
      <c r="M191" s="103"/>
      <c r="N191" s="103"/>
      <c r="O191" s="103" t="str">
        <f>O190</f>
        <v>2동 1F 충방전 CV</v>
      </c>
      <c r="P191" s="104"/>
      <c r="Q191" s="108">
        <v>45167</v>
      </c>
      <c r="R191" s="108">
        <v>45228</v>
      </c>
      <c r="S191" s="106">
        <f>R191-Q191</f>
        <v>61</v>
      </c>
      <c r="T191" s="107">
        <v>248</v>
      </c>
      <c r="U191" s="107">
        <v>0</v>
      </c>
      <c r="V191" s="107">
        <v>62</v>
      </c>
      <c r="W191" s="107">
        <v>0</v>
      </c>
      <c r="X191" s="108"/>
      <c r="Y191" s="108"/>
      <c r="Z191" s="109"/>
      <c r="AA191" s="110">
        <v>0</v>
      </c>
      <c r="AB191" s="107">
        <v>4</v>
      </c>
      <c r="AC191" s="106"/>
      <c r="AD191" s="180"/>
      <c r="AE191" s="111">
        <v>0</v>
      </c>
      <c r="AF191" s="121">
        <v>0</v>
      </c>
      <c r="AG191" s="113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 t="str">
        <f>"  " &amp; TEXT(AF191,"#0.00%") &amp; " "</f>
        <v xml:space="preserve">  0.00% </v>
      </c>
      <c r="BL191" s="114"/>
      <c r="BM191" s="114"/>
      <c r="BN191" s="114"/>
      <c r="BO191" s="114"/>
      <c r="BP191" s="114"/>
      <c r="BQ191" s="114"/>
      <c r="BR191" s="114"/>
      <c r="BS191" s="114"/>
      <c r="BT191" s="114" t="str">
        <f>" " &amp; "기구조립" &amp; " " &amp; IF(Q191="","",TEXT(Q191,"M/D-")) &amp; IF(R191="","",TEXT(R191,"M/D")) &amp; " "</f>
        <v xml:space="preserve"> 기구조립 8/29-10/29 </v>
      </c>
      <c r="BU191" s="114"/>
      <c r="BV191" s="114"/>
      <c r="BW191" s="114"/>
      <c r="BX191" s="114"/>
      <c r="BY191" s="114"/>
      <c r="BZ191" s="114"/>
      <c r="CA191" s="114"/>
      <c r="CB191" s="114"/>
      <c r="CC191" s="114"/>
      <c r="CD191" s="114"/>
      <c r="CE191" s="114"/>
      <c r="CF191" s="114"/>
      <c r="CG191" s="114"/>
      <c r="CH191" s="114"/>
      <c r="CI191" s="114"/>
      <c r="CJ191" s="114"/>
      <c r="CK191" s="114"/>
      <c r="CL191" s="114"/>
      <c r="CM191" s="114"/>
      <c r="CN191" s="114"/>
      <c r="CO191" s="114"/>
      <c r="CP191" s="114"/>
      <c r="CQ191" s="114"/>
      <c r="CR191" s="114"/>
      <c r="CS191" s="114"/>
      <c r="CT191" s="114"/>
      <c r="CU191" s="114"/>
      <c r="CV191" s="114"/>
      <c r="CW191" s="114"/>
      <c r="CX191" s="114"/>
      <c r="CY191" s="114"/>
      <c r="CZ191" s="114"/>
      <c r="DA191" s="114"/>
      <c r="DB191" s="114"/>
      <c r="DC191" s="114"/>
      <c r="DD191" s="114"/>
      <c r="DE191" s="114"/>
      <c r="DF191" s="114"/>
      <c r="DG191" s="114"/>
      <c r="DH191" s="114"/>
      <c r="DI191" s="114"/>
      <c r="DJ191" s="114"/>
      <c r="DK191" s="114"/>
      <c r="DL191" s="114"/>
      <c r="DM191" s="114"/>
      <c r="DN191" s="114"/>
      <c r="DO191" s="114"/>
      <c r="DP191" s="114"/>
      <c r="DQ191" s="114"/>
    </row>
    <row r="192" spans="1:121" ht="15" customHeight="1" outlineLevel="4" x14ac:dyDescent="0.25">
      <c r="A192" s="101"/>
      <c r="B192" s="101"/>
      <c r="C192" s="101">
        <v>5</v>
      </c>
      <c r="D192" s="102" t="s">
        <v>655</v>
      </c>
      <c r="E192" s="103"/>
      <c r="F192" s="103"/>
      <c r="G192" s="103"/>
      <c r="H192" s="103"/>
      <c r="I192" s="103" t="s">
        <v>221</v>
      </c>
      <c r="J192" s="103"/>
      <c r="K192" s="103"/>
      <c r="L192" s="103"/>
      <c r="M192" s="103"/>
      <c r="N192" s="103"/>
      <c r="O192" s="103" t="str">
        <f>O191</f>
        <v>2동 1F 충방전 CV</v>
      </c>
      <c r="P192" s="104"/>
      <c r="Q192" s="108">
        <v>45199</v>
      </c>
      <c r="R192" s="108">
        <v>45228</v>
      </c>
      <c r="S192" s="106">
        <f>R192-Q192</f>
        <v>29</v>
      </c>
      <c r="T192" s="107">
        <v>60</v>
      </c>
      <c r="U192" s="107">
        <v>0</v>
      </c>
      <c r="V192" s="107">
        <v>30</v>
      </c>
      <c r="W192" s="107">
        <v>0</v>
      </c>
      <c r="X192" s="108"/>
      <c r="Y192" s="108"/>
      <c r="Z192" s="109"/>
      <c r="AA192" s="110">
        <v>0</v>
      </c>
      <c r="AB192" s="107">
        <v>2</v>
      </c>
      <c r="AC192" s="106"/>
      <c r="AD192" s="180"/>
      <c r="AE192" s="111">
        <v>0</v>
      </c>
      <c r="AF192" s="121">
        <v>0</v>
      </c>
      <c r="AG192" s="113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 t="str">
        <f>"      " &amp; TEXT(AF192,"#0.00%") &amp; " "</f>
        <v xml:space="preserve">      0.00% </v>
      </c>
      <c r="BP192" s="114"/>
      <c r="BQ192" s="114"/>
      <c r="BR192" s="114"/>
      <c r="BS192" s="114"/>
      <c r="BT192" s="114" t="str">
        <f>" " &amp; "전장조립" &amp; " " &amp; IF(Q192="","",TEXT(Q192,"M/D-")) &amp; IF(R192="","",TEXT(R192,"M/D")) &amp; " "</f>
        <v xml:space="preserve"> 전장조립 9/30-10/29 </v>
      </c>
      <c r="BU192" s="114"/>
      <c r="BV192" s="114"/>
      <c r="BW192" s="114"/>
      <c r="BX192" s="114"/>
      <c r="BY192" s="114"/>
      <c r="BZ192" s="114"/>
      <c r="CA192" s="114"/>
      <c r="CB192" s="114"/>
      <c r="CC192" s="114"/>
      <c r="CD192" s="114"/>
      <c r="CE192" s="114"/>
      <c r="CF192" s="114"/>
      <c r="CG192" s="114"/>
      <c r="CH192" s="114"/>
      <c r="CI192" s="114"/>
      <c r="CJ192" s="114"/>
      <c r="CK192" s="114"/>
      <c r="CL192" s="114"/>
      <c r="CM192" s="114"/>
      <c r="CN192" s="114"/>
      <c r="CO192" s="114"/>
      <c r="CP192" s="114"/>
      <c r="CQ192" s="114"/>
      <c r="CR192" s="114"/>
      <c r="CS192" s="114"/>
      <c r="CT192" s="114"/>
      <c r="CU192" s="114"/>
      <c r="CV192" s="114"/>
      <c r="CW192" s="114"/>
      <c r="CX192" s="114"/>
      <c r="CY192" s="114"/>
      <c r="CZ192" s="114"/>
      <c r="DA192" s="114"/>
      <c r="DB192" s="114"/>
      <c r="DC192" s="114"/>
      <c r="DD192" s="114"/>
      <c r="DE192" s="114"/>
      <c r="DF192" s="114"/>
      <c r="DG192" s="114"/>
      <c r="DH192" s="114"/>
      <c r="DI192" s="114"/>
      <c r="DJ192" s="114"/>
      <c r="DK192" s="114"/>
      <c r="DL192" s="114"/>
      <c r="DM192" s="114"/>
      <c r="DN192" s="114"/>
      <c r="DO192" s="114"/>
      <c r="DP192" s="114"/>
      <c r="DQ192" s="114"/>
    </row>
    <row r="193" spans="1:121" ht="15" customHeight="1" outlineLevel="3" x14ac:dyDescent="0.25">
      <c r="A193" s="101"/>
      <c r="B193" s="101" t="s">
        <v>153</v>
      </c>
      <c r="C193" s="101">
        <v>4</v>
      </c>
      <c r="D193" s="102" t="s">
        <v>656</v>
      </c>
      <c r="E193" s="103"/>
      <c r="F193" s="103"/>
      <c r="G193" s="103"/>
      <c r="H193" s="103" t="s">
        <v>657</v>
      </c>
      <c r="I193" s="103"/>
      <c r="J193" s="103"/>
      <c r="K193" s="103"/>
      <c r="L193" s="103"/>
      <c r="M193" s="103"/>
      <c r="N193" s="103"/>
      <c r="O193" s="103" t="str">
        <f>H193</f>
        <v>2동 1F Folding CV</v>
      </c>
      <c r="P193" s="104"/>
      <c r="Q193" s="108">
        <v>45032</v>
      </c>
      <c r="R193" s="105">
        <v>45279</v>
      </c>
      <c r="S193" s="106"/>
      <c r="T193" s="107">
        <v>930</v>
      </c>
      <c r="U193" s="107">
        <v>76</v>
      </c>
      <c r="V193" s="107">
        <v>248</v>
      </c>
      <c r="W193" s="107">
        <v>38</v>
      </c>
      <c r="X193" s="108"/>
      <c r="Y193" s="108"/>
      <c r="Z193" s="109">
        <v>0</v>
      </c>
      <c r="AA193" s="110">
        <v>0</v>
      </c>
      <c r="AB193" s="107"/>
      <c r="AC193" s="106"/>
      <c r="AD193" s="180"/>
      <c r="AE193" s="111">
        <v>8.1720430107526887E-2</v>
      </c>
      <c r="AF193" s="112">
        <v>0</v>
      </c>
      <c r="AG193" s="113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 t="str">
        <f>"" &amp; TEXT(AF193,"#0.00%") &amp; " "</f>
        <v xml:space="preserve">0.00% </v>
      </c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114"/>
      <c r="CA193" s="114" t="str">
        <f>"   " &amp; "2동 1F Folding CV" &amp; " " &amp; IF(Q193="","",TEXT(Q193,"M/D-")) &amp; IF(R193="","",TEXT(R193,"M/D")) &amp; " "</f>
        <v xml:space="preserve">   2동 1F Folding CV 4/16-12/19 </v>
      </c>
      <c r="CB193" s="114"/>
      <c r="CC193" s="114"/>
      <c r="CD193" s="114"/>
      <c r="CE193" s="114"/>
      <c r="CF193" s="114"/>
      <c r="CG193" s="114"/>
      <c r="CH193" s="114"/>
      <c r="CI193" s="114"/>
      <c r="CJ193" s="114"/>
      <c r="CK193" s="114"/>
      <c r="CL193" s="114"/>
      <c r="CM193" s="114"/>
      <c r="CN193" s="114"/>
      <c r="CO193" s="114"/>
      <c r="CP193" s="114"/>
      <c r="CQ193" s="114"/>
      <c r="CR193" s="114"/>
      <c r="CS193" s="114"/>
      <c r="CT193" s="114"/>
      <c r="CU193" s="114"/>
      <c r="CV193" s="114"/>
      <c r="CW193" s="114"/>
      <c r="CX193" s="114"/>
      <c r="CY193" s="114"/>
      <c r="CZ193" s="114"/>
      <c r="DA193" s="114"/>
      <c r="DB193" s="114"/>
      <c r="DC193" s="114"/>
      <c r="DD193" s="114"/>
      <c r="DE193" s="114"/>
      <c r="DF193" s="114"/>
      <c r="DG193" s="114"/>
      <c r="DH193" s="114"/>
      <c r="DI193" s="114"/>
      <c r="DJ193" s="114"/>
      <c r="DK193" s="114"/>
      <c r="DL193" s="114"/>
      <c r="DM193" s="114"/>
      <c r="DN193" s="114"/>
      <c r="DO193" s="114"/>
      <c r="DP193" s="114"/>
      <c r="DQ193" s="114"/>
    </row>
    <row r="194" spans="1:121" ht="15" customHeight="1" outlineLevel="4" x14ac:dyDescent="0.25">
      <c r="A194" s="101"/>
      <c r="B194" s="101"/>
      <c r="C194" s="101">
        <v>5</v>
      </c>
      <c r="D194" s="102" t="s">
        <v>658</v>
      </c>
      <c r="E194" s="103"/>
      <c r="F194" s="103"/>
      <c r="G194" s="103"/>
      <c r="H194" s="103"/>
      <c r="I194" s="103" t="s">
        <v>217</v>
      </c>
      <c r="J194" s="103"/>
      <c r="K194" s="103"/>
      <c r="L194" s="103"/>
      <c r="M194" s="103"/>
      <c r="N194" s="103"/>
      <c r="O194" s="103" t="str">
        <f>O193</f>
        <v>2동 1F Folding CV</v>
      </c>
      <c r="P194" s="104"/>
      <c r="Q194" s="108">
        <v>45032</v>
      </c>
      <c r="R194" s="108">
        <v>45228</v>
      </c>
      <c r="S194" s="106">
        <f>R194-Q194</f>
        <v>196</v>
      </c>
      <c r="T194" s="107">
        <v>394</v>
      </c>
      <c r="U194" s="107">
        <v>76</v>
      </c>
      <c r="V194" s="107">
        <v>197</v>
      </c>
      <c r="W194" s="107">
        <v>38</v>
      </c>
      <c r="X194" s="108"/>
      <c r="Y194" s="108"/>
      <c r="Z194" s="109"/>
      <c r="AA194" s="110">
        <v>0</v>
      </c>
      <c r="AB194" s="107">
        <v>2</v>
      </c>
      <c r="AC194" s="106"/>
      <c r="AD194" s="180"/>
      <c r="AE194" s="111">
        <v>0.19289340101522842</v>
      </c>
      <c r="AF194" s="117">
        <v>0</v>
      </c>
      <c r="AG194" s="113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 t="str">
        <f>"" &amp; TEXT(AF194,"#0.00%") &amp; " "</f>
        <v xml:space="preserve">0.00% </v>
      </c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 t="str">
        <f>" " &amp; "장납기 구매품 발주 및 입고" &amp; " " &amp; IF(Q194="","",TEXT(Q194,"M/D-")) &amp; IF(R194="","",TEXT(R194,"M/D")) &amp; " "</f>
        <v xml:space="preserve"> 장납기 구매품 발주 및 입고 4/16-10/29 </v>
      </c>
      <c r="BU194" s="114"/>
      <c r="BV194" s="114"/>
      <c r="BW194" s="114"/>
      <c r="BX194" s="114"/>
      <c r="BY194" s="114"/>
      <c r="BZ194" s="114"/>
      <c r="CA194" s="114"/>
      <c r="CB194" s="114"/>
      <c r="CC194" s="114"/>
      <c r="CD194" s="114"/>
      <c r="CE194" s="114"/>
      <c r="CF194" s="114"/>
      <c r="CG194" s="114"/>
      <c r="CH194" s="114"/>
      <c r="CI194" s="114"/>
      <c r="CJ194" s="114"/>
      <c r="CK194" s="114"/>
      <c r="CL194" s="114"/>
      <c r="CM194" s="114"/>
      <c r="CN194" s="114"/>
      <c r="CO194" s="114"/>
      <c r="CP194" s="114"/>
      <c r="CQ194" s="114"/>
      <c r="CR194" s="114"/>
      <c r="CS194" s="114"/>
      <c r="CT194" s="114"/>
      <c r="CU194" s="114"/>
      <c r="CV194" s="114"/>
      <c r="CW194" s="114"/>
      <c r="CX194" s="114"/>
      <c r="CY194" s="114"/>
      <c r="CZ194" s="114"/>
      <c r="DA194" s="114"/>
      <c r="DB194" s="114"/>
      <c r="DC194" s="114"/>
      <c r="DD194" s="114"/>
      <c r="DE194" s="114"/>
      <c r="DF194" s="114"/>
      <c r="DG194" s="114"/>
      <c r="DH194" s="114"/>
      <c r="DI194" s="114"/>
      <c r="DJ194" s="114"/>
      <c r="DK194" s="114"/>
      <c r="DL194" s="114"/>
      <c r="DM194" s="114"/>
      <c r="DN194" s="114"/>
      <c r="DO194" s="114"/>
      <c r="DP194" s="114"/>
      <c r="DQ194" s="114"/>
    </row>
    <row r="195" spans="1:121" ht="15" customHeight="1" outlineLevel="4" x14ac:dyDescent="0.25">
      <c r="A195" s="101"/>
      <c r="B195" s="101"/>
      <c r="C195" s="101">
        <v>5</v>
      </c>
      <c r="D195" s="102" t="s">
        <v>659</v>
      </c>
      <c r="E195" s="103"/>
      <c r="F195" s="103"/>
      <c r="G195" s="103"/>
      <c r="H195" s="103"/>
      <c r="I195" s="103" t="s">
        <v>241</v>
      </c>
      <c r="J195" s="103"/>
      <c r="K195" s="103"/>
      <c r="L195" s="103"/>
      <c r="M195" s="103"/>
      <c r="N195" s="103"/>
      <c r="O195" s="103" t="str">
        <f>O194</f>
        <v>2동 1F Folding CV</v>
      </c>
      <c r="P195" s="104"/>
      <c r="Q195" s="108">
        <v>45091</v>
      </c>
      <c r="R195" s="108">
        <v>45228</v>
      </c>
      <c r="S195" s="106">
        <f>R195-Q195</f>
        <v>137</v>
      </c>
      <c r="T195" s="107">
        <v>276</v>
      </c>
      <c r="U195" s="107">
        <v>0</v>
      </c>
      <c r="V195" s="107">
        <v>138</v>
      </c>
      <c r="W195" s="107">
        <v>0</v>
      </c>
      <c r="X195" s="108"/>
      <c r="Y195" s="108"/>
      <c r="Z195" s="109"/>
      <c r="AA195" s="110">
        <v>0</v>
      </c>
      <c r="AB195" s="107">
        <v>2</v>
      </c>
      <c r="AC195" s="106"/>
      <c r="AD195" s="180"/>
      <c r="AE195" s="111">
        <v>0</v>
      </c>
      <c r="AF195" s="121">
        <v>0</v>
      </c>
      <c r="AG195" s="113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 t="str">
        <f>"   " &amp; TEXT(AF195,"#0.00%") &amp; " "</f>
        <v xml:space="preserve">   0.00% </v>
      </c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 t="str">
        <f>" " &amp; "가공품 발주 및 입고" &amp; " " &amp; IF(Q195="","",TEXT(Q195,"M/D-")) &amp; IF(R195="","",TEXT(R195,"M/D")) &amp; " "</f>
        <v xml:space="preserve"> 가공품 발주 및 입고 6/14-10/29 </v>
      </c>
      <c r="BU195" s="114"/>
      <c r="BV195" s="114"/>
      <c r="BW195" s="114"/>
      <c r="BX195" s="114"/>
      <c r="BY195" s="114"/>
      <c r="BZ195" s="114"/>
      <c r="CA195" s="114"/>
      <c r="CB195" s="114"/>
      <c r="CC195" s="114"/>
      <c r="CD195" s="114"/>
      <c r="CE195" s="114"/>
      <c r="CF195" s="114"/>
      <c r="CG195" s="114"/>
      <c r="CH195" s="114"/>
      <c r="CI195" s="114"/>
      <c r="CJ195" s="114"/>
      <c r="CK195" s="114"/>
      <c r="CL195" s="114"/>
      <c r="CM195" s="114"/>
      <c r="CN195" s="114"/>
      <c r="CO195" s="114"/>
      <c r="CP195" s="114"/>
      <c r="CQ195" s="114"/>
      <c r="CR195" s="114"/>
      <c r="CS195" s="114"/>
      <c r="CT195" s="114"/>
      <c r="CU195" s="114"/>
      <c r="CV195" s="114"/>
      <c r="CW195" s="114"/>
      <c r="CX195" s="114"/>
      <c r="CY195" s="114"/>
      <c r="CZ195" s="114"/>
      <c r="DA195" s="114"/>
      <c r="DB195" s="114"/>
      <c r="DC195" s="114"/>
      <c r="DD195" s="114"/>
      <c r="DE195" s="114"/>
      <c r="DF195" s="114"/>
      <c r="DG195" s="114"/>
      <c r="DH195" s="114"/>
      <c r="DI195" s="114"/>
      <c r="DJ195" s="114"/>
      <c r="DK195" s="114"/>
      <c r="DL195" s="114"/>
      <c r="DM195" s="114"/>
      <c r="DN195" s="114"/>
      <c r="DO195" s="114"/>
      <c r="DP195" s="114"/>
      <c r="DQ195" s="114"/>
    </row>
    <row r="196" spans="1:121" ht="15" customHeight="1" outlineLevel="4" x14ac:dyDescent="0.25">
      <c r="A196" s="101"/>
      <c r="B196" s="101"/>
      <c r="C196" s="101">
        <v>5</v>
      </c>
      <c r="D196" s="102" t="s">
        <v>660</v>
      </c>
      <c r="E196" s="103"/>
      <c r="F196" s="103"/>
      <c r="G196" s="103"/>
      <c r="H196" s="103"/>
      <c r="I196" s="103" t="s">
        <v>220</v>
      </c>
      <c r="J196" s="103"/>
      <c r="K196" s="103"/>
      <c r="L196" s="103"/>
      <c r="M196" s="103"/>
      <c r="N196" s="103"/>
      <c r="O196" s="103" t="str">
        <f>O195</f>
        <v>2동 1F Folding CV</v>
      </c>
      <c r="P196" s="104"/>
      <c r="Q196" s="108">
        <v>45213</v>
      </c>
      <c r="R196" s="108">
        <v>45259</v>
      </c>
      <c r="S196" s="106">
        <f>R196-Q196</f>
        <v>46</v>
      </c>
      <c r="T196" s="107">
        <v>188</v>
      </c>
      <c r="U196" s="107">
        <v>0</v>
      </c>
      <c r="V196" s="107">
        <v>47</v>
      </c>
      <c r="W196" s="107">
        <v>0</v>
      </c>
      <c r="X196" s="108"/>
      <c r="Y196" s="108"/>
      <c r="Z196" s="109"/>
      <c r="AA196" s="110">
        <v>0</v>
      </c>
      <c r="AB196" s="107">
        <v>4</v>
      </c>
      <c r="AC196" s="106"/>
      <c r="AD196" s="180"/>
      <c r="AE196" s="111">
        <v>0</v>
      </c>
      <c r="AF196" s="121">
        <v>0</v>
      </c>
      <c r="AG196" s="113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 t="str">
        <f>"      " &amp; TEXT(AF196,"#0.00%") &amp; " "</f>
        <v xml:space="preserve">      0.00% </v>
      </c>
      <c r="BR196" s="114"/>
      <c r="BS196" s="114"/>
      <c r="BT196" s="114"/>
      <c r="BU196" s="114"/>
      <c r="BV196" s="114"/>
      <c r="BW196" s="114"/>
      <c r="BX196" s="114" t="str">
        <f>"    " &amp; "기구조립" &amp; " " &amp; IF(Q196="","",TEXT(Q196,"M/D-")) &amp; IF(R196="","",TEXT(R196,"M/D")) &amp; " "</f>
        <v xml:space="preserve">    기구조립 10/14-11/29 </v>
      </c>
      <c r="BY196" s="114"/>
      <c r="BZ196" s="114"/>
      <c r="CA196" s="114"/>
      <c r="CB196" s="114"/>
      <c r="CC196" s="114"/>
      <c r="CD196" s="114"/>
      <c r="CE196" s="114"/>
      <c r="CF196" s="114"/>
      <c r="CG196" s="114"/>
      <c r="CH196" s="114"/>
      <c r="CI196" s="114"/>
      <c r="CJ196" s="114"/>
      <c r="CK196" s="114"/>
      <c r="CL196" s="114"/>
      <c r="CM196" s="114"/>
      <c r="CN196" s="114"/>
      <c r="CO196" s="114"/>
      <c r="CP196" s="114"/>
      <c r="CQ196" s="114"/>
      <c r="CR196" s="114"/>
      <c r="CS196" s="114"/>
      <c r="CT196" s="114"/>
      <c r="CU196" s="114"/>
      <c r="CV196" s="114"/>
      <c r="CW196" s="114"/>
      <c r="CX196" s="114"/>
      <c r="CY196" s="114"/>
      <c r="CZ196" s="114"/>
      <c r="DA196" s="114"/>
      <c r="DB196" s="114"/>
      <c r="DC196" s="114"/>
      <c r="DD196" s="114"/>
      <c r="DE196" s="114"/>
      <c r="DF196" s="114"/>
      <c r="DG196" s="114"/>
      <c r="DH196" s="114"/>
      <c r="DI196" s="114"/>
      <c r="DJ196" s="114"/>
      <c r="DK196" s="114"/>
      <c r="DL196" s="114"/>
      <c r="DM196" s="114"/>
      <c r="DN196" s="114"/>
      <c r="DO196" s="114"/>
      <c r="DP196" s="114"/>
      <c r="DQ196" s="114"/>
    </row>
    <row r="197" spans="1:121" ht="15" customHeight="1" outlineLevel="4" x14ac:dyDescent="0.25">
      <c r="A197" s="101"/>
      <c r="B197" s="101"/>
      <c r="C197" s="101">
        <v>5</v>
      </c>
      <c r="D197" s="102" t="s">
        <v>661</v>
      </c>
      <c r="E197" s="103"/>
      <c r="F197" s="103"/>
      <c r="G197" s="103"/>
      <c r="H197" s="103"/>
      <c r="I197" s="103" t="s">
        <v>221</v>
      </c>
      <c r="J197" s="103"/>
      <c r="K197" s="103"/>
      <c r="L197" s="103"/>
      <c r="M197" s="103"/>
      <c r="N197" s="103"/>
      <c r="O197" s="103" t="str">
        <f>O196</f>
        <v>2동 1F Folding CV</v>
      </c>
      <c r="P197" s="104"/>
      <c r="Q197" s="108">
        <v>45244</v>
      </c>
      <c r="R197" s="108">
        <v>45279</v>
      </c>
      <c r="S197" s="106">
        <f>R197-Q197</f>
        <v>35</v>
      </c>
      <c r="T197" s="107">
        <v>72</v>
      </c>
      <c r="U197" s="107">
        <v>0</v>
      </c>
      <c r="V197" s="107">
        <v>36</v>
      </c>
      <c r="W197" s="107">
        <v>0</v>
      </c>
      <c r="X197" s="108"/>
      <c r="Y197" s="108"/>
      <c r="Z197" s="109"/>
      <c r="AA197" s="110">
        <v>0</v>
      </c>
      <c r="AB197" s="107">
        <v>2</v>
      </c>
      <c r="AC197" s="106"/>
      <c r="AD197" s="180"/>
      <c r="AE197" s="111">
        <v>0</v>
      </c>
      <c r="AF197" s="121">
        <v>0</v>
      </c>
      <c r="AG197" s="113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 t="str">
        <f>"  " &amp; TEXT(AF197,"#0.00%") &amp; " "</f>
        <v xml:space="preserve">  0.00% </v>
      </c>
      <c r="BW197" s="114"/>
      <c r="BX197" s="114"/>
      <c r="BY197" s="114"/>
      <c r="BZ197" s="114"/>
      <c r="CA197" s="114" t="str">
        <f>"   " &amp; "전장조립" &amp; " " &amp; IF(Q197="","",TEXT(Q197,"M/D-")) &amp; IF(R197="","",TEXT(R197,"M/D")) &amp; " "</f>
        <v xml:space="preserve">   전장조립 11/14-12/19 </v>
      </c>
      <c r="CB197" s="114"/>
      <c r="CC197" s="114"/>
      <c r="CD197" s="114"/>
      <c r="CE197" s="114"/>
      <c r="CF197" s="114"/>
      <c r="CG197" s="114"/>
      <c r="CH197" s="114"/>
      <c r="CI197" s="114"/>
      <c r="CJ197" s="114"/>
      <c r="CK197" s="114"/>
      <c r="CL197" s="114"/>
      <c r="CM197" s="114"/>
      <c r="CN197" s="114"/>
      <c r="CO197" s="114"/>
      <c r="CP197" s="114"/>
      <c r="CQ197" s="114"/>
      <c r="CR197" s="114"/>
      <c r="CS197" s="114"/>
      <c r="CT197" s="114"/>
      <c r="CU197" s="114"/>
      <c r="CV197" s="114"/>
      <c r="CW197" s="114"/>
      <c r="CX197" s="114"/>
      <c r="CY197" s="114"/>
      <c r="CZ197" s="114"/>
      <c r="DA197" s="114"/>
      <c r="DB197" s="114"/>
      <c r="DC197" s="114"/>
      <c r="DD197" s="114"/>
      <c r="DE197" s="114"/>
      <c r="DF197" s="114"/>
      <c r="DG197" s="114"/>
      <c r="DH197" s="114"/>
      <c r="DI197" s="114"/>
      <c r="DJ197" s="114"/>
      <c r="DK197" s="114"/>
      <c r="DL197" s="114"/>
      <c r="DM197" s="114"/>
      <c r="DN197" s="114"/>
      <c r="DO197" s="114"/>
      <c r="DP197" s="114"/>
      <c r="DQ197" s="114"/>
    </row>
    <row r="198" spans="1:121" ht="15" customHeight="1" outlineLevel="3" x14ac:dyDescent="0.25">
      <c r="A198" s="101"/>
      <c r="B198" s="101" t="s">
        <v>153</v>
      </c>
      <c r="C198" s="101">
        <v>4</v>
      </c>
      <c r="D198" s="123" t="s">
        <v>662</v>
      </c>
      <c r="E198" s="124"/>
      <c r="F198" s="124"/>
      <c r="G198" s="124"/>
      <c r="H198" s="124" t="s">
        <v>663</v>
      </c>
      <c r="I198" s="124"/>
      <c r="J198" s="124"/>
      <c r="K198" s="124"/>
      <c r="L198" s="124"/>
      <c r="M198" s="124"/>
      <c r="N198" s="124"/>
      <c r="O198" s="103" t="str">
        <f>H198</f>
        <v>2동 2F Degasssing전 CV</v>
      </c>
      <c r="P198" s="140"/>
      <c r="Q198" s="125">
        <v>45032</v>
      </c>
      <c r="R198" s="183">
        <v>45259</v>
      </c>
      <c r="S198" s="126"/>
      <c r="T198" s="127">
        <v>920</v>
      </c>
      <c r="U198" s="127">
        <v>76</v>
      </c>
      <c r="V198" s="127">
        <v>228</v>
      </c>
      <c r="W198" s="127">
        <v>38</v>
      </c>
      <c r="X198" s="125"/>
      <c r="Y198" s="125"/>
      <c r="Z198" s="128">
        <v>0</v>
      </c>
      <c r="AA198" s="129">
        <v>0</v>
      </c>
      <c r="AB198" s="127"/>
      <c r="AC198" s="126"/>
      <c r="AD198" s="181"/>
      <c r="AE198" s="130">
        <v>8.2608695652173908E-2</v>
      </c>
      <c r="AF198" s="112">
        <v>0</v>
      </c>
      <c r="AG198" s="113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 t="str">
        <f>"" &amp; TEXT(AF198,"#0.00%") &amp; " "</f>
        <v xml:space="preserve">0.00% </v>
      </c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 t="str">
        <f>"    " &amp; "2동 2F Degasssing전 CV" &amp; " " &amp; IF(Q198="","",TEXT(Q198,"M/D-")) &amp; IF(R198="","",TEXT(R198,"M/D")) &amp; " "</f>
        <v xml:space="preserve">    2동 2F Degasssing전 CV 4/16-11/29 </v>
      </c>
      <c r="BY198" s="114"/>
      <c r="BZ198" s="114"/>
      <c r="CA198" s="114"/>
      <c r="CB198" s="114"/>
      <c r="CC198" s="114"/>
      <c r="CD198" s="114"/>
      <c r="CE198" s="114"/>
      <c r="CF198" s="114"/>
      <c r="CG198" s="114"/>
      <c r="CH198" s="114"/>
      <c r="CI198" s="114"/>
      <c r="CJ198" s="114"/>
      <c r="CK198" s="114"/>
      <c r="CL198" s="114"/>
      <c r="CM198" s="114"/>
      <c r="CN198" s="114"/>
      <c r="CO198" s="114"/>
      <c r="CP198" s="114"/>
      <c r="CQ198" s="114"/>
      <c r="CR198" s="114"/>
      <c r="CS198" s="114"/>
      <c r="CT198" s="114"/>
      <c r="CU198" s="114"/>
      <c r="CV198" s="114"/>
      <c r="CW198" s="114"/>
      <c r="CX198" s="114"/>
      <c r="CY198" s="114"/>
      <c r="CZ198" s="114"/>
      <c r="DA198" s="114"/>
      <c r="DB198" s="114"/>
      <c r="DC198" s="114"/>
      <c r="DD198" s="114"/>
      <c r="DE198" s="114"/>
      <c r="DF198" s="114"/>
      <c r="DG198" s="114"/>
      <c r="DH198" s="114"/>
      <c r="DI198" s="114"/>
      <c r="DJ198" s="114"/>
      <c r="DK198" s="114"/>
      <c r="DL198" s="114"/>
      <c r="DM198" s="114"/>
      <c r="DN198" s="114"/>
      <c r="DO198" s="114"/>
      <c r="DP198" s="114"/>
      <c r="DQ198" s="114"/>
    </row>
    <row r="199" spans="1:121" ht="15" customHeight="1" outlineLevel="4" x14ac:dyDescent="0.25">
      <c r="A199" s="101"/>
      <c r="B199" s="101"/>
      <c r="C199" s="101">
        <v>5</v>
      </c>
      <c r="D199" s="102" t="s">
        <v>664</v>
      </c>
      <c r="E199" s="103"/>
      <c r="F199" s="103"/>
      <c r="G199" s="103"/>
      <c r="H199" s="103"/>
      <c r="I199" s="103" t="s">
        <v>217</v>
      </c>
      <c r="J199" s="103"/>
      <c r="K199" s="103"/>
      <c r="L199" s="103"/>
      <c r="M199" s="103"/>
      <c r="N199" s="103"/>
      <c r="O199" s="103" t="str">
        <f>O198</f>
        <v>2동 2F Degasssing전 CV</v>
      </c>
      <c r="P199" s="104"/>
      <c r="Q199" s="108">
        <v>45032</v>
      </c>
      <c r="R199" s="108">
        <v>45228</v>
      </c>
      <c r="S199" s="106">
        <f>R199-Q199</f>
        <v>196</v>
      </c>
      <c r="T199" s="107">
        <v>394</v>
      </c>
      <c r="U199" s="107">
        <v>76</v>
      </c>
      <c r="V199" s="107">
        <v>197</v>
      </c>
      <c r="W199" s="107">
        <v>38</v>
      </c>
      <c r="X199" s="108"/>
      <c r="Y199" s="108"/>
      <c r="Z199" s="109"/>
      <c r="AA199" s="110">
        <v>0</v>
      </c>
      <c r="AB199" s="107">
        <v>2</v>
      </c>
      <c r="AC199" s="106"/>
      <c r="AD199" s="180"/>
      <c r="AE199" s="111">
        <v>0.19289340101522842</v>
      </c>
      <c r="AF199" s="117">
        <v>0</v>
      </c>
      <c r="AG199" s="113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 t="str">
        <f>"" &amp; TEXT(AF199,"#0.00%") &amp; " "</f>
        <v xml:space="preserve">0.00% </v>
      </c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 t="str">
        <f>" " &amp; "장납기 구매품 발주 및 입고" &amp; " " &amp; IF(Q199="","",TEXT(Q199,"M/D-")) &amp; IF(R199="","",TEXT(R199,"M/D")) &amp; " "</f>
        <v xml:space="preserve"> 장납기 구매품 발주 및 입고 4/16-10/29 </v>
      </c>
      <c r="BU199" s="114"/>
      <c r="BV199" s="114"/>
      <c r="BW199" s="114"/>
      <c r="BX199" s="114"/>
      <c r="BY199" s="114"/>
      <c r="BZ199" s="114"/>
      <c r="CA199" s="114"/>
      <c r="CB199" s="114"/>
      <c r="CC199" s="114"/>
      <c r="CD199" s="114"/>
      <c r="CE199" s="114"/>
      <c r="CF199" s="114"/>
      <c r="CG199" s="114"/>
      <c r="CH199" s="114"/>
      <c r="CI199" s="114"/>
      <c r="CJ199" s="114"/>
      <c r="CK199" s="114"/>
      <c r="CL199" s="114"/>
      <c r="CM199" s="114"/>
      <c r="CN199" s="114"/>
      <c r="CO199" s="114"/>
      <c r="CP199" s="114"/>
      <c r="CQ199" s="114"/>
      <c r="CR199" s="114"/>
      <c r="CS199" s="114"/>
      <c r="CT199" s="114"/>
      <c r="CU199" s="114"/>
      <c r="CV199" s="114"/>
      <c r="CW199" s="114"/>
      <c r="CX199" s="114"/>
      <c r="CY199" s="114"/>
      <c r="CZ199" s="114"/>
      <c r="DA199" s="114"/>
      <c r="DB199" s="114"/>
      <c r="DC199" s="114"/>
      <c r="DD199" s="114"/>
      <c r="DE199" s="114"/>
      <c r="DF199" s="114"/>
      <c r="DG199" s="114"/>
      <c r="DH199" s="114"/>
      <c r="DI199" s="114"/>
      <c r="DJ199" s="114"/>
      <c r="DK199" s="114"/>
      <c r="DL199" s="114"/>
      <c r="DM199" s="114"/>
      <c r="DN199" s="114"/>
      <c r="DO199" s="114"/>
      <c r="DP199" s="114"/>
      <c r="DQ199" s="114"/>
    </row>
    <row r="200" spans="1:121" ht="15" customHeight="1" outlineLevel="4" x14ac:dyDescent="0.25">
      <c r="A200" s="101"/>
      <c r="B200" s="101"/>
      <c r="C200" s="101">
        <v>5</v>
      </c>
      <c r="D200" s="102" t="s">
        <v>665</v>
      </c>
      <c r="E200" s="103"/>
      <c r="F200" s="103"/>
      <c r="G200" s="103"/>
      <c r="H200" s="103"/>
      <c r="I200" s="103" t="s">
        <v>241</v>
      </c>
      <c r="J200" s="103"/>
      <c r="K200" s="103"/>
      <c r="L200" s="103"/>
      <c r="M200" s="103"/>
      <c r="N200" s="103"/>
      <c r="O200" s="103" t="str">
        <f>O199</f>
        <v>2동 2F Degasssing전 CV</v>
      </c>
      <c r="P200" s="104"/>
      <c r="Q200" s="108">
        <v>45091</v>
      </c>
      <c r="R200" s="108">
        <v>45197</v>
      </c>
      <c r="S200" s="106">
        <f>R200-Q200</f>
        <v>106</v>
      </c>
      <c r="T200" s="107">
        <v>214</v>
      </c>
      <c r="U200" s="107">
        <v>0</v>
      </c>
      <c r="V200" s="107">
        <v>107</v>
      </c>
      <c r="W200" s="107">
        <v>0</v>
      </c>
      <c r="X200" s="108"/>
      <c r="Y200" s="108"/>
      <c r="Z200" s="109"/>
      <c r="AA200" s="110">
        <v>0</v>
      </c>
      <c r="AB200" s="107">
        <v>2</v>
      </c>
      <c r="AC200" s="106"/>
      <c r="AD200" s="180"/>
      <c r="AE200" s="111">
        <v>0</v>
      </c>
      <c r="AF200" s="121">
        <v>0</v>
      </c>
      <c r="AG200" s="113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 t="str">
        <f>"   " &amp; TEXT(AF200,"#0.00%") &amp; " "</f>
        <v xml:space="preserve">   0.00% </v>
      </c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 t="str">
        <f>"     " &amp; "가공품 발주 및 입고" &amp; " " &amp; IF(Q200="","",TEXT(Q200,"M/D-")) &amp; IF(R200="","",TEXT(R200,"M/D")) &amp; " "</f>
        <v xml:space="preserve">     가공품 발주 및 입고 6/14-9/28 </v>
      </c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114"/>
      <c r="BZ200" s="114"/>
      <c r="CA200" s="114"/>
      <c r="CB200" s="114"/>
      <c r="CC200" s="114"/>
      <c r="CD200" s="114"/>
      <c r="CE200" s="114"/>
      <c r="CF200" s="114"/>
      <c r="CG200" s="114"/>
      <c r="CH200" s="114"/>
      <c r="CI200" s="114"/>
      <c r="CJ200" s="114"/>
      <c r="CK200" s="114"/>
      <c r="CL200" s="114"/>
      <c r="CM200" s="114"/>
      <c r="CN200" s="114"/>
      <c r="CO200" s="114"/>
      <c r="CP200" s="114"/>
      <c r="CQ200" s="114"/>
      <c r="CR200" s="114"/>
      <c r="CS200" s="114"/>
      <c r="CT200" s="114"/>
      <c r="CU200" s="114"/>
      <c r="CV200" s="114"/>
      <c r="CW200" s="114"/>
      <c r="CX200" s="114"/>
      <c r="CY200" s="114"/>
      <c r="CZ200" s="114"/>
      <c r="DA200" s="114"/>
      <c r="DB200" s="114"/>
      <c r="DC200" s="114"/>
      <c r="DD200" s="114"/>
      <c r="DE200" s="114"/>
      <c r="DF200" s="114"/>
      <c r="DG200" s="114"/>
      <c r="DH200" s="114"/>
      <c r="DI200" s="114"/>
      <c r="DJ200" s="114"/>
      <c r="DK200" s="114"/>
      <c r="DL200" s="114"/>
      <c r="DM200" s="114"/>
      <c r="DN200" s="114"/>
      <c r="DO200" s="114"/>
      <c r="DP200" s="114"/>
      <c r="DQ200" s="114"/>
    </row>
    <row r="201" spans="1:121" ht="15" customHeight="1" outlineLevel="4" x14ac:dyDescent="0.25">
      <c r="A201" s="101"/>
      <c r="B201" s="101"/>
      <c r="C201" s="101">
        <v>5</v>
      </c>
      <c r="D201" s="102" t="s">
        <v>666</v>
      </c>
      <c r="E201" s="103"/>
      <c r="F201" s="103"/>
      <c r="G201" s="103"/>
      <c r="H201" s="103"/>
      <c r="I201" s="103" t="s">
        <v>220</v>
      </c>
      <c r="J201" s="103"/>
      <c r="K201" s="103"/>
      <c r="L201" s="103"/>
      <c r="M201" s="103"/>
      <c r="N201" s="103"/>
      <c r="O201" s="103" t="str">
        <f>O200</f>
        <v>2동 2F Degasssing전 CV</v>
      </c>
      <c r="P201" s="104"/>
      <c r="Q201" s="108">
        <v>45182</v>
      </c>
      <c r="R201" s="108">
        <v>45244</v>
      </c>
      <c r="S201" s="106">
        <f>R201-Q201</f>
        <v>62</v>
      </c>
      <c r="T201" s="107">
        <v>252</v>
      </c>
      <c r="U201" s="107">
        <v>0</v>
      </c>
      <c r="V201" s="107">
        <v>63</v>
      </c>
      <c r="W201" s="107">
        <v>0</v>
      </c>
      <c r="X201" s="108"/>
      <c r="Y201" s="108"/>
      <c r="Z201" s="109"/>
      <c r="AA201" s="110">
        <v>0</v>
      </c>
      <c r="AB201" s="107">
        <v>4</v>
      </c>
      <c r="AC201" s="106"/>
      <c r="AD201" s="180"/>
      <c r="AE201" s="111">
        <v>0</v>
      </c>
      <c r="AF201" s="121">
        <v>0</v>
      </c>
      <c r="AG201" s="113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 t="str">
        <f>"   " &amp; TEXT(AF201,"#0.00%") &amp; " "</f>
        <v xml:space="preserve">   0.00% </v>
      </c>
      <c r="BN201" s="114"/>
      <c r="BO201" s="114"/>
      <c r="BP201" s="114"/>
      <c r="BQ201" s="114"/>
      <c r="BR201" s="114"/>
      <c r="BS201" s="114"/>
      <c r="BT201" s="114"/>
      <c r="BU201" s="114"/>
      <c r="BV201" s="114" t="str">
        <f>"   " &amp; "기구조립" &amp; " " &amp; IF(Q201="","",TEXT(Q201,"M/D-")) &amp; IF(R201="","",TEXT(R201,"M/D")) &amp; " "</f>
        <v xml:space="preserve">   기구조립 9/13-11/14 </v>
      </c>
      <c r="BW201" s="114"/>
      <c r="BX201" s="114"/>
      <c r="BY201" s="114"/>
      <c r="BZ201" s="114"/>
      <c r="CA201" s="114"/>
      <c r="CB201" s="114"/>
      <c r="CC201" s="114"/>
      <c r="CD201" s="114"/>
      <c r="CE201" s="114"/>
      <c r="CF201" s="114"/>
      <c r="CG201" s="114"/>
      <c r="CH201" s="114"/>
      <c r="CI201" s="114"/>
      <c r="CJ201" s="114"/>
      <c r="CK201" s="114"/>
      <c r="CL201" s="114"/>
      <c r="CM201" s="114"/>
      <c r="CN201" s="114"/>
      <c r="CO201" s="114"/>
      <c r="CP201" s="114"/>
      <c r="CQ201" s="114"/>
      <c r="CR201" s="114"/>
      <c r="CS201" s="114"/>
      <c r="CT201" s="114"/>
      <c r="CU201" s="114"/>
      <c r="CV201" s="114"/>
      <c r="CW201" s="114"/>
      <c r="CX201" s="114"/>
      <c r="CY201" s="114"/>
      <c r="CZ201" s="114"/>
      <c r="DA201" s="114"/>
      <c r="DB201" s="114"/>
      <c r="DC201" s="114"/>
      <c r="DD201" s="114"/>
      <c r="DE201" s="114"/>
      <c r="DF201" s="114"/>
      <c r="DG201" s="114"/>
      <c r="DH201" s="114"/>
      <c r="DI201" s="114"/>
      <c r="DJ201" s="114"/>
      <c r="DK201" s="114"/>
      <c r="DL201" s="114"/>
      <c r="DM201" s="114"/>
      <c r="DN201" s="114"/>
      <c r="DO201" s="114"/>
      <c r="DP201" s="114"/>
      <c r="DQ201" s="114"/>
    </row>
    <row r="202" spans="1:121" ht="15" customHeight="1" outlineLevel="4" x14ac:dyDescent="0.25">
      <c r="A202" s="101"/>
      <c r="B202" s="101"/>
      <c r="C202" s="101">
        <v>5</v>
      </c>
      <c r="D202" s="102" t="s">
        <v>667</v>
      </c>
      <c r="E202" s="103"/>
      <c r="F202" s="103"/>
      <c r="G202" s="103"/>
      <c r="H202" s="103"/>
      <c r="I202" s="103" t="s">
        <v>221</v>
      </c>
      <c r="J202" s="103"/>
      <c r="K202" s="103"/>
      <c r="L202" s="103"/>
      <c r="M202" s="103"/>
      <c r="N202" s="103"/>
      <c r="O202" s="103" t="str">
        <f>O201</f>
        <v>2동 2F Degasssing전 CV</v>
      </c>
      <c r="P202" s="104"/>
      <c r="Q202" s="108">
        <v>45230</v>
      </c>
      <c r="R202" s="108">
        <v>45259</v>
      </c>
      <c r="S202" s="106">
        <f>R202-Q202</f>
        <v>29</v>
      </c>
      <c r="T202" s="107">
        <v>60</v>
      </c>
      <c r="U202" s="107">
        <v>0</v>
      </c>
      <c r="V202" s="107">
        <v>30</v>
      </c>
      <c r="W202" s="107">
        <v>0</v>
      </c>
      <c r="X202" s="108"/>
      <c r="Y202" s="108"/>
      <c r="Z202" s="109"/>
      <c r="AA202" s="110">
        <v>0</v>
      </c>
      <c r="AB202" s="107">
        <v>2</v>
      </c>
      <c r="AC202" s="106"/>
      <c r="AD202" s="180"/>
      <c r="AE202" s="111">
        <v>0</v>
      </c>
      <c r="AF202" s="121">
        <v>0</v>
      </c>
      <c r="AG202" s="113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/>
      <c r="BS202" s="114"/>
      <c r="BT202" s="114" t="str">
        <f>"  " &amp; TEXT(AF202,"#0.00%") &amp; " "</f>
        <v xml:space="preserve">  0.00% </v>
      </c>
      <c r="BU202" s="114"/>
      <c r="BV202" s="114"/>
      <c r="BW202" s="114"/>
      <c r="BX202" s="114" t="str">
        <f>"    " &amp; "전장조립" &amp; " " &amp; IF(Q202="","",TEXT(Q202,"M/D-")) &amp; IF(R202="","",TEXT(R202,"M/D")) &amp; " "</f>
        <v xml:space="preserve">    전장조립 10/31-11/29 </v>
      </c>
      <c r="BY202" s="114"/>
      <c r="BZ202" s="114"/>
      <c r="CA202" s="114"/>
      <c r="CB202" s="114"/>
      <c r="CC202" s="114"/>
      <c r="CD202" s="114"/>
      <c r="CE202" s="114"/>
      <c r="CF202" s="114"/>
      <c r="CG202" s="114"/>
      <c r="CH202" s="114"/>
      <c r="CI202" s="114"/>
      <c r="CJ202" s="114"/>
      <c r="CK202" s="114"/>
      <c r="CL202" s="114"/>
      <c r="CM202" s="114"/>
      <c r="CN202" s="114"/>
      <c r="CO202" s="114"/>
      <c r="CP202" s="114"/>
      <c r="CQ202" s="114"/>
      <c r="CR202" s="114"/>
      <c r="CS202" s="114"/>
      <c r="CT202" s="114"/>
      <c r="CU202" s="114"/>
      <c r="CV202" s="114"/>
      <c r="CW202" s="114"/>
      <c r="CX202" s="114"/>
      <c r="CY202" s="114"/>
      <c r="CZ202" s="114"/>
      <c r="DA202" s="114"/>
      <c r="DB202" s="114"/>
      <c r="DC202" s="114"/>
      <c r="DD202" s="114"/>
      <c r="DE202" s="114"/>
      <c r="DF202" s="114"/>
      <c r="DG202" s="114"/>
      <c r="DH202" s="114"/>
      <c r="DI202" s="114"/>
      <c r="DJ202" s="114"/>
      <c r="DK202" s="114"/>
      <c r="DL202" s="114"/>
      <c r="DM202" s="114"/>
      <c r="DN202" s="114"/>
      <c r="DO202" s="114"/>
      <c r="DP202" s="114"/>
      <c r="DQ202" s="114"/>
    </row>
    <row r="203" spans="1:121" ht="15" customHeight="1" outlineLevel="3" x14ac:dyDescent="0.25">
      <c r="A203" s="101"/>
      <c r="B203" s="101" t="s">
        <v>153</v>
      </c>
      <c r="C203" s="101">
        <v>4</v>
      </c>
      <c r="D203" s="123" t="s">
        <v>668</v>
      </c>
      <c r="E203" s="124"/>
      <c r="F203" s="124"/>
      <c r="G203" s="124"/>
      <c r="H203" s="124" t="s">
        <v>669</v>
      </c>
      <c r="I203" s="124"/>
      <c r="J203" s="124"/>
      <c r="K203" s="124"/>
      <c r="L203" s="124"/>
      <c r="M203" s="124"/>
      <c r="N203" s="124"/>
      <c r="O203" s="103" t="str">
        <f>H203</f>
        <v>2동 2F Degasssing후 CV</v>
      </c>
      <c r="P203" s="140"/>
      <c r="Q203" s="125">
        <v>45032</v>
      </c>
      <c r="R203" s="183">
        <v>45279</v>
      </c>
      <c r="S203" s="126"/>
      <c r="T203" s="127">
        <v>880</v>
      </c>
      <c r="U203" s="127">
        <v>76</v>
      </c>
      <c r="V203" s="127">
        <v>248</v>
      </c>
      <c r="W203" s="127">
        <v>38</v>
      </c>
      <c r="X203" s="125"/>
      <c r="Y203" s="125"/>
      <c r="Z203" s="128">
        <v>0</v>
      </c>
      <c r="AA203" s="129">
        <v>0</v>
      </c>
      <c r="AB203" s="127"/>
      <c r="AC203" s="126"/>
      <c r="AD203" s="181"/>
      <c r="AE203" s="130">
        <v>8.6363636363636365E-2</v>
      </c>
      <c r="AF203" s="112">
        <v>0</v>
      </c>
      <c r="AG203" s="113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 t="str">
        <f>"" &amp; TEXT(AF203,"#0.00%") &amp; " "</f>
        <v xml:space="preserve">0.00% </v>
      </c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  <c r="BY203" s="114"/>
      <c r="BZ203" s="114"/>
      <c r="CA203" s="114" t="str">
        <f>"   " &amp; "2동 2F Degasssing후 CV" &amp; " " &amp; IF(Q203="","",TEXT(Q203,"M/D-")) &amp; IF(R203="","",TEXT(R203,"M/D")) &amp; " "</f>
        <v xml:space="preserve">   2동 2F Degasssing후 CV 4/16-12/19 </v>
      </c>
      <c r="CB203" s="114"/>
      <c r="CC203" s="114"/>
      <c r="CD203" s="114"/>
      <c r="CE203" s="114"/>
      <c r="CF203" s="114"/>
      <c r="CG203" s="114"/>
      <c r="CH203" s="114"/>
      <c r="CI203" s="114"/>
      <c r="CJ203" s="114"/>
      <c r="CK203" s="114"/>
      <c r="CL203" s="114"/>
      <c r="CM203" s="114"/>
      <c r="CN203" s="114"/>
      <c r="CO203" s="114"/>
      <c r="CP203" s="114"/>
      <c r="CQ203" s="114"/>
      <c r="CR203" s="114"/>
      <c r="CS203" s="114"/>
      <c r="CT203" s="114"/>
      <c r="CU203" s="114"/>
      <c r="CV203" s="114"/>
      <c r="CW203" s="114"/>
      <c r="CX203" s="114"/>
      <c r="CY203" s="114"/>
      <c r="CZ203" s="114"/>
      <c r="DA203" s="114"/>
      <c r="DB203" s="114"/>
      <c r="DC203" s="114"/>
      <c r="DD203" s="114"/>
      <c r="DE203" s="114"/>
      <c r="DF203" s="114"/>
      <c r="DG203" s="114"/>
      <c r="DH203" s="114"/>
      <c r="DI203" s="114"/>
      <c r="DJ203" s="114"/>
      <c r="DK203" s="114"/>
      <c r="DL203" s="114"/>
      <c r="DM203" s="114"/>
      <c r="DN203" s="114"/>
      <c r="DO203" s="114"/>
      <c r="DP203" s="114"/>
      <c r="DQ203" s="114"/>
    </row>
    <row r="204" spans="1:121" ht="15" customHeight="1" outlineLevel="4" x14ac:dyDescent="0.25">
      <c r="A204" s="101"/>
      <c r="B204" s="101"/>
      <c r="C204" s="101">
        <v>5</v>
      </c>
      <c r="D204" s="102" t="s">
        <v>670</v>
      </c>
      <c r="E204" s="103"/>
      <c r="F204" s="103"/>
      <c r="G204" s="103"/>
      <c r="H204" s="103"/>
      <c r="I204" s="103" t="s">
        <v>217</v>
      </c>
      <c r="J204" s="103"/>
      <c r="K204" s="103"/>
      <c r="L204" s="103"/>
      <c r="M204" s="103"/>
      <c r="N204" s="103"/>
      <c r="O204" s="103" t="str">
        <f>O203</f>
        <v>2동 2F Degasssing후 CV</v>
      </c>
      <c r="P204" s="104"/>
      <c r="Q204" s="108">
        <v>45032</v>
      </c>
      <c r="R204" s="108">
        <v>45228</v>
      </c>
      <c r="S204" s="106">
        <f>R204-Q204</f>
        <v>196</v>
      </c>
      <c r="T204" s="107">
        <v>394</v>
      </c>
      <c r="U204" s="107">
        <v>76</v>
      </c>
      <c r="V204" s="107">
        <v>197</v>
      </c>
      <c r="W204" s="107">
        <v>38</v>
      </c>
      <c r="X204" s="108"/>
      <c r="Y204" s="108"/>
      <c r="Z204" s="109"/>
      <c r="AA204" s="110">
        <v>0</v>
      </c>
      <c r="AB204" s="107">
        <v>2</v>
      </c>
      <c r="AC204" s="106"/>
      <c r="AD204" s="180"/>
      <c r="AE204" s="111">
        <v>0.19289340101522842</v>
      </c>
      <c r="AF204" s="117">
        <v>0</v>
      </c>
      <c r="AG204" s="113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 t="str">
        <f>"" &amp; TEXT(AF204,"#0.00%") &amp; " "</f>
        <v xml:space="preserve">0.00% </v>
      </c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 t="str">
        <f>" " &amp; "장납기 구매품 발주 및 입고" &amp; " " &amp; IF(Q204="","",TEXT(Q204,"M/D-")) &amp; IF(R204="","",TEXT(R204,"M/D")) &amp; " "</f>
        <v xml:space="preserve"> 장납기 구매품 발주 및 입고 4/16-10/29 </v>
      </c>
      <c r="BU204" s="114"/>
      <c r="BV204" s="114"/>
      <c r="BW204" s="114"/>
      <c r="BX204" s="114"/>
      <c r="BY204" s="114"/>
      <c r="BZ204" s="114"/>
      <c r="CA204" s="114"/>
      <c r="CB204" s="114"/>
      <c r="CC204" s="114"/>
      <c r="CD204" s="114"/>
      <c r="CE204" s="114"/>
      <c r="CF204" s="114"/>
      <c r="CG204" s="114"/>
      <c r="CH204" s="114"/>
      <c r="CI204" s="114"/>
      <c r="CJ204" s="114"/>
      <c r="CK204" s="114"/>
      <c r="CL204" s="114"/>
      <c r="CM204" s="114"/>
      <c r="CN204" s="114"/>
      <c r="CO204" s="114"/>
      <c r="CP204" s="114"/>
      <c r="CQ204" s="114"/>
      <c r="CR204" s="114"/>
      <c r="CS204" s="114"/>
      <c r="CT204" s="114"/>
      <c r="CU204" s="114"/>
      <c r="CV204" s="114"/>
      <c r="CW204" s="114"/>
      <c r="CX204" s="114"/>
      <c r="CY204" s="114"/>
      <c r="CZ204" s="114"/>
      <c r="DA204" s="114"/>
      <c r="DB204" s="114"/>
      <c r="DC204" s="114"/>
      <c r="DD204" s="114"/>
      <c r="DE204" s="114"/>
      <c r="DF204" s="114"/>
      <c r="DG204" s="114"/>
      <c r="DH204" s="114"/>
      <c r="DI204" s="114"/>
      <c r="DJ204" s="114"/>
      <c r="DK204" s="114"/>
      <c r="DL204" s="114"/>
      <c r="DM204" s="114"/>
      <c r="DN204" s="114"/>
      <c r="DO204" s="114"/>
      <c r="DP204" s="114"/>
      <c r="DQ204" s="114"/>
    </row>
    <row r="205" spans="1:121" ht="15" customHeight="1" outlineLevel="4" x14ac:dyDescent="0.25">
      <c r="A205" s="101"/>
      <c r="B205" s="101"/>
      <c r="C205" s="101">
        <v>5</v>
      </c>
      <c r="D205" s="102" t="s">
        <v>671</v>
      </c>
      <c r="E205" s="103"/>
      <c r="F205" s="103"/>
      <c r="G205" s="103"/>
      <c r="H205" s="103"/>
      <c r="I205" s="103" t="s">
        <v>241</v>
      </c>
      <c r="J205" s="103"/>
      <c r="K205" s="103"/>
      <c r="L205" s="103"/>
      <c r="M205" s="103"/>
      <c r="N205" s="103"/>
      <c r="O205" s="103" t="str">
        <f>O204</f>
        <v>2동 2F Degasssing후 CV</v>
      </c>
      <c r="P205" s="104"/>
      <c r="Q205" s="108">
        <v>45091</v>
      </c>
      <c r="R205" s="108">
        <v>45228</v>
      </c>
      <c r="S205" s="106">
        <f>R205-Q205</f>
        <v>137</v>
      </c>
      <c r="T205" s="107">
        <v>276</v>
      </c>
      <c r="U205" s="107">
        <v>0</v>
      </c>
      <c r="V205" s="107">
        <v>138</v>
      </c>
      <c r="W205" s="107">
        <v>0</v>
      </c>
      <c r="X205" s="108"/>
      <c r="Y205" s="108"/>
      <c r="Z205" s="109"/>
      <c r="AA205" s="110">
        <v>0</v>
      </c>
      <c r="AB205" s="107">
        <v>2</v>
      </c>
      <c r="AC205" s="106"/>
      <c r="AD205" s="180"/>
      <c r="AE205" s="111">
        <v>0</v>
      </c>
      <c r="AF205" s="121">
        <v>0</v>
      </c>
      <c r="AG205" s="113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 t="str">
        <f>"   " &amp; TEXT(AF205,"#0.00%") &amp; " "</f>
        <v xml:space="preserve">   0.00% </v>
      </c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 t="str">
        <f>" " &amp; "가공품 발주 및 입고" &amp; " " &amp; IF(Q205="","",TEXT(Q205,"M/D-")) &amp; IF(R205="","",TEXT(R205,"M/D")) &amp; " "</f>
        <v xml:space="preserve"> 가공품 발주 및 입고 6/14-10/29 </v>
      </c>
      <c r="BU205" s="114"/>
      <c r="BV205" s="114"/>
      <c r="BW205" s="114"/>
      <c r="BX205" s="114"/>
      <c r="BY205" s="114"/>
      <c r="BZ205" s="114"/>
      <c r="CA205" s="114"/>
      <c r="CB205" s="114"/>
      <c r="CC205" s="114"/>
      <c r="CD205" s="114"/>
      <c r="CE205" s="114"/>
      <c r="CF205" s="114"/>
      <c r="CG205" s="114"/>
      <c r="CH205" s="114"/>
      <c r="CI205" s="114"/>
      <c r="CJ205" s="114"/>
      <c r="CK205" s="114"/>
      <c r="CL205" s="114"/>
      <c r="CM205" s="114"/>
      <c r="CN205" s="114"/>
      <c r="CO205" s="114"/>
      <c r="CP205" s="114"/>
      <c r="CQ205" s="114"/>
      <c r="CR205" s="114"/>
      <c r="CS205" s="114"/>
      <c r="CT205" s="114"/>
      <c r="CU205" s="114"/>
      <c r="CV205" s="114"/>
      <c r="CW205" s="114"/>
      <c r="CX205" s="114"/>
      <c r="CY205" s="114"/>
      <c r="CZ205" s="114"/>
      <c r="DA205" s="114"/>
      <c r="DB205" s="114"/>
      <c r="DC205" s="114"/>
      <c r="DD205" s="114"/>
      <c r="DE205" s="114"/>
      <c r="DF205" s="114"/>
      <c r="DG205" s="114"/>
      <c r="DH205" s="114"/>
      <c r="DI205" s="114"/>
      <c r="DJ205" s="114"/>
      <c r="DK205" s="114"/>
      <c r="DL205" s="114"/>
      <c r="DM205" s="114"/>
      <c r="DN205" s="114"/>
      <c r="DO205" s="114"/>
      <c r="DP205" s="114"/>
      <c r="DQ205" s="114"/>
    </row>
    <row r="206" spans="1:121" ht="15" customHeight="1" outlineLevel="4" x14ac:dyDescent="0.25">
      <c r="A206" s="101"/>
      <c r="B206" s="101"/>
      <c r="C206" s="101">
        <v>5</v>
      </c>
      <c r="D206" s="102" t="s">
        <v>672</v>
      </c>
      <c r="E206" s="103"/>
      <c r="F206" s="103"/>
      <c r="G206" s="103"/>
      <c r="H206" s="103"/>
      <c r="I206" s="103" t="s">
        <v>220</v>
      </c>
      <c r="J206" s="103"/>
      <c r="K206" s="103"/>
      <c r="L206" s="103"/>
      <c r="M206" s="103"/>
      <c r="N206" s="103"/>
      <c r="O206" s="103" t="str">
        <f>O205</f>
        <v>2동 2F Degasssing후 CV</v>
      </c>
      <c r="P206" s="104"/>
      <c r="Q206" s="108">
        <v>45213</v>
      </c>
      <c r="R206" s="108">
        <v>45249</v>
      </c>
      <c r="S206" s="106">
        <f>R206-Q206</f>
        <v>36</v>
      </c>
      <c r="T206" s="107">
        <v>148</v>
      </c>
      <c r="U206" s="107">
        <v>0</v>
      </c>
      <c r="V206" s="107">
        <v>37</v>
      </c>
      <c r="W206" s="107">
        <v>0</v>
      </c>
      <c r="X206" s="108"/>
      <c r="Y206" s="108"/>
      <c r="Z206" s="109"/>
      <c r="AA206" s="110">
        <v>0</v>
      </c>
      <c r="AB206" s="107">
        <v>4</v>
      </c>
      <c r="AC206" s="106"/>
      <c r="AD206" s="180"/>
      <c r="AE206" s="111">
        <v>0</v>
      </c>
      <c r="AF206" s="121">
        <v>0</v>
      </c>
      <c r="AG206" s="113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 t="str">
        <f>"      " &amp; TEXT(AF206,"#0.00%") &amp; " "</f>
        <v xml:space="preserve">      0.00% </v>
      </c>
      <c r="BR206" s="114"/>
      <c r="BS206" s="114"/>
      <c r="BT206" s="114"/>
      <c r="BU206" s="114"/>
      <c r="BV206" s="114"/>
      <c r="BW206" s="114" t="str">
        <f>" " &amp; "기구조립" &amp; " " &amp; IF(Q206="","",TEXT(Q206,"M/D-")) &amp; IF(R206="","",TEXT(R206,"M/D")) &amp; " "</f>
        <v xml:space="preserve"> 기구조립 10/14-11/19 </v>
      </c>
      <c r="BX206" s="114"/>
      <c r="BY206" s="114"/>
      <c r="BZ206" s="114"/>
      <c r="CA206" s="114"/>
      <c r="CB206" s="114"/>
      <c r="CC206" s="114"/>
      <c r="CD206" s="114"/>
      <c r="CE206" s="114"/>
      <c r="CF206" s="114"/>
      <c r="CG206" s="114"/>
      <c r="CH206" s="114"/>
      <c r="CI206" s="114"/>
      <c r="CJ206" s="114"/>
      <c r="CK206" s="114"/>
      <c r="CL206" s="114"/>
      <c r="CM206" s="114"/>
      <c r="CN206" s="114"/>
      <c r="CO206" s="114"/>
      <c r="CP206" s="114"/>
      <c r="CQ206" s="114"/>
      <c r="CR206" s="114"/>
      <c r="CS206" s="114"/>
      <c r="CT206" s="114"/>
      <c r="CU206" s="114"/>
      <c r="CV206" s="114"/>
      <c r="CW206" s="114"/>
      <c r="CX206" s="114"/>
      <c r="CY206" s="114"/>
      <c r="CZ206" s="114"/>
      <c r="DA206" s="114"/>
      <c r="DB206" s="114"/>
      <c r="DC206" s="114"/>
      <c r="DD206" s="114"/>
      <c r="DE206" s="114"/>
      <c r="DF206" s="114"/>
      <c r="DG206" s="114"/>
      <c r="DH206" s="114"/>
      <c r="DI206" s="114"/>
      <c r="DJ206" s="114"/>
      <c r="DK206" s="114"/>
      <c r="DL206" s="114"/>
      <c r="DM206" s="114"/>
      <c r="DN206" s="114"/>
      <c r="DO206" s="114"/>
      <c r="DP206" s="114"/>
      <c r="DQ206" s="114"/>
    </row>
    <row r="207" spans="1:121" ht="15" customHeight="1" outlineLevel="4" x14ac:dyDescent="0.25">
      <c r="A207" s="101"/>
      <c r="B207" s="101"/>
      <c r="C207" s="101">
        <v>5</v>
      </c>
      <c r="D207" s="102" t="s">
        <v>673</v>
      </c>
      <c r="E207" s="103"/>
      <c r="F207" s="103"/>
      <c r="G207" s="103"/>
      <c r="H207" s="103"/>
      <c r="I207" s="103" t="s">
        <v>221</v>
      </c>
      <c r="J207" s="103"/>
      <c r="K207" s="103"/>
      <c r="L207" s="103"/>
      <c r="M207" s="103"/>
      <c r="N207" s="103"/>
      <c r="O207" s="103" t="str">
        <f>O206</f>
        <v>2동 2F Degasssing후 CV</v>
      </c>
      <c r="P207" s="104"/>
      <c r="Q207" s="108">
        <v>45249</v>
      </c>
      <c r="R207" s="108">
        <v>45279</v>
      </c>
      <c r="S207" s="106">
        <f>R207-Q207</f>
        <v>30</v>
      </c>
      <c r="T207" s="107">
        <v>62</v>
      </c>
      <c r="U207" s="107">
        <v>0</v>
      </c>
      <c r="V207" s="107">
        <v>31</v>
      </c>
      <c r="W207" s="107">
        <v>0</v>
      </c>
      <c r="X207" s="108"/>
      <c r="Y207" s="108"/>
      <c r="Z207" s="109"/>
      <c r="AA207" s="110">
        <v>0</v>
      </c>
      <c r="AB207" s="107">
        <v>2</v>
      </c>
      <c r="AC207" s="106"/>
      <c r="AD207" s="180"/>
      <c r="AE207" s="111">
        <v>0</v>
      </c>
      <c r="AF207" s="121">
        <v>0</v>
      </c>
      <c r="AG207" s="113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/>
      <c r="BT207" s="114"/>
      <c r="BU207" s="114"/>
      <c r="BV207" s="114"/>
      <c r="BW207" s="114" t="str">
        <f>"" &amp; TEXT(AF207,"#0.00%") &amp; " "</f>
        <v xml:space="preserve">0.00% </v>
      </c>
      <c r="BX207" s="114"/>
      <c r="BY207" s="114"/>
      <c r="BZ207" s="114"/>
      <c r="CA207" s="114" t="str">
        <f>"   " &amp; "전장조립" &amp; " " &amp; IF(Q207="","",TEXT(Q207,"M/D-")) &amp; IF(R207="","",TEXT(R207,"M/D")) &amp; " "</f>
        <v xml:space="preserve">   전장조립 11/19-12/19 </v>
      </c>
      <c r="CB207" s="114"/>
      <c r="CC207" s="114"/>
      <c r="CD207" s="114"/>
      <c r="CE207" s="114"/>
      <c r="CF207" s="114"/>
      <c r="CG207" s="114"/>
      <c r="CH207" s="114"/>
      <c r="CI207" s="114"/>
      <c r="CJ207" s="114"/>
      <c r="CK207" s="114"/>
      <c r="CL207" s="114"/>
      <c r="CM207" s="114"/>
      <c r="CN207" s="114"/>
      <c r="CO207" s="114"/>
      <c r="CP207" s="114"/>
      <c r="CQ207" s="114"/>
      <c r="CR207" s="114"/>
      <c r="CS207" s="114"/>
      <c r="CT207" s="114"/>
      <c r="CU207" s="114"/>
      <c r="CV207" s="114"/>
      <c r="CW207" s="114"/>
      <c r="CX207" s="114"/>
      <c r="CY207" s="114"/>
      <c r="CZ207" s="114"/>
      <c r="DA207" s="114"/>
      <c r="DB207" s="114"/>
      <c r="DC207" s="114"/>
      <c r="DD207" s="114"/>
      <c r="DE207" s="114"/>
      <c r="DF207" s="114"/>
      <c r="DG207" s="114"/>
      <c r="DH207" s="114"/>
      <c r="DI207" s="114"/>
      <c r="DJ207" s="114"/>
      <c r="DK207" s="114"/>
      <c r="DL207" s="114"/>
      <c r="DM207" s="114"/>
      <c r="DN207" s="114"/>
      <c r="DO207" s="114"/>
      <c r="DP207" s="114"/>
      <c r="DQ207" s="114"/>
    </row>
    <row r="208" spans="1:121" ht="15" customHeight="1" x14ac:dyDescent="0.25">
      <c r="A208" s="101"/>
      <c r="B208" s="101" t="s">
        <v>153</v>
      </c>
      <c r="C208" s="101">
        <v>1</v>
      </c>
      <c r="D208" s="102" t="s">
        <v>269</v>
      </c>
      <c r="E208" s="103" t="s">
        <v>270</v>
      </c>
      <c r="F208" s="103"/>
      <c r="G208" s="103"/>
      <c r="H208" s="103"/>
      <c r="I208" s="103"/>
      <c r="J208" s="103"/>
      <c r="K208" s="103"/>
      <c r="L208" s="103"/>
      <c r="M208" s="103"/>
      <c r="N208" s="103"/>
      <c r="O208" s="193"/>
      <c r="P208" s="104"/>
      <c r="Q208" s="108">
        <v>45170</v>
      </c>
      <c r="R208" s="105">
        <v>45320</v>
      </c>
      <c r="S208" s="106"/>
      <c r="T208" s="107">
        <v>872</v>
      </c>
      <c r="U208" s="107">
        <v>0</v>
      </c>
      <c r="V208" s="107">
        <v>151</v>
      </c>
      <c r="W208" s="107">
        <v>0</v>
      </c>
      <c r="X208" s="108"/>
      <c r="Y208" s="108"/>
      <c r="Z208" s="109">
        <v>0</v>
      </c>
      <c r="AA208" s="110">
        <v>0</v>
      </c>
      <c r="AB208" s="107"/>
      <c r="AC208" s="106"/>
      <c r="AD208" s="180"/>
      <c r="AE208" s="111">
        <v>0</v>
      </c>
      <c r="AF208" s="122">
        <v>0</v>
      </c>
      <c r="AG208" s="113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 t="str">
        <f>"     " &amp; TEXT(AF208,"#0.00%") &amp; " "</f>
        <v xml:space="preserve">     0.00% </v>
      </c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114"/>
      <c r="BZ208" s="114"/>
      <c r="CA208" s="114"/>
      <c r="CB208" s="114"/>
      <c r="CC208" s="114"/>
      <c r="CD208" s="114"/>
      <c r="CE208" s="114"/>
      <c r="CF208" s="114"/>
      <c r="CG208" s="114" t="str">
        <f>"  " &amp; "FAT" &amp; " " &amp; IF(Q208="","",TEXT(Q208,"M/D-")) &amp; IF(R208="","",TEXT(R208,"M/D")) &amp; " "</f>
        <v xml:space="preserve">  FAT 9/1-1/29 </v>
      </c>
      <c r="CH208" s="114"/>
      <c r="CI208" s="114"/>
      <c r="CJ208" s="114"/>
      <c r="CK208" s="114"/>
      <c r="CL208" s="114"/>
      <c r="CM208" s="114"/>
      <c r="CN208" s="114"/>
      <c r="CO208" s="114"/>
      <c r="CP208" s="114"/>
      <c r="CQ208" s="114"/>
      <c r="CR208" s="114"/>
      <c r="CS208" s="114"/>
      <c r="CT208" s="114"/>
      <c r="CU208" s="114"/>
      <c r="CV208" s="114"/>
      <c r="CW208" s="114"/>
      <c r="CX208" s="114"/>
      <c r="CY208" s="114"/>
      <c r="CZ208" s="114"/>
      <c r="DA208" s="114"/>
      <c r="DB208" s="114"/>
      <c r="DC208" s="114"/>
      <c r="DD208" s="114"/>
      <c r="DE208" s="114"/>
      <c r="DF208" s="114"/>
      <c r="DG208" s="114"/>
      <c r="DH208" s="114"/>
      <c r="DI208" s="114"/>
      <c r="DJ208" s="114"/>
      <c r="DK208" s="114"/>
      <c r="DL208" s="114"/>
      <c r="DM208" s="114"/>
      <c r="DN208" s="114"/>
      <c r="DO208" s="114"/>
      <c r="DP208" s="114"/>
      <c r="DQ208" s="114"/>
    </row>
    <row r="209" spans="1:121" ht="15" customHeight="1" outlineLevel="1" x14ac:dyDescent="0.25">
      <c r="A209" s="101"/>
      <c r="B209" s="101" t="s">
        <v>153</v>
      </c>
      <c r="C209" s="101">
        <v>2</v>
      </c>
      <c r="D209" s="102" t="s">
        <v>271</v>
      </c>
      <c r="E209" s="103"/>
      <c r="F209" s="103" t="s">
        <v>536</v>
      </c>
      <c r="G209" s="103"/>
      <c r="H209" s="103"/>
      <c r="I209" s="103"/>
      <c r="J209" s="103"/>
      <c r="K209" s="103"/>
      <c r="L209" s="103"/>
      <c r="M209" s="103"/>
      <c r="N209" s="103"/>
      <c r="O209" s="193"/>
      <c r="P209" s="104"/>
      <c r="Q209" s="108">
        <v>45170</v>
      </c>
      <c r="R209" s="105">
        <v>45320</v>
      </c>
      <c r="S209" s="106"/>
      <c r="T209" s="107">
        <v>872</v>
      </c>
      <c r="U209" s="107">
        <v>0</v>
      </c>
      <c r="V209" s="107">
        <v>151</v>
      </c>
      <c r="W209" s="107">
        <v>0</v>
      </c>
      <c r="X209" s="108"/>
      <c r="Y209" s="108"/>
      <c r="Z209" s="109">
        <v>0</v>
      </c>
      <c r="AA209" s="110">
        <v>0</v>
      </c>
      <c r="AB209" s="107"/>
      <c r="AC209" s="106"/>
      <c r="AD209" s="180"/>
      <c r="AE209" s="111">
        <v>0</v>
      </c>
      <c r="AF209" s="122">
        <v>0</v>
      </c>
      <c r="AG209" s="113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 t="str">
        <f>"     " &amp; TEXT(AF209,"#0.00%") &amp; " "</f>
        <v xml:space="preserve">     0.00% </v>
      </c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4"/>
      <c r="BZ209" s="114"/>
      <c r="CA209" s="114"/>
      <c r="CB209" s="114"/>
      <c r="CC209" s="114"/>
      <c r="CD209" s="114"/>
      <c r="CE209" s="114"/>
      <c r="CF209" s="114"/>
      <c r="CG209" s="114" t="str">
        <f>"  " &amp; "BOSK TN" &amp; " " &amp; IF(Q209="","",TEXT(Q209,"M/D-")) &amp; IF(R209="","",TEXT(R209,"M/D")) &amp; " "</f>
        <v xml:space="preserve">  BOSK TN 9/1-1/29 </v>
      </c>
      <c r="CH209" s="114"/>
      <c r="CI209" s="114"/>
      <c r="CJ209" s="114"/>
      <c r="CK209" s="114"/>
      <c r="CL209" s="114"/>
      <c r="CM209" s="114"/>
      <c r="CN209" s="114"/>
      <c r="CO209" s="114"/>
      <c r="CP209" s="114"/>
      <c r="CQ209" s="114"/>
      <c r="CR209" s="114"/>
      <c r="CS209" s="114"/>
      <c r="CT209" s="114"/>
      <c r="CU209" s="114"/>
      <c r="CV209" s="114"/>
      <c r="CW209" s="114"/>
      <c r="CX209" s="114"/>
      <c r="CY209" s="114"/>
      <c r="CZ209" s="114"/>
      <c r="DA209" s="114"/>
      <c r="DB209" s="114"/>
      <c r="DC209" s="114"/>
      <c r="DD209" s="114"/>
      <c r="DE209" s="114"/>
      <c r="DF209" s="114"/>
      <c r="DG209" s="114"/>
      <c r="DH209" s="114"/>
      <c r="DI209" s="114"/>
      <c r="DJ209" s="114"/>
      <c r="DK209" s="114"/>
      <c r="DL209" s="114"/>
      <c r="DM209" s="114"/>
      <c r="DN209" s="114"/>
      <c r="DO209" s="114"/>
      <c r="DP209" s="114"/>
      <c r="DQ209" s="114"/>
    </row>
    <row r="210" spans="1:121" ht="15" customHeight="1" outlineLevel="2" x14ac:dyDescent="0.25">
      <c r="A210" s="101"/>
      <c r="B210" s="101" t="s">
        <v>153</v>
      </c>
      <c r="C210" s="101">
        <v>3</v>
      </c>
      <c r="D210" s="102" t="s">
        <v>272</v>
      </c>
      <c r="E210" s="103"/>
      <c r="F210" s="103"/>
      <c r="G210" s="141" t="s">
        <v>559</v>
      </c>
      <c r="H210" s="103"/>
      <c r="I210" s="103"/>
      <c r="J210" s="103"/>
      <c r="K210" s="103"/>
      <c r="L210" s="103"/>
      <c r="M210" s="103"/>
      <c r="N210" s="103"/>
      <c r="O210" s="103" t="str">
        <f>G210</f>
        <v>1동 Rack</v>
      </c>
      <c r="P210" s="118"/>
      <c r="Q210" s="108">
        <v>45176</v>
      </c>
      <c r="R210" s="105">
        <v>45223</v>
      </c>
      <c r="S210" s="106"/>
      <c r="T210" s="107">
        <v>68</v>
      </c>
      <c r="U210" s="107">
        <v>0</v>
      </c>
      <c r="V210" s="107">
        <v>48</v>
      </c>
      <c r="W210" s="107">
        <v>0</v>
      </c>
      <c r="X210" s="108"/>
      <c r="Y210" s="108"/>
      <c r="Z210" s="109">
        <v>0</v>
      </c>
      <c r="AA210" s="110">
        <v>0</v>
      </c>
      <c r="AB210" s="107"/>
      <c r="AC210" s="119"/>
      <c r="AD210" s="180"/>
      <c r="AE210" s="111">
        <v>0</v>
      </c>
      <c r="AF210" s="122">
        <v>0</v>
      </c>
      <c r="AG210" s="113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 t="str">
        <f>"    " &amp; TEXT(AF210,"#0.00%") &amp; " "</f>
        <v xml:space="preserve">    0.00% </v>
      </c>
      <c r="BM210" s="114"/>
      <c r="BN210" s="114"/>
      <c r="BO210" s="114"/>
      <c r="BP210" s="114"/>
      <c r="BQ210" s="114"/>
      <c r="BR210" s="114"/>
      <c r="BS210" s="114" t="str">
        <f>"   " &amp; "1동 Rack" &amp; " " &amp; IF(Q210="","",TEXT(Q210,"M/D-")) &amp; IF(R210="","",TEXT(R210,"M/D")) &amp; " "</f>
        <v xml:space="preserve">   1동 Rack 9/7-10/24 </v>
      </c>
      <c r="BT210" s="114"/>
      <c r="BU210" s="114"/>
      <c r="BV210" s="114"/>
      <c r="BW210" s="114"/>
      <c r="BX210" s="114"/>
      <c r="BY210" s="114"/>
      <c r="BZ210" s="114"/>
      <c r="CA210" s="114"/>
      <c r="CB210" s="114"/>
      <c r="CC210" s="114"/>
      <c r="CD210" s="114"/>
      <c r="CE210" s="114"/>
      <c r="CF210" s="114"/>
      <c r="CG210" s="114"/>
      <c r="CH210" s="114"/>
      <c r="CI210" s="114"/>
      <c r="CJ210" s="114"/>
      <c r="CK210" s="114"/>
      <c r="CL210" s="114"/>
      <c r="CM210" s="114"/>
      <c r="CN210" s="114"/>
      <c r="CO210" s="114"/>
      <c r="CP210" s="114"/>
      <c r="CQ210" s="114"/>
      <c r="CR210" s="114"/>
      <c r="CS210" s="114"/>
      <c r="CT210" s="114"/>
      <c r="CU210" s="114"/>
      <c r="CV210" s="114"/>
      <c r="CW210" s="114"/>
      <c r="CX210" s="114"/>
      <c r="CY210" s="114"/>
      <c r="CZ210" s="114"/>
      <c r="DA210" s="114"/>
      <c r="DB210" s="114"/>
      <c r="DC210" s="114"/>
      <c r="DD210" s="114"/>
      <c r="DE210" s="114"/>
      <c r="DF210" s="114"/>
      <c r="DG210" s="114"/>
      <c r="DH210" s="114"/>
      <c r="DI210" s="114"/>
      <c r="DJ210" s="114"/>
      <c r="DK210" s="114"/>
      <c r="DL210" s="114"/>
      <c r="DM210" s="114"/>
      <c r="DN210" s="114"/>
      <c r="DO210" s="114"/>
      <c r="DP210" s="114"/>
      <c r="DQ210" s="114"/>
    </row>
    <row r="211" spans="1:121" ht="15" customHeight="1" outlineLevel="3" x14ac:dyDescent="0.25">
      <c r="A211" s="101"/>
      <c r="B211" s="101" t="s">
        <v>153</v>
      </c>
      <c r="C211" s="101">
        <v>4</v>
      </c>
      <c r="D211" s="102" t="s">
        <v>273</v>
      </c>
      <c r="E211" s="103"/>
      <c r="F211" s="103"/>
      <c r="G211" s="103"/>
      <c r="H211" s="103" t="s">
        <v>560</v>
      </c>
      <c r="I211" s="103"/>
      <c r="J211" s="103"/>
      <c r="K211" s="103"/>
      <c r="L211" s="103"/>
      <c r="M211" s="103"/>
      <c r="N211" s="103"/>
      <c r="O211" s="103" t="str">
        <f>H211</f>
        <v>1동 상온#1 Aging(Deck&amp;Accessory)</v>
      </c>
      <c r="P211" s="118"/>
      <c r="Q211" s="108">
        <v>45176</v>
      </c>
      <c r="R211" s="105">
        <v>45184</v>
      </c>
      <c r="S211" s="106"/>
      <c r="T211" s="107">
        <v>9</v>
      </c>
      <c r="U211" s="107">
        <v>0</v>
      </c>
      <c r="V211" s="107">
        <v>9</v>
      </c>
      <c r="W211" s="107">
        <v>0</v>
      </c>
      <c r="X211" s="108"/>
      <c r="Y211" s="108"/>
      <c r="Z211" s="109">
        <v>0</v>
      </c>
      <c r="AA211" s="110">
        <v>0</v>
      </c>
      <c r="AB211" s="107"/>
      <c r="AC211" s="119"/>
      <c r="AD211" s="180"/>
      <c r="AE211" s="111">
        <v>0</v>
      </c>
      <c r="AF211" s="122">
        <v>0</v>
      </c>
      <c r="AG211" s="113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 t="str">
        <f>"    " &amp; TEXT(AF211,"#0.00%") &amp; " " &amp; "1동 상온#1 Aging(Deck&amp;Accessory)" &amp; " " &amp; IF(Q211="","",TEXT(Q211,"M/D-")) &amp; IF(R211="","",TEXT(R211,"M/D")) &amp; " "</f>
        <v xml:space="preserve">    0.00% 1동 상온#1 Aging(Deck&amp;Accessory) 9/7-9/15 </v>
      </c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114"/>
      <c r="CA211" s="114"/>
      <c r="CB211" s="114"/>
      <c r="CC211" s="114"/>
      <c r="CD211" s="114"/>
      <c r="CE211" s="114"/>
      <c r="CF211" s="114"/>
      <c r="CG211" s="114"/>
      <c r="CH211" s="114"/>
      <c r="CI211" s="114"/>
      <c r="CJ211" s="114"/>
      <c r="CK211" s="114"/>
      <c r="CL211" s="114"/>
      <c r="CM211" s="114"/>
      <c r="CN211" s="114"/>
      <c r="CO211" s="114"/>
      <c r="CP211" s="114"/>
      <c r="CQ211" s="114"/>
      <c r="CR211" s="114"/>
      <c r="CS211" s="114"/>
      <c r="CT211" s="114"/>
      <c r="CU211" s="114"/>
      <c r="CV211" s="114"/>
      <c r="CW211" s="114"/>
      <c r="CX211" s="114"/>
      <c r="CY211" s="114"/>
      <c r="CZ211" s="114"/>
      <c r="DA211" s="114"/>
      <c r="DB211" s="114"/>
      <c r="DC211" s="114"/>
      <c r="DD211" s="114"/>
      <c r="DE211" s="114"/>
      <c r="DF211" s="114"/>
      <c r="DG211" s="114"/>
      <c r="DH211" s="114"/>
      <c r="DI211" s="114"/>
      <c r="DJ211" s="114"/>
      <c r="DK211" s="114"/>
      <c r="DL211" s="114"/>
      <c r="DM211" s="114"/>
      <c r="DN211" s="114"/>
      <c r="DO211" s="114"/>
      <c r="DP211" s="114"/>
      <c r="DQ211" s="114"/>
    </row>
    <row r="212" spans="1:121" ht="15" customHeight="1" outlineLevel="4" x14ac:dyDescent="0.25">
      <c r="A212" s="101"/>
      <c r="B212" s="101"/>
      <c r="C212" s="101">
        <v>5</v>
      </c>
      <c r="D212" s="102" t="s">
        <v>274</v>
      </c>
      <c r="E212" s="103"/>
      <c r="F212" s="103"/>
      <c r="G212" s="103"/>
      <c r="H212" s="103"/>
      <c r="I212" s="120" t="s">
        <v>270</v>
      </c>
      <c r="J212" s="120"/>
      <c r="K212" s="120"/>
      <c r="L212" s="120"/>
      <c r="M212" s="120"/>
      <c r="N212" s="120"/>
      <c r="O212" s="103" t="str">
        <f>O211</f>
        <v>1동 상온#1 Aging(Deck&amp;Accessory)</v>
      </c>
      <c r="P212" s="184"/>
      <c r="Q212" s="105">
        <v>45176</v>
      </c>
      <c r="R212" s="105">
        <v>45184</v>
      </c>
      <c r="S212" s="106">
        <f>R212-Q212</f>
        <v>8</v>
      </c>
      <c r="T212" s="107">
        <v>9</v>
      </c>
      <c r="U212" s="107">
        <v>0</v>
      </c>
      <c r="V212" s="107">
        <v>9</v>
      </c>
      <c r="W212" s="107">
        <v>0</v>
      </c>
      <c r="X212" s="108"/>
      <c r="Y212" s="108"/>
      <c r="Z212" s="109"/>
      <c r="AA212" s="110">
        <v>0</v>
      </c>
      <c r="AB212" s="107">
        <v>1</v>
      </c>
      <c r="AC212" s="119"/>
      <c r="AD212" s="180"/>
      <c r="AE212" s="111">
        <v>0</v>
      </c>
      <c r="AF212" s="121">
        <v>0</v>
      </c>
      <c r="AG212" s="113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 t="str">
        <f>"    " &amp; TEXT(AF212,"#0.00%") &amp; " " &amp; "FAT" &amp; " " &amp; IF(Q212="","",TEXT(Q212,"M/D-")) &amp; IF(R212="","",TEXT(R212,"M/D")) &amp; " "</f>
        <v xml:space="preserve">    0.00% FAT 9/7-9/15 </v>
      </c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114"/>
      <c r="CA212" s="114"/>
      <c r="CB212" s="114"/>
      <c r="CC212" s="114"/>
      <c r="CD212" s="114"/>
      <c r="CE212" s="114"/>
      <c r="CF212" s="114"/>
      <c r="CG212" s="114"/>
      <c r="CH212" s="114"/>
      <c r="CI212" s="114"/>
      <c r="CJ212" s="114"/>
      <c r="CK212" s="114"/>
      <c r="CL212" s="114"/>
      <c r="CM212" s="114"/>
      <c r="CN212" s="114"/>
      <c r="CO212" s="114"/>
      <c r="CP212" s="114"/>
      <c r="CQ212" s="114"/>
      <c r="CR212" s="114"/>
      <c r="CS212" s="114"/>
      <c r="CT212" s="114"/>
      <c r="CU212" s="114"/>
      <c r="CV212" s="114"/>
      <c r="CW212" s="114"/>
      <c r="CX212" s="114"/>
      <c r="CY212" s="114"/>
      <c r="CZ212" s="114"/>
      <c r="DA212" s="114"/>
      <c r="DB212" s="114"/>
      <c r="DC212" s="114"/>
      <c r="DD212" s="114"/>
      <c r="DE212" s="114"/>
      <c r="DF212" s="114"/>
      <c r="DG212" s="114"/>
      <c r="DH212" s="114"/>
      <c r="DI212" s="114"/>
      <c r="DJ212" s="114"/>
      <c r="DK212" s="114"/>
      <c r="DL212" s="114"/>
      <c r="DM212" s="114"/>
      <c r="DN212" s="114"/>
      <c r="DO212" s="114"/>
      <c r="DP212" s="114"/>
      <c r="DQ212" s="114"/>
    </row>
    <row r="213" spans="1:121" ht="15" customHeight="1" outlineLevel="3" x14ac:dyDescent="0.25">
      <c r="A213" s="101"/>
      <c r="B213" s="101" t="s">
        <v>153</v>
      </c>
      <c r="C213" s="101">
        <v>4</v>
      </c>
      <c r="D213" s="102" t="s">
        <v>674</v>
      </c>
      <c r="E213" s="103"/>
      <c r="F213" s="103"/>
      <c r="G213" s="103"/>
      <c r="H213" s="103" t="s">
        <v>561</v>
      </c>
      <c r="I213" s="103"/>
      <c r="J213" s="103"/>
      <c r="K213" s="103"/>
      <c r="L213" s="103"/>
      <c r="M213" s="103"/>
      <c r="N213" s="103"/>
      <c r="O213" s="103" t="str">
        <f>H213</f>
        <v>1동 고온#1 Aging (Deck&amp;Accessory)</v>
      </c>
      <c r="P213" s="118"/>
      <c r="Q213" s="108">
        <v>45200</v>
      </c>
      <c r="R213" s="105">
        <v>45208</v>
      </c>
      <c r="S213" s="106"/>
      <c r="T213" s="107">
        <v>9</v>
      </c>
      <c r="U213" s="107">
        <v>0</v>
      </c>
      <c r="V213" s="107">
        <v>9</v>
      </c>
      <c r="W213" s="107">
        <v>0</v>
      </c>
      <c r="X213" s="108"/>
      <c r="Y213" s="108"/>
      <c r="Z213" s="109">
        <v>0</v>
      </c>
      <c r="AA213" s="110">
        <v>0</v>
      </c>
      <c r="AB213" s="107"/>
      <c r="AC213" s="119"/>
      <c r="AD213" s="180"/>
      <c r="AE213" s="111">
        <v>0</v>
      </c>
      <c r="AF213" s="122">
        <v>0</v>
      </c>
      <c r="AG213" s="113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 t="str">
        <f>"" &amp; TEXT(AF213,"#0.00%") &amp; " " &amp; "1동 고온#1 Aging (Deck&amp;Accessory)" &amp; " " &amp; IF(Q213="","",TEXT(Q213,"M/D-")) &amp; IF(R213="","",TEXT(R213,"M/D")) &amp; " "</f>
        <v xml:space="preserve">0.00% 1동 고온#1 Aging (Deck&amp;Accessory) 10/1-10/9 </v>
      </c>
      <c r="BQ213" s="114"/>
      <c r="BR213" s="114"/>
      <c r="BS213" s="114"/>
      <c r="BT213" s="114"/>
      <c r="BU213" s="114"/>
      <c r="BV213" s="114"/>
      <c r="BW213" s="114"/>
      <c r="BX213" s="114"/>
      <c r="BY213" s="114"/>
      <c r="BZ213" s="114"/>
      <c r="CA213" s="114"/>
      <c r="CB213" s="114"/>
      <c r="CC213" s="114"/>
      <c r="CD213" s="114"/>
      <c r="CE213" s="114"/>
      <c r="CF213" s="114"/>
      <c r="CG213" s="114"/>
      <c r="CH213" s="114"/>
      <c r="CI213" s="114"/>
      <c r="CJ213" s="114"/>
      <c r="CK213" s="114"/>
      <c r="CL213" s="114"/>
      <c r="CM213" s="114"/>
      <c r="CN213" s="114"/>
      <c r="CO213" s="114"/>
      <c r="CP213" s="114"/>
      <c r="CQ213" s="114"/>
      <c r="CR213" s="114"/>
      <c r="CS213" s="114"/>
      <c r="CT213" s="114"/>
      <c r="CU213" s="114"/>
      <c r="CV213" s="114"/>
      <c r="CW213" s="114"/>
      <c r="CX213" s="114"/>
      <c r="CY213" s="114"/>
      <c r="CZ213" s="114"/>
      <c r="DA213" s="114"/>
      <c r="DB213" s="114"/>
      <c r="DC213" s="114"/>
      <c r="DD213" s="114"/>
      <c r="DE213" s="114"/>
      <c r="DF213" s="114"/>
      <c r="DG213" s="114"/>
      <c r="DH213" s="114"/>
      <c r="DI213" s="114"/>
      <c r="DJ213" s="114"/>
      <c r="DK213" s="114"/>
      <c r="DL213" s="114"/>
      <c r="DM213" s="114"/>
      <c r="DN213" s="114"/>
      <c r="DO213" s="114"/>
      <c r="DP213" s="114"/>
      <c r="DQ213" s="114"/>
    </row>
    <row r="214" spans="1:121" ht="15" customHeight="1" outlineLevel="4" x14ac:dyDescent="0.25">
      <c r="A214" s="101"/>
      <c r="B214" s="101"/>
      <c r="C214" s="101">
        <v>5</v>
      </c>
      <c r="D214" s="102" t="s">
        <v>675</v>
      </c>
      <c r="E214" s="103"/>
      <c r="F214" s="103"/>
      <c r="G214" s="103"/>
      <c r="H214" s="103"/>
      <c r="I214" s="120" t="s">
        <v>270</v>
      </c>
      <c r="J214" s="120"/>
      <c r="K214" s="120"/>
      <c r="L214" s="120"/>
      <c r="M214" s="120"/>
      <c r="N214" s="120"/>
      <c r="O214" s="103" t="str">
        <f>O213</f>
        <v>1동 고온#1 Aging (Deck&amp;Accessory)</v>
      </c>
      <c r="P214" s="184"/>
      <c r="Q214" s="105">
        <v>45200</v>
      </c>
      <c r="R214" s="105">
        <v>45208</v>
      </c>
      <c r="S214" s="106">
        <f>R214-Q214</f>
        <v>8</v>
      </c>
      <c r="T214" s="107">
        <v>9</v>
      </c>
      <c r="U214" s="107">
        <v>0</v>
      </c>
      <c r="V214" s="107">
        <v>9</v>
      </c>
      <c r="W214" s="107">
        <v>0</v>
      </c>
      <c r="X214" s="108"/>
      <c r="Y214" s="108"/>
      <c r="Z214" s="109"/>
      <c r="AA214" s="110">
        <v>0</v>
      </c>
      <c r="AB214" s="107">
        <v>1</v>
      </c>
      <c r="AC214" s="119"/>
      <c r="AD214" s="180"/>
      <c r="AE214" s="111">
        <v>0</v>
      </c>
      <c r="AF214" s="121">
        <v>0</v>
      </c>
      <c r="AG214" s="113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  <c r="BM214" s="114"/>
      <c r="BN214" s="114"/>
      <c r="BO214" s="114"/>
      <c r="BP214" s="114" t="str">
        <f>"" &amp; TEXT(AF214,"#0.00%") &amp; " " &amp; "FAT" &amp; " " &amp; IF(Q214="","",TEXT(Q214,"M/D-")) &amp; IF(R214="","",TEXT(R214,"M/D")) &amp; " "</f>
        <v xml:space="preserve">0.00% FAT 10/1-10/9 </v>
      </c>
      <c r="BQ214" s="114"/>
      <c r="BR214" s="114"/>
      <c r="BS214" s="114"/>
      <c r="BT214" s="114"/>
      <c r="BU214" s="114"/>
      <c r="BV214" s="114"/>
      <c r="BW214" s="114"/>
      <c r="BX214" s="114"/>
      <c r="BY214" s="114"/>
      <c r="BZ214" s="114"/>
      <c r="CA214" s="114"/>
      <c r="CB214" s="114"/>
      <c r="CC214" s="114"/>
      <c r="CD214" s="114"/>
      <c r="CE214" s="114"/>
      <c r="CF214" s="114"/>
      <c r="CG214" s="114"/>
      <c r="CH214" s="114"/>
      <c r="CI214" s="114"/>
      <c r="CJ214" s="114"/>
      <c r="CK214" s="114"/>
      <c r="CL214" s="114"/>
      <c r="CM214" s="114"/>
      <c r="CN214" s="114"/>
      <c r="CO214" s="114"/>
      <c r="CP214" s="114"/>
      <c r="CQ214" s="114"/>
      <c r="CR214" s="114"/>
      <c r="CS214" s="114"/>
      <c r="CT214" s="114"/>
      <c r="CU214" s="114"/>
      <c r="CV214" s="114"/>
      <c r="CW214" s="114"/>
      <c r="CX214" s="114"/>
      <c r="CY214" s="114"/>
      <c r="CZ214" s="114"/>
      <c r="DA214" s="114"/>
      <c r="DB214" s="114"/>
      <c r="DC214" s="114"/>
      <c r="DD214" s="114"/>
      <c r="DE214" s="114"/>
      <c r="DF214" s="114"/>
      <c r="DG214" s="114"/>
      <c r="DH214" s="114"/>
      <c r="DI214" s="114"/>
      <c r="DJ214" s="114"/>
      <c r="DK214" s="114"/>
      <c r="DL214" s="114"/>
      <c r="DM214" s="114"/>
      <c r="DN214" s="114"/>
      <c r="DO214" s="114"/>
      <c r="DP214" s="114"/>
      <c r="DQ214" s="114"/>
    </row>
    <row r="215" spans="1:121" ht="15" customHeight="1" outlineLevel="3" x14ac:dyDescent="0.25">
      <c r="A215" s="101"/>
      <c r="B215" s="101" t="s">
        <v>153</v>
      </c>
      <c r="C215" s="101">
        <v>4</v>
      </c>
      <c r="D215" s="102" t="s">
        <v>676</v>
      </c>
      <c r="E215" s="103"/>
      <c r="F215" s="103"/>
      <c r="G215" s="103"/>
      <c r="H215" s="103" t="s">
        <v>562</v>
      </c>
      <c r="I215" s="103"/>
      <c r="J215" s="103"/>
      <c r="K215" s="103"/>
      <c r="L215" s="103"/>
      <c r="M215" s="103"/>
      <c r="N215" s="103"/>
      <c r="O215" s="103" t="str">
        <f>H215</f>
        <v>1동 PPC (Deck&amp;Accessory)</v>
      </c>
      <c r="P215" s="118"/>
      <c r="Q215" s="108">
        <v>45176</v>
      </c>
      <c r="R215" s="105">
        <v>45184</v>
      </c>
      <c r="S215" s="106"/>
      <c r="T215" s="107">
        <v>9</v>
      </c>
      <c r="U215" s="107">
        <v>0</v>
      </c>
      <c r="V215" s="107">
        <v>9</v>
      </c>
      <c r="W215" s="107">
        <v>0</v>
      </c>
      <c r="X215" s="108"/>
      <c r="Y215" s="108"/>
      <c r="Z215" s="109">
        <v>0</v>
      </c>
      <c r="AA215" s="110">
        <v>0</v>
      </c>
      <c r="AB215" s="107"/>
      <c r="AC215" s="119"/>
      <c r="AD215" s="180"/>
      <c r="AE215" s="111">
        <v>0</v>
      </c>
      <c r="AF215" s="122">
        <v>0</v>
      </c>
      <c r="AG215" s="113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  <c r="BI215" s="114"/>
      <c r="BJ215" s="114"/>
      <c r="BK215" s="114"/>
      <c r="BL215" s="114" t="str">
        <f>"    " &amp; TEXT(AF215,"#0.00%") &amp; " " &amp; "1동 PPC (Deck&amp;Accessory)" &amp; " " &amp; IF(Q215="","",TEXT(Q215,"M/D-")) &amp; IF(R215="","",TEXT(R215,"M/D")) &amp; " "</f>
        <v xml:space="preserve">    0.00% 1동 PPC (Deck&amp;Accessory) 9/7-9/15 </v>
      </c>
      <c r="BM215" s="114"/>
      <c r="BN215" s="114"/>
      <c r="BO215" s="114"/>
      <c r="BP215" s="114"/>
      <c r="BQ215" s="114"/>
      <c r="BR215" s="114"/>
      <c r="BS215" s="114"/>
      <c r="BT215" s="114"/>
      <c r="BU215" s="114"/>
      <c r="BV215" s="114"/>
      <c r="BW215" s="114"/>
      <c r="BX215" s="114"/>
      <c r="BY215" s="114"/>
      <c r="BZ215" s="114"/>
      <c r="CA215" s="114"/>
      <c r="CB215" s="114"/>
      <c r="CC215" s="114"/>
      <c r="CD215" s="114"/>
      <c r="CE215" s="114"/>
      <c r="CF215" s="114"/>
      <c r="CG215" s="114"/>
      <c r="CH215" s="114"/>
      <c r="CI215" s="114"/>
      <c r="CJ215" s="114"/>
      <c r="CK215" s="114"/>
      <c r="CL215" s="114"/>
      <c r="CM215" s="114"/>
      <c r="CN215" s="114"/>
      <c r="CO215" s="114"/>
      <c r="CP215" s="114"/>
      <c r="CQ215" s="114"/>
      <c r="CR215" s="114"/>
      <c r="CS215" s="114"/>
      <c r="CT215" s="114"/>
      <c r="CU215" s="114"/>
      <c r="CV215" s="114"/>
      <c r="CW215" s="114"/>
      <c r="CX215" s="114"/>
      <c r="CY215" s="114"/>
      <c r="CZ215" s="114"/>
      <c r="DA215" s="114"/>
      <c r="DB215" s="114"/>
      <c r="DC215" s="114"/>
      <c r="DD215" s="114"/>
      <c r="DE215" s="114"/>
      <c r="DF215" s="114"/>
      <c r="DG215" s="114"/>
      <c r="DH215" s="114"/>
      <c r="DI215" s="114"/>
      <c r="DJ215" s="114"/>
      <c r="DK215" s="114"/>
      <c r="DL215" s="114"/>
      <c r="DM215" s="114"/>
      <c r="DN215" s="114"/>
      <c r="DO215" s="114"/>
      <c r="DP215" s="114"/>
      <c r="DQ215" s="114"/>
    </row>
    <row r="216" spans="1:121" ht="15" customHeight="1" outlineLevel="4" x14ac:dyDescent="0.25">
      <c r="A216" s="101"/>
      <c r="B216" s="101"/>
      <c r="C216" s="101">
        <v>5</v>
      </c>
      <c r="D216" s="102" t="s">
        <v>677</v>
      </c>
      <c r="E216" s="103"/>
      <c r="F216" s="103"/>
      <c r="G216" s="103"/>
      <c r="H216" s="103"/>
      <c r="I216" s="120" t="s">
        <v>270</v>
      </c>
      <c r="J216" s="120"/>
      <c r="K216" s="120"/>
      <c r="L216" s="120"/>
      <c r="M216" s="120"/>
      <c r="N216" s="120"/>
      <c r="O216" s="103" t="str">
        <f>O215</f>
        <v>1동 PPC (Deck&amp;Accessory)</v>
      </c>
      <c r="P216" s="184"/>
      <c r="Q216" s="105">
        <v>45176</v>
      </c>
      <c r="R216" s="105">
        <v>45184</v>
      </c>
      <c r="S216" s="106">
        <f>R216-Q216</f>
        <v>8</v>
      </c>
      <c r="T216" s="107">
        <v>9</v>
      </c>
      <c r="U216" s="107">
        <v>0</v>
      </c>
      <c r="V216" s="107">
        <v>9</v>
      </c>
      <c r="W216" s="107">
        <v>0</v>
      </c>
      <c r="X216" s="108"/>
      <c r="Y216" s="108"/>
      <c r="Z216" s="109"/>
      <c r="AA216" s="110">
        <v>0</v>
      </c>
      <c r="AB216" s="107">
        <v>1</v>
      </c>
      <c r="AC216" s="119"/>
      <c r="AD216" s="180"/>
      <c r="AE216" s="111">
        <v>0</v>
      </c>
      <c r="AF216" s="121">
        <v>0</v>
      </c>
      <c r="AG216" s="113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 t="str">
        <f>"    " &amp; TEXT(AF216,"#0.00%") &amp; " " &amp; "FAT" &amp; " " &amp; IF(Q216="","",TEXT(Q216,"M/D-")) &amp; IF(R216="","",TEXT(R216,"M/D")) &amp; " "</f>
        <v xml:space="preserve">    0.00% FAT 9/7-9/15 </v>
      </c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114"/>
      <c r="CA216" s="114"/>
      <c r="CB216" s="114"/>
      <c r="CC216" s="114"/>
      <c r="CD216" s="114"/>
      <c r="CE216" s="114"/>
      <c r="CF216" s="114"/>
      <c r="CG216" s="114"/>
      <c r="CH216" s="114"/>
      <c r="CI216" s="114"/>
      <c r="CJ216" s="114"/>
      <c r="CK216" s="114"/>
      <c r="CL216" s="114"/>
      <c r="CM216" s="114"/>
      <c r="CN216" s="114"/>
      <c r="CO216" s="114"/>
      <c r="CP216" s="114"/>
      <c r="CQ216" s="114"/>
      <c r="CR216" s="114"/>
      <c r="CS216" s="114"/>
      <c r="CT216" s="114"/>
      <c r="CU216" s="114"/>
      <c r="CV216" s="114"/>
      <c r="CW216" s="114"/>
      <c r="CX216" s="114"/>
      <c r="CY216" s="114"/>
      <c r="CZ216" s="114"/>
      <c r="DA216" s="114"/>
      <c r="DB216" s="114"/>
      <c r="DC216" s="114"/>
      <c r="DD216" s="114"/>
      <c r="DE216" s="114"/>
      <c r="DF216" s="114"/>
      <c r="DG216" s="114"/>
      <c r="DH216" s="114"/>
      <c r="DI216" s="114"/>
      <c r="DJ216" s="114"/>
      <c r="DK216" s="114"/>
      <c r="DL216" s="114"/>
      <c r="DM216" s="114"/>
      <c r="DN216" s="114"/>
      <c r="DO216" s="114"/>
      <c r="DP216" s="114"/>
      <c r="DQ216" s="114"/>
    </row>
    <row r="217" spans="1:121" ht="15" customHeight="1" outlineLevel="3" x14ac:dyDescent="0.25">
      <c r="A217" s="101"/>
      <c r="B217" s="101" t="s">
        <v>153</v>
      </c>
      <c r="C217" s="101">
        <v>4</v>
      </c>
      <c r="D217" s="102" t="s">
        <v>678</v>
      </c>
      <c r="E217" s="103"/>
      <c r="F217" s="103"/>
      <c r="G217" s="103"/>
      <c r="H217" s="103" t="s">
        <v>563</v>
      </c>
      <c r="I217" s="103"/>
      <c r="J217" s="103"/>
      <c r="K217" s="103"/>
      <c r="L217" s="103"/>
      <c r="M217" s="103"/>
      <c r="N217" s="103"/>
      <c r="O217" s="103" t="str">
        <f>H217</f>
        <v>1동 충방전 (Deck&amp;Accessory)</v>
      </c>
      <c r="P217" s="118"/>
      <c r="Q217" s="108">
        <v>45176</v>
      </c>
      <c r="R217" s="105">
        <v>45184</v>
      </c>
      <c r="S217" s="106"/>
      <c r="T217" s="107">
        <v>9</v>
      </c>
      <c r="U217" s="107">
        <v>0</v>
      </c>
      <c r="V217" s="107">
        <v>9</v>
      </c>
      <c r="W217" s="107">
        <v>0</v>
      </c>
      <c r="X217" s="108"/>
      <c r="Y217" s="108"/>
      <c r="Z217" s="109">
        <v>0</v>
      </c>
      <c r="AA217" s="110">
        <v>0</v>
      </c>
      <c r="AB217" s="107"/>
      <c r="AC217" s="119"/>
      <c r="AD217" s="180"/>
      <c r="AE217" s="111">
        <v>0</v>
      </c>
      <c r="AF217" s="122">
        <v>0</v>
      </c>
      <c r="AG217" s="113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 t="str">
        <f>"    " &amp; TEXT(AF217,"#0.00%") &amp; " " &amp; "1동 충방전 (Deck&amp;Accessory)" &amp; " " &amp; IF(Q217="","",TEXT(Q217,"M/D-")) &amp; IF(R217="","",TEXT(R217,"M/D")) &amp; " "</f>
        <v xml:space="preserve">    0.00% 1동 충방전 (Deck&amp;Accessory) 9/7-9/15 </v>
      </c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114"/>
      <c r="CA217" s="114"/>
      <c r="CB217" s="114"/>
      <c r="CC217" s="114"/>
      <c r="CD217" s="114"/>
      <c r="CE217" s="114"/>
      <c r="CF217" s="114"/>
      <c r="CG217" s="114"/>
      <c r="CH217" s="114"/>
      <c r="CI217" s="114"/>
      <c r="CJ217" s="114"/>
      <c r="CK217" s="114"/>
      <c r="CL217" s="114"/>
      <c r="CM217" s="114"/>
      <c r="CN217" s="114"/>
      <c r="CO217" s="114"/>
      <c r="CP217" s="114"/>
      <c r="CQ217" s="114"/>
      <c r="CR217" s="114"/>
      <c r="CS217" s="114"/>
      <c r="CT217" s="114"/>
      <c r="CU217" s="114"/>
      <c r="CV217" s="114"/>
      <c r="CW217" s="114"/>
      <c r="CX217" s="114"/>
      <c r="CY217" s="114"/>
      <c r="CZ217" s="114"/>
      <c r="DA217" s="114"/>
      <c r="DB217" s="114"/>
      <c r="DC217" s="114"/>
      <c r="DD217" s="114"/>
      <c r="DE217" s="114"/>
      <c r="DF217" s="114"/>
      <c r="DG217" s="114"/>
      <c r="DH217" s="114"/>
      <c r="DI217" s="114"/>
      <c r="DJ217" s="114"/>
      <c r="DK217" s="114"/>
      <c r="DL217" s="114"/>
      <c r="DM217" s="114"/>
      <c r="DN217" s="114"/>
      <c r="DO217" s="114"/>
      <c r="DP217" s="114"/>
      <c r="DQ217" s="114"/>
    </row>
    <row r="218" spans="1:121" ht="15" customHeight="1" outlineLevel="4" x14ac:dyDescent="0.25">
      <c r="A218" s="101"/>
      <c r="B218" s="101"/>
      <c r="C218" s="101">
        <v>5</v>
      </c>
      <c r="D218" s="102" t="s">
        <v>679</v>
      </c>
      <c r="E218" s="103"/>
      <c r="F218" s="103"/>
      <c r="G218" s="103"/>
      <c r="H218" s="103"/>
      <c r="I218" s="120" t="s">
        <v>270</v>
      </c>
      <c r="J218" s="120"/>
      <c r="K218" s="120"/>
      <c r="L218" s="120"/>
      <c r="M218" s="120"/>
      <c r="N218" s="120"/>
      <c r="O218" s="103" t="str">
        <f>O217</f>
        <v>1동 충방전 (Deck&amp;Accessory)</v>
      </c>
      <c r="P218" s="184"/>
      <c r="Q218" s="105">
        <v>45176</v>
      </c>
      <c r="R218" s="105">
        <v>45184</v>
      </c>
      <c r="S218" s="106">
        <f>R218-Q218</f>
        <v>8</v>
      </c>
      <c r="T218" s="107">
        <v>9</v>
      </c>
      <c r="U218" s="107">
        <v>0</v>
      </c>
      <c r="V218" s="107">
        <v>9</v>
      </c>
      <c r="W218" s="107">
        <v>0</v>
      </c>
      <c r="X218" s="108"/>
      <c r="Y218" s="108"/>
      <c r="Z218" s="109"/>
      <c r="AA218" s="110">
        <v>0</v>
      </c>
      <c r="AB218" s="107">
        <v>1</v>
      </c>
      <c r="AC218" s="119"/>
      <c r="AD218" s="180"/>
      <c r="AE218" s="111">
        <v>0</v>
      </c>
      <c r="AF218" s="121">
        <v>0</v>
      </c>
      <c r="AG218" s="113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 t="str">
        <f>"    " &amp; TEXT(AF218,"#0.00%") &amp; " " &amp; "FAT" &amp; " " &amp; IF(Q218="","",TEXT(Q218,"M/D-")) &amp; IF(R218="","",TEXT(R218,"M/D")) &amp; " "</f>
        <v xml:space="preserve">    0.00% FAT 9/7-9/15 </v>
      </c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4"/>
      <c r="BZ218" s="114"/>
      <c r="CA218" s="114"/>
      <c r="CB218" s="114"/>
      <c r="CC218" s="114"/>
      <c r="CD218" s="114"/>
      <c r="CE218" s="114"/>
      <c r="CF218" s="114"/>
      <c r="CG218" s="114"/>
      <c r="CH218" s="114"/>
      <c r="CI218" s="114"/>
      <c r="CJ218" s="114"/>
      <c r="CK218" s="114"/>
      <c r="CL218" s="114"/>
      <c r="CM218" s="114"/>
      <c r="CN218" s="114"/>
      <c r="CO218" s="114"/>
      <c r="CP218" s="114"/>
      <c r="CQ218" s="114"/>
      <c r="CR218" s="114"/>
      <c r="CS218" s="114"/>
      <c r="CT218" s="114"/>
      <c r="CU218" s="114"/>
      <c r="CV218" s="114"/>
      <c r="CW218" s="114"/>
      <c r="CX218" s="114"/>
      <c r="CY218" s="114"/>
      <c r="CZ218" s="114"/>
      <c r="DA218" s="114"/>
      <c r="DB218" s="114"/>
      <c r="DC218" s="114"/>
      <c r="DD218" s="114"/>
      <c r="DE218" s="114"/>
      <c r="DF218" s="114"/>
      <c r="DG218" s="114"/>
      <c r="DH218" s="114"/>
      <c r="DI218" s="114"/>
      <c r="DJ218" s="114"/>
      <c r="DK218" s="114"/>
      <c r="DL218" s="114"/>
      <c r="DM218" s="114"/>
      <c r="DN218" s="114"/>
      <c r="DO218" s="114"/>
      <c r="DP218" s="114"/>
      <c r="DQ218" s="114"/>
    </row>
    <row r="219" spans="1:121" ht="15" customHeight="1" outlineLevel="3" x14ac:dyDescent="0.25">
      <c r="A219" s="101"/>
      <c r="B219" s="101" t="s">
        <v>153</v>
      </c>
      <c r="C219" s="101">
        <v>4</v>
      </c>
      <c r="D219" s="102" t="s">
        <v>680</v>
      </c>
      <c r="E219" s="103"/>
      <c r="F219" s="103"/>
      <c r="G219" s="103"/>
      <c r="H219" s="103" t="s">
        <v>564</v>
      </c>
      <c r="I219" s="103"/>
      <c r="J219" s="103"/>
      <c r="K219" s="103"/>
      <c r="L219" s="103"/>
      <c r="M219" s="103"/>
      <c r="N219" s="103"/>
      <c r="O219" s="103" t="str">
        <f>H219</f>
        <v>1동 고온#2 Aging (Deck&amp;Accessory)</v>
      </c>
      <c r="P219" s="118"/>
      <c r="Q219" s="108">
        <v>45189</v>
      </c>
      <c r="R219" s="105">
        <v>45199</v>
      </c>
      <c r="S219" s="106"/>
      <c r="T219" s="107">
        <v>11</v>
      </c>
      <c r="U219" s="107">
        <v>0</v>
      </c>
      <c r="V219" s="107">
        <v>11</v>
      </c>
      <c r="W219" s="107">
        <v>0</v>
      </c>
      <c r="X219" s="108"/>
      <c r="Y219" s="108"/>
      <c r="Z219" s="109">
        <v>0</v>
      </c>
      <c r="AA219" s="110">
        <v>0</v>
      </c>
      <c r="AB219" s="107"/>
      <c r="AC219" s="119"/>
      <c r="AD219" s="180"/>
      <c r="AE219" s="111">
        <v>0</v>
      </c>
      <c r="AF219" s="122">
        <v>0</v>
      </c>
      <c r="AG219" s="113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 t="str">
        <f>"   " &amp; TEXT(AF219,"#0.00%") &amp; " " &amp; "1동 고온#2 Aging (Deck&amp;Accessory)" &amp; " " &amp; IF(Q219="","",TEXT(Q219,"M/D-")) &amp; IF(R219="","",TEXT(R219,"M/D")) &amp; " "</f>
        <v xml:space="preserve">   0.00% 1동 고온#2 Aging (Deck&amp;Accessory) 9/20-9/30 </v>
      </c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  <c r="CA219" s="114"/>
      <c r="CB219" s="114"/>
      <c r="CC219" s="114"/>
      <c r="CD219" s="114"/>
      <c r="CE219" s="114"/>
      <c r="CF219" s="114"/>
      <c r="CG219" s="114"/>
      <c r="CH219" s="114"/>
      <c r="CI219" s="114"/>
      <c r="CJ219" s="114"/>
      <c r="CK219" s="114"/>
      <c r="CL219" s="114"/>
      <c r="CM219" s="114"/>
      <c r="CN219" s="114"/>
      <c r="CO219" s="114"/>
      <c r="CP219" s="114"/>
      <c r="CQ219" s="114"/>
      <c r="CR219" s="114"/>
      <c r="CS219" s="114"/>
      <c r="CT219" s="114"/>
      <c r="CU219" s="114"/>
      <c r="CV219" s="114"/>
      <c r="CW219" s="114"/>
      <c r="CX219" s="114"/>
      <c r="CY219" s="114"/>
      <c r="CZ219" s="114"/>
      <c r="DA219" s="114"/>
      <c r="DB219" s="114"/>
      <c r="DC219" s="114"/>
      <c r="DD219" s="114"/>
      <c r="DE219" s="114"/>
      <c r="DF219" s="114"/>
      <c r="DG219" s="114"/>
      <c r="DH219" s="114"/>
      <c r="DI219" s="114"/>
      <c r="DJ219" s="114"/>
      <c r="DK219" s="114"/>
      <c r="DL219" s="114"/>
      <c r="DM219" s="114"/>
      <c r="DN219" s="114"/>
      <c r="DO219" s="114"/>
      <c r="DP219" s="114"/>
      <c r="DQ219" s="114"/>
    </row>
    <row r="220" spans="1:121" ht="15" customHeight="1" outlineLevel="4" x14ac:dyDescent="0.25">
      <c r="A220" s="101"/>
      <c r="B220" s="101"/>
      <c r="C220" s="101">
        <v>5</v>
      </c>
      <c r="D220" s="102" t="s">
        <v>681</v>
      </c>
      <c r="E220" s="103"/>
      <c r="F220" s="103"/>
      <c r="G220" s="103"/>
      <c r="H220" s="103"/>
      <c r="I220" s="120" t="s">
        <v>270</v>
      </c>
      <c r="J220" s="120"/>
      <c r="K220" s="120"/>
      <c r="L220" s="120"/>
      <c r="M220" s="120"/>
      <c r="N220" s="120"/>
      <c r="O220" s="103" t="str">
        <f>O219</f>
        <v>1동 고온#2 Aging (Deck&amp;Accessory)</v>
      </c>
      <c r="P220" s="184"/>
      <c r="Q220" s="105">
        <v>45189</v>
      </c>
      <c r="R220" s="105">
        <v>45199</v>
      </c>
      <c r="S220" s="106">
        <f>R220-Q220</f>
        <v>10</v>
      </c>
      <c r="T220" s="107">
        <v>11</v>
      </c>
      <c r="U220" s="107">
        <v>0</v>
      </c>
      <c r="V220" s="107">
        <v>11</v>
      </c>
      <c r="W220" s="107">
        <v>0</v>
      </c>
      <c r="X220" s="108"/>
      <c r="Y220" s="108"/>
      <c r="Z220" s="109"/>
      <c r="AA220" s="110">
        <v>0</v>
      </c>
      <c r="AB220" s="107">
        <v>1</v>
      </c>
      <c r="AC220" s="119"/>
      <c r="AD220" s="180"/>
      <c r="AE220" s="111">
        <v>0</v>
      </c>
      <c r="AF220" s="121">
        <v>0</v>
      </c>
      <c r="AG220" s="113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 t="str">
        <f>"   " &amp; TEXT(AF220,"#0.00%") &amp; " " &amp; "FAT" &amp; " " &amp; IF(Q220="","",TEXT(Q220,"M/D-")) &amp; IF(R220="","",TEXT(R220,"M/D")) &amp; " "</f>
        <v xml:space="preserve">   0.00% FAT 9/20-9/30 </v>
      </c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/>
      <c r="CA220" s="114"/>
      <c r="CB220" s="114"/>
      <c r="CC220" s="114"/>
      <c r="CD220" s="114"/>
      <c r="CE220" s="114"/>
      <c r="CF220" s="114"/>
      <c r="CG220" s="114"/>
      <c r="CH220" s="114"/>
      <c r="CI220" s="114"/>
      <c r="CJ220" s="114"/>
      <c r="CK220" s="114"/>
      <c r="CL220" s="114"/>
      <c r="CM220" s="114"/>
      <c r="CN220" s="114"/>
      <c r="CO220" s="114"/>
      <c r="CP220" s="114"/>
      <c r="CQ220" s="114"/>
      <c r="CR220" s="114"/>
      <c r="CS220" s="114"/>
      <c r="CT220" s="114"/>
      <c r="CU220" s="114"/>
      <c r="CV220" s="114"/>
      <c r="CW220" s="114"/>
      <c r="CX220" s="114"/>
      <c r="CY220" s="114"/>
      <c r="CZ220" s="114"/>
      <c r="DA220" s="114"/>
      <c r="DB220" s="114"/>
      <c r="DC220" s="114"/>
      <c r="DD220" s="114"/>
      <c r="DE220" s="114"/>
      <c r="DF220" s="114"/>
      <c r="DG220" s="114"/>
      <c r="DH220" s="114"/>
      <c r="DI220" s="114"/>
      <c r="DJ220" s="114"/>
      <c r="DK220" s="114"/>
      <c r="DL220" s="114"/>
      <c r="DM220" s="114"/>
      <c r="DN220" s="114"/>
      <c r="DO220" s="114"/>
      <c r="DP220" s="114"/>
      <c r="DQ220" s="114"/>
    </row>
    <row r="221" spans="1:121" ht="15" customHeight="1" outlineLevel="3" x14ac:dyDescent="0.25">
      <c r="A221" s="101"/>
      <c r="B221" s="101" t="s">
        <v>153</v>
      </c>
      <c r="C221" s="101">
        <v>4</v>
      </c>
      <c r="D221" s="102" t="s">
        <v>682</v>
      </c>
      <c r="E221" s="103"/>
      <c r="F221" s="103"/>
      <c r="G221" s="103"/>
      <c r="H221" s="103" t="s">
        <v>565</v>
      </c>
      <c r="I221" s="103"/>
      <c r="J221" s="103"/>
      <c r="K221" s="103"/>
      <c r="L221" s="103"/>
      <c r="M221" s="103"/>
      <c r="N221" s="103"/>
      <c r="O221" s="103" t="str">
        <f>H221</f>
        <v>1동 상온#2,3 Aging (Deck&amp;Accessory)</v>
      </c>
      <c r="P221" s="118"/>
      <c r="Q221" s="108">
        <v>45214</v>
      </c>
      <c r="R221" s="105">
        <v>45223</v>
      </c>
      <c r="S221" s="106"/>
      <c r="T221" s="107">
        <v>10</v>
      </c>
      <c r="U221" s="107">
        <v>0</v>
      </c>
      <c r="V221" s="107">
        <v>10</v>
      </c>
      <c r="W221" s="107">
        <v>0</v>
      </c>
      <c r="X221" s="108"/>
      <c r="Y221" s="108"/>
      <c r="Z221" s="109">
        <v>0</v>
      </c>
      <c r="AA221" s="110">
        <v>0</v>
      </c>
      <c r="AB221" s="107"/>
      <c r="AC221" s="119"/>
      <c r="AD221" s="180"/>
      <c r="AE221" s="111">
        <v>0</v>
      </c>
      <c r="AF221" s="122">
        <v>0</v>
      </c>
      <c r="AG221" s="113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14"/>
      <c r="BR221" s="114" t="str">
        <f>"" &amp; TEXT(AF221,"#0.00%") &amp; " " &amp; "1동 상온#2,3 Aging (Deck&amp;Accessory)" &amp; " " &amp; IF(Q221="","",TEXT(Q221,"M/D-")) &amp; IF(R221="","",TEXT(R221,"M/D")) &amp; " "</f>
        <v xml:space="preserve">0.00% 1동 상온#2,3 Aging (Deck&amp;Accessory) 10/15-10/24 </v>
      </c>
      <c r="BS221" s="114"/>
      <c r="BT221" s="114"/>
      <c r="BU221" s="114"/>
      <c r="BV221" s="114"/>
      <c r="BW221" s="114"/>
      <c r="BX221" s="114"/>
      <c r="BY221" s="114"/>
      <c r="BZ221" s="114"/>
      <c r="CA221" s="114"/>
      <c r="CB221" s="114"/>
      <c r="CC221" s="114"/>
      <c r="CD221" s="114"/>
      <c r="CE221" s="114"/>
      <c r="CF221" s="114"/>
      <c r="CG221" s="114"/>
      <c r="CH221" s="114"/>
      <c r="CI221" s="114"/>
      <c r="CJ221" s="114"/>
      <c r="CK221" s="114"/>
      <c r="CL221" s="114"/>
      <c r="CM221" s="114"/>
      <c r="CN221" s="114"/>
      <c r="CO221" s="114"/>
      <c r="CP221" s="114"/>
      <c r="CQ221" s="114"/>
      <c r="CR221" s="114"/>
      <c r="CS221" s="114"/>
      <c r="CT221" s="114"/>
      <c r="CU221" s="114"/>
      <c r="CV221" s="114"/>
      <c r="CW221" s="114"/>
      <c r="CX221" s="114"/>
      <c r="CY221" s="114"/>
      <c r="CZ221" s="114"/>
      <c r="DA221" s="114"/>
      <c r="DB221" s="114"/>
      <c r="DC221" s="114"/>
      <c r="DD221" s="114"/>
      <c r="DE221" s="114"/>
      <c r="DF221" s="114"/>
      <c r="DG221" s="114"/>
      <c r="DH221" s="114"/>
      <c r="DI221" s="114"/>
      <c r="DJ221" s="114"/>
      <c r="DK221" s="114"/>
      <c r="DL221" s="114"/>
      <c r="DM221" s="114"/>
      <c r="DN221" s="114"/>
      <c r="DO221" s="114"/>
      <c r="DP221" s="114"/>
      <c r="DQ221" s="114"/>
    </row>
    <row r="222" spans="1:121" ht="15" customHeight="1" outlineLevel="4" x14ac:dyDescent="0.25">
      <c r="A222" s="101"/>
      <c r="B222" s="101"/>
      <c r="C222" s="101">
        <v>5</v>
      </c>
      <c r="D222" s="102" t="s">
        <v>683</v>
      </c>
      <c r="E222" s="103"/>
      <c r="F222" s="103"/>
      <c r="G222" s="103"/>
      <c r="H222" s="103"/>
      <c r="I222" s="120" t="s">
        <v>270</v>
      </c>
      <c r="J222" s="120"/>
      <c r="K222" s="120"/>
      <c r="L222" s="120"/>
      <c r="M222" s="120"/>
      <c r="N222" s="120"/>
      <c r="O222" s="103" t="str">
        <f>O221</f>
        <v>1동 상온#2,3 Aging (Deck&amp;Accessory)</v>
      </c>
      <c r="P222" s="184"/>
      <c r="Q222" s="105">
        <v>45214</v>
      </c>
      <c r="R222" s="105">
        <v>45223</v>
      </c>
      <c r="S222" s="106">
        <f>R222-Q222</f>
        <v>9</v>
      </c>
      <c r="T222" s="107">
        <v>10</v>
      </c>
      <c r="U222" s="107">
        <v>0</v>
      </c>
      <c r="V222" s="107">
        <v>10</v>
      </c>
      <c r="W222" s="107">
        <v>0</v>
      </c>
      <c r="X222" s="108"/>
      <c r="Y222" s="108"/>
      <c r="Z222" s="109"/>
      <c r="AA222" s="110">
        <v>0</v>
      </c>
      <c r="AB222" s="107">
        <v>1</v>
      </c>
      <c r="AC222" s="119"/>
      <c r="AD222" s="180"/>
      <c r="AE222" s="111">
        <v>0</v>
      </c>
      <c r="AF222" s="121">
        <v>0</v>
      </c>
      <c r="AG222" s="113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 t="str">
        <f>"" &amp; TEXT(AF222,"#0.00%") &amp; " " &amp; "FAT" &amp; " " &amp; IF(Q222="","",TEXT(Q222,"M/D-")) &amp; IF(R222="","",TEXT(R222,"M/D")) &amp; " "</f>
        <v xml:space="preserve">0.00% FAT 10/15-10/24 </v>
      </c>
      <c r="BS222" s="114"/>
      <c r="BT222" s="114"/>
      <c r="BU222" s="114"/>
      <c r="BV222" s="114"/>
      <c r="BW222" s="114"/>
      <c r="BX222" s="114"/>
      <c r="BY222" s="114"/>
      <c r="BZ222" s="114"/>
      <c r="CA222" s="114"/>
      <c r="CB222" s="114"/>
      <c r="CC222" s="114"/>
      <c r="CD222" s="114"/>
      <c r="CE222" s="114"/>
      <c r="CF222" s="114"/>
      <c r="CG222" s="114"/>
      <c r="CH222" s="114"/>
      <c r="CI222" s="114"/>
      <c r="CJ222" s="114"/>
      <c r="CK222" s="114"/>
      <c r="CL222" s="114"/>
      <c r="CM222" s="114"/>
      <c r="CN222" s="114"/>
      <c r="CO222" s="114"/>
      <c r="CP222" s="114"/>
      <c r="CQ222" s="114"/>
      <c r="CR222" s="114"/>
      <c r="CS222" s="114"/>
      <c r="CT222" s="114"/>
      <c r="CU222" s="114"/>
      <c r="CV222" s="114"/>
      <c r="CW222" s="114"/>
      <c r="CX222" s="114"/>
      <c r="CY222" s="114"/>
      <c r="CZ222" s="114"/>
      <c r="DA222" s="114"/>
      <c r="DB222" s="114"/>
      <c r="DC222" s="114"/>
      <c r="DD222" s="114"/>
      <c r="DE222" s="114"/>
      <c r="DF222" s="114"/>
      <c r="DG222" s="114"/>
      <c r="DH222" s="114"/>
      <c r="DI222" s="114"/>
      <c r="DJ222" s="114"/>
      <c r="DK222" s="114"/>
      <c r="DL222" s="114"/>
      <c r="DM222" s="114"/>
      <c r="DN222" s="114"/>
      <c r="DO222" s="114"/>
      <c r="DP222" s="114"/>
      <c r="DQ222" s="114"/>
    </row>
    <row r="223" spans="1:121" ht="15" customHeight="1" outlineLevel="3" x14ac:dyDescent="0.25">
      <c r="A223" s="101"/>
      <c r="B223" s="101" t="s">
        <v>153</v>
      </c>
      <c r="C223" s="101">
        <v>4</v>
      </c>
      <c r="D223" s="102" t="s">
        <v>684</v>
      </c>
      <c r="E223" s="103"/>
      <c r="F223" s="103"/>
      <c r="G223" s="103"/>
      <c r="H223" s="103" t="s">
        <v>566</v>
      </c>
      <c r="I223" s="103"/>
      <c r="J223" s="103"/>
      <c r="K223" s="103"/>
      <c r="L223" s="103"/>
      <c r="M223" s="103"/>
      <c r="N223" s="103"/>
      <c r="O223" s="103" t="str">
        <f>H223</f>
        <v>1동 공 Tray Buffer</v>
      </c>
      <c r="P223" s="118"/>
      <c r="Q223" s="108">
        <v>45189</v>
      </c>
      <c r="R223" s="105">
        <v>45199</v>
      </c>
      <c r="S223" s="106"/>
      <c r="T223" s="107">
        <v>11</v>
      </c>
      <c r="U223" s="107">
        <v>0</v>
      </c>
      <c r="V223" s="107">
        <v>11</v>
      </c>
      <c r="W223" s="107">
        <v>0</v>
      </c>
      <c r="X223" s="108"/>
      <c r="Y223" s="108"/>
      <c r="Z223" s="109">
        <v>0</v>
      </c>
      <c r="AA223" s="110">
        <v>0</v>
      </c>
      <c r="AB223" s="107"/>
      <c r="AC223" s="119"/>
      <c r="AD223" s="180"/>
      <c r="AE223" s="111">
        <v>0</v>
      </c>
      <c r="AF223" s="122">
        <v>0</v>
      </c>
      <c r="AG223" s="113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 t="str">
        <f>"   " &amp; TEXT(AF223,"#0.00%") &amp; " " &amp; "1동 공 Tray Buffer" &amp; " " &amp; IF(Q223="","",TEXT(Q223,"M/D-")) &amp; IF(R223="","",TEXT(R223,"M/D")) &amp; " "</f>
        <v xml:space="preserve">   0.00% 1동 공 Tray Buffer 9/20-9/30 </v>
      </c>
      <c r="BO223" s="114"/>
      <c r="BP223" s="114"/>
      <c r="BQ223" s="114"/>
      <c r="BR223" s="114"/>
      <c r="BS223" s="114"/>
      <c r="BT223" s="114"/>
      <c r="BU223" s="114"/>
      <c r="BV223" s="114"/>
      <c r="BW223" s="114"/>
      <c r="BX223" s="114"/>
      <c r="BY223" s="114"/>
      <c r="BZ223" s="114"/>
      <c r="CA223" s="114"/>
      <c r="CB223" s="114"/>
      <c r="CC223" s="114"/>
      <c r="CD223" s="114"/>
      <c r="CE223" s="114"/>
      <c r="CF223" s="114"/>
      <c r="CG223" s="114"/>
      <c r="CH223" s="114"/>
      <c r="CI223" s="114"/>
      <c r="CJ223" s="114"/>
      <c r="CK223" s="114"/>
      <c r="CL223" s="114"/>
      <c r="CM223" s="114"/>
      <c r="CN223" s="114"/>
      <c r="CO223" s="114"/>
      <c r="CP223" s="114"/>
      <c r="CQ223" s="114"/>
      <c r="CR223" s="114"/>
      <c r="CS223" s="114"/>
      <c r="CT223" s="114"/>
      <c r="CU223" s="114"/>
      <c r="CV223" s="114"/>
      <c r="CW223" s="114"/>
      <c r="CX223" s="114"/>
      <c r="CY223" s="114"/>
      <c r="CZ223" s="114"/>
      <c r="DA223" s="114"/>
      <c r="DB223" s="114"/>
      <c r="DC223" s="114"/>
      <c r="DD223" s="114"/>
      <c r="DE223" s="114"/>
      <c r="DF223" s="114"/>
      <c r="DG223" s="114"/>
      <c r="DH223" s="114"/>
      <c r="DI223" s="114"/>
      <c r="DJ223" s="114"/>
      <c r="DK223" s="114"/>
      <c r="DL223" s="114"/>
      <c r="DM223" s="114"/>
      <c r="DN223" s="114"/>
      <c r="DO223" s="114"/>
      <c r="DP223" s="114"/>
      <c r="DQ223" s="114"/>
    </row>
    <row r="224" spans="1:121" ht="15" customHeight="1" outlineLevel="4" x14ac:dyDescent="0.25">
      <c r="A224" s="101"/>
      <c r="B224" s="101"/>
      <c r="C224" s="101">
        <v>5</v>
      </c>
      <c r="D224" s="102" t="s">
        <v>685</v>
      </c>
      <c r="E224" s="103"/>
      <c r="F224" s="103"/>
      <c r="G224" s="103"/>
      <c r="H224" s="103"/>
      <c r="I224" s="120" t="s">
        <v>270</v>
      </c>
      <c r="J224" s="120"/>
      <c r="K224" s="120"/>
      <c r="L224" s="120"/>
      <c r="M224" s="120"/>
      <c r="N224" s="120"/>
      <c r="O224" s="103" t="str">
        <f>O223</f>
        <v>1동 공 Tray Buffer</v>
      </c>
      <c r="P224" s="184"/>
      <c r="Q224" s="105">
        <v>45189</v>
      </c>
      <c r="R224" s="105">
        <v>45199</v>
      </c>
      <c r="S224" s="106">
        <f>R224-Q224</f>
        <v>10</v>
      </c>
      <c r="T224" s="107">
        <v>11</v>
      </c>
      <c r="U224" s="107">
        <v>0</v>
      </c>
      <c r="V224" s="107">
        <v>11</v>
      </c>
      <c r="W224" s="107">
        <v>0</v>
      </c>
      <c r="X224" s="108"/>
      <c r="Y224" s="108"/>
      <c r="Z224" s="109"/>
      <c r="AA224" s="110">
        <v>0</v>
      </c>
      <c r="AB224" s="107">
        <v>1</v>
      </c>
      <c r="AC224" s="119"/>
      <c r="AD224" s="180"/>
      <c r="AE224" s="111">
        <v>0</v>
      </c>
      <c r="AF224" s="121">
        <v>0</v>
      </c>
      <c r="AG224" s="113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 t="str">
        <f>"   " &amp; TEXT(AF224,"#0.00%") &amp; " " &amp; "FAT" &amp; " " &amp; IF(Q224="","",TEXT(Q224,"M/D-")) &amp; IF(R224="","",TEXT(R224,"M/D")) &amp; " "</f>
        <v xml:space="preserve">   0.00% FAT 9/20-9/30 </v>
      </c>
      <c r="BO224" s="114"/>
      <c r="BP224" s="114"/>
      <c r="BQ224" s="114"/>
      <c r="BR224" s="114"/>
      <c r="BS224" s="114"/>
      <c r="BT224" s="114"/>
      <c r="BU224" s="114"/>
      <c r="BV224" s="114"/>
      <c r="BW224" s="114"/>
      <c r="BX224" s="114"/>
      <c r="BY224" s="114"/>
      <c r="BZ224" s="114"/>
      <c r="CA224" s="114"/>
      <c r="CB224" s="114"/>
      <c r="CC224" s="114"/>
      <c r="CD224" s="114"/>
      <c r="CE224" s="114"/>
      <c r="CF224" s="114"/>
      <c r="CG224" s="114"/>
      <c r="CH224" s="114"/>
      <c r="CI224" s="114"/>
      <c r="CJ224" s="114"/>
      <c r="CK224" s="114"/>
      <c r="CL224" s="114"/>
      <c r="CM224" s="114"/>
      <c r="CN224" s="114"/>
      <c r="CO224" s="114"/>
      <c r="CP224" s="114"/>
      <c r="CQ224" s="114"/>
      <c r="CR224" s="114"/>
      <c r="CS224" s="114"/>
      <c r="CT224" s="114"/>
      <c r="CU224" s="114"/>
      <c r="CV224" s="114"/>
      <c r="CW224" s="114"/>
      <c r="CX224" s="114"/>
      <c r="CY224" s="114"/>
      <c r="CZ224" s="114"/>
      <c r="DA224" s="114"/>
      <c r="DB224" s="114"/>
      <c r="DC224" s="114"/>
      <c r="DD224" s="114"/>
      <c r="DE224" s="114"/>
      <c r="DF224" s="114"/>
      <c r="DG224" s="114"/>
      <c r="DH224" s="114"/>
      <c r="DI224" s="114"/>
      <c r="DJ224" s="114"/>
      <c r="DK224" s="114"/>
      <c r="DL224" s="114"/>
      <c r="DM224" s="114"/>
      <c r="DN224" s="114"/>
      <c r="DO224" s="114"/>
      <c r="DP224" s="114"/>
      <c r="DQ224" s="114"/>
    </row>
    <row r="225" spans="1:121" ht="15" customHeight="1" outlineLevel="2" x14ac:dyDescent="0.25">
      <c r="A225" s="101"/>
      <c r="B225" s="101" t="s">
        <v>153</v>
      </c>
      <c r="C225" s="101">
        <v>3</v>
      </c>
      <c r="D225" s="102" t="s">
        <v>275</v>
      </c>
      <c r="E225" s="103"/>
      <c r="F225" s="103"/>
      <c r="G225" s="141" t="s">
        <v>567</v>
      </c>
      <c r="H225" s="103"/>
      <c r="I225" s="103"/>
      <c r="J225" s="103"/>
      <c r="K225" s="103"/>
      <c r="L225" s="103"/>
      <c r="M225" s="103"/>
      <c r="N225" s="103"/>
      <c r="O225" s="103" t="str">
        <f>G225</f>
        <v>2동 Rack</v>
      </c>
      <c r="P225" s="118"/>
      <c r="Q225" s="108">
        <v>45236</v>
      </c>
      <c r="R225" s="105">
        <v>45283</v>
      </c>
      <c r="S225" s="106"/>
      <c r="T225" s="107">
        <v>68</v>
      </c>
      <c r="U225" s="107">
        <v>0</v>
      </c>
      <c r="V225" s="107">
        <v>48</v>
      </c>
      <c r="W225" s="107">
        <v>0</v>
      </c>
      <c r="X225" s="108"/>
      <c r="Y225" s="108"/>
      <c r="Z225" s="109">
        <v>0</v>
      </c>
      <c r="AA225" s="110">
        <v>0</v>
      </c>
      <c r="AB225" s="107"/>
      <c r="AC225" s="119"/>
      <c r="AD225" s="180"/>
      <c r="AE225" s="111">
        <v>0</v>
      </c>
      <c r="AF225" s="122">
        <v>0</v>
      </c>
      <c r="AG225" s="113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 t="str">
        <f>" " &amp; TEXT(AF225,"#0.00%") &amp; " "</f>
        <v xml:space="preserve"> 0.00% </v>
      </c>
      <c r="BV225" s="114"/>
      <c r="BW225" s="114"/>
      <c r="BX225" s="114"/>
      <c r="BY225" s="114"/>
      <c r="BZ225" s="114"/>
      <c r="CA225" s="114"/>
      <c r="CB225" s="114" t="str">
        <f>"" &amp; "2동 Rack" &amp; " " &amp; IF(Q225="","",TEXT(Q225,"M/D-")) &amp; IF(R225="","",TEXT(R225,"M/D")) &amp; " "</f>
        <v xml:space="preserve">2동 Rack 11/6-12/23 </v>
      </c>
      <c r="CC225" s="114"/>
      <c r="CD225" s="114"/>
      <c r="CE225" s="114"/>
      <c r="CF225" s="114"/>
      <c r="CG225" s="114"/>
      <c r="CH225" s="114"/>
      <c r="CI225" s="114"/>
      <c r="CJ225" s="114"/>
      <c r="CK225" s="114"/>
      <c r="CL225" s="114"/>
      <c r="CM225" s="114"/>
      <c r="CN225" s="114"/>
      <c r="CO225" s="114"/>
      <c r="CP225" s="114"/>
      <c r="CQ225" s="114"/>
      <c r="CR225" s="114"/>
      <c r="CS225" s="114"/>
      <c r="CT225" s="114"/>
      <c r="CU225" s="114"/>
      <c r="CV225" s="114"/>
      <c r="CW225" s="114"/>
      <c r="CX225" s="114"/>
      <c r="CY225" s="114"/>
      <c r="CZ225" s="114"/>
      <c r="DA225" s="114"/>
      <c r="DB225" s="114"/>
      <c r="DC225" s="114"/>
      <c r="DD225" s="114"/>
      <c r="DE225" s="114"/>
      <c r="DF225" s="114"/>
      <c r="DG225" s="114"/>
      <c r="DH225" s="114"/>
      <c r="DI225" s="114"/>
      <c r="DJ225" s="114"/>
      <c r="DK225" s="114"/>
      <c r="DL225" s="114"/>
      <c r="DM225" s="114"/>
      <c r="DN225" s="114"/>
      <c r="DO225" s="114"/>
      <c r="DP225" s="114"/>
      <c r="DQ225" s="114"/>
    </row>
    <row r="226" spans="1:121" ht="15" customHeight="1" outlineLevel="3" x14ac:dyDescent="0.25">
      <c r="A226" s="101"/>
      <c r="B226" s="101" t="s">
        <v>153</v>
      </c>
      <c r="C226" s="101">
        <v>4</v>
      </c>
      <c r="D226" s="102" t="s">
        <v>276</v>
      </c>
      <c r="E226" s="103"/>
      <c r="F226" s="103"/>
      <c r="G226" s="103"/>
      <c r="H226" s="103" t="s">
        <v>568</v>
      </c>
      <c r="I226" s="103"/>
      <c r="J226" s="103"/>
      <c r="K226" s="103"/>
      <c r="L226" s="103"/>
      <c r="M226" s="103"/>
      <c r="N226" s="103"/>
      <c r="O226" s="103" t="str">
        <f>H226</f>
        <v>2동 상온#1 Aging(Deck&amp;Accessory)</v>
      </c>
      <c r="P226" s="118"/>
      <c r="Q226" s="108">
        <v>45236</v>
      </c>
      <c r="R226" s="105">
        <v>45244</v>
      </c>
      <c r="S226" s="106"/>
      <c r="T226" s="107">
        <v>9</v>
      </c>
      <c r="U226" s="107">
        <v>0</v>
      </c>
      <c r="V226" s="107">
        <v>9</v>
      </c>
      <c r="W226" s="107">
        <v>0</v>
      </c>
      <c r="X226" s="108"/>
      <c r="Y226" s="108"/>
      <c r="Z226" s="109">
        <v>0</v>
      </c>
      <c r="AA226" s="110">
        <v>0</v>
      </c>
      <c r="AB226" s="107"/>
      <c r="AC226" s="119"/>
      <c r="AD226" s="180"/>
      <c r="AE226" s="111">
        <v>0</v>
      </c>
      <c r="AF226" s="122">
        <v>0</v>
      </c>
      <c r="AG226" s="113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 t="str">
        <f>" " &amp; TEXT(AF226,"#0.00%") &amp; " " &amp; "2동 상온#1 Aging(Deck&amp;Accessory)" &amp; " " &amp; IF(Q226="","",TEXT(Q226,"M/D-")) &amp; IF(R226="","",TEXT(R226,"M/D")) &amp; " "</f>
        <v xml:space="preserve"> 0.00% 2동 상온#1 Aging(Deck&amp;Accessory) 11/6-11/14 </v>
      </c>
      <c r="BV226" s="114"/>
      <c r="BW226" s="114"/>
      <c r="BX226" s="114"/>
      <c r="BY226" s="114"/>
      <c r="BZ226" s="114"/>
      <c r="CA226" s="114"/>
      <c r="CB226" s="114"/>
      <c r="CC226" s="114"/>
      <c r="CD226" s="114"/>
      <c r="CE226" s="114"/>
      <c r="CF226" s="114"/>
      <c r="CG226" s="114"/>
      <c r="CH226" s="114"/>
      <c r="CI226" s="114"/>
      <c r="CJ226" s="114"/>
      <c r="CK226" s="114"/>
      <c r="CL226" s="114"/>
      <c r="CM226" s="114"/>
      <c r="CN226" s="114"/>
      <c r="CO226" s="114"/>
      <c r="CP226" s="114"/>
      <c r="CQ226" s="114"/>
      <c r="CR226" s="114"/>
      <c r="CS226" s="114"/>
      <c r="CT226" s="114"/>
      <c r="CU226" s="114"/>
      <c r="CV226" s="114"/>
      <c r="CW226" s="114"/>
      <c r="CX226" s="114"/>
      <c r="CY226" s="114"/>
      <c r="CZ226" s="114"/>
      <c r="DA226" s="114"/>
      <c r="DB226" s="114"/>
      <c r="DC226" s="114"/>
      <c r="DD226" s="114"/>
      <c r="DE226" s="114"/>
      <c r="DF226" s="114"/>
      <c r="DG226" s="114"/>
      <c r="DH226" s="114"/>
      <c r="DI226" s="114"/>
      <c r="DJ226" s="114"/>
      <c r="DK226" s="114"/>
      <c r="DL226" s="114"/>
      <c r="DM226" s="114"/>
      <c r="DN226" s="114"/>
      <c r="DO226" s="114"/>
      <c r="DP226" s="114"/>
      <c r="DQ226" s="114"/>
    </row>
    <row r="227" spans="1:121" ht="15" customHeight="1" outlineLevel="4" x14ac:dyDescent="0.25">
      <c r="A227" s="101"/>
      <c r="B227" s="101"/>
      <c r="C227" s="101">
        <v>5</v>
      </c>
      <c r="D227" s="102" t="s">
        <v>277</v>
      </c>
      <c r="E227" s="103"/>
      <c r="F227" s="103"/>
      <c r="G227" s="103"/>
      <c r="H227" s="103"/>
      <c r="I227" s="120" t="s">
        <v>270</v>
      </c>
      <c r="J227" s="120"/>
      <c r="K227" s="120"/>
      <c r="L227" s="120"/>
      <c r="M227" s="120"/>
      <c r="N227" s="120"/>
      <c r="O227" s="103" t="str">
        <f>O226</f>
        <v>2동 상온#1 Aging(Deck&amp;Accessory)</v>
      </c>
      <c r="P227" s="184"/>
      <c r="Q227" s="105">
        <v>45236</v>
      </c>
      <c r="R227" s="105">
        <v>45244</v>
      </c>
      <c r="S227" s="106">
        <f>R227-Q227</f>
        <v>8</v>
      </c>
      <c r="T227" s="107">
        <v>9</v>
      </c>
      <c r="U227" s="107">
        <v>0</v>
      </c>
      <c r="V227" s="107">
        <v>9</v>
      </c>
      <c r="W227" s="107">
        <v>0</v>
      </c>
      <c r="X227" s="108"/>
      <c r="Y227" s="108"/>
      <c r="Z227" s="109"/>
      <c r="AA227" s="110">
        <v>0</v>
      </c>
      <c r="AB227" s="107">
        <v>1</v>
      </c>
      <c r="AC227" s="119"/>
      <c r="AD227" s="180"/>
      <c r="AE227" s="111">
        <v>0</v>
      </c>
      <c r="AF227" s="121">
        <v>0</v>
      </c>
      <c r="AG227" s="113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 t="str">
        <f>" " &amp; TEXT(AF227,"#0.00%") &amp; " " &amp; "FAT" &amp; " " &amp; IF(Q227="","",TEXT(Q227,"M/D-")) &amp; IF(R227="","",TEXT(R227,"M/D")) &amp; " "</f>
        <v xml:space="preserve"> 0.00% FAT 11/6-11/14 </v>
      </c>
      <c r="BV227" s="114"/>
      <c r="BW227" s="114"/>
      <c r="BX227" s="114"/>
      <c r="BY227" s="114"/>
      <c r="BZ227" s="114"/>
      <c r="CA227" s="114"/>
      <c r="CB227" s="114"/>
      <c r="CC227" s="114"/>
      <c r="CD227" s="114"/>
      <c r="CE227" s="114"/>
      <c r="CF227" s="114"/>
      <c r="CG227" s="114"/>
      <c r="CH227" s="114"/>
      <c r="CI227" s="114"/>
      <c r="CJ227" s="114"/>
      <c r="CK227" s="114"/>
      <c r="CL227" s="114"/>
      <c r="CM227" s="114"/>
      <c r="CN227" s="114"/>
      <c r="CO227" s="114"/>
      <c r="CP227" s="114"/>
      <c r="CQ227" s="114"/>
      <c r="CR227" s="114"/>
      <c r="CS227" s="114"/>
      <c r="CT227" s="114"/>
      <c r="CU227" s="114"/>
      <c r="CV227" s="114"/>
      <c r="CW227" s="114"/>
      <c r="CX227" s="114"/>
      <c r="CY227" s="114"/>
      <c r="CZ227" s="114"/>
      <c r="DA227" s="114"/>
      <c r="DB227" s="114"/>
      <c r="DC227" s="114"/>
      <c r="DD227" s="114"/>
      <c r="DE227" s="114"/>
      <c r="DF227" s="114"/>
      <c r="DG227" s="114"/>
      <c r="DH227" s="114"/>
      <c r="DI227" s="114"/>
      <c r="DJ227" s="114"/>
      <c r="DK227" s="114"/>
      <c r="DL227" s="114"/>
      <c r="DM227" s="114"/>
      <c r="DN227" s="114"/>
      <c r="DO227" s="114"/>
      <c r="DP227" s="114"/>
      <c r="DQ227" s="114"/>
    </row>
    <row r="228" spans="1:121" ht="15" customHeight="1" outlineLevel="3" x14ac:dyDescent="0.25">
      <c r="A228" s="101"/>
      <c r="B228" s="101" t="s">
        <v>153</v>
      </c>
      <c r="C228" s="101">
        <v>4</v>
      </c>
      <c r="D228" s="102" t="s">
        <v>686</v>
      </c>
      <c r="E228" s="103"/>
      <c r="F228" s="103"/>
      <c r="G228" s="103"/>
      <c r="H228" s="103" t="s">
        <v>569</v>
      </c>
      <c r="I228" s="103"/>
      <c r="J228" s="103"/>
      <c r="K228" s="103"/>
      <c r="L228" s="103"/>
      <c r="M228" s="103"/>
      <c r="N228" s="103"/>
      <c r="O228" s="103" t="str">
        <f>H228</f>
        <v>2동 고온#1 Aging (Deck&amp;Accessory)</v>
      </c>
      <c r="P228" s="118"/>
      <c r="Q228" s="108">
        <v>45260</v>
      </c>
      <c r="R228" s="105">
        <v>45268</v>
      </c>
      <c r="S228" s="106"/>
      <c r="T228" s="107">
        <v>9</v>
      </c>
      <c r="U228" s="107">
        <v>0</v>
      </c>
      <c r="V228" s="107">
        <v>9</v>
      </c>
      <c r="W228" s="107">
        <v>0</v>
      </c>
      <c r="X228" s="108"/>
      <c r="Y228" s="108"/>
      <c r="Z228" s="109">
        <v>0</v>
      </c>
      <c r="AA228" s="110">
        <v>0</v>
      </c>
      <c r="AB228" s="107"/>
      <c r="AC228" s="119"/>
      <c r="AD228" s="180"/>
      <c r="AE228" s="111">
        <v>0</v>
      </c>
      <c r="AF228" s="122">
        <v>0</v>
      </c>
      <c r="AG228" s="113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4"/>
      <c r="BW228" s="114"/>
      <c r="BX228" s="114" t="str">
        <f>"    " &amp; TEXT(AF228,"#0.00%") &amp; " " &amp; "2동 고온#1 Aging (Deck&amp;Accessory)" &amp; " " &amp; IF(Q228="","",TEXT(Q228,"M/D-")) &amp; IF(R228="","",TEXT(R228,"M/D")) &amp; " "</f>
        <v xml:space="preserve">    0.00% 2동 고온#1 Aging (Deck&amp;Accessory) 11/30-12/8 </v>
      </c>
      <c r="BY228" s="114"/>
      <c r="BZ228" s="114"/>
      <c r="CA228" s="114"/>
      <c r="CB228" s="114"/>
      <c r="CC228" s="114"/>
      <c r="CD228" s="114"/>
      <c r="CE228" s="114"/>
      <c r="CF228" s="114"/>
      <c r="CG228" s="114"/>
      <c r="CH228" s="114"/>
      <c r="CI228" s="114"/>
      <c r="CJ228" s="114"/>
      <c r="CK228" s="114"/>
      <c r="CL228" s="114"/>
      <c r="CM228" s="114"/>
      <c r="CN228" s="114"/>
      <c r="CO228" s="114"/>
      <c r="CP228" s="114"/>
      <c r="CQ228" s="114"/>
      <c r="CR228" s="114"/>
      <c r="CS228" s="114"/>
      <c r="CT228" s="114"/>
      <c r="CU228" s="114"/>
      <c r="CV228" s="114"/>
      <c r="CW228" s="114"/>
      <c r="CX228" s="114"/>
      <c r="CY228" s="114"/>
      <c r="CZ228" s="114"/>
      <c r="DA228" s="114"/>
      <c r="DB228" s="114"/>
      <c r="DC228" s="114"/>
      <c r="DD228" s="114"/>
      <c r="DE228" s="114"/>
      <c r="DF228" s="114"/>
      <c r="DG228" s="114"/>
      <c r="DH228" s="114"/>
      <c r="DI228" s="114"/>
      <c r="DJ228" s="114"/>
      <c r="DK228" s="114"/>
      <c r="DL228" s="114"/>
      <c r="DM228" s="114"/>
      <c r="DN228" s="114"/>
      <c r="DO228" s="114"/>
      <c r="DP228" s="114"/>
      <c r="DQ228" s="114"/>
    </row>
    <row r="229" spans="1:121" ht="15" customHeight="1" outlineLevel="4" x14ac:dyDescent="0.25">
      <c r="A229" s="101"/>
      <c r="B229" s="101"/>
      <c r="C229" s="101">
        <v>5</v>
      </c>
      <c r="D229" s="102" t="s">
        <v>687</v>
      </c>
      <c r="E229" s="103"/>
      <c r="F229" s="103"/>
      <c r="G229" s="103"/>
      <c r="H229" s="103"/>
      <c r="I229" s="120" t="s">
        <v>270</v>
      </c>
      <c r="J229" s="120"/>
      <c r="K229" s="120"/>
      <c r="L229" s="120"/>
      <c r="M229" s="120"/>
      <c r="N229" s="120"/>
      <c r="O229" s="103" t="str">
        <f>O228</f>
        <v>2동 고온#1 Aging (Deck&amp;Accessory)</v>
      </c>
      <c r="P229" s="184"/>
      <c r="Q229" s="105">
        <v>45260</v>
      </c>
      <c r="R229" s="105">
        <v>45268</v>
      </c>
      <c r="S229" s="106">
        <f>R229-Q229</f>
        <v>8</v>
      </c>
      <c r="T229" s="107">
        <v>9</v>
      </c>
      <c r="U229" s="107">
        <v>0</v>
      </c>
      <c r="V229" s="107">
        <v>9</v>
      </c>
      <c r="W229" s="107">
        <v>0</v>
      </c>
      <c r="X229" s="108"/>
      <c r="Y229" s="108"/>
      <c r="Z229" s="109"/>
      <c r="AA229" s="110">
        <v>0</v>
      </c>
      <c r="AB229" s="107">
        <v>1</v>
      </c>
      <c r="AC229" s="119"/>
      <c r="AD229" s="180"/>
      <c r="AE229" s="111">
        <v>0</v>
      </c>
      <c r="AF229" s="121">
        <v>0</v>
      </c>
      <c r="AG229" s="113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4"/>
      <c r="BX229" s="114" t="str">
        <f>"    " &amp; TEXT(AF229,"#0.00%") &amp; " " &amp; "FAT" &amp; " " &amp; IF(Q229="","",TEXT(Q229,"M/D-")) &amp; IF(R229="","",TEXT(R229,"M/D")) &amp; " "</f>
        <v xml:space="preserve">    0.00% FAT 11/30-12/8 </v>
      </c>
      <c r="BY229" s="114"/>
      <c r="BZ229" s="114"/>
      <c r="CA229" s="114"/>
      <c r="CB229" s="114"/>
      <c r="CC229" s="114"/>
      <c r="CD229" s="114"/>
      <c r="CE229" s="114"/>
      <c r="CF229" s="114"/>
      <c r="CG229" s="114"/>
      <c r="CH229" s="114"/>
      <c r="CI229" s="114"/>
      <c r="CJ229" s="114"/>
      <c r="CK229" s="114"/>
      <c r="CL229" s="114"/>
      <c r="CM229" s="114"/>
      <c r="CN229" s="114"/>
      <c r="CO229" s="114"/>
      <c r="CP229" s="114"/>
      <c r="CQ229" s="114"/>
      <c r="CR229" s="114"/>
      <c r="CS229" s="114"/>
      <c r="CT229" s="114"/>
      <c r="CU229" s="114"/>
      <c r="CV229" s="114"/>
      <c r="CW229" s="114"/>
      <c r="CX229" s="114"/>
      <c r="CY229" s="114"/>
      <c r="CZ229" s="114"/>
      <c r="DA229" s="114"/>
      <c r="DB229" s="114"/>
      <c r="DC229" s="114"/>
      <c r="DD229" s="114"/>
      <c r="DE229" s="114"/>
      <c r="DF229" s="114"/>
      <c r="DG229" s="114"/>
      <c r="DH229" s="114"/>
      <c r="DI229" s="114"/>
      <c r="DJ229" s="114"/>
      <c r="DK229" s="114"/>
      <c r="DL229" s="114"/>
      <c r="DM229" s="114"/>
      <c r="DN229" s="114"/>
      <c r="DO229" s="114"/>
      <c r="DP229" s="114"/>
      <c r="DQ229" s="114"/>
    </row>
    <row r="230" spans="1:121" ht="15" customHeight="1" outlineLevel="3" x14ac:dyDescent="0.25">
      <c r="A230" s="101"/>
      <c r="B230" s="101" t="s">
        <v>153</v>
      </c>
      <c r="C230" s="101">
        <v>4</v>
      </c>
      <c r="D230" s="102" t="s">
        <v>688</v>
      </c>
      <c r="E230" s="103"/>
      <c r="F230" s="103"/>
      <c r="G230" s="103"/>
      <c r="H230" s="103" t="s">
        <v>570</v>
      </c>
      <c r="I230" s="103"/>
      <c r="J230" s="103"/>
      <c r="K230" s="103"/>
      <c r="L230" s="103"/>
      <c r="M230" s="103"/>
      <c r="N230" s="103"/>
      <c r="O230" s="103" t="str">
        <f>H230</f>
        <v>2동 PPC (Deck&amp;Accessory)</v>
      </c>
      <c r="P230" s="118"/>
      <c r="Q230" s="108">
        <v>45236</v>
      </c>
      <c r="R230" s="105">
        <v>45244</v>
      </c>
      <c r="S230" s="106"/>
      <c r="T230" s="107">
        <v>9</v>
      </c>
      <c r="U230" s="107">
        <v>0</v>
      </c>
      <c r="V230" s="107">
        <v>9</v>
      </c>
      <c r="W230" s="107">
        <v>0</v>
      </c>
      <c r="X230" s="108"/>
      <c r="Y230" s="108"/>
      <c r="Z230" s="109">
        <v>0</v>
      </c>
      <c r="AA230" s="110">
        <v>0</v>
      </c>
      <c r="AB230" s="107"/>
      <c r="AC230" s="119"/>
      <c r="AD230" s="180"/>
      <c r="AE230" s="111">
        <v>0</v>
      </c>
      <c r="AF230" s="122">
        <v>0</v>
      </c>
      <c r="AG230" s="113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4" t="str">
        <f>" " &amp; TEXT(AF230,"#0.00%") &amp; " " &amp; "2동 PPC (Deck&amp;Accessory)" &amp; " " &amp; IF(Q230="","",TEXT(Q230,"M/D-")) &amp; IF(R230="","",TEXT(R230,"M/D")) &amp; " "</f>
        <v xml:space="preserve"> 0.00% 2동 PPC (Deck&amp;Accessory) 11/6-11/14 </v>
      </c>
      <c r="BV230" s="114"/>
      <c r="BW230" s="114"/>
      <c r="BX230" s="114"/>
      <c r="BY230" s="114"/>
      <c r="BZ230" s="114"/>
      <c r="CA230" s="114"/>
      <c r="CB230" s="114"/>
      <c r="CC230" s="114"/>
      <c r="CD230" s="114"/>
      <c r="CE230" s="114"/>
      <c r="CF230" s="114"/>
      <c r="CG230" s="114"/>
      <c r="CH230" s="114"/>
      <c r="CI230" s="114"/>
      <c r="CJ230" s="114"/>
      <c r="CK230" s="114"/>
      <c r="CL230" s="114"/>
      <c r="CM230" s="114"/>
      <c r="CN230" s="114"/>
      <c r="CO230" s="114"/>
      <c r="CP230" s="114"/>
      <c r="CQ230" s="114"/>
      <c r="CR230" s="114"/>
      <c r="CS230" s="114"/>
      <c r="CT230" s="114"/>
      <c r="CU230" s="114"/>
      <c r="CV230" s="114"/>
      <c r="CW230" s="114"/>
      <c r="CX230" s="114"/>
      <c r="CY230" s="114"/>
      <c r="CZ230" s="114"/>
      <c r="DA230" s="114"/>
      <c r="DB230" s="114"/>
      <c r="DC230" s="114"/>
      <c r="DD230" s="114"/>
      <c r="DE230" s="114"/>
      <c r="DF230" s="114"/>
      <c r="DG230" s="114"/>
      <c r="DH230" s="114"/>
      <c r="DI230" s="114"/>
      <c r="DJ230" s="114"/>
      <c r="DK230" s="114"/>
      <c r="DL230" s="114"/>
      <c r="DM230" s="114"/>
      <c r="DN230" s="114"/>
      <c r="DO230" s="114"/>
      <c r="DP230" s="114"/>
      <c r="DQ230" s="114"/>
    </row>
    <row r="231" spans="1:121" ht="15" customHeight="1" outlineLevel="4" x14ac:dyDescent="0.25">
      <c r="A231" s="101"/>
      <c r="B231" s="101"/>
      <c r="C231" s="101">
        <v>5</v>
      </c>
      <c r="D231" s="102" t="s">
        <v>689</v>
      </c>
      <c r="E231" s="103"/>
      <c r="F231" s="103"/>
      <c r="G231" s="103"/>
      <c r="H231" s="103"/>
      <c r="I231" s="120" t="s">
        <v>270</v>
      </c>
      <c r="J231" s="120"/>
      <c r="K231" s="120"/>
      <c r="L231" s="120"/>
      <c r="M231" s="120"/>
      <c r="N231" s="120"/>
      <c r="O231" s="103" t="str">
        <f>O230</f>
        <v>2동 PPC (Deck&amp;Accessory)</v>
      </c>
      <c r="P231" s="184"/>
      <c r="Q231" s="105">
        <v>45236</v>
      </c>
      <c r="R231" s="105">
        <v>45244</v>
      </c>
      <c r="S231" s="106">
        <f>R231-Q231</f>
        <v>8</v>
      </c>
      <c r="T231" s="107">
        <v>9</v>
      </c>
      <c r="U231" s="107">
        <v>0</v>
      </c>
      <c r="V231" s="107">
        <v>9</v>
      </c>
      <c r="W231" s="107">
        <v>0</v>
      </c>
      <c r="X231" s="108"/>
      <c r="Y231" s="108"/>
      <c r="Z231" s="109"/>
      <c r="AA231" s="110">
        <v>0</v>
      </c>
      <c r="AB231" s="107">
        <v>1</v>
      </c>
      <c r="AC231" s="119"/>
      <c r="AD231" s="180"/>
      <c r="AE231" s="111">
        <v>0</v>
      </c>
      <c r="AF231" s="121">
        <v>0</v>
      </c>
      <c r="AG231" s="113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 t="str">
        <f>" " &amp; TEXT(AF231,"#0.00%") &amp; " " &amp; "FAT" &amp; " " &amp; IF(Q231="","",TEXT(Q231,"M/D-")) &amp; IF(R231="","",TEXT(R231,"M/D")) &amp; " "</f>
        <v xml:space="preserve"> 0.00% FAT 11/6-11/14 </v>
      </c>
      <c r="BV231" s="114"/>
      <c r="BW231" s="114"/>
      <c r="BX231" s="114"/>
      <c r="BY231" s="114"/>
      <c r="BZ231" s="114"/>
      <c r="CA231" s="114"/>
      <c r="CB231" s="114"/>
      <c r="CC231" s="114"/>
      <c r="CD231" s="114"/>
      <c r="CE231" s="114"/>
      <c r="CF231" s="114"/>
      <c r="CG231" s="114"/>
      <c r="CH231" s="114"/>
      <c r="CI231" s="114"/>
      <c r="CJ231" s="114"/>
      <c r="CK231" s="114"/>
      <c r="CL231" s="114"/>
      <c r="CM231" s="114"/>
      <c r="CN231" s="114"/>
      <c r="CO231" s="114"/>
      <c r="CP231" s="114"/>
      <c r="CQ231" s="114"/>
      <c r="CR231" s="114"/>
      <c r="CS231" s="114"/>
      <c r="CT231" s="114"/>
      <c r="CU231" s="114"/>
      <c r="CV231" s="114"/>
      <c r="CW231" s="114"/>
      <c r="CX231" s="114"/>
      <c r="CY231" s="114"/>
      <c r="CZ231" s="114"/>
      <c r="DA231" s="114"/>
      <c r="DB231" s="114"/>
      <c r="DC231" s="114"/>
      <c r="DD231" s="114"/>
      <c r="DE231" s="114"/>
      <c r="DF231" s="114"/>
      <c r="DG231" s="114"/>
      <c r="DH231" s="114"/>
      <c r="DI231" s="114"/>
      <c r="DJ231" s="114"/>
      <c r="DK231" s="114"/>
      <c r="DL231" s="114"/>
      <c r="DM231" s="114"/>
      <c r="DN231" s="114"/>
      <c r="DO231" s="114"/>
      <c r="DP231" s="114"/>
      <c r="DQ231" s="114"/>
    </row>
    <row r="232" spans="1:121" ht="15" customHeight="1" outlineLevel="3" x14ac:dyDescent="0.25">
      <c r="A232" s="101"/>
      <c r="B232" s="101" t="s">
        <v>153</v>
      </c>
      <c r="C232" s="101">
        <v>4</v>
      </c>
      <c r="D232" s="102" t="s">
        <v>690</v>
      </c>
      <c r="E232" s="103"/>
      <c r="F232" s="103"/>
      <c r="G232" s="103"/>
      <c r="H232" s="103" t="s">
        <v>571</v>
      </c>
      <c r="I232" s="103"/>
      <c r="J232" s="103"/>
      <c r="K232" s="103"/>
      <c r="L232" s="103"/>
      <c r="M232" s="103"/>
      <c r="N232" s="103"/>
      <c r="O232" s="103" t="str">
        <f>H232</f>
        <v>2동 충방전 (Deck&amp;Accessory)</v>
      </c>
      <c r="P232" s="118"/>
      <c r="Q232" s="108">
        <v>45236</v>
      </c>
      <c r="R232" s="105">
        <v>45244</v>
      </c>
      <c r="S232" s="106"/>
      <c r="T232" s="107">
        <v>9</v>
      </c>
      <c r="U232" s="107">
        <v>0</v>
      </c>
      <c r="V232" s="107">
        <v>9</v>
      </c>
      <c r="W232" s="107">
        <v>0</v>
      </c>
      <c r="X232" s="108"/>
      <c r="Y232" s="108"/>
      <c r="Z232" s="109">
        <v>0</v>
      </c>
      <c r="AA232" s="110">
        <v>0</v>
      </c>
      <c r="AB232" s="107"/>
      <c r="AC232" s="119"/>
      <c r="AD232" s="180"/>
      <c r="AE232" s="111">
        <v>0</v>
      </c>
      <c r="AF232" s="122">
        <v>0</v>
      </c>
      <c r="AG232" s="113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 t="str">
        <f>" " &amp; TEXT(AF232,"#0.00%") &amp; " " &amp; "2동 충방전 (Deck&amp;Accessory)" &amp; " " &amp; IF(Q232="","",TEXT(Q232,"M/D-")) &amp; IF(R232="","",TEXT(R232,"M/D")) &amp; " "</f>
        <v xml:space="preserve"> 0.00% 2동 충방전 (Deck&amp;Accessory) 11/6-11/14 </v>
      </c>
      <c r="BV232" s="114"/>
      <c r="BW232" s="114"/>
      <c r="BX232" s="114"/>
      <c r="BY232" s="114"/>
      <c r="BZ232" s="114"/>
      <c r="CA232" s="114"/>
      <c r="CB232" s="114"/>
      <c r="CC232" s="114"/>
      <c r="CD232" s="114"/>
      <c r="CE232" s="114"/>
      <c r="CF232" s="114"/>
      <c r="CG232" s="114"/>
      <c r="CH232" s="114"/>
      <c r="CI232" s="114"/>
      <c r="CJ232" s="114"/>
      <c r="CK232" s="114"/>
      <c r="CL232" s="114"/>
      <c r="CM232" s="114"/>
      <c r="CN232" s="114"/>
      <c r="CO232" s="114"/>
      <c r="CP232" s="114"/>
      <c r="CQ232" s="114"/>
      <c r="CR232" s="114"/>
      <c r="CS232" s="114"/>
      <c r="CT232" s="114"/>
      <c r="CU232" s="114"/>
      <c r="CV232" s="114"/>
      <c r="CW232" s="114"/>
      <c r="CX232" s="114"/>
      <c r="CY232" s="114"/>
      <c r="CZ232" s="114"/>
      <c r="DA232" s="114"/>
      <c r="DB232" s="114"/>
      <c r="DC232" s="114"/>
      <c r="DD232" s="114"/>
      <c r="DE232" s="114"/>
      <c r="DF232" s="114"/>
      <c r="DG232" s="114"/>
      <c r="DH232" s="114"/>
      <c r="DI232" s="114"/>
      <c r="DJ232" s="114"/>
      <c r="DK232" s="114"/>
      <c r="DL232" s="114"/>
      <c r="DM232" s="114"/>
      <c r="DN232" s="114"/>
      <c r="DO232" s="114"/>
      <c r="DP232" s="114"/>
      <c r="DQ232" s="114"/>
    </row>
    <row r="233" spans="1:121" ht="15" customHeight="1" outlineLevel="4" x14ac:dyDescent="0.25">
      <c r="A233" s="101"/>
      <c r="B233" s="101"/>
      <c r="C233" s="101">
        <v>5</v>
      </c>
      <c r="D233" s="102" t="s">
        <v>691</v>
      </c>
      <c r="E233" s="103"/>
      <c r="F233" s="103"/>
      <c r="G233" s="103"/>
      <c r="H233" s="103"/>
      <c r="I233" s="120" t="s">
        <v>270</v>
      </c>
      <c r="J233" s="120"/>
      <c r="K233" s="120"/>
      <c r="L233" s="120"/>
      <c r="M233" s="120"/>
      <c r="N233" s="120"/>
      <c r="O233" s="103" t="str">
        <f>O232</f>
        <v>2동 충방전 (Deck&amp;Accessory)</v>
      </c>
      <c r="P233" s="184"/>
      <c r="Q233" s="105">
        <v>45236</v>
      </c>
      <c r="R233" s="105">
        <v>45244</v>
      </c>
      <c r="S233" s="106">
        <f>R233-Q233</f>
        <v>8</v>
      </c>
      <c r="T233" s="107">
        <v>9</v>
      </c>
      <c r="U233" s="107">
        <v>0</v>
      </c>
      <c r="V233" s="107">
        <v>9</v>
      </c>
      <c r="W233" s="107">
        <v>0</v>
      </c>
      <c r="X233" s="108"/>
      <c r="Y233" s="108"/>
      <c r="Z233" s="109"/>
      <c r="AA233" s="110">
        <v>0</v>
      </c>
      <c r="AB233" s="107">
        <v>1</v>
      </c>
      <c r="AC233" s="119"/>
      <c r="AD233" s="180"/>
      <c r="AE233" s="111">
        <v>0</v>
      </c>
      <c r="AF233" s="121">
        <v>0</v>
      </c>
      <c r="AG233" s="113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 t="str">
        <f>" " &amp; TEXT(AF233,"#0.00%") &amp; " " &amp; "FAT" &amp; " " &amp; IF(Q233="","",TEXT(Q233,"M/D-")) &amp; IF(R233="","",TEXT(R233,"M/D")) &amp; " "</f>
        <v xml:space="preserve"> 0.00% FAT 11/6-11/14 </v>
      </c>
      <c r="BV233" s="114"/>
      <c r="BW233" s="114"/>
      <c r="BX233" s="114"/>
      <c r="BY233" s="114"/>
      <c r="BZ233" s="114"/>
      <c r="CA233" s="114"/>
      <c r="CB233" s="114"/>
      <c r="CC233" s="114"/>
      <c r="CD233" s="114"/>
      <c r="CE233" s="114"/>
      <c r="CF233" s="114"/>
      <c r="CG233" s="114"/>
      <c r="CH233" s="114"/>
      <c r="CI233" s="114"/>
      <c r="CJ233" s="114"/>
      <c r="CK233" s="114"/>
      <c r="CL233" s="114"/>
      <c r="CM233" s="114"/>
      <c r="CN233" s="114"/>
      <c r="CO233" s="114"/>
      <c r="CP233" s="114"/>
      <c r="CQ233" s="114"/>
      <c r="CR233" s="114"/>
      <c r="CS233" s="114"/>
      <c r="CT233" s="114"/>
      <c r="CU233" s="114"/>
      <c r="CV233" s="114"/>
      <c r="CW233" s="114"/>
      <c r="CX233" s="114"/>
      <c r="CY233" s="114"/>
      <c r="CZ233" s="114"/>
      <c r="DA233" s="114"/>
      <c r="DB233" s="114"/>
      <c r="DC233" s="114"/>
      <c r="DD233" s="114"/>
      <c r="DE233" s="114"/>
      <c r="DF233" s="114"/>
      <c r="DG233" s="114"/>
      <c r="DH233" s="114"/>
      <c r="DI233" s="114"/>
      <c r="DJ233" s="114"/>
      <c r="DK233" s="114"/>
      <c r="DL233" s="114"/>
      <c r="DM233" s="114"/>
      <c r="DN233" s="114"/>
      <c r="DO233" s="114"/>
      <c r="DP233" s="114"/>
      <c r="DQ233" s="114"/>
    </row>
    <row r="234" spans="1:121" ht="15" customHeight="1" outlineLevel="3" x14ac:dyDescent="0.25">
      <c r="A234" s="101"/>
      <c r="B234" s="101" t="s">
        <v>153</v>
      </c>
      <c r="C234" s="101">
        <v>4</v>
      </c>
      <c r="D234" s="102" t="s">
        <v>692</v>
      </c>
      <c r="E234" s="103"/>
      <c r="F234" s="103"/>
      <c r="G234" s="103"/>
      <c r="H234" s="103" t="s">
        <v>572</v>
      </c>
      <c r="I234" s="103"/>
      <c r="J234" s="103"/>
      <c r="K234" s="103"/>
      <c r="L234" s="103"/>
      <c r="M234" s="103"/>
      <c r="N234" s="103"/>
      <c r="O234" s="103" t="str">
        <f>H234</f>
        <v>2동 고온#2 Aging (Deck&amp;Accessory)</v>
      </c>
      <c r="P234" s="118"/>
      <c r="Q234" s="108">
        <v>45249</v>
      </c>
      <c r="R234" s="105">
        <v>45259</v>
      </c>
      <c r="S234" s="106"/>
      <c r="T234" s="107">
        <v>11</v>
      </c>
      <c r="U234" s="107">
        <v>0</v>
      </c>
      <c r="V234" s="107">
        <v>11</v>
      </c>
      <c r="W234" s="107">
        <v>0</v>
      </c>
      <c r="X234" s="108"/>
      <c r="Y234" s="108"/>
      <c r="Z234" s="109">
        <v>0</v>
      </c>
      <c r="AA234" s="110">
        <v>0</v>
      </c>
      <c r="AB234" s="107"/>
      <c r="AC234" s="119"/>
      <c r="AD234" s="180"/>
      <c r="AE234" s="111">
        <v>0</v>
      </c>
      <c r="AF234" s="122">
        <v>0</v>
      </c>
      <c r="AG234" s="113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  <c r="BI234" s="114"/>
      <c r="BJ234" s="114"/>
      <c r="BK234" s="114"/>
      <c r="BL234" s="114"/>
      <c r="BM234" s="114"/>
      <c r="BN234" s="114"/>
      <c r="BO234" s="114"/>
      <c r="BP234" s="114"/>
      <c r="BQ234" s="114"/>
      <c r="BR234" s="114"/>
      <c r="BS234" s="114"/>
      <c r="BT234" s="114"/>
      <c r="BU234" s="114"/>
      <c r="BV234" s="114"/>
      <c r="BW234" s="114" t="str">
        <f>"" &amp; TEXT(AF234,"#0.00%") &amp; " " &amp; "2동 고온#2 Aging (Deck&amp;Accessory)" &amp; " " &amp; IF(Q234="","",TEXT(Q234,"M/D-")) &amp; IF(R234="","",TEXT(R234,"M/D")) &amp; " "</f>
        <v xml:space="preserve">0.00% 2동 고온#2 Aging (Deck&amp;Accessory) 11/19-11/29 </v>
      </c>
      <c r="BX234" s="114"/>
      <c r="BY234" s="114"/>
      <c r="BZ234" s="114"/>
      <c r="CA234" s="114"/>
      <c r="CB234" s="114"/>
      <c r="CC234" s="114"/>
      <c r="CD234" s="114"/>
      <c r="CE234" s="114"/>
      <c r="CF234" s="114"/>
      <c r="CG234" s="114"/>
      <c r="CH234" s="114"/>
      <c r="CI234" s="114"/>
      <c r="CJ234" s="114"/>
      <c r="CK234" s="114"/>
      <c r="CL234" s="114"/>
      <c r="CM234" s="114"/>
      <c r="CN234" s="114"/>
      <c r="CO234" s="114"/>
      <c r="CP234" s="114"/>
      <c r="CQ234" s="114"/>
      <c r="CR234" s="114"/>
      <c r="CS234" s="114"/>
      <c r="CT234" s="114"/>
      <c r="CU234" s="114"/>
      <c r="CV234" s="114"/>
      <c r="CW234" s="114"/>
      <c r="CX234" s="114"/>
      <c r="CY234" s="114"/>
      <c r="CZ234" s="114"/>
      <c r="DA234" s="114"/>
      <c r="DB234" s="114"/>
      <c r="DC234" s="114"/>
      <c r="DD234" s="114"/>
      <c r="DE234" s="114"/>
      <c r="DF234" s="114"/>
      <c r="DG234" s="114"/>
      <c r="DH234" s="114"/>
      <c r="DI234" s="114"/>
      <c r="DJ234" s="114"/>
      <c r="DK234" s="114"/>
      <c r="DL234" s="114"/>
      <c r="DM234" s="114"/>
      <c r="DN234" s="114"/>
      <c r="DO234" s="114"/>
      <c r="DP234" s="114"/>
      <c r="DQ234" s="114"/>
    </row>
    <row r="235" spans="1:121" ht="15" customHeight="1" outlineLevel="4" x14ac:dyDescent="0.25">
      <c r="A235" s="101"/>
      <c r="B235" s="101"/>
      <c r="C235" s="101">
        <v>5</v>
      </c>
      <c r="D235" s="102" t="s">
        <v>693</v>
      </c>
      <c r="E235" s="103"/>
      <c r="F235" s="103"/>
      <c r="G235" s="103"/>
      <c r="H235" s="103"/>
      <c r="I235" s="120" t="s">
        <v>270</v>
      </c>
      <c r="J235" s="120"/>
      <c r="K235" s="120"/>
      <c r="L235" s="120"/>
      <c r="M235" s="120"/>
      <c r="N235" s="120"/>
      <c r="O235" s="103" t="str">
        <f>O234</f>
        <v>2동 고온#2 Aging (Deck&amp;Accessory)</v>
      </c>
      <c r="P235" s="184"/>
      <c r="Q235" s="105">
        <v>45249</v>
      </c>
      <c r="R235" s="105">
        <v>45259</v>
      </c>
      <c r="S235" s="106">
        <f>R235-Q235</f>
        <v>10</v>
      </c>
      <c r="T235" s="107">
        <v>11</v>
      </c>
      <c r="U235" s="107">
        <v>0</v>
      </c>
      <c r="V235" s="107">
        <v>11</v>
      </c>
      <c r="W235" s="107">
        <v>0</v>
      </c>
      <c r="X235" s="108"/>
      <c r="Y235" s="108"/>
      <c r="Z235" s="109"/>
      <c r="AA235" s="110">
        <v>0</v>
      </c>
      <c r="AB235" s="107">
        <v>1</v>
      </c>
      <c r="AC235" s="119"/>
      <c r="AD235" s="180"/>
      <c r="AE235" s="111">
        <v>0</v>
      </c>
      <c r="AF235" s="121">
        <v>0</v>
      </c>
      <c r="AG235" s="113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114"/>
      <c r="BD235" s="114"/>
      <c r="BE235" s="114"/>
      <c r="BF235" s="114"/>
      <c r="BG235" s="114"/>
      <c r="BH235" s="114"/>
      <c r="BI235" s="114"/>
      <c r="BJ235" s="114"/>
      <c r="BK235" s="114"/>
      <c r="BL235" s="114"/>
      <c r="BM235" s="114"/>
      <c r="BN235" s="114"/>
      <c r="BO235" s="114"/>
      <c r="BP235" s="114"/>
      <c r="BQ235" s="114"/>
      <c r="BR235" s="114"/>
      <c r="BS235" s="114"/>
      <c r="BT235" s="114"/>
      <c r="BU235" s="114"/>
      <c r="BV235" s="114"/>
      <c r="BW235" s="114" t="str">
        <f>"" &amp; TEXT(AF235,"#0.00%") &amp; " " &amp; "FAT" &amp; " " &amp; IF(Q235="","",TEXT(Q235,"M/D-")) &amp; IF(R235="","",TEXT(R235,"M/D")) &amp; " "</f>
        <v xml:space="preserve">0.00% FAT 11/19-11/29 </v>
      </c>
      <c r="BX235" s="114"/>
      <c r="BY235" s="114"/>
      <c r="BZ235" s="114"/>
      <c r="CA235" s="114"/>
      <c r="CB235" s="114"/>
      <c r="CC235" s="114"/>
      <c r="CD235" s="114"/>
      <c r="CE235" s="114"/>
      <c r="CF235" s="114"/>
      <c r="CG235" s="114"/>
      <c r="CH235" s="114"/>
      <c r="CI235" s="114"/>
      <c r="CJ235" s="114"/>
      <c r="CK235" s="114"/>
      <c r="CL235" s="114"/>
      <c r="CM235" s="114"/>
      <c r="CN235" s="114"/>
      <c r="CO235" s="114"/>
      <c r="CP235" s="114"/>
      <c r="CQ235" s="114"/>
      <c r="CR235" s="114"/>
      <c r="CS235" s="114"/>
      <c r="CT235" s="114"/>
      <c r="CU235" s="114"/>
      <c r="CV235" s="114"/>
      <c r="CW235" s="114"/>
      <c r="CX235" s="114"/>
      <c r="CY235" s="114"/>
      <c r="CZ235" s="114"/>
      <c r="DA235" s="114"/>
      <c r="DB235" s="114"/>
      <c r="DC235" s="114"/>
      <c r="DD235" s="114"/>
      <c r="DE235" s="114"/>
      <c r="DF235" s="114"/>
      <c r="DG235" s="114"/>
      <c r="DH235" s="114"/>
      <c r="DI235" s="114"/>
      <c r="DJ235" s="114"/>
      <c r="DK235" s="114"/>
      <c r="DL235" s="114"/>
      <c r="DM235" s="114"/>
      <c r="DN235" s="114"/>
      <c r="DO235" s="114"/>
      <c r="DP235" s="114"/>
      <c r="DQ235" s="114"/>
    </row>
    <row r="236" spans="1:121" ht="15" customHeight="1" outlineLevel="3" x14ac:dyDescent="0.25">
      <c r="A236" s="101"/>
      <c r="B236" s="101" t="s">
        <v>153</v>
      </c>
      <c r="C236" s="101">
        <v>4</v>
      </c>
      <c r="D236" s="102" t="s">
        <v>694</v>
      </c>
      <c r="E236" s="103"/>
      <c r="F236" s="103"/>
      <c r="G236" s="103"/>
      <c r="H236" s="103" t="s">
        <v>573</v>
      </c>
      <c r="I236" s="103"/>
      <c r="J236" s="103"/>
      <c r="K236" s="103"/>
      <c r="L236" s="103"/>
      <c r="M236" s="103"/>
      <c r="N236" s="103"/>
      <c r="O236" s="103" t="str">
        <f>H236</f>
        <v>2동 상온#2,3 Aging (Deck&amp;Accessory)</v>
      </c>
      <c r="P236" s="118"/>
      <c r="Q236" s="108">
        <v>45274</v>
      </c>
      <c r="R236" s="105">
        <v>45283</v>
      </c>
      <c r="S236" s="106"/>
      <c r="T236" s="107">
        <v>10</v>
      </c>
      <c r="U236" s="107">
        <v>0</v>
      </c>
      <c r="V236" s="107">
        <v>10</v>
      </c>
      <c r="W236" s="107">
        <v>0</v>
      </c>
      <c r="X236" s="108"/>
      <c r="Y236" s="108"/>
      <c r="Z236" s="109">
        <v>0</v>
      </c>
      <c r="AA236" s="110">
        <v>0</v>
      </c>
      <c r="AB236" s="107"/>
      <c r="AC236" s="119"/>
      <c r="AD236" s="180"/>
      <c r="AE236" s="111">
        <v>0</v>
      </c>
      <c r="AF236" s="122">
        <v>0</v>
      </c>
      <c r="AG236" s="113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4"/>
      <c r="BX236" s="114"/>
      <c r="BY236" s="114"/>
      <c r="BZ236" s="114" t="str">
        <f>"    " &amp; TEXT(AF236,"#0.00%") &amp; " " &amp; "2동 상온#2,3 Aging (Deck&amp;Accessory)" &amp; " " &amp; IF(Q236="","",TEXT(Q236,"M/D-")) &amp; IF(R236="","",TEXT(R236,"M/D")) &amp; " "</f>
        <v xml:space="preserve">    0.00% 2동 상온#2,3 Aging (Deck&amp;Accessory) 12/14-12/23 </v>
      </c>
      <c r="CA236" s="114"/>
      <c r="CB236" s="114"/>
      <c r="CC236" s="114"/>
      <c r="CD236" s="114"/>
      <c r="CE236" s="114"/>
      <c r="CF236" s="114"/>
      <c r="CG236" s="114"/>
      <c r="CH236" s="114"/>
      <c r="CI236" s="114"/>
      <c r="CJ236" s="114"/>
      <c r="CK236" s="114"/>
      <c r="CL236" s="114"/>
      <c r="CM236" s="114"/>
      <c r="CN236" s="114"/>
      <c r="CO236" s="114"/>
      <c r="CP236" s="114"/>
      <c r="CQ236" s="114"/>
      <c r="CR236" s="114"/>
      <c r="CS236" s="114"/>
      <c r="CT236" s="114"/>
      <c r="CU236" s="114"/>
      <c r="CV236" s="114"/>
      <c r="CW236" s="114"/>
      <c r="CX236" s="114"/>
      <c r="CY236" s="114"/>
      <c r="CZ236" s="114"/>
      <c r="DA236" s="114"/>
      <c r="DB236" s="114"/>
      <c r="DC236" s="114"/>
      <c r="DD236" s="114"/>
      <c r="DE236" s="114"/>
      <c r="DF236" s="114"/>
      <c r="DG236" s="114"/>
      <c r="DH236" s="114"/>
      <c r="DI236" s="114"/>
      <c r="DJ236" s="114"/>
      <c r="DK236" s="114"/>
      <c r="DL236" s="114"/>
      <c r="DM236" s="114"/>
      <c r="DN236" s="114"/>
      <c r="DO236" s="114"/>
      <c r="DP236" s="114"/>
      <c r="DQ236" s="114"/>
    </row>
    <row r="237" spans="1:121" ht="15" customHeight="1" outlineLevel="4" x14ac:dyDescent="0.25">
      <c r="A237" s="101"/>
      <c r="B237" s="101"/>
      <c r="C237" s="101">
        <v>5</v>
      </c>
      <c r="D237" s="102" t="s">
        <v>695</v>
      </c>
      <c r="E237" s="103"/>
      <c r="F237" s="103"/>
      <c r="G237" s="103"/>
      <c r="H237" s="103"/>
      <c r="I237" s="120" t="s">
        <v>270</v>
      </c>
      <c r="J237" s="120"/>
      <c r="K237" s="120"/>
      <c r="L237" s="120"/>
      <c r="M237" s="120"/>
      <c r="N237" s="120"/>
      <c r="O237" s="103" t="str">
        <f>O236</f>
        <v>2동 상온#2,3 Aging (Deck&amp;Accessory)</v>
      </c>
      <c r="P237" s="184"/>
      <c r="Q237" s="105">
        <v>45274</v>
      </c>
      <c r="R237" s="105">
        <v>45283</v>
      </c>
      <c r="S237" s="106">
        <f>R237-Q237</f>
        <v>9</v>
      </c>
      <c r="T237" s="107">
        <v>10</v>
      </c>
      <c r="U237" s="107">
        <v>0</v>
      </c>
      <c r="V237" s="107">
        <v>10</v>
      </c>
      <c r="W237" s="107">
        <v>0</v>
      </c>
      <c r="X237" s="108"/>
      <c r="Y237" s="108"/>
      <c r="Z237" s="109"/>
      <c r="AA237" s="110">
        <v>0</v>
      </c>
      <c r="AB237" s="107">
        <v>1</v>
      </c>
      <c r="AC237" s="119"/>
      <c r="AD237" s="180"/>
      <c r="AE237" s="111">
        <v>0</v>
      </c>
      <c r="AF237" s="121">
        <v>0</v>
      </c>
      <c r="AG237" s="113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114" t="str">
        <f>"    " &amp; TEXT(AF237,"#0.00%") &amp; " " &amp; "FAT" &amp; " " &amp; IF(Q237="","",TEXT(Q237,"M/D-")) &amp; IF(R237="","",TEXT(R237,"M/D")) &amp; " "</f>
        <v xml:space="preserve">    0.00% FAT 12/14-12/23 </v>
      </c>
      <c r="CA237" s="114"/>
      <c r="CB237" s="114"/>
      <c r="CC237" s="114"/>
      <c r="CD237" s="114"/>
      <c r="CE237" s="114"/>
      <c r="CF237" s="114"/>
      <c r="CG237" s="114"/>
      <c r="CH237" s="114"/>
      <c r="CI237" s="114"/>
      <c r="CJ237" s="114"/>
      <c r="CK237" s="114"/>
      <c r="CL237" s="114"/>
      <c r="CM237" s="114"/>
      <c r="CN237" s="114"/>
      <c r="CO237" s="114"/>
      <c r="CP237" s="114"/>
      <c r="CQ237" s="114"/>
      <c r="CR237" s="114"/>
      <c r="CS237" s="114"/>
      <c r="CT237" s="114"/>
      <c r="CU237" s="114"/>
      <c r="CV237" s="114"/>
      <c r="CW237" s="114"/>
      <c r="CX237" s="114"/>
      <c r="CY237" s="114"/>
      <c r="CZ237" s="114"/>
      <c r="DA237" s="114"/>
      <c r="DB237" s="114"/>
      <c r="DC237" s="114"/>
      <c r="DD237" s="114"/>
      <c r="DE237" s="114"/>
      <c r="DF237" s="114"/>
      <c r="DG237" s="114"/>
      <c r="DH237" s="114"/>
      <c r="DI237" s="114"/>
      <c r="DJ237" s="114"/>
      <c r="DK237" s="114"/>
      <c r="DL237" s="114"/>
      <c r="DM237" s="114"/>
      <c r="DN237" s="114"/>
      <c r="DO237" s="114"/>
      <c r="DP237" s="114"/>
      <c r="DQ237" s="114"/>
    </row>
    <row r="238" spans="1:121" ht="15" customHeight="1" outlineLevel="3" x14ac:dyDescent="0.25">
      <c r="A238" s="101"/>
      <c r="B238" s="101" t="s">
        <v>153</v>
      </c>
      <c r="C238" s="101">
        <v>4</v>
      </c>
      <c r="D238" s="102" t="s">
        <v>696</v>
      </c>
      <c r="E238" s="103"/>
      <c r="F238" s="103"/>
      <c r="G238" s="103"/>
      <c r="H238" s="103" t="s">
        <v>574</v>
      </c>
      <c r="I238" s="103"/>
      <c r="J238" s="103"/>
      <c r="K238" s="103"/>
      <c r="L238" s="103"/>
      <c r="M238" s="103"/>
      <c r="N238" s="103"/>
      <c r="O238" s="103" t="str">
        <f>H238</f>
        <v>2동 공 Tray Buffer</v>
      </c>
      <c r="P238" s="118"/>
      <c r="Q238" s="108">
        <v>45250</v>
      </c>
      <c r="R238" s="105">
        <v>45260</v>
      </c>
      <c r="S238" s="106"/>
      <c r="T238" s="107">
        <v>11</v>
      </c>
      <c r="U238" s="107">
        <v>0</v>
      </c>
      <c r="V238" s="107">
        <v>11</v>
      </c>
      <c r="W238" s="107">
        <v>0</v>
      </c>
      <c r="X238" s="108"/>
      <c r="Y238" s="108"/>
      <c r="Z238" s="109">
        <v>0</v>
      </c>
      <c r="AA238" s="110">
        <v>0</v>
      </c>
      <c r="AB238" s="107"/>
      <c r="AC238" s="119"/>
      <c r="AD238" s="180"/>
      <c r="AE238" s="111">
        <v>0</v>
      </c>
      <c r="AF238" s="122">
        <v>0</v>
      </c>
      <c r="AG238" s="113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 t="str">
        <f>" " &amp; TEXT(AF238,"#0.00%") &amp; " " &amp; "2동 공 Tray Buffer" &amp; " " &amp; IF(Q238="","",TEXT(Q238,"M/D-")) &amp; IF(R238="","",TEXT(R238,"M/D")) &amp; " "</f>
        <v xml:space="preserve"> 0.00% 2동 공 Tray Buffer 11/20-11/30 </v>
      </c>
      <c r="BX238" s="114"/>
      <c r="BY238" s="114"/>
      <c r="BZ238" s="114"/>
      <c r="CA238" s="114"/>
      <c r="CB238" s="114"/>
      <c r="CC238" s="114"/>
      <c r="CD238" s="114"/>
      <c r="CE238" s="114"/>
      <c r="CF238" s="114"/>
      <c r="CG238" s="114"/>
      <c r="CH238" s="114"/>
      <c r="CI238" s="114"/>
      <c r="CJ238" s="114"/>
      <c r="CK238" s="114"/>
      <c r="CL238" s="114"/>
      <c r="CM238" s="114"/>
      <c r="CN238" s="114"/>
      <c r="CO238" s="114"/>
      <c r="CP238" s="114"/>
      <c r="CQ238" s="114"/>
      <c r="CR238" s="114"/>
      <c r="CS238" s="114"/>
      <c r="CT238" s="114"/>
      <c r="CU238" s="114"/>
      <c r="CV238" s="114"/>
      <c r="CW238" s="114"/>
      <c r="CX238" s="114"/>
      <c r="CY238" s="114"/>
      <c r="CZ238" s="114"/>
      <c r="DA238" s="114"/>
      <c r="DB238" s="114"/>
      <c r="DC238" s="114"/>
      <c r="DD238" s="114"/>
      <c r="DE238" s="114"/>
      <c r="DF238" s="114"/>
      <c r="DG238" s="114"/>
      <c r="DH238" s="114"/>
      <c r="DI238" s="114"/>
      <c r="DJ238" s="114"/>
      <c r="DK238" s="114"/>
      <c r="DL238" s="114"/>
      <c r="DM238" s="114"/>
      <c r="DN238" s="114"/>
      <c r="DO238" s="114"/>
      <c r="DP238" s="114"/>
      <c r="DQ238" s="114"/>
    </row>
    <row r="239" spans="1:121" ht="15" customHeight="1" outlineLevel="4" x14ac:dyDescent="0.25">
      <c r="A239" s="101"/>
      <c r="B239" s="101"/>
      <c r="C239" s="101">
        <v>5</v>
      </c>
      <c r="D239" s="102" t="s">
        <v>697</v>
      </c>
      <c r="E239" s="103"/>
      <c r="F239" s="103"/>
      <c r="G239" s="103"/>
      <c r="H239" s="103"/>
      <c r="I239" s="120" t="s">
        <v>270</v>
      </c>
      <c r="J239" s="120"/>
      <c r="K239" s="120"/>
      <c r="L239" s="120"/>
      <c r="M239" s="120"/>
      <c r="N239" s="120"/>
      <c r="O239" s="103" t="str">
        <f>O238</f>
        <v>2동 공 Tray Buffer</v>
      </c>
      <c r="P239" s="184"/>
      <c r="Q239" s="105">
        <v>45250</v>
      </c>
      <c r="R239" s="105">
        <v>45260</v>
      </c>
      <c r="S239" s="106">
        <f>R239-Q239</f>
        <v>10</v>
      </c>
      <c r="T239" s="107">
        <v>11</v>
      </c>
      <c r="U239" s="107">
        <v>0</v>
      </c>
      <c r="V239" s="107">
        <v>11</v>
      </c>
      <c r="W239" s="107">
        <v>0</v>
      </c>
      <c r="X239" s="108"/>
      <c r="Y239" s="108"/>
      <c r="Z239" s="109"/>
      <c r="AA239" s="110">
        <v>0</v>
      </c>
      <c r="AB239" s="107">
        <v>1</v>
      </c>
      <c r="AC239" s="119"/>
      <c r="AD239" s="180"/>
      <c r="AE239" s="111">
        <v>0</v>
      </c>
      <c r="AF239" s="121">
        <v>0</v>
      </c>
      <c r="AG239" s="113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 t="str">
        <f>" " &amp; TEXT(AF239,"#0.00%") &amp; " " &amp; "FAT" &amp; " " &amp; IF(Q239="","",TEXT(Q239,"M/D-")) &amp; IF(R239="","",TEXT(R239,"M/D")) &amp; " "</f>
        <v xml:space="preserve"> 0.00% FAT 11/20-11/30 </v>
      </c>
      <c r="BX239" s="114"/>
      <c r="BY239" s="114"/>
      <c r="BZ239" s="114"/>
      <c r="CA239" s="114"/>
      <c r="CB239" s="114"/>
      <c r="CC239" s="114"/>
      <c r="CD239" s="114"/>
      <c r="CE239" s="114"/>
      <c r="CF239" s="114"/>
      <c r="CG239" s="114"/>
      <c r="CH239" s="114"/>
      <c r="CI239" s="114"/>
      <c r="CJ239" s="114"/>
      <c r="CK239" s="114"/>
      <c r="CL239" s="114"/>
      <c r="CM239" s="114"/>
      <c r="CN239" s="114"/>
      <c r="CO239" s="114"/>
      <c r="CP239" s="114"/>
      <c r="CQ239" s="114"/>
      <c r="CR239" s="114"/>
      <c r="CS239" s="114"/>
      <c r="CT239" s="114"/>
      <c r="CU239" s="114"/>
      <c r="CV239" s="114"/>
      <c r="CW239" s="114"/>
      <c r="CX239" s="114"/>
      <c r="CY239" s="114"/>
      <c r="CZ239" s="114"/>
      <c r="DA239" s="114"/>
      <c r="DB239" s="114"/>
      <c r="DC239" s="114"/>
      <c r="DD239" s="114"/>
      <c r="DE239" s="114"/>
      <c r="DF239" s="114"/>
      <c r="DG239" s="114"/>
      <c r="DH239" s="114"/>
      <c r="DI239" s="114"/>
      <c r="DJ239" s="114"/>
      <c r="DK239" s="114"/>
      <c r="DL239" s="114"/>
      <c r="DM239" s="114"/>
      <c r="DN239" s="114"/>
      <c r="DO239" s="114"/>
      <c r="DP239" s="114"/>
      <c r="DQ239" s="114"/>
    </row>
    <row r="240" spans="1:121" ht="15" customHeight="1" outlineLevel="2" x14ac:dyDescent="0.25">
      <c r="A240" s="101"/>
      <c r="B240" s="101" t="s">
        <v>153</v>
      </c>
      <c r="C240" s="101">
        <v>3</v>
      </c>
      <c r="D240" s="102" t="s">
        <v>278</v>
      </c>
      <c r="E240" s="103"/>
      <c r="F240" s="103"/>
      <c r="G240" s="103" t="s">
        <v>575</v>
      </c>
      <c r="H240" s="103"/>
      <c r="I240" s="103"/>
      <c r="J240" s="103"/>
      <c r="K240" s="103"/>
      <c r="L240" s="103"/>
      <c r="M240" s="103"/>
      <c r="N240" s="103"/>
      <c r="O240" s="103" t="str">
        <f>G240</f>
        <v>1동 MSC Crane(FR)</v>
      </c>
      <c r="P240" s="118"/>
      <c r="Q240" s="108">
        <v>45200</v>
      </c>
      <c r="R240" s="105">
        <v>45249</v>
      </c>
      <c r="S240" s="106"/>
      <c r="T240" s="107">
        <v>174</v>
      </c>
      <c r="U240" s="107">
        <v>0</v>
      </c>
      <c r="V240" s="107">
        <v>50</v>
      </c>
      <c r="W240" s="107">
        <v>0</v>
      </c>
      <c r="X240" s="108"/>
      <c r="Y240" s="108"/>
      <c r="Z240" s="109">
        <v>0</v>
      </c>
      <c r="AA240" s="110">
        <v>0</v>
      </c>
      <c r="AB240" s="107"/>
      <c r="AC240" s="119"/>
      <c r="AD240" s="180"/>
      <c r="AE240" s="111">
        <v>0</v>
      </c>
      <c r="AF240" s="122">
        <v>0</v>
      </c>
      <c r="AG240" s="113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 t="str">
        <f>"" &amp; TEXT(AF240,"#0.00%") &amp; " "</f>
        <v xml:space="preserve">0.00% </v>
      </c>
      <c r="BQ240" s="114"/>
      <c r="BR240" s="114"/>
      <c r="BS240" s="114"/>
      <c r="BT240" s="114"/>
      <c r="BU240" s="114"/>
      <c r="BV240" s="114"/>
      <c r="BW240" s="114" t="str">
        <f>" " &amp; "1동 MSC Crane(FR)" &amp; " " &amp; IF(Q240="","",TEXT(Q240,"M/D-")) &amp; IF(R240="","",TEXT(R240,"M/D")) &amp; " "</f>
        <v xml:space="preserve"> 1동 MSC Crane(FR) 10/1-11/19 </v>
      </c>
      <c r="BX240" s="114"/>
      <c r="BY240" s="114"/>
      <c r="BZ240" s="114"/>
      <c r="CA240" s="114"/>
      <c r="CB240" s="114"/>
      <c r="CC240" s="114"/>
      <c r="CD240" s="114"/>
      <c r="CE240" s="114"/>
      <c r="CF240" s="114"/>
      <c r="CG240" s="114"/>
      <c r="CH240" s="114"/>
      <c r="CI240" s="114"/>
      <c r="CJ240" s="114"/>
      <c r="CK240" s="114"/>
      <c r="CL240" s="114"/>
      <c r="CM240" s="114"/>
      <c r="CN240" s="114"/>
      <c r="CO240" s="114"/>
      <c r="CP240" s="114"/>
      <c r="CQ240" s="114"/>
      <c r="CR240" s="114"/>
      <c r="CS240" s="114"/>
      <c r="CT240" s="114"/>
      <c r="CU240" s="114"/>
      <c r="CV240" s="114"/>
      <c r="CW240" s="114"/>
      <c r="CX240" s="114"/>
      <c r="CY240" s="114"/>
      <c r="CZ240" s="114"/>
      <c r="DA240" s="114"/>
      <c r="DB240" s="114"/>
      <c r="DC240" s="114"/>
      <c r="DD240" s="114"/>
      <c r="DE240" s="114"/>
      <c r="DF240" s="114"/>
      <c r="DG240" s="114"/>
      <c r="DH240" s="114"/>
      <c r="DI240" s="114"/>
      <c r="DJ240" s="114"/>
      <c r="DK240" s="114"/>
      <c r="DL240" s="114"/>
      <c r="DM240" s="114"/>
      <c r="DN240" s="114"/>
      <c r="DO240" s="114"/>
      <c r="DP240" s="114"/>
      <c r="DQ240" s="114"/>
    </row>
    <row r="241" spans="1:121" ht="15" customHeight="1" outlineLevel="3" x14ac:dyDescent="0.25">
      <c r="A241" s="101"/>
      <c r="B241" s="101" t="s">
        <v>153</v>
      </c>
      <c r="C241" s="101">
        <v>4</v>
      </c>
      <c r="D241" s="102" t="s">
        <v>279</v>
      </c>
      <c r="E241" s="103"/>
      <c r="F241" s="103"/>
      <c r="G241" s="103"/>
      <c r="H241" s="103" t="s">
        <v>576</v>
      </c>
      <c r="I241" s="120"/>
      <c r="J241" s="120"/>
      <c r="K241" s="120"/>
      <c r="L241" s="120"/>
      <c r="M241" s="120"/>
      <c r="N241" s="120"/>
      <c r="O241" s="103" t="str">
        <f>H241</f>
        <v>1동 상온#1 Aging MSC</v>
      </c>
      <c r="P241" s="184"/>
      <c r="Q241" s="105">
        <v>45200</v>
      </c>
      <c r="R241" s="105">
        <v>45214</v>
      </c>
      <c r="S241" s="106"/>
      <c r="T241" s="107">
        <v>24</v>
      </c>
      <c r="U241" s="107">
        <v>0</v>
      </c>
      <c r="V241" s="107">
        <v>15</v>
      </c>
      <c r="W241" s="107">
        <v>0</v>
      </c>
      <c r="X241" s="108"/>
      <c r="Y241" s="108"/>
      <c r="Z241" s="109">
        <v>0</v>
      </c>
      <c r="AA241" s="110">
        <v>0</v>
      </c>
      <c r="AB241" s="107"/>
      <c r="AC241" s="119"/>
      <c r="AD241" s="180"/>
      <c r="AE241" s="111">
        <v>0</v>
      </c>
      <c r="AF241" s="122">
        <v>0</v>
      </c>
      <c r="AG241" s="113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 t="str">
        <f>"" &amp; TEXT(AF241,"#0.00%") &amp; " " &amp; "1동 상온#1 Aging MSC" &amp; " " &amp; IF(Q241="","",TEXT(Q241,"M/D-")) &amp; IF(R241="","",TEXT(R241,"M/D")) &amp; " "</f>
        <v xml:space="preserve">0.00% 1동 상온#1 Aging MSC 10/1-10/15 </v>
      </c>
      <c r="BQ241" s="114"/>
      <c r="BR241" s="114"/>
      <c r="BS241" s="114"/>
      <c r="BT241" s="114"/>
      <c r="BU241" s="114"/>
      <c r="BV241" s="114"/>
      <c r="BW241" s="114"/>
      <c r="BX241" s="114"/>
      <c r="BY241" s="114"/>
      <c r="BZ241" s="114"/>
      <c r="CA241" s="114"/>
      <c r="CB241" s="114"/>
      <c r="CC241" s="114"/>
      <c r="CD241" s="114"/>
      <c r="CE241" s="114"/>
      <c r="CF241" s="114"/>
      <c r="CG241" s="114"/>
      <c r="CH241" s="114"/>
      <c r="CI241" s="114"/>
      <c r="CJ241" s="114"/>
      <c r="CK241" s="114"/>
      <c r="CL241" s="114"/>
      <c r="CM241" s="114"/>
      <c r="CN241" s="114"/>
      <c r="CO241" s="114"/>
      <c r="CP241" s="114"/>
      <c r="CQ241" s="114"/>
      <c r="CR241" s="114"/>
      <c r="CS241" s="114"/>
      <c r="CT241" s="114"/>
      <c r="CU241" s="114"/>
      <c r="CV241" s="114"/>
      <c r="CW241" s="114"/>
      <c r="CX241" s="114"/>
      <c r="CY241" s="114"/>
      <c r="CZ241" s="114"/>
      <c r="DA241" s="114"/>
      <c r="DB241" s="114"/>
      <c r="DC241" s="114"/>
      <c r="DD241" s="114"/>
      <c r="DE241" s="114"/>
      <c r="DF241" s="114"/>
      <c r="DG241" s="114"/>
      <c r="DH241" s="114"/>
      <c r="DI241" s="114"/>
      <c r="DJ241" s="114"/>
      <c r="DK241" s="114"/>
      <c r="DL241" s="114"/>
      <c r="DM241" s="114"/>
      <c r="DN241" s="114"/>
      <c r="DO241" s="114"/>
      <c r="DP241" s="114"/>
      <c r="DQ241" s="114"/>
    </row>
    <row r="242" spans="1:121" ht="15" customHeight="1" outlineLevel="4" x14ac:dyDescent="0.25">
      <c r="A242" s="101"/>
      <c r="B242" s="101"/>
      <c r="C242" s="101">
        <v>5</v>
      </c>
      <c r="D242" s="102" t="s">
        <v>280</v>
      </c>
      <c r="E242" s="103"/>
      <c r="F242" s="103"/>
      <c r="G242" s="103"/>
      <c r="H242" s="103"/>
      <c r="I242" s="120" t="s">
        <v>698</v>
      </c>
      <c r="J242" s="120"/>
      <c r="K242" s="120"/>
      <c r="L242" s="120"/>
      <c r="M242" s="120"/>
      <c r="N242" s="120"/>
      <c r="O242" s="120" t="str">
        <f>O241</f>
        <v>1동 상온#1 Aging MSC</v>
      </c>
      <c r="P242" s="184"/>
      <c r="Q242" s="105">
        <v>45200</v>
      </c>
      <c r="R242" s="105">
        <v>45214</v>
      </c>
      <c r="S242" s="106">
        <f>R242-Q242</f>
        <v>14</v>
      </c>
      <c r="T242" s="107">
        <v>15</v>
      </c>
      <c r="U242" s="107">
        <v>0</v>
      </c>
      <c r="V242" s="107">
        <v>15</v>
      </c>
      <c r="W242" s="107">
        <v>0</v>
      </c>
      <c r="X242" s="108"/>
      <c r="Y242" s="108"/>
      <c r="Z242" s="109"/>
      <c r="AA242" s="110">
        <v>0</v>
      </c>
      <c r="AB242" s="107">
        <v>1</v>
      </c>
      <c r="AC242" s="119"/>
      <c r="AD242" s="180"/>
      <c r="AE242" s="111">
        <v>0</v>
      </c>
      <c r="AF242" s="121">
        <v>0</v>
      </c>
      <c r="AG242" s="113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 t="str">
        <f>"" &amp; TEXT(AF242,"#0.00%") &amp; " " &amp; "Dry Run" &amp; " " &amp; IF(Q242="","",TEXT(Q242,"M/D-")) &amp; IF(R242="","",TEXT(R242,"M/D")) &amp; " "</f>
        <v xml:space="preserve">0.00% Dry Run 10/1-10/15 </v>
      </c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14"/>
      <c r="CB242" s="114"/>
      <c r="CC242" s="114"/>
      <c r="CD242" s="114"/>
      <c r="CE242" s="114"/>
      <c r="CF242" s="114"/>
      <c r="CG242" s="114"/>
      <c r="CH242" s="114"/>
      <c r="CI242" s="114"/>
      <c r="CJ242" s="114"/>
      <c r="CK242" s="114"/>
      <c r="CL242" s="114"/>
      <c r="CM242" s="114"/>
      <c r="CN242" s="114"/>
      <c r="CO242" s="114"/>
      <c r="CP242" s="114"/>
      <c r="CQ242" s="114"/>
      <c r="CR242" s="114"/>
      <c r="CS242" s="114"/>
      <c r="CT242" s="114"/>
      <c r="CU242" s="114"/>
      <c r="CV242" s="114"/>
      <c r="CW242" s="114"/>
      <c r="CX242" s="114"/>
      <c r="CY242" s="114"/>
      <c r="CZ242" s="114"/>
      <c r="DA242" s="114"/>
      <c r="DB242" s="114"/>
      <c r="DC242" s="114"/>
      <c r="DD242" s="114"/>
      <c r="DE242" s="114"/>
      <c r="DF242" s="114"/>
      <c r="DG242" s="114"/>
      <c r="DH242" s="114"/>
      <c r="DI242" s="114"/>
      <c r="DJ242" s="114"/>
      <c r="DK242" s="114"/>
      <c r="DL242" s="114"/>
      <c r="DM242" s="114"/>
      <c r="DN242" s="114"/>
      <c r="DO242" s="114"/>
      <c r="DP242" s="114"/>
      <c r="DQ242" s="114"/>
    </row>
    <row r="243" spans="1:121" ht="15" customHeight="1" outlineLevel="4" x14ac:dyDescent="0.25">
      <c r="A243" s="101"/>
      <c r="B243" s="101"/>
      <c r="C243" s="101">
        <v>5</v>
      </c>
      <c r="D243" s="102" t="s">
        <v>281</v>
      </c>
      <c r="E243" s="103"/>
      <c r="F243" s="103"/>
      <c r="G243" s="103"/>
      <c r="H243" s="103"/>
      <c r="I243" s="120" t="s">
        <v>270</v>
      </c>
      <c r="J243" s="120"/>
      <c r="K243" s="120"/>
      <c r="L243" s="120"/>
      <c r="M243" s="120"/>
      <c r="N243" s="120"/>
      <c r="O243" s="120" t="str">
        <f>O242</f>
        <v>1동 상온#1 Aging MSC</v>
      </c>
      <c r="P243" s="184"/>
      <c r="Q243" s="105">
        <v>45206</v>
      </c>
      <c r="R243" s="105">
        <v>45214</v>
      </c>
      <c r="S243" s="106">
        <f>R243-Q243</f>
        <v>8</v>
      </c>
      <c r="T243" s="107">
        <v>9</v>
      </c>
      <c r="U243" s="107">
        <v>0</v>
      </c>
      <c r="V243" s="107">
        <v>9</v>
      </c>
      <c r="W243" s="107">
        <v>0</v>
      </c>
      <c r="X243" s="108"/>
      <c r="Y243" s="108"/>
      <c r="Z243" s="109"/>
      <c r="AA243" s="110">
        <v>0</v>
      </c>
      <c r="AB243" s="107">
        <v>1</v>
      </c>
      <c r="AC243" s="119"/>
      <c r="AD243" s="180"/>
      <c r="AE243" s="111">
        <v>0</v>
      </c>
      <c r="AF243" s="121">
        <v>0</v>
      </c>
      <c r="AG243" s="113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 t="str">
        <f>"      " &amp; TEXT(AF243,"#0.00%") &amp; " " &amp; "FAT" &amp; " " &amp; IF(Q243="","",TEXT(Q243,"M/D-")) &amp; IF(R243="","",TEXT(R243,"M/D")) &amp; " "</f>
        <v xml:space="preserve">      0.00% FAT 10/7-10/15 </v>
      </c>
      <c r="BQ243" s="114"/>
      <c r="BR243" s="114"/>
      <c r="BS243" s="114"/>
      <c r="BT243" s="114"/>
      <c r="BU243" s="114"/>
      <c r="BV243" s="114"/>
      <c r="BW243" s="114"/>
      <c r="BX243" s="114"/>
      <c r="BY243" s="114"/>
      <c r="BZ243" s="114"/>
      <c r="CA243" s="114"/>
      <c r="CB243" s="114"/>
      <c r="CC243" s="114"/>
      <c r="CD243" s="114"/>
      <c r="CE243" s="114"/>
      <c r="CF243" s="114"/>
      <c r="CG243" s="114"/>
      <c r="CH243" s="114"/>
      <c r="CI243" s="114"/>
      <c r="CJ243" s="114"/>
      <c r="CK243" s="114"/>
      <c r="CL243" s="114"/>
      <c r="CM243" s="114"/>
      <c r="CN243" s="114"/>
      <c r="CO243" s="114"/>
      <c r="CP243" s="114"/>
      <c r="CQ243" s="114"/>
      <c r="CR243" s="114"/>
      <c r="CS243" s="114"/>
      <c r="CT243" s="114"/>
      <c r="CU243" s="114"/>
      <c r="CV243" s="114"/>
      <c r="CW243" s="114"/>
      <c r="CX243" s="114"/>
      <c r="CY243" s="114"/>
      <c r="CZ243" s="114"/>
      <c r="DA243" s="114"/>
      <c r="DB243" s="114"/>
      <c r="DC243" s="114"/>
      <c r="DD243" s="114"/>
      <c r="DE243" s="114"/>
      <c r="DF243" s="114"/>
      <c r="DG243" s="114"/>
      <c r="DH243" s="114"/>
      <c r="DI243" s="114"/>
      <c r="DJ243" s="114"/>
      <c r="DK243" s="114"/>
      <c r="DL243" s="114"/>
      <c r="DM243" s="114"/>
      <c r="DN243" s="114"/>
      <c r="DO243" s="114"/>
      <c r="DP243" s="114"/>
      <c r="DQ243" s="114"/>
    </row>
    <row r="244" spans="1:121" ht="15" customHeight="1" outlineLevel="3" x14ac:dyDescent="0.25">
      <c r="A244" s="101"/>
      <c r="B244" s="101" t="s">
        <v>153</v>
      </c>
      <c r="C244" s="101">
        <v>4</v>
      </c>
      <c r="D244" s="102" t="s">
        <v>699</v>
      </c>
      <c r="E244" s="103"/>
      <c r="F244" s="103"/>
      <c r="G244" s="103"/>
      <c r="H244" s="124" t="s">
        <v>577</v>
      </c>
      <c r="I244" s="120"/>
      <c r="J244" s="120"/>
      <c r="K244" s="120"/>
      <c r="L244" s="120"/>
      <c r="M244" s="120"/>
      <c r="N244" s="120"/>
      <c r="O244" s="103" t="str">
        <f>H244</f>
        <v>1동 고온#1 Aging MSC</v>
      </c>
      <c r="P244" s="184"/>
      <c r="Q244" s="105">
        <v>45231</v>
      </c>
      <c r="R244" s="105">
        <v>45244</v>
      </c>
      <c r="S244" s="106"/>
      <c r="T244" s="107">
        <v>22</v>
      </c>
      <c r="U244" s="107">
        <v>0</v>
      </c>
      <c r="V244" s="107">
        <v>14</v>
      </c>
      <c r="W244" s="107">
        <v>0</v>
      </c>
      <c r="X244" s="108"/>
      <c r="Y244" s="108"/>
      <c r="Z244" s="109">
        <v>0</v>
      </c>
      <c r="AA244" s="110">
        <v>0</v>
      </c>
      <c r="AB244" s="107"/>
      <c r="AC244" s="119"/>
      <c r="AD244" s="180"/>
      <c r="AE244" s="111">
        <v>0</v>
      </c>
      <c r="AF244" s="122">
        <v>0</v>
      </c>
      <c r="AG244" s="113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 t="str">
        <f>"   " &amp; TEXT(AF244,"#0.00%") &amp; " " &amp; "1동 고온#1 Aging MSC" &amp; " " &amp; IF(Q244="","",TEXT(Q244,"M/D-")) &amp; IF(R244="","",TEXT(R244,"M/D")) &amp; " "</f>
        <v xml:space="preserve">   0.00% 1동 고온#1 Aging MSC 11/1-11/14 </v>
      </c>
      <c r="BU244" s="114"/>
      <c r="BV244" s="114"/>
      <c r="BW244" s="114"/>
      <c r="BX244" s="114"/>
      <c r="BY244" s="114"/>
      <c r="BZ244" s="114"/>
      <c r="CA244" s="114"/>
      <c r="CB244" s="114"/>
      <c r="CC244" s="114"/>
      <c r="CD244" s="114"/>
      <c r="CE244" s="114"/>
      <c r="CF244" s="114"/>
      <c r="CG244" s="114"/>
      <c r="CH244" s="114"/>
      <c r="CI244" s="114"/>
      <c r="CJ244" s="114"/>
      <c r="CK244" s="114"/>
      <c r="CL244" s="114"/>
      <c r="CM244" s="114"/>
      <c r="CN244" s="114"/>
      <c r="CO244" s="114"/>
      <c r="CP244" s="114"/>
      <c r="CQ244" s="114"/>
      <c r="CR244" s="114"/>
      <c r="CS244" s="114"/>
      <c r="CT244" s="114"/>
      <c r="CU244" s="114"/>
      <c r="CV244" s="114"/>
      <c r="CW244" s="114"/>
      <c r="CX244" s="114"/>
      <c r="CY244" s="114"/>
      <c r="CZ244" s="114"/>
      <c r="DA244" s="114"/>
      <c r="DB244" s="114"/>
      <c r="DC244" s="114"/>
      <c r="DD244" s="114"/>
      <c r="DE244" s="114"/>
      <c r="DF244" s="114"/>
      <c r="DG244" s="114"/>
      <c r="DH244" s="114"/>
      <c r="DI244" s="114"/>
      <c r="DJ244" s="114"/>
      <c r="DK244" s="114"/>
      <c r="DL244" s="114"/>
      <c r="DM244" s="114"/>
      <c r="DN244" s="114"/>
      <c r="DO244" s="114"/>
      <c r="DP244" s="114"/>
      <c r="DQ244" s="114"/>
    </row>
    <row r="245" spans="1:121" ht="15" customHeight="1" outlineLevel="4" x14ac:dyDescent="0.25">
      <c r="A245" s="101"/>
      <c r="B245" s="101"/>
      <c r="C245" s="101">
        <v>5</v>
      </c>
      <c r="D245" s="102" t="s">
        <v>700</v>
      </c>
      <c r="E245" s="103"/>
      <c r="F245" s="103"/>
      <c r="G245" s="103"/>
      <c r="H245" s="103"/>
      <c r="I245" s="120" t="s">
        <v>698</v>
      </c>
      <c r="J245" s="120"/>
      <c r="K245" s="120"/>
      <c r="L245" s="120"/>
      <c r="M245" s="120"/>
      <c r="N245" s="120"/>
      <c r="O245" s="120" t="str">
        <f>O244</f>
        <v>1동 고온#1 Aging MSC</v>
      </c>
      <c r="P245" s="184"/>
      <c r="Q245" s="105">
        <v>45231</v>
      </c>
      <c r="R245" s="105">
        <v>45244</v>
      </c>
      <c r="S245" s="106">
        <f>R245-Q245</f>
        <v>13</v>
      </c>
      <c r="T245" s="107">
        <v>14</v>
      </c>
      <c r="U245" s="107">
        <v>0</v>
      </c>
      <c r="V245" s="107">
        <v>14</v>
      </c>
      <c r="W245" s="107">
        <v>0</v>
      </c>
      <c r="X245" s="108"/>
      <c r="Y245" s="108"/>
      <c r="Z245" s="109"/>
      <c r="AA245" s="110">
        <v>0</v>
      </c>
      <c r="AB245" s="107">
        <v>1</v>
      </c>
      <c r="AC245" s="119"/>
      <c r="AD245" s="180"/>
      <c r="AE245" s="111">
        <v>0</v>
      </c>
      <c r="AF245" s="121">
        <v>0</v>
      </c>
      <c r="AG245" s="113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 t="str">
        <f>"   " &amp; TEXT(AF245,"#0.00%") &amp; " " &amp; "Dry Run" &amp; " " &amp; IF(Q245="","",TEXT(Q245,"M/D-")) &amp; IF(R245="","",TEXT(R245,"M/D")) &amp; " "</f>
        <v xml:space="preserve">   0.00% Dry Run 11/1-11/14 </v>
      </c>
      <c r="BU245" s="114"/>
      <c r="BV245" s="114"/>
      <c r="BW245" s="114"/>
      <c r="BX245" s="114"/>
      <c r="BY245" s="114"/>
      <c r="BZ245" s="114"/>
      <c r="CA245" s="114"/>
      <c r="CB245" s="114"/>
      <c r="CC245" s="114"/>
      <c r="CD245" s="114"/>
      <c r="CE245" s="114"/>
      <c r="CF245" s="114"/>
      <c r="CG245" s="114"/>
      <c r="CH245" s="114"/>
      <c r="CI245" s="114"/>
      <c r="CJ245" s="114"/>
      <c r="CK245" s="114"/>
      <c r="CL245" s="114"/>
      <c r="CM245" s="114"/>
      <c r="CN245" s="114"/>
      <c r="CO245" s="114"/>
      <c r="CP245" s="114"/>
      <c r="CQ245" s="114"/>
      <c r="CR245" s="114"/>
      <c r="CS245" s="114"/>
      <c r="CT245" s="114"/>
      <c r="CU245" s="114"/>
      <c r="CV245" s="114"/>
      <c r="CW245" s="114"/>
      <c r="CX245" s="114"/>
      <c r="CY245" s="114"/>
      <c r="CZ245" s="114"/>
      <c r="DA245" s="114"/>
      <c r="DB245" s="114"/>
      <c r="DC245" s="114"/>
      <c r="DD245" s="114"/>
      <c r="DE245" s="114"/>
      <c r="DF245" s="114"/>
      <c r="DG245" s="114"/>
      <c r="DH245" s="114"/>
      <c r="DI245" s="114"/>
      <c r="DJ245" s="114"/>
      <c r="DK245" s="114"/>
      <c r="DL245" s="114"/>
      <c r="DM245" s="114"/>
      <c r="DN245" s="114"/>
      <c r="DO245" s="114"/>
      <c r="DP245" s="114"/>
      <c r="DQ245" s="114"/>
    </row>
    <row r="246" spans="1:121" ht="15" customHeight="1" outlineLevel="4" x14ac:dyDescent="0.25">
      <c r="A246" s="101"/>
      <c r="B246" s="101"/>
      <c r="C246" s="101">
        <v>5</v>
      </c>
      <c r="D246" s="102" t="s">
        <v>701</v>
      </c>
      <c r="E246" s="103"/>
      <c r="F246" s="103"/>
      <c r="G246" s="103"/>
      <c r="H246" s="103"/>
      <c r="I246" s="120" t="s">
        <v>270</v>
      </c>
      <c r="J246" s="120"/>
      <c r="K246" s="120"/>
      <c r="L246" s="120"/>
      <c r="M246" s="120"/>
      <c r="N246" s="120"/>
      <c r="O246" s="120" t="str">
        <f>O245</f>
        <v>1동 고온#1 Aging MSC</v>
      </c>
      <c r="P246" s="184"/>
      <c r="Q246" s="105">
        <v>45237</v>
      </c>
      <c r="R246" s="105">
        <v>45244</v>
      </c>
      <c r="S246" s="106">
        <f>R246-Q246</f>
        <v>7</v>
      </c>
      <c r="T246" s="107">
        <v>8</v>
      </c>
      <c r="U246" s="107">
        <v>0</v>
      </c>
      <c r="V246" s="107">
        <v>8</v>
      </c>
      <c r="W246" s="107">
        <v>0</v>
      </c>
      <c r="X246" s="108"/>
      <c r="Y246" s="108"/>
      <c r="Z246" s="109"/>
      <c r="AA246" s="110">
        <v>0</v>
      </c>
      <c r="AB246" s="107">
        <v>1</v>
      </c>
      <c r="AC246" s="119"/>
      <c r="AD246" s="180"/>
      <c r="AE246" s="111">
        <v>0</v>
      </c>
      <c r="AF246" s="121">
        <v>0</v>
      </c>
      <c r="AG246" s="113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  <c r="BQ246" s="114"/>
      <c r="BR246" s="114"/>
      <c r="BS246" s="114"/>
      <c r="BT246" s="114"/>
      <c r="BU246" s="114" t="str">
        <f>"  " &amp; TEXT(AF246,"#0.00%") &amp; " " &amp; "FAT" &amp; " " &amp; IF(Q246="","",TEXT(Q246,"M/D-")) &amp; IF(R246="","",TEXT(R246,"M/D")) &amp; " "</f>
        <v xml:space="preserve">  0.00% FAT 11/7-11/14 </v>
      </c>
      <c r="BV246" s="114"/>
      <c r="BW246" s="114"/>
      <c r="BX246" s="114"/>
      <c r="BY246" s="114"/>
      <c r="BZ246" s="114"/>
      <c r="CA246" s="114"/>
      <c r="CB246" s="114"/>
      <c r="CC246" s="114"/>
      <c r="CD246" s="114"/>
      <c r="CE246" s="114"/>
      <c r="CF246" s="114"/>
      <c r="CG246" s="114"/>
      <c r="CH246" s="114"/>
      <c r="CI246" s="114"/>
      <c r="CJ246" s="114"/>
      <c r="CK246" s="114"/>
      <c r="CL246" s="114"/>
      <c r="CM246" s="114"/>
      <c r="CN246" s="114"/>
      <c r="CO246" s="114"/>
      <c r="CP246" s="114"/>
      <c r="CQ246" s="114"/>
      <c r="CR246" s="114"/>
      <c r="CS246" s="114"/>
      <c r="CT246" s="114"/>
      <c r="CU246" s="114"/>
      <c r="CV246" s="114"/>
      <c r="CW246" s="114"/>
      <c r="CX246" s="114"/>
      <c r="CY246" s="114"/>
      <c r="CZ246" s="114"/>
      <c r="DA246" s="114"/>
      <c r="DB246" s="114"/>
      <c r="DC246" s="114"/>
      <c r="DD246" s="114"/>
      <c r="DE246" s="114"/>
      <c r="DF246" s="114"/>
      <c r="DG246" s="114"/>
      <c r="DH246" s="114"/>
      <c r="DI246" s="114"/>
      <c r="DJ246" s="114"/>
      <c r="DK246" s="114"/>
      <c r="DL246" s="114"/>
      <c r="DM246" s="114"/>
      <c r="DN246" s="114"/>
      <c r="DO246" s="114"/>
      <c r="DP246" s="114"/>
      <c r="DQ246" s="114"/>
    </row>
    <row r="247" spans="1:121" ht="15" customHeight="1" outlineLevel="3" x14ac:dyDescent="0.25">
      <c r="A247" s="101"/>
      <c r="B247" s="101" t="s">
        <v>153</v>
      </c>
      <c r="C247" s="101">
        <v>4</v>
      </c>
      <c r="D247" s="102" t="s">
        <v>702</v>
      </c>
      <c r="E247" s="103"/>
      <c r="F247" s="103"/>
      <c r="G247" s="103"/>
      <c r="H247" s="124" t="s">
        <v>578</v>
      </c>
      <c r="I247" s="120"/>
      <c r="J247" s="120"/>
      <c r="K247" s="120"/>
      <c r="L247" s="120"/>
      <c r="M247" s="120"/>
      <c r="N247" s="120"/>
      <c r="O247" s="103" t="str">
        <f>H247</f>
        <v>1동 PPC MSC</v>
      </c>
      <c r="P247" s="184"/>
      <c r="Q247" s="105">
        <v>45200</v>
      </c>
      <c r="R247" s="105">
        <v>45214</v>
      </c>
      <c r="S247" s="106"/>
      <c r="T247" s="107">
        <v>24</v>
      </c>
      <c r="U247" s="107">
        <v>0</v>
      </c>
      <c r="V247" s="107">
        <v>15</v>
      </c>
      <c r="W247" s="107">
        <v>0</v>
      </c>
      <c r="X247" s="108"/>
      <c r="Y247" s="108"/>
      <c r="Z247" s="109">
        <v>0</v>
      </c>
      <c r="AA247" s="110">
        <v>0</v>
      </c>
      <c r="AB247" s="107"/>
      <c r="AC247" s="119"/>
      <c r="AD247" s="180"/>
      <c r="AE247" s="111">
        <v>0</v>
      </c>
      <c r="AF247" s="122">
        <v>0</v>
      </c>
      <c r="AG247" s="113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4"/>
      <c r="BN247" s="114"/>
      <c r="BO247" s="114"/>
      <c r="BP247" s="114" t="str">
        <f>"" &amp; TEXT(AF247,"#0.00%") &amp; " " &amp; "1동 PPC MSC" &amp; " " &amp; IF(Q247="","",TEXT(Q247,"M/D-")) &amp; IF(R247="","",TEXT(R247,"M/D")) &amp; " "</f>
        <v xml:space="preserve">0.00% 1동 PPC MSC 10/1-10/15 </v>
      </c>
      <c r="BQ247" s="114"/>
      <c r="BR247" s="114"/>
      <c r="BS247" s="114"/>
      <c r="BT247" s="114"/>
      <c r="BU247" s="114"/>
      <c r="BV247" s="114"/>
      <c r="BW247" s="114"/>
      <c r="BX247" s="114"/>
      <c r="BY247" s="114"/>
      <c r="BZ247" s="114"/>
      <c r="CA247" s="114"/>
      <c r="CB247" s="114"/>
      <c r="CC247" s="114"/>
      <c r="CD247" s="114"/>
      <c r="CE247" s="114"/>
      <c r="CF247" s="114"/>
      <c r="CG247" s="114"/>
      <c r="CH247" s="114"/>
      <c r="CI247" s="114"/>
      <c r="CJ247" s="114"/>
      <c r="CK247" s="114"/>
      <c r="CL247" s="114"/>
      <c r="CM247" s="114"/>
      <c r="CN247" s="114"/>
      <c r="CO247" s="114"/>
      <c r="CP247" s="114"/>
      <c r="CQ247" s="114"/>
      <c r="CR247" s="114"/>
      <c r="CS247" s="114"/>
      <c r="CT247" s="114"/>
      <c r="CU247" s="114"/>
      <c r="CV247" s="114"/>
      <c r="CW247" s="114"/>
      <c r="CX247" s="114"/>
      <c r="CY247" s="114"/>
      <c r="CZ247" s="114"/>
      <c r="DA247" s="114"/>
      <c r="DB247" s="114"/>
      <c r="DC247" s="114"/>
      <c r="DD247" s="114"/>
      <c r="DE247" s="114"/>
      <c r="DF247" s="114"/>
      <c r="DG247" s="114"/>
      <c r="DH247" s="114"/>
      <c r="DI247" s="114"/>
      <c r="DJ247" s="114"/>
      <c r="DK247" s="114"/>
      <c r="DL247" s="114"/>
      <c r="DM247" s="114"/>
      <c r="DN247" s="114"/>
      <c r="DO247" s="114"/>
      <c r="DP247" s="114"/>
      <c r="DQ247" s="114"/>
    </row>
    <row r="248" spans="1:121" ht="15" customHeight="1" outlineLevel="4" x14ac:dyDescent="0.25">
      <c r="A248" s="101"/>
      <c r="B248" s="101"/>
      <c r="C248" s="101">
        <v>5</v>
      </c>
      <c r="D248" s="102" t="s">
        <v>703</v>
      </c>
      <c r="E248" s="103"/>
      <c r="F248" s="103"/>
      <c r="G248" s="103"/>
      <c r="H248" s="103"/>
      <c r="I248" s="120" t="s">
        <v>698</v>
      </c>
      <c r="J248" s="120"/>
      <c r="K248" s="120"/>
      <c r="L248" s="120"/>
      <c r="M248" s="120"/>
      <c r="N248" s="120"/>
      <c r="O248" s="120" t="str">
        <f>O247</f>
        <v>1동 PPC MSC</v>
      </c>
      <c r="P248" s="184"/>
      <c r="Q248" s="105">
        <v>45200</v>
      </c>
      <c r="R248" s="105">
        <v>45214</v>
      </c>
      <c r="S248" s="106">
        <f>R248-Q248</f>
        <v>14</v>
      </c>
      <c r="T248" s="107">
        <v>15</v>
      </c>
      <c r="U248" s="107">
        <v>0</v>
      </c>
      <c r="V248" s="107">
        <v>15</v>
      </c>
      <c r="W248" s="107">
        <v>0</v>
      </c>
      <c r="X248" s="108"/>
      <c r="Y248" s="108"/>
      <c r="Z248" s="109"/>
      <c r="AA248" s="110">
        <v>0</v>
      </c>
      <c r="AB248" s="107">
        <v>1</v>
      </c>
      <c r="AC248" s="119"/>
      <c r="AD248" s="180"/>
      <c r="AE248" s="111">
        <v>0</v>
      </c>
      <c r="AF248" s="121">
        <v>0</v>
      </c>
      <c r="AG248" s="113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  <c r="BI248" s="114"/>
      <c r="BJ248" s="114"/>
      <c r="BK248" s="114"/>
      <c r="BL248" s="114"/>
      <c r="BM248" s="114"/>
      <c r="BN248" s="114"/>
      <c r="BO248" s="114"/>
      <c r="BP248" s="114" t="str">
        <f>"" &amp; TEXT(AF248,"#0.00%") &amp; " " &amp; "Dry Run" &amp; " " &amp; IF(Q248="","",TEXT(Q248,"M/D-")) &amp; IF(R248="","",TEXT(R248,"M/D")) &amp; " "</f>
        <v xml:space="preserve">0.00% Dry Run 10/1-10/15 </v>
      </c>
      <c r="BQ248" s="114"/>
      <c r="BR248" s="114"/>
      <c r="BS248" s="114"/>
      <c r="BT248" s="114"/>
      <c r="BU248" s="114"/>
      <c r="BV248" s="114"/>
      <c r="BW248" s="114"/>
      <c r="BX248" s="114"/>
      <c r="BY248" s="114"/>
      <c r="BZ248" s="114"/>
      <c r="CA248" s="114"/>
      <c r="CB248" s="114"/>
      <c r="CC248" s="114"/>
      <c r="CD248" s="114"/>
      <c r="CE248" s="114"/>
      <c r="CF248" s="114"/>
      <c r="CG248" s="114"/>
      <c r="CH248" s="114"/>
      <c r="CI248" s="114"/>
      <c r="CJ248" s="114"/>
      <c r="CK248" s="114"/>
      <c r="CL248" s="114"/>
      <c r="CM248" s="114"/>
      <c r="CN248" s="114"/>
      <c r="CO248" s="114"/>
      <c r="CP248" s="114"/>
      <c r="CQ248" s="114"/>
      <c r="CR248" s="114"/>
      <c r="CS248" s="114"/>
      <c r="CT248" s="114"/>
      <c r="CU248" s="114"/>
      <c r="CV248" s="114"/>
      <c r="CW248" s="114"/>
      <c r="CX248" s="114"/>
      <c r="CY248" s="114"/>
      <c r="CZ248" s="114"/>
      <c r="DA248" s="114"/>
      <c r="DB248" s="114"/>
      <c r="DC248" s="114"/>
      <c r="DD248" s="114"/>
      <c r="DE248" s="114"/>
      <c r="DF248" s="114"/>
      <c r="DG248" s="114"/>
      <c r="DH248" s="114"/>
      <c r="DI248" s="114"/>
      <c r="DJ248" s="114"/>
      <c r="DK248" s="114"/>
      <c r="DL248" s="114"/>
      <c r="DM248" s="114"/>
      <c r="DN248" s="114"/>
      <c r="DO248" s="114"/>
      <c r="DP248" s="114"/>
      <c r="DQ248" s="114"/>
    </row>
    <row r="249" spans="1:121" ht="15" customHeight="1" outlineLevel="4" x14ac:dyDescent="0.25">
      <c r="A249" s="101"/>
      <c r="B249" s="101"/>
      <c r="C249" s="101">
        <v>5</v>
      </c>
      <c r="D249" s="102" t="s">
        <v>704</v>
      </c>
      <c r="E249" s="103"/>
      <c r="F249" s="103"/>
      <c r="G249" s="103"/>
      <c r="H249" s="103"/>
      <c r="I249" s="120" t="s">
        <v>270</v>
      </c>
      <c r="J249" s="120"/>
      <c r="K249" s="120"/>
      <c r="L249" s="120"/>
      <c r="M249" s="120"/>
      <c r="N249" s="120"/>
      <c r="O249" s="120" t="str">
        <f>O248</f>
        <v>1동 PPC MSC</v>
      </c>
      <c r="P249" s="184"/>
      <c r="Q249" s="105">
        <v>45206</v>
      </c>
      <c r="R249" s="105">
        <v>45214</v>
      </c>
      <c r="S249" s="106">
        <f>R249-Q249</f>
        <v>8</v>
      </c>
      <c r="T249" s="107">
        <v>9</v>
      </c>
      <c r="U249" s="107">
        <v>0</v>
      </c>
      <c r="V249" s="107">
        <v>9</v>
      </c>
      <c r="W249" s="107">
        <v>0</v>
      </c>
      <c r="X249" s="108"/>
      <c r="Y249" s="108"/>
      <c r="Z249" s="109"/>
      <c r="AA249" s="110">
        <v>0</v>
      </c>
      <c r="AB249" s="107">
        <v>1</v>
      </c>
      <c r="AC249" s="119"/>
      <c r="AD249" s="180"/>
      <c r="AE249" s="111">
        <v>0</v>
      </c>
      <c r="AF249" s="121">
        <v>0</v>
      </c>
      <c r="AG249" s="113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4"/>
      <c r="BP249" s="114" t="str">
        <f>"      " &amp; TEXT(AF249,"#0.00%") &amp; " " &amp; "FAT" &amp; " " &amp; IF(Q249="","",TEXT(Q249,"M/D-")) &amp; IF(R249="","",TEXT(R249,"M/D")) &amp; " "</f>
        <v xml:space="preserve">      0.00% FAT 10/7-10/15 </v>
      </c>
      <c r="BQ249" s="114"/>
      <c r="BR249" s="114"/>
      <c r="BS249" s="114"/>
      <c r="BT249" s="114"/>
      <c r="BU249" s="114"/>
      <c r="BV249" s="114"/>
      <c r="BW249" s="114"/>
      <c r="BX249" s="114"/>
      <c r="BY249" s="114"/>
      <c r="BZ249" s="114"/>
      <c r="CA249" s="114"/>
      <c r="CB249" s="114"/>
      <c r="CC249" s="114"/>
      <c r="CD249" s="114"/>
      <c r="CE249" s="114"/>
      <c r="CF249" s="114"/>
      <c r="CG249" s="114"/>
      <c r="CH249" s="114"/>
      <c r="CI249" s="114"/>
      <c r="CJ249" s="114"/>
      <c r="CK249" s="114"/>
      <c r="CL249" s="114"/>
      <c r="CM249" s="114"/>
      <c r="CN249" s="114"/>
      <c r="CO249" s="114"/>
      <c r="CP249" s="114"/>
      <c r="CQ249" s="114"/>
      <c r="CR249" s="114"/>
      <c r="CS249" s="114"/>
      <c r="CT249" s="114"/>
      <c r="CU249" s="114"/>
      <c r="CV249" s="114"/>
      <c r="CW249" s="114"/>
      <c r="CX249" s="114"/>
      <c r="CY249" s="114"/>
      <c r="CZ249" s="114"/>
      <c r="DA249" s="114"/>
      <c r="DB249" s="114"/>
      <c r="DC249" s="114"/>
      <c r="DD249" s="114"/>
      <c r="DE249" s="114"/>
      <c r="DF249" s="114"/>
      <c r="DG249" s="114"/>
      <c r="DH249" s="114"/>
      <c r="DI249" s="114"/>
      <c r="DJ249" s="114"/>
      <c r="DK249" s="114"/>
      <c r="DL249" s="114"/>
      <c r="DM249" s="114"/>
      <c r="DN249" s="114"/>
      <c r="DO249" s="114"/>
      <c r="DP249" s="114"/>
      <c r="DQ249" s="114"/>
    </row>
    <row r="250" spans="1:121" ht="15" customHeight="1" outlineLevel="3" x14ac:dyDescent="0.25">
      <c r="A250" s="101"/>
      <c r="B250" s="101" t="s">
        <v>153</v>
      </c>
      <c r="C250" s="101">
        <v>4</v>
      </c>
      <c r="D250" s="102" t="s">
        <v>705</v>
      </c>
      <c r="E250" s="103"/>
      <c r="F250" s="103"/>
      <c r="G250" s="103"/>
      <c r="H250" s="103" t="s">
        <v>579</v>
      </c>
      <c r="I250" s="120"/>
      <c r="J250" s="120"/>
      <c r="K250" s="120"/>
      <c r="L250" s="120"/>
      <c r="M250" s="120"/>
      <c r="N250" s="120"/>
      <c r="O250" s="103" t="str">
        <f>H250</f>
        <v>1동 충방전 MSC</v>
      </c>
      <c r="P250" s="184"/>
      <c r="Q250" s="105">
        <v>45200</v>
      </c>
      <c r="R250" s="105">
        <v>45214</v>
      </c>
      <c r="S250" s="106"/>
      <c r="T250" s="107">
        <v>24</v>
      </c>
      <c r="U250" s="107">
        <v>0</v>
      </c>
      <c r="V250" s="107">
        <v>15</v>
      </c>
      <c r="W250" s="107">
        <v>0</v>
      </c>
      <c r="X250" s="108"/>
      <c r="Y250" s="108"/>
      <c r="Z250" s="109">
        <v>0</v>
      </c>
      <c r="AA250" s="110">
        <v>0</v>
      </c>
      <c r="AB250" s="107"/>
      <c r="AC250" s="119"/>
      <c r="AD250" s="180"/>
      <c r="AE250" s="111">
        <v>0</v>
      </c>
      <c r="AF250" s="122">
        <v>0</v>
      </c>
      <c r="AG250" s="113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 t="str">
        <f>"" &amp; TEXT(AF250,"#0.00%") &amp; " " &amp; "1동 충방전 MSC" &amp; " " &amp; IF(Q250="","",TEXT(Q250,"M/D-")) &amp; IF(R250="","",TEXT(R250,"M/D")) &amp; " "</f>
        <v xml:space="preserve">0.00% 1동 충방전 MSC 10/1-10/15 </v>
      </c>
      <c r="BQ250" s="114"/>
      <c r="BR250" s="114"/>
      <c r="BS250" s="114"/>
      <c r="BT250" s="114"/>
      <c r="BU250" s="114"/>
      <c r="BV250" s="114"/>
      <c r="BW250" s="114"/>
      <c r="BX250" s="114"/>
      <c r="BY250" s="114"/>
      <c r="BZ250" s="114"/>
      <c r="CA250" s="114"/>
      <c r="CB250" s="114"/>
      <c r="CC250" s="114"/>
      <c r="CD250" s="114"/>
      <c r="CE250" s="114"/>
      <c r="CF250" s="114"/>
      <c r="CG250" s="114"/>
      <c r="CH250" s="114"/>
      <c r="CI250" s="114"/>
      <c r="CJ250" s="114"/>
      <c r="CK250" s="114"/>
      <c r="CL250" s="114"/>
      <c r="CM250" s="114"/>
      <c r="CN250" s="114"/>
      <c r="CO250" s="114"/>
      <c r="CP250" s="114"/>
      <c r="CQ250" s="114"/>
      <c r="CR250" s="114"/>
      <c r="CS250" s="114"/>
      <c r="CT250" s="114"/>
      <c r="CU250" s="114"/>
      <c r="CV250" s="114"/>
      <c r="CW250" s="114"/>
      <c r="CX250" s="114"/>
      <c r="CY250" s="114"/>
      <c r="CZ250" s="114"/>
      <c r="DA250" s="114"/>
      <c r="DB250" s="114"/>
      <c r="DC250" s="114"/>
      <c r="DD250" s="114"/>
      <c r="DE250" s="114"/>
      <c r="DF250" s="114"/>
      <c r="DG250" s="114"/>
      <c r="DH250" s="114"/>
      <c r="DI250" s="114"/>
      <c r="DJ250" s="114"/>
      <c r="DK250" s="114"/>
      <c r="DL250" s="114"/>
      <c r="DM250" s="114"/>
      <c r="DN250" s="114"/>
      <c r="DO250" s="114"/>
      <c r="DP250" s="114"/>
      <c r="DQ250" s="114"/>
    </row>
    <row r="251" spans="1:121" ht="15" customHeight="1" outlineLevel="4" x14ac:dyDescent="0.25">
      <c r="A251" s="101"/>
      <c r="B251" s="101"/>
      <c r="C251" s="101">
        <v>5</v>
      </c>
      <c r="D251" s="102" t="s">
        <v>706</v>
      </c>
      <c r="E251" s="103"/>
      <c r="F251" s="103"/>
      <c r="G251" s="103"/>
      <c r="H251" s="103"/>
      <c r="I251" s="120" t="s">
        <v>698</v>
      </c>
      <c r="J251" s="120"/>
      <c r="K251" s="120"/>
      <c r="L251" s="120"/>
      <c r="M251" s="120"/>
      <c r="N251" s="120"/>
      <c r="O251" s="120" t="str">
        <f>O250</f>
        <v>1동 충방전 MSC</v>
      </c>
      <c r="P251" s="184"/>
      <c r="Q251" s="105">
        <v>45200</v>
      </c>
      <c r="R251" s="105">
        <v>45214</v>
      </c>
      <c r="S251" s="106">
        <f>R251-Q251</f>
        <v>14</v>
      </c>
      <c r="T251" s="107">
        <v>15</v>
      </c>
      <c r="U251" s="107">
        <v>0</v>
      </c>
      <c r="V251" s="107">
        <v>15</v>
      </c>
      <c r="W251" s="107">
        <v>0</v>
      </c>
      <c r="X251" s="108"/>
      <c r="Y251" s="108"/>
      <c r="Z251" s="109"/>
      <c r="AA251" s="110">
        <v>0</v>
      </c>
      <c r="AB251" s="107">
        <v>1</v>
      </c>
      <c r="AC251" s="119"/>
      <c r="AD251" s="180"/>
      <c r="AE251" s="111">
        <v>0</v>
      </c>
      <c r="AF251" s="121">
        <v>0</v>
      </c>
      <c r="AG251" s="113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 t="str">
        <f>"" &amp; TEXT(AF251,"#0.00%") &amp; " " &amp; "Dry Run" &amp; " " &amp; IF(Q251="","",TEXT(Q251,"M/D-")) &amp; IF(R251="","",TEXT(R251,"M/D")) &amp; " "</f>
        <v xml:space="preserve">0.00% Dry Run 10/1-10/15 </v>
      </c>
      <c r="BQ251" s="114"/>
      <c r="BR251" s="114"/>
      <c r="BS251" s="114"/>
      <c r="BT251" s="114"/>
      <c r="BU251" s="114"/>
      <c r="BV251" s="114"/>
      <c r="BW251" s="114"/>
      <c r="BX251" s="114"/>
      <c r="BY251" s="114"/>
      <c r="BZ251" s="114"/>
      <c r="CA251" s="114"/>
      <c r="CB251" s="114"/>
      <c r="CC251" s="114"/>
      <c r="CD251" s="114"/>
      <c r="CE251" s="114"/>
      <c r="CF251" s="114"/>
      <c r="CG251" s="114"/>
      <c r="CH251" s="114"/>
      <c r="CI251" s="114"/>
      <c r="CJ251" s="114"/>
      <c r="CK251" s="114"/>
      <c r="CL251" s="114"/>
      <c r="CM251" s="114"/>
      <c r="CN251" s="114"/>
      <c r="CO251" s="114"/>
      <c r="CP251" s="114"/>
      <c r="CQ251" s="114"/>
      <c r="CR251" s="114"/>
      <c r="CS251" s="114"/>
      <c r="CT251" s="114"/>
      <c r="CU251" s="114"/>
      <c r="CV251" s="114"/>
      <c r="CW251" s="114"/>
      <c r="CX251" s="114"/>
      <c r="CY251" s="114"/>
      <c r="CZ251" s="114"/>
      <c r="DA251" s="114"/>
      <c r="DB251" s="114"/>
      <c r="DC251" s="114"/>
      <c r="DD251" s="114"/>
      <c r="DE251" s="114"/>
      <c r="DF251" s="114"/>
      <c r="DG251" s="114"/>
      <c r="DH251" s="114"/>
      <c r="DI251" s="114"/>
      <c r="DJ251" s="114"/>
      <c r="DK251" s="114"/>
      <c r="DL251" s="114"/>
      <c r="DM251" s="114"/>
      <c r="DN251" s="114"/>
      <c r="DO251" s="114"/>
      <c r="DP251" s="114"/>
      <c r="DQ251" s="114"/>
    </row>
    <row r="252" spans="1:121" ht="15" customHeight="1" outlineLevel="4" x14ac:dyDescent="0.25">
      <c r="A252" s="101"/>
      <c r="B252" s="101"/>
      <c r="C252" s="101">
        <v>5</v>
      </c>
      <c r="D252" s="102" t="s">
        <v>707</v>
      </c>
      <c r="E252" s="103"/>
      <c r="F252" s="103"/>
      <c r="G252" s="103"/>
      <c r="H252" s="103"/>
      <c r="I252" s="120" t="s">
        <v>270</v>
      </c>
      <c r="J252" s="120"/>
      <c r="K252" s="120"/>
      <c r="L252" s="120"/>
      <c r="M252" s="120"/>
      <c r="N252" s="120"/>
      <c r="O252" s="120" t="str">
        <f>O251</f>
        <v>1동 충방전 MSC</v>
      </c>
      <c r="P252" s="184"/>
      <c r="Q252" s="105">
        <v>45206</v>
      </c>
      <c r="R252" s="105">
        <v>45214</v>
      </c>
      <c r="S252" s="106">
        <f>R252-Q252</f>
        <v>8</v>
      </c>
      <c r="T252" s="107">
        <v>9</v>
      </c>
      <c r="U252" s="107">
        <v>0</v>
      </c>
      <c r="V252" s="107">
        <v>9</v>
      </c>
      <c r="W252" s="107">
        <v>0</v>
      </c>
      <c r="X252" s="108"/>
      <c r="Y252" s="108"/>
      <c r="Z252" s="109"/>
      <c r="AA252" s="110">
        <v>0</v>
      </c>
      <c r="AB252" s="107">
        <v>1</v>
      </c>
      <c r="AC252" s="119"/>
      <c r="AD252" s="180"/>
      <c r="AE252" s="111">
        <v>0</v>
      </c>
      <c r="AF252" s="121">
        <v>0</v>
      </c>
      <c r="AG252" s="113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 t="str">
        <f>"      " &amp; TEXT(AF252,"#0.00%") &amp; " " &amp; "FAT" &amp; " " &amp; IF(Q252="","",TEXT(Q252,"M/D-")) &amp; IF(R252="","",TEXT(R252,"M/D")) &amp; " "</f>
        <v xml:space="preserve">      0.00% FAT 10/7-10/15 </v>
      </c>
      <c r="BQ252" s="114"/>
      <c r="BR252" s="114"/>
      <c r="BS252" s="114"/>
      <c r="BT252" s="114"/>
      <c r="BU252" s="114"/>
      <c r="BV252" s="114"/>
      <c r="BW252" s="114"/>
      <c r="BX252" s="114"/>
      <c r="BY252" s="114"/>
      <c r="BZ252" s="114"/>
      <c r="CA252" s="114"/>
      <c r="CB252" s="114"/>
      <c r="CC252" s="114"/>
      <c r="CD252" s="114"/>
      <c r="CE252" s="114"/>
      <c r="CF252" s="114"/>
      <c r="CG252" s="114"/>
      <c r="CH252" s="114"/>
      <c r="CI252" s="114"/>
      <c r="CJ252" s="114"/>
      <c r="CK252" s="114"/>
      <c r="CL252" s="114"/>
      <c r="CM252" s="114"/>
      <c r="CN252" s="114"/>
      <c r="CO252" s="114"/>
      <c r="CP252" s="114"/>
      <c r="CQ252" s="114"/>
      <c r="CR252" s="114"/>
      <c r="CS252" s="114"/>
      <c r="CT252" s="114"/>
      <c r="CU252" s="114"/>
      <c r="CV252" s="114"/>
      <c r="CW252" s="114"/>
      <c r="CX252" s="114"/>
      <c r="CY252" s="114"/>
      <c r="CZ252" s="114"/>
      <c r="DA252" s="114"/>
      <c r="DB252" s="114"/>
      <c r="DC252" s="114"/>
      <c r="DD252" s="114"/>
      <c r="DE252" s="114"/>
      <c r="DF252" s="114"/>
      <c r="DG252" s="114"/>
      <c r="DH252" s="114"/>
      <c r="DI252" s="114"/>
      <c r="DJ252" s="114"/>
      <c r="DK252" s="114"/>
      <c r="DL252" s="114"/>
      <c r="DM252" s="114"/>
      <c r="DN252" s="114"/>
      <c r="DO252" s="114"/>
      <c r="DP252" s="114"/>
      <c r="DQ252" s="114"/>
    </row>
    <row r="253" spans="1:121" ht="15" customHeight="1" outlineLevel="3" x14ac:dyDescent="0.25">
      <c r="A253" s="101"/>
      <c r="B253" s="101" t="s">
        <v>153</v>
      </c>
      <c r="C253" s="101">
        <v>4</v>
      </c>
      <c r="D253" s="102" t="s">
        <v>708</v>
      </c>
      <c r="E253" s="103"/>
      <c r="F253" s="103"/>
      <c r="G253" s="103"/>
      <c r="H253" s="103" t="s">
        <v>580</v>
      </c>
      <c r="I253" s="120"/>
      <c r="J253" s="120"/>
      <c r="K253" s="120"/>
      <c r="L253" s="120"/>
      <c r="M253" s="120"/>
      <c r="N253" s="120"/>
      <c r="O253" s="103" t="str">
        <f>H253</f>
        <v>1동 고온#2 Aging MSC</v>
      </c>
      <c r="P253" s="184"/>
      <c r="Q253" s="105">
        <v>45214</v>
      </c>
      <c r="R253" s="105">
        <v>45229</v>
      </c>
      <c r="S253" s="106"/>
      <c r="T253" s="107">
        <v>27</v>
      </c>
      <c r="U253" s="107">
        <v>0</v>
      </c>
      <c r="V253" s="107">
        <v>16</v>
      </c>
      <c r="W253" s="107">
        <v>0</v>
      </c>
      <c r="X253" s="108"/>
      <c r="Y253" s="108"/>
      <c r="Z253" s="109">
        <v>0</v>
      </c>
      <c r="AA253" s="110">
        <v>0</v>
      </c>
      <c r="AB253" s="107"/>
      <c r="AC253" s="119"/>
      <c r="AD253" s="180"/>
      <c r="AE253" s="111">
        <v>0</v>
      </c>
      <c r="AF253" s="122">
        <v>0</v>
      </c>
      <c r="AG253" s="113"/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  <c r="BI253" s="114"/>
      <c r="BJ253" s="114"/>
      <c r="BK253" s="114"/>
      <c r="BL253" s="114"/>
      <c r="BM253" s="114"/>
      <c r="BN253" s="114"/>
      <c r="BO253" s="114"/>
      <c r="BP253" s="114"/>
      <c r="BQ253" s="114"/>
      <c r="BR253" s="114" t="str">
        <f>"" &amp; TEXT(AF253,"#0.00%") &amp; " " &amp; "1동 고온#2 Aging MSC" &amp; " " &amp; IF(Q253="","",TEXT(Q253,"M/D-")) &amp; IF(R253="","",TEXT(R253,"M/D")) &amp; " "</f>
        <v xml:space="preserve">0.00% 1동 고온#2 Aging MSC 10/15-10/30 </v>
      </c>
      <c r="BS253" s="114"/>
      <c r="BT253" s="114"/>
      <c r="BU253" s="114"/>
      <c r="BV253" s="114"/>
      <c r="BW253" s="114"/>
      <c r="BX253" s="114"/>
      <c r="BY253" s="114"/>
      <c r="BZ253" s="114"/>
      <c r="CA253" s="114"/>
      <c r="CB253" s="114"/>
      <c r="CC253" s="114"/>
      <c r="CD253" s="114"/>
      <c r="CE253" s="114"/>
      <c r="CF253" s="114"/>
      <c r="CG253" s="114"/>
      <c r="CH253" s="114"/>
      <c r="CI253" s="114"/>
      <c r="CJ253" s="114"/>
      <c r="CK253" s="114"/>
      <c r="CL253" s="114"/>
      <c r="CM253" s="114"/>
      <c r="CN253" s="114"/>
      <c r="CO253" s="114"/>
      <c r="CP253" s="114"/>
      <c r="CQ253" s="114"/>
      <c r="CR253" s="114"/>
      <c r="CS253" s="114"/>
      <c r="CT253" s="114"/>
      <c r="CU253" s="114"/>
      <c r="CV253" s="114"/>
      <c r="CW253" s="114"/>
      <c r="CX253" s="114"/>
      <c r="CY253" s="114"/>
      <c r="CZ253" s="114"/>
      <c r="DA253" s="114"/>
      <c r="DB253" s="114"/>
      <c r="DC253" s="114"/>
      <c r="DD253" s="114"/>
      <c r="DE253" s="114"/>
      <c r="DF253" s="114"/>
      <c r="DG253" s="114"/>
      <c r="DH253" s="114"/>
      <c r="DI253" s="114"/>
      <c r="DJ253" s="114"/>
      <c r="DK253" s="114"/>
      <c r="DL253" s="114"/>
      <c r="DM253" s="114"/>
      <c r="DN253" s="114"/>
      <c r="DO253" s="114"/>
      <c r="DP253" s="114"/>
      <c r="DQ253" s="114"/>
    </row>
    <row r="254" spans="1:121" ht="15" customHeight="1" outlineLevel="4" x14ac:dyDescent="0.25">
      <c r="A254" s="101"/>
      <c r="B254" s="101"/>
      <c r="C254" s="101">
        <v>5</v>
      </c>
      <c r="D254" s="102" t="s">
        <v>709</v>
      </c>
      <c r="E254" s="103"/>
      <c r="F254" s="103"/>
      <c r="G254" s="103"/>
      <c r="H254" s="103"/>
      <c r="I254" s="120" t="s">
        <v>698</v>
      </c>
      <c r="J254" s="120"/>
      <c r="K254" s="120"/>
      <c r="L254" s="120"/>
      <c r="M254" s="120"/>
      <c r="N254" s="120"/>
      <c r="O254" s="120" t="str">
        <f>O253</f>
        <v>1동 고온#2 Aging MSC</v>
      </c>
      <c r="P254" s="184"/>
      <c r="Q254" s="105">
        <v>45214</v>
      </c>
      <c r="R254" s="105">
        <v>45229</v>
      </c>
      <c r="S254" s="106">
        <f>R254-Q254</f>
        <v>15</v>
      </c>
      <c r="T254" s="107">
        <v>16</v>
      </c>
      <c r="U254" s="107">
        <v>0</v>
      </c>
      <c r="V254" s="107">
        <v>16</v>
      </c>
      <c r="W254" s="107">
        <v>0</v>
      </c>
      <c r="X254" s="108"/>
      <c r="Y254" s="108"/>
      <c r="Z254" s="109"/>
      <c r="AA254" s="110">
        <v>0</v>
      </c>
      <c r="AB254" s="107">
        <v>1</v>
      </c>
      <c r="AC254" s="119"/>
      <c r="AD254" s="180"/>
      <c r="AE254" s="111">
        <v>0</v>
      </c>
      <c r="AF254" s="121">
        <v>0</v>
      </c>
      <c r="AG254" s="113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  <c r="BI254" s="114"/>
      <c r="BJ254" s="114"/>
      <c r="BK254" s="114"/>
      <c r="BL254" s="114"/>
      <c r="BM254" s="114"/>
      <c r="BN254" s="114"/>
      <c r="BO254" s="114"/>
      <c r="BP254" s="114"/>
      <c r="BQ254" s="114"/>
      <c r="BR254" s="114" t="str">
        <f>"" &amp; TEXT(AF254,"#0.00%") &amp; " " &amp; "Dry Run" &amp; " " &amp; IF(Q254="","",TEXT(Q254,"M/D-")) &amp; IF(R254="","",TEXT(R254,"M/D")) &amp; " "</f>
        <v xml:space="preserve">0.00% Dry Run 10/15-10/30 </v>
      </c>
      <c r="BS254" s="114"/>
      <c r="BT254" s="114"/>
      <c r="BU254" s="114"/>
      <c r="BV254" s="114"/>
      <c r="BW254" s="114"/>
      <c r="BX254" s="114"/>
      <c r="BY254" s="114"/>
      <c r="BZ254" s="114"/>
      <c r="CA254" s="114"/>
      <c r="CB254" s="114"/>
      <c r="CC254" s="114"/>
      <c r="CD254" s="114"/>
      <c r="CE254" s="114"/>
      <c r="CF254" s="114"/>
      <c r="CG254" s="114"/>
      <c r="CH254" s="114"/>
      <c r="CI254" s="114"/>
      <c r="CJ254" s="114"/>
      <c r="CK254" s="114"/>
      <c r="CL254" s="114"/>
      <c r="CM254" s="114"/>
      <c r="CN254" s="114"/>
      <c r="CO254" s="114"/>
      <c r="CP254" s="114"/>
      <c r="CQ254" s="114"/>
      <c r="CR254" s="114"/>
      <c r="CS254" s="114"/>
      <c r="CT254" s="114"/>
      <c r="CU254" s="114"/>
      <c r="CV254" s="114"/>
      <c r="CW254" s="114"/>
      <c r="CX254" s="114"/>
      <c r="CY254" s="114"/>
      <c r="CZ254" s="114"/>
      <c r="DA254" s="114"/>
      <c r="DB254" s="114"/>
      <c r="DC254" s="114"/>
      <c r="DD254" s="114"/>
      <c r="DE254" s="114"/>
      <c r="DF254" s="114"/>
      <c r="DG254" s="114"/>
      <c r="DH254" s="114"/>
      <c r="DI254" s="114"/>
      <c r="DJ254" s="114"/>
      <c r="DK254" s="114"/>
      <c r="DL254" s="114"/>
      <c r="DM254" s="114"/>
      <c r="DN254" s="114"/>
      <c r="DO254" s="114"/>
      <c r="DP254" s="114"/>
      <c r="DQ254" s="114"/>
    </row>
    <row r="255" spans="1:121" ht="15" customHeight="1" outlineLevel="4" x14ac:dyDescent="0.25">
      <c r="A255" s="101"/>
      <c r="B255" s="101"/>
      <c r="C255" s="101">
        <v>5</v>
      </c>
      <c r="D255" s="102" t="s">
        <v>710</v>
      </c>
      <c r="E255" s="103"/>
      <c r="F255" s="103"/>
      <c r="G255" s="103"/>
      <c r="H255" s="103"/>
      <c r="I255" s="120" t="s">
        <v>270</v>
      </c>
      <c r="J255" s="120"/>
      <c r="K255" s="120"/>
      <c r="L255" s="120"/>
      <c r="M255" s="120"/>
      <c r="N255" s="120"/>
      <c r="O255" s="120" t="str">
        <f>O254</f>
        <v>1동 고온#2 Aging MSC</v>
      </c>
      <c r="P255" s="184"/>
      <c r="Q255" s="105">
        <v>45219</v>
      </c>
      <c r="R255" s="105">
        <v>45229</v>
      </c>
      <c r="S255" s="106">
        <f>R255-Q255</f>
        <v>10</v>
      </c>
      <c r="T255" s="107">
        <v>11</v>
      </c>
      <c r="U255" s="107">
        <v>0</v>
      </c>
      <c r="V255" s="107">
        <v>11</v>
      </c>
      <c r="W255" s="107">
        <v>0</v>
      </c>
      <c r="X255" s="108"/>
      <c r="Y255" s="108"/>
      <c r="Z255" s="109"/>
      <c r="AA255" s="110">
        <v>0</v>
      </c>
      <c r="AB255" s="107">
        <v>1</v>
      </c>
      <c r="AC255" s="119"/>
      <c r="AD255" s="180"/>
      <c r="AE255" s="111">
        <v>0</v>
      </c>
      <c r="AF255" s="121">
        <v>0</v>
      </c>
      <c r="AG255" s="113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  <c r="BI255" s="114"/>
      <c r="BJ255" s="114"/>
      <c r="BK255" s="114"/>
      <c r="BL255" s="114"/>
      <c r="BM255" s="114"/>
      <c r="BN255" s="114"/>
      <c r="BO255" s="114"/>
      <c r="BP255" s="114"/>
      <c r="BQ255" s="114"/>
      <c r="BR255" s="114" t="str">
        <f>"     " &amp; TEXT(AF255,"#0.00%") &amp; " " &amp; "FAT" &amp; " " &amp; IF(Q255="","",TEXT(Q255,"M/D-")) &amp; IF(R255="","",TEXT(R255,"M/D")) &amp; " "</f>
        <v xml:space="preserve">     0.00% FAT 10/20-10/30 </v>
      </c>
      <c r="BS255" s="114"/>
      <c r="BT255" s="114"/>
      <c r="BU255" s="114"/>
      <c r="BV255" s="114"/>
      <c r="BW255" s="114"/>
      <c r="BX255" s="114"/>
      <c r="BY255" s="114"/>
      <c r="BZ255" s="114"/>
      <c r="CA255" s="114"/>
      <c r="CB255" s="114"/>
      <c r="CC255" s="114"/>
      <c r="CD255" s="114"/>
      <c r="CE255" s="114"/>
      <c r="CF255" s="114"/>
      <c r="CG255" s="114"/>
      <c r="CH255" s="114"/>
      <c r="CI255" s="114"/>
      <c r="CJ255" s="114"/>
      <c r="CK255" s="114"/>
      <c r="CL255" s="114"/>
      <c r="CM255" s="114"/>
      <c r="CN255" s="114"/>
      <c r="CO255" s="114"/>
      <c r="CP255" s="114"/>
      <c r="CQ255" s="114"/>
      <c r="CR255" s="114"/>
      <c r="CS255" s="114"/>
      <c r="CT255" s="114"/>
      <c r="CU255" s="114"/>
      <c r="CV255" s="114"/>
      <c r="CW255" s="114"/>
      <c r="CX255" s="114"/>
      <c r="CY255" s="114"/>
      <c r="CZ255" s="114"/>
      <c r="DA255" s="114"/>
      <c r="DB255" s="114"/>
      <c r="DC255" s="114"/>
      <c r="DD255" s="114"/>
      <c r="DE255" s="114"/>
      <c r="DF255" s="114"/>
      <c r="DG255" s="114"/>
      <c r="DH255" s="114"/>
      <c r="DI255" s="114"/>
      <c r="DJ255" s="114"/>
      <c r="DK255" s="114"/>
      <c r="DL255" s="114"/>
      <c r="DM255" s="114"/>
      <c r="DN255" s="114"/>
      <c r="DO255" s="114"/>
      <c r="DP255" s="114"/>
      <c r="DQ255" s="114"/>
    </row>
    <row r="256" spans="1:121" ht="15" customHeight="1" outlineLevel="3" x14ac:dyDescent="0.25">
      <c r="A256" s="101"/>
      <c r="B256" s="101" t="s">
        <v>153</v>
      </c>
      <c r="C256" s="101">
        <v>4</v>
      </c>
      <c r="D256" s="102" t="s">
        <v>711</v>
      </c>
      <c r="E256" s="103"/>
      <c r="F256" s="103"/>
      <c r="G256" s="103"/>
      <c r="H256" s="103" t="s">
        <v>581</v>
      </c>
      <c r="I256" s="120"/>
      <c r="J256" s="120"/>
      <c r="K256" s="120"/>
      <c r="L256" s="120"/>
      <c r="M256" s="120"/>
      <c r="N256" s="120"/>
      <c r="O256" s="103" t="str">
        <f>H256</f>
        <v>1동 상온#2,3 Aging MSC</v>
      </c>
      <c r="P256" s="184"/>
      <c r="Q256" s="105">
        <v>45231</v>
      </c>
      <c r="R256" s="105">
        <v>45249</v>
      </c>
      <c r="S256" s="106"/>
      <c r="T256" s="107">
        <v>29</v>
      </c>
      <c r="U256" s="107">
        <v>0</v>
      </c>
      <c r="V256" s="107">
        <v>19</v>
      </c>
      <c r="W256" s="107">
        <v>0</v>
      </c>
      <c r="X256" s="108"/>
      <c r="Y256" s="108"/>
      <c r="Z256" s="109">
        <v>0</v>
      </c>
      <c r="AA256" s="110">
        <v>0</v>
      </c>
      <c r="AB256" s="107"/>
      <c r="AC256" s="119"/>
      <c r="AD256" s="180"/>
      <c r="AE256" s="111">
        <v>0</v>
      </c>
      <c r="AF256" s="122">
        <v>0</v>
      </c>
      <c r="AG256" s="113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  <c r="BI256" s="114"/>
      <c r="BJ256" s="114"/>
      <c r="BK256" s="114"/>
      <c r="BL256" s="114"/>
      <c r="BM256" s="114"/>
      <c r="BN256" s="114"/>
      <c r="BO256" s="114"/>
      <c r="BP256" s="114"/>
      <c r="BQ256" s="114"/>
      <c r="BR256" s="114"/>
      <c r="BS256" s="114"/>
      <c r="BT256" s="114" t="str">
        <f>"   " &amp; TEXT(AF256,"#0.00%") &amp; " "</f>
        <v xml:space="preserve">   0.00% </v>
      </c>
      <c r="BU256" s="114"/>
      <c r="BV256" s="114"/>
      <c r="BW256" s="114" t="str">
        <f>" " &amp; "1동 상온#2,3 Aging MSC" &amp; " " &amp; IF(Q256="","",TEXT(Q256,"M/D-")) &amp; IF(R256="","",TEXT(R256,"M/D")) &amp; " "</f>
        <v xml:space="preserve"> 1동 상온#2,3 Aging MSC 11/1-11/19 </v>
      </c>
      <c r="BX256" s="114"/>
      <c r="BY256" s="114"/>
      <c r="BZ256" s="114"/>
      <c r="CA256" s="114"/>
      <c r="CB256" s="114"/>
      <c r="CC256" s="114"/>
      <c r="CD256" s="114"/>
      <c r="CE256" s="114"/>
      <c r="CF256" s="114"/>
      <c r="CG256" s="114"/>
      <c r="CH256" s="114"/>
      <c r="CI256" s="114"/>
      <c r="CJ256" s="114"/>
      <c r="CK256" s="114"/>
      <c r="CL256" s="114"/>
      <c r="CM256" s="114"/>
      <c r="CN256" s="114"/>
      <c r="CO256" s="114"/>
      <c r="CP256" s="114"/>
      <c r="CQ256" s="114"/>
      <c r="CR256" s="114"/>
      <c r="CS256" s="114"/>
      <c r="CT256" s="114"/>
      <c r="CU256" s="114"/>
      <c r="CV256" s="114"/>
      <c r="CW256" s="114"/>
      <c r="CX256" s="114"/>
      <c r="CY256" s="114"/>
      <c r="CZ256" s="114"/>
      <c r="DA256" s="114"/>
      <c r="DB256" s="114"/>
      <c r="DC256" s="114"/>
      <c r="DD256" s="114"/>
      <c r="DE256" s="114"/>
      <c r="DF256" s="114"/>
      <c r="DG256" s="114"/>
      <c r="DH256" s="114"/>
      <c r="DI256" s="114"/>
      <c r="DJ256" s="114"/>
      <c r="DK256" s="114"/>
      <c r="DL256" s="114"/>
      <c r="DM256" s="114"/>
      <c r="DN256" s="114"/>
      <c r="DO256" s="114"/>
      <c r="DP256" s="114"/>
      <c r="DQ256" s="114"/>
    </row>
    <row r="257" spans="1:121" ht="15" customHeight="1" outlineLevel="4" x14ac:dyDescent="0.25">
      <c r="A257" s="101"/>
      <c r="B257" s="101"/>
      <c r="C257" s="101">
        <v>5</v>
      </c>
      <c r="D257" s="102" t="s">
        <v>712</v>
      </c>
      <c r="E257" s="103"/>
      <c r="F257" s="103"/>
      <c r="G257" s="103"/>
      <c r="H257" s="103"/>
      <c r="I257" s="120" t="s">
        <v>698</v>
      </c>
      <c r="J257" s="120"/>
      <c r="K257" s="120"/>
      <c r="L257" s="120"/>
      <c r="M257" s="120"/>
      <c r="N257" s="120"/>
      <c r="O257" s="120" t="str">
        <f>O256</f>
        <v>1동 상온#2,3 Aging MSC</v>
      </c>
      <c r="P257" s="184"/>
      <c r="Q257" s="105">
        <v>45231</v>
      </c>
      <c r="R257" s="105">
        <v>45249</v>
      </c>
      <c r="S257" s="106">
        <f>R257-Q257</f>
        <v>18</v>
      </c>
      <c r="T257" s="107">
        <v>19</v>
      </c>
      <c r="U257" s="107">
        <v>0</v>
      </c>
      <c r="V257" s="107">
        <v>19</v>
      </c>
      <c r="W257" s="107">
        <v>0</v>
      </c>
      <c r="X257" s="108"/>
      <c r="Y257" s="108"/>
      <c r="Z257" s="109"/>
      <c r="AA257" s="110">
        <v>0</v>
      </c>
      <c r="AB257" s="107">
        <v>1</v>
      </c>
      <c r="AC257" s="119"/>
      <c r="AD257" s="180"/>
      <c r="AE257" s="111">
        <v>0</v>
      </c>
      <c r="AF257" s="121">
        <v>0</v>
      </c>
      <c r="AG257" s="113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 t="str">
        <f>"   " &amp; TEXT(AF257,"#0.00%") &amp; " "</f>
        <v xml:space="preserve">   0.00% </v>
      </c>
      <c r="BU257" s="114"/>
      <c r="BV257" s="114"/>
      <c r="BW257" s="114" t="str">
        <f>" " &amp; "Dry Run" &amp; " " &amp; IF(Q257="","",TEXT(Q257,"M/D-")) &amp; IF(R257="","",TEXT(R257,"M/D")) &amp; " "</f>
        <v xml:space="preserve"> Dry Run 11/1-11/19 </v>
      </c>
      <c r="BX257" s="114"/>
      <c r="BY257" s="114"/>
      <c r="BZ257" s="114"/>
      <c r="CA257" s="114"/>
      <c r="CB257" s="114"/>
      <c r="CC257" s="114"/>
      <c r="CD257" s="114"/>
      <c r="CE257" s="114"/>
      <c r="CF257" s="114"/>
      <c r="CG257" s="114"/>
      <c r="CH257" s="114"/>
      <c r="CI257" s="114"/>
      <c r="CJ257" s="114"/>
      <c r="CK257" s="114"/>
      <c r="CL257" s="114"/>
      <c r="CM257" s="114"/>
      <c r="CN257" s="114"/>
      <c r="CO257" s="114"/>
      <c r="CP257" s="114"/>
      <c r="CQ257" s="114"/>
      <c r="CR257" s="114"/>
      <c r="CS257" s="114"/>
      <c r="CT257" s="114"/>
      <c r="CU257" s="114"/>
      <c r="CV257" s="114"/>
      <c r="CW257" s="114"/>
      <c r="CX257" s="114"/>
      <c r="CY257" s="114"/>
      <c r="CZ257" s="114"/>
      <c r="DA257" s="114"/>
      <c r="DB257" s="114"/>
      <c r="DC257" s="114"/>
      <c r="DD257" s="114"/>
      <c r="DE257" s="114"/>
      <c r="DF257" s="114"/>
      <c r="DG257" s="114"/>
      <c r="DH257" s="114"/>
      <c r="DI257" s="114"/>
      <c r="DJ257" s="114"/>
      <c r="DK257" s="114"/>
      <c r="DL257" s="114"/>
      <c r="DM257" s="114"/>
      <c r="DN257" s="114"/>
      <c r="DO257" s="114"/>
      <c r="DP257" s="114"/>
      <c r="DQ257" s="114"/>
    </row>
    <row r="258" spans="1:121" ht="15" customHeight="1" outlineLevel="4" x14ac:dyDescent="0.25">
      <c r="A258" s="101"/>
      <c r="B258" s="101"/>
      <c r="C258" s="101">
        <v>5</v>
      </c>
      <c r="D258" s="102" t="s">
        <v>713</v>
      </c>
      <c r="E258" s="103"/>
      <c r="F258" s="103"/>
      <c r="G258" s="103"/>
      <c r="H258" s="103"/>
      <c r="I258" s="120" t="s">
        <v>270</v>
      </c>
      <c r="J258" s="120"/>
      <c r="K258" s="120"/>
      <c r="L258" s="120"/>
      <c r="M258" s="120"/>
      <c r="N258" s="120"/>
      <c r="O258" s="120" t="str">
        <f>O257</f>
        <v>1동 상온#2,3 Aging MSC</v>
      </c>
      <c r="P258" s="184"/>
      <c r="Q258" s="105">
        <v>45240</v>
      </c>
      <c r="R258" s="105">
        <v>45249</v>
      </c>
      <c r="S258" s="106">
        <f>R258-Q258</f>
        <v>9</v>
      </c>
      <c r="T258" s="107">
        <v>10</v>
      </c>
      <c r="U258" s="107">
        <v>0</v>
      </c>
      <c r="V258" s="107">
        <v>10</v>
      </c>
      <c r="W258" s="107">
        <v>0</v>
      </c>
      <c r="X258" s="108"/>
      <c r="Y258" s="108"/>
      <c r="Z258" s="109"/>
      <c r="AA258" s="110">
        <v>0</v>
      </c>
      <c r="AB258" s="107">
        <v>1</v>
      </c>
      <c r="AC258" s="119"/>
      <c r="AD258" s="180"/>
      <c r="AE258" s="111">
        <v>0</v>
      </c>
      <c r="AF258" s="121">
        <v>0</v>
      </c>
      <c r="AG258" s="113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 t="str">
        <f>"     " &amp; TEXT(AF258,"#0.00%") &amp; " " &amp; "FAT" &amp; " " &amp; IF(Q258="","",TEXT(Q258,"M/D-")) &amp; IF(R258="","",TEXT(R258,"M/D")) &amp; " "</f>
        <v xml:space="preserve">     0.00% FAT 11/10-11/19 </v>
      </c>
      <c r="BV258" s="114"/>
      <c r="BW258" s="114"/>
      <c r="BX258" s="114"/>
      <c r="BY258" s="114"/>
      <c r="BZ258" s="114"/>
      <c r="CA258" s="114"/>
      <c r="CB258" s="114"/>
      <c r="CC258" s="114"/>
      <c r="CD258" s="114"/>
      <c r="CE258" s="114"/>
      <c r="CF258" s="114"/>
      <c r="CG258" s="114"/>
      <c r="CH258" s="114"/>
      <c r="CI258" s="114"/>
      <c r="CJ258" s="114"/>
      <c r="CK258" s="114"/>
      <c r="CL258" s="114"/>
      <c r="CM258" s="114"/>
      <c r="CN258" s="114"/>
      <c r="CO258" s="114"/>
      <c r="CP258" s="114"/>
      <c r="CQ258" s="114"/>
      <c r="CR258" s="114"/>
      <c r="CS258" s="114"/>
      <c r="CT258" s="114"/>
      <c r="CU258" s="114"/>
      <c r="CV258" s="114"/>
      <c r="CW258" s="114"/>
      <c r="CX258" s="114"/>
      <c r="CY258" s="114"/>
      <c r="CZ258" s="114"/>
      <c r="DA258" s="114"/>
      <c r="DB258" s="114"/>
      <c r="DC258" s="114"/>
      <c r="DD258" s="114"/>
      <c r="DE258" s="114"/>
      <c r="DF258" s="114"/>
      <c r="DG258" s="114"/>
      <c r="DH258" s="114"/>
      <c r="DI258" s="114"/>
      <c r="DJ258" s="114"/>
      <c r="DK258" s="114"/>
      <c r="DL258" s="114"/>
      <c r="DM258" s="114"/>
      <c r="DN258" s="114"/>
      <c r="DO258" s="114"/>
      <c r="DP258" s="114"/>
      <c r="DQ258" s="114"/>
    </row>
    <row r="259" spans="1:121" ht="15" customHeight="1" outlineLevel="3" x14ac:dyDescent="0.25">
      <c r="A259" s="101"/>
      <c r="B259" s="101" t="s">
        <v>153</v>
      </c>
      <c r="C259" s="101">
        <v>4</v>
      </c>
      <c r="D259" s="102" t="s">
        <v>714</v>
      </c>
      <c r="E259" s="103"/>
      <c r="F259" s="103"/>
      <c r="G259" s="103"/>
      <c r="H259" s="103" t="s">
        <v>582</v>
      </c>
      <c r="I259" s="120"/>
      <c r="J259" s="120"/>
      <c r="K259" s="120"/>
      <c r="L259" s="120"/>
      <c r="M259" s="120"/>
      <c r="N259" s="120"/>
      <c r="O259" s="103" t="str">
        <f>H259</f>
        <v>1동 공 Tray Buffer MSC</v>
      </c>
      <c r="P259" s="184"/>
      <c r="Q259" s="105">
        <v>45214</v>
      </c>
      <c r="R259" s="105">
        <v>45229</v>
      </c>
      <c r="S259" s="106"/>
      <c r="T259" s="107">
        <v>24</v>
      </c>
      <c r="U259" s="107">
        <v>0</v>
      </c>
      <c r="V259" s="107">
        <v>16</v>
      </c>
      <c r="W259" s="107">
        <v>0</v>
      </c>
      <c r="X259" s="108"/>
      <c r="Y259" s="108"/>
      <c r="Z259" s="109">
        <v>0</v>
      </c>
      <c r="AA259" s="110">
        <v>0</v>
      </c>
      <c r="AB259" s="107"/>
      <c r="AC259" s="119"/>
      <c r="AD259" s="180"/>
      <c r="AE259" s="111">
        <v>0</v>
      </c>
      <c r="AF259" s="122">
        <v>0</v>
      </c>
      <c r="AG259" s="113"/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  <c r="BI259" s="114"/>
      <c r="BJ259" s="114"/>
      <c r="BK259" s="114"/>
      <c r="BL259" s="114"/>
      <c r="BM259" s="114"/>
      <c r="BN259" s="114"/>
      <c r="BO259" s="114"/>
      <c r="BP259" s="114"/>
      <c r="BQ259" s="114"/>
      <c r="BR259" s="114" t="str">
        <f>"" &amp; TEXT(AF259,"#0.00%") &amp; " " &amp; "1동 공 Tray Buffer MSC" &amp; " " &amp; IF(Q259="","",TEXT(Q259,"M/D-")) &amp; IF(R259="","",TEXT(R259,"M/D")) &amp; " "</f>
        <v xml:space="preserve">0.00% 1동 공 Tray Buffer MSC 10/15-10/30 </v>
      </c>
      <c r="BS259" s="114"/>
      <c r="BT259" s="114"/>
      <c r="BU259" s="114"/>
      <c r="BV259" s="114"/>
      <c r="BW259" s="114"/>
      <c r="BX259" s="114"/>
      <c r="BY259" s="114"/>
      <c r="BZ259" s="114"/>
      <c r="CA259" s="114"/>
      <c r="CB259" s="114"/>
      <c r="CC259" s="114"/>
      <c r="CD259" s="114"/>
      <c r="CE259" s="114"/>
      <c r="CF259" s="114"/>
      <c r="CG259" s="114"/>
      <c r="CH259" s="114"/>
      <c r="CI259" s="114"/>
      <c r="CJ259" s="114"/>
      <c r="CK259" s="114"/>
      <c r="CL259" s="114"/>
      <c r="CM259" s="114"/>
      <c r="CN259" s="114"/>
      <c r="CO259" s="114"/>
      <c r="CP259" s="114"/>
      <c r="CQ259" s="114"/>
      <c r="CR259" s="114"/>
      <c r="CS259" s="114"/>
      <c r="CT259" s="114"/>
      <c r="CU259" s="114"/>
      <c r="CV259" s="114"/>
      <c r="CW259" s="114"/>
      <c r="CX259" s="114"/>
      <c r="CY259" s="114"/>
      <c r="CZ259" s="114"/>
      <c r="DA259" s="114"/>
      <c r="DB259" s="114"/>
      <c r="DC259" s="114"/>
      <c r="DD259" s="114"/>
      <c r="DE259" s="114"/>
      <c r="DF259" s="114"/>
      <c r="DG259" s="114"/>
      <c r="DH259" s="114"/>
      <c r="DI259" s="114"/>
      <c r="DJ259" s="114"/>
      <c r="DK259" s="114"/>
      <c r="DL259" s="114"/>
      <c r="DM259" s="114"/>
      <c r="DN259" s="114"/>
      <c r="DO259" s="114"/>
      <c r="DP259" s="114"/>
      <c r="DQ259" s="114"/>
    </row>
    <row r="260" spans="1:121" ht="15" customHeight="1" outlineLevel="4" x14ac:dyDescent="0.25">
      <c r="A260" s="101"/>
      <c r="B260" s="101"/>
      <c r="C260" s="101">
        <v>5</v>
      </c>
      <c r="D260" s="102" t="s">
        <v>715</v>
      </c>
      <c r="E260" s="103"/>
      <c r="F260" s="103"/>
      <c r="G260" s="103"/>
      <c r="H260" s="103"/>
      <c r="I260" s="120" t="s">
        <v>698</v>
      </c>
      <c r="J260" s="120"/>
      <c r="K260" s="120"/>
      <c r="L260" s="120"/>
      <c r="M260" s="120"/>
      <c r="N260" s="120"/>
      <c r="O260" s="120" t="str">
        <f>O259</f>
        <v>1동 공 Tray Buffer MSC</v>
      </c>
      <c r="P260" s="184"/>
      <c r="Q260" s="105">
        <v>45214</v>
      </c>
      <c r="R260" s="105">
        <v>45229</v>
      </c>
      <c r="S260" s="106">
        <f>R260-Q260</f>
        <v>15</v>
      </c>
      <c r="T260" s="107">
        <v>16</v>
      </c>
      <c r="U260" s="107">
        <v>0</v>
      </c>
      <c r="V260" s="107">
        <v>16</v>
      </c>
      <c r="W260" s="107">
        <v>0</v>
      </c>
      <c r="X260" s="108"/>
      <c r="Y260" s="108"/>
      <c r="Z260" s="109"/>
      <c r="AA260" s="110">
        <v>0</v>
      </c>
      <c r="AB260" s="107">
        <v>1</v>
      </c>
      <c r="AC260" s="119"/>
      <c r="AD260" s="180"/>
      <c r="AE260" s="111">
        <v>0</v>
      </c>
      <c r="AF260" s="121">
        <v>0</v>
      </c>
      <c r="AG260" s="113"/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  <c r="BI260" s="114"/>
      <c r="BJ260" s="114"/>
      <c r="BK260" s="114"/>
      <c r="BL260" s="114"/>
      <c r="BM260" s="114"/>
      <c r="BN260" s="114"/>
      <c r="BO260" s="114"/>
      <c r="BP260" s="114"/>
      <c r="BQ260" s="114"/>
      <c r="BR260" s="114" t="str">
        <f>"" &amp; TEXT(AF260,"#0.00%") &amp; " " &amp; "Dry Run" &amp; " " &amp; IF(Q260="","",TEXT(Q260,"M/D-")) &amp; IF(R260="","",TEXT(R260,"M/D")) &amp; " "</f>
        <v xml:space="preserve">0.00% Dry Run 10/15-10/30 </v>
      </c>
      <c r="BS260" s="114"/>
      <c r="BT260" s="114"/>
      <c r="BU260" s="114"/>
      <c r="BV260" s="114"/>
      <c r="BW260" s="114"/>
      <c r="BX260" s="114"/>
      <c r="BY260" s="114"/>
      <c r="BZ260" s="114"/>
      <c r="CA260" s="114"/>
      <c r="CB260" s="114"/>
      <c r="CC260" s="114"/>
      <c r="CD260" s="114"/>
      <c r="CE260" s="114"/>
      <c r="CF260" s="114"/>
      <c r="CG260" s="114"/>
      <c r="CH260" s="114"/>
      <c r="CI260" s="114"/>
      <c r="CJ260" s="114"/>
      <c r="CK260" s="114"/>
      <c r="CL260" s="114"/>
      <c r="CM260" s="114"/>
      <c r="CN260" s="114"/>
      <c r="CO260" s="114"/>
      <c r="CP260" s="114"/>
      <c r="CQ260" s="114"/>
      <c r="CR260" s="114"/>
      <c r="CS260" s="114"/>
      <c r="CT260" s="114"/>
      <c r="CU260" s="114"/>
      <c r="CV260" s="114"/>
      <c r="CW260" s="114"/>
      <c r="CX260" s="114"/>
      <c r="CY260" s="114"/>
      <c r="CZ260" s="114"/>
      <c r="DA260" s="114"/>
      <c r="DB260" s="114"/>
      <c r="DC260" s="114"/>
      <c r="DD260" s="114"/>
      <c r="DE260" s="114"/>
      <c r="DF260" s="114"/>
      <c r="DG260" s="114"/>
      <c r="DH260" s="114"/>
      <c r="DI260" s="114"/>
      <c r="DJ260" s="114"/>
      <c r="DK260" s="114"/>
      <c r="DL260" s="114"/>
      <c r="DM260" s="114"/>
      <c r="DN260" s="114"/>
      <c r="DO260" s="114"/>
      <c r="DP260" s="114"/>
      <c r="DQ260" s="114"/>
    </row>
    <row r="261" spans="1:121" ht="15" customHeight="1" outlineLevel="4" x14ac:dyDescent="0.25">
      <c r="A261" s="101"/>
      <c r="B261" s="101"/>
      <c r="C261" s="101">
        <v>5</v>
      </c>
      <c r="D261" s="102" t="s">
        <v>716</v>
      </c>
      <c r="E261" s="103"/>
      <c r="F261" s="103"/>
      <c r="G261" s="103"/>
      <c r="H261" s="103"/>
      <c r="I261" s="120" t="s">
        <v>270</v>
      </c>
      <c r="J261" s="120"/>
      <c r="K261" s="120"/>
      <c r="L261" s="120"/>
      <c r="M261" s="120"/>
      <c r="N261" s="120"/>
      <c r="O261" s="120" t="str">
        <f>O260</f>
        <v>1동 공 Tray Buffer MSC</v>
      </c>
      <c r="P261" s="184"/>
      <c r="Q261" s="105">
        <v>45222</v>
      </c>
      <c r="R261" s="105">
        <v>45229</v>
      </c>
      <c r="S261" s="106">
        <f>R261-Q261</f>
        <v>7</v>
      </c>
      <c r="T261" s="107">
        <v>8</v>
      </c>
      <c r="U261" s="107">
        <v>0</v>
      </c>
      <c r="V261" s="107">
        <v>8</v>
      </c>
      <c r="W261" s="107">
        <v>0</v>
      </c>
      <c r="X261" s="108"/>
      <c r="Y261" s="108"/>
      <c r="Z261" s="109"/>
      <c r="AA261" s="110">
        <v>0</v>
      </c>
      <c r="AB261" s="107">
        <v>1</v>
      </c>
      <c r="AC261" s="119"/>
      <c r="AD261" s="180"/>
      <c r="AE261" s="111">
        <v>0</v>
      </c>
      <c r="AF261" s="121">
        <v>0</v>
      </c>
      <c r="AG261" s="113"/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  <c r="BI261" s="114"/>
      <c r="BJ261" s="114"/>
      <c r="BK261" s="114"/>
      <c r="BL261" s="114"/>
      <c r="BM261" s="114"/>
      <c r="BN261" s="114"/>
      <c r="BO261" s="114"/>
      <c r="BP261" s="114"/>
      <c r="BQ261" s="114"/>
      <c r="BR261" s="114"/>
      <c r="BS261" s="114" t="str">
        <f>" " &amp; TEXT(AF261,"#0.00%") &amp; " " &amp; "FAT" &amp; " " &amp; IF(Q261="","",TEXT(Q261,"M/D-")) &amp; IF(R261="","",TEXT(R261,"M/D")) &amp; " "</f>
        <v xml:space="preserve"> 0.00% FAT 10/23-10/30 </v>
      </c>
      <c r="BT261" s="114"/>
      <c r="BU261" s="114"/>
      <c r="BV261" s="114"/>
      <c r="BW261" s="114"/>
      <c r="BX261" s="114"/>
      <c r="BY261" s="114"/>
      <c r="BZ261" s="114"/>
      <c r="CA261" s="114"/>
      <c r="CB261" s="114"/>
      <c r="CC261" s="114"/>
      <c r="CD261" s="114"/>
      <c r="CE261" s="114"/>
      <c r="CF261" s="114"/>
      <c r="CG261" s="114"/>
      <c r="CH261" s="114"/>
      <c r="CI261" s="114"/>
      <c r="CJ261" s="114"/>
      <c r="CK261" s="114"/>
      <c r="CL261" s="114"/>
      <c r="CM261" s="114"/>
      <c r="CN261" s="114"/>
      <c r="CO261" s="114"/>
      <c r="CP261" s="114"/>
      <c r="CQ261" s="114"/>
      <c r="CR261" s="114"/>
      <c r="CS261" s="114"/>
      <c r="CT261" s="114"/>
      <c r="CU261" s="114"/>
      <c r="CV261" s="114"/>
      <c r="CW261" s="114"/>
      <c r="CX261" s="114"/>
      <c r="CY261" s="114"/>
      <c r="CZ261" s="114"/>
      <c r="DA261" s="114"/>
      <c r="DB261" s="114"/>
      <c r="DC261" s="114"/>
      <c r="DD261" s="114"/>
      <c r="DE261" s="114"/>
      <c r="DF261" s="114"/>
      <c r="DG261" s="114"/>
      <c r="DH261" s="114"/>
      <c r="DI261" s="114"/>
      <c r="DJ261" s="114"/>
      <c r="DK261" s="114"/>
      <c r="DL261" s="114"/>
      <c r="DM261" s="114"/>
      <c r="DN261" s="114"/>
      <c r="DO261" s="114"/>
      <c r="DP261" s="114"/>
      <c r="DQ261" s="114"/>
    </row>
    <row r="262" spans="1:121" ht="15" customHeight="1" outlineLevel="2" x14ac:dyDescent="0.25">
      <c r="A262" s="101"/>
      <c r="B262" s="101" t="s">
        <v>153</v>
      </c>
      <c r="C262" s="101">
        <v>3</v>
      </c>
      <c r="D262" s="102" t="s">
        <v>282</v>
      </c>
      <c r="E262" s="103"/>
      <c r="F262" s="103"/>
      <c r="G262" s="103" t="s">
        <v>583</v>
      </c>
      <c r="H262" s="103"/>
      <c r="I262" s="103"/>
      <c r="J262" s="103"/>
      <c r="K262" s="103"/>
      <c r="L262" s="103"/>
      <c r="M262" s="103"/>
      <c r="N262" s="103"/>
      <c r="O262" s="103" t="str">
        <f>G262</f>
        <v>2동 MSC Crane(FR)</v>
      </c>
      <c r="P262" s="118"/>
      <c r="Q262" s="108">
        <v>45230</v>
      </c>
      <c r="R262" s="105">
        <v>45320</v>
      </c>
      <c r="S262" s="106"/>
      <c r="T262" s="107">
        <v>266</v>
      </c>
      <c r="U262" s="107">
        <v>0</v>
      </c>
      <c r="V262" s="107">
        <v>91</v>
      </c>
      <c r="W262" s="107">
        <v>0</v>
      </c>
      <c r="X262" s="108"/>
      <c r="Y262" s="108"/>
      <c r="Z262" s="109">
        <v>0</v>
      </c>
      <c r="AA262" s="110">
        <v>0</v>
      </c>
      <c r="AB262" s="107"/>
      <c r="AC262" s="119"/>
      <c r="AD262" s="180"/>
      <c r="AE262" s="111">
        <v>0</v>
      </c>
      <c r="AF262" s="122">
        <v>0</v>
      </c>
      <c r="AG262" s="113"/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  <c r="BI262" s="114"/>
      <c r="BJ262" s="114"/>
      <c r="BK262" s="114"/>
      <c r="BL262" s="114"/>
      <c r="BM262" s="114"/>
      <c r="BN262" s="114"/>
      <c r="BO262" s="114"/>
      <c r="BP262" s="114"/>
      <c r="BQ262" s="114"/>
      <c r="BR262" s="114"/>
      <c r="BS262" s="114"/>
      <c r="BT262" s="114" t="str">
        <f>"  " &amp; TEXT(AF262,"#0.00%") &amp; " "</f>
        <v xml:space="preserve">  0.00% </v>
      </c>
      <c r="BU262" s="114"/>
      <c r="BV262" s="114"/>
      <c r="BW262" s="114"/>
      <c r="BX262" s="114"/>
      <c r="BY262" s="114"/>
      <c r="BZ262" s="114"/>
      <c r="CA262" s="114"/>
      <c r="CB262" s="114"/>
      <c r="CC262" s="114"/>
      <c r="CD262" s="114"/>
      <c r="CE262" s="114"/>
      <c r="CF262" s="114"/>
      <c r="CG262" s="114" t="str">
        <f>"  " &amp; "2동 MSC Crane(FR)" &amp; " " &amp; IF(Q262="","",TEXT(Q262,"M/D-")) &amp; IF(R262="","",TEXT(R262,"M/D")) &amp; " "</f>
        <v xml:space="preserve">  2동 MSC Crane(FR) 10/31-1/29 </v>
      </c>
      <c r="CH262" s="114"/>
      <c r="CI262" s="114"/>
      <c r="CJ262" s="114"/>
      <c r="CK262" s="114"/>
      <c r="CL262" s="114"/>
      <c r="CM262" s="114"/>
      <c r="CN262" s="114"/>
      <c r="CO262" s="114"/>
      <c r="CP262" s="114"/>
      <c r="CQ262" s="114"/>
      <c r="CR262" s="114"/>
      <c r="CS262" s="114"/>
      <c r="CT262" s="114"/>
      <c r="CU262" s="114"/>
      <c r="CV262" s="114"/>
      <c r="CW262" s="114"/>
      <c r="CX262" s="114"/>
      <c r="CY262" s="114"/>
      <c r="CZ262" s="114"/>
      <c r="DA262" s="114"/>
      <c r="DB262" s="114"/>
      <c r="DC262" s="114"/>
      <c r="DD262" s="114"/>
      <c r="DE262" s="114"/>
      <c r="DF262" s="114"/>
      <c r="DG262" s="114"/>
      <c r="DH262" s="114"/>
      <c r="DI262" s="114"/>
      <c r="DJ262" s="114"/>
      <c r="DK262" s="114"/>
      <c r="DL262" s="114"/>
      <c r="DM262" s="114"/>
      <c r="DN262" s="114"/>
      <c r="DO262" s="114"/>
      <c r="DP262" s="114"/>
      <c r="DQ262" s="114"/>
    </row>
    <row r="263" spans="1:121" ht="15" customHeight="1" outlineLevel="3" x14ac:dyDescent="0.25">
      <c r="A263" s="101"/>
      <c r="B263" s="101" t="s">
        <v>153</v>
      </c>
      <c r="C263" s="101">
        <v>4</v>
      </c>
      <c r="D263" s="102" t="s">
        <v>283</v>
      </c>
      <c r="E263" s="103"/>
      <c r="F263" s="103"/>
      <c r="G263" s="103"/>
      <c r="H263" s="103" t="s">
        <v>584</v>
      </c>
      <c r="I263" s="120"/>
      <c r="J263" s="120"/>
      <c r="K263" s="120"/>
      <c r="L263" s="120"/>
      <c r="M263" s="120"/>
      <c r="N263" s="120"/>
      <c r="O263" s="103" t="str">
        <f>H263</f>
        <v>2동 상온#1 Aging MSC</v>
      </c>
      <c r="P263" s="184"/>
      <c r="Q263" s="105">
        <v>45260</v>
      </c>
      <c r="R263" s="105">
        <v>45274</v>
      </c>
      <c r="S263" s="106"/>
      <c r="T263" s="107">
        <v>24</v>
      </c>
      <c r="U263" s="107">
        <v>0</v>
      </c>
      <c r="V263" s="107">
        <v>15</v>
      </c>
      <c r="W263" s="107">
        <v>0</v>
      </c>
      <c r="X263" s="108"/>
      <c r="Y263" s="108"/>
      <c r="Z263" s="109">
        <v>0</v>
      </c>
      <c r="AA263" s="110">
        <v>0</v>
      </c>
      <c r="AB263" s="107"/>
      <c r="AC263" s="119"/>
      <c r="AD263" s="180"/>
      <c r="AE263" s="111">
        <v>0</v>
      </c>
      <c r="AF263" s="122">
        <v>0</v>
      </c>
      <c r="AG263" s="113"/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  <c r="BI263" s="114"/>
      <c r="BJ263" s="114"/>
      <c r="BK263" s="114"/>
      <c r="BL263" s="114"/>
      <c r="BM263" s="114"/>
      <c r="BN263" s="114"/>
      <c r="BO263" s="114"/>
      <c r="BP263" s="114"/>
      <c r="BQ263" s="114"/>
      <c r="BR263" s="114"/>
      <c r="BS263" s="114"/>
      <c r="BT263" s="114"/>
      <c r="BU263" s="114"/>
      <c r="BV263" s="114"/>
      <c r="BW263" s="114"/>
      <c r="BX263" s="114" t="str">
        <f>"    " &amp; TEXT(AF263,"#0.00%") &amp; " " &amp; "2동 상온#1 Aging MSC" &amp; " " &amp; IF(Q263="","",TEXT(Q263,"M/D-")) &amp; IF(R263="","",TEXT(R263,"M/D")) &amp; " "</f>
        <v xml:space="preserve">    0.00% 2동 상온#1 Aging MSC 11/30-12/14 </v>
      </c>
      <c r="BY263" s="114"/>
      <c r="BZ263" s="114"/>
      <c r="CA263" s="114"/>
      <c r="CB263" s="114"/>
      <c r="CC263" s="114"/>
      <c r="CD263" s="114"/>
      <c r="CE263" s="114"/>
      <c r="CF263" s="114"/>
      <c r="CG263" s="114"/>
      <c r="CH263" s="114"/>
      <c r="CI263" s="114"/>
      <c r="CJ263" s="114"/>
      <c r="CK263" s="114"/>
      <c r="CL263" s="114"/>
      <c r="CM263" s="114"/>
      <c r="CN263" s="114"/>
      <c r="CO263" s="114"/>
      <c r="CP263" s="114"/>
      <c r="CQ263" s="114"/>
      <c r="CR263" s="114"/>
      <c r="CS263" s="114"/>
      <c r="CT263" s="114"/>
      <c r="CU263" s="114"/>
      <c r="CV263" s="114"/>
      <c r="CW263" s="114"/>
      <c r="CX263" s="114"/>
      <c r="CY263" s="114"/>
      <c r="CZ263" s="114"/>
      <c r="DA263" s="114"/>
      <c r="DB263" s="114"/>
      <c r="DC263" s="114"/>
      <c r="DD263" s="114"/>
      <c r="DE263" s="114"/>
      <c r="DF263" s="114"/>
      <c r="DG263" s="114"/>
      <c r="DH263" s="114"/>
      <c r="DI263" s="114"/>
      <c r="DJ263" s="114"/>
      <c r="DK263" s="114"/>
      <c r="DL263" s="114"/>
      <c r="DM263" s="114"/>
      <c r="DN263" s="114"/>
      <c r="DO263" s="114"/>
      <c r="DP263" s="114"/>
      <c r="DQ263" s="114"/>
    </row>
    <row r="264" spans="1:121" ht="15" customHeight="1" outlineLevel="4" x14ac:dyDescent="0.25">
      <c r="A264" s="101"/>
      <c r="B264" s="101"/>
      <c r="C264" s="101">
        <v>5</v>
      </c>
      <c r="D264" s="102" t="s">
        <v>284</v>
      </c>
      <c r="E264" s="103"/>
      <c r="F264" s="103"/>
      <c r="G264" s="103"/>
      <c r="H264" s="103"/>
      <c r="I264" s="120" t="s">
        <v>698</v>
      </c>
      <c r="J264" s="120"/>
      <c r="K264" s="120"/>
      <c r="L264" s="120"/>
      <c r="M264" s="120"/>
      <c r="N264" s="120"/>
      <c r="O264" s="120" t="str">
        <f>O263</f>
        <v>2동 상온#1 Aging MSC</v>
      </c>
      <c r="P264" s="184"/>
      <c r="Q264" s="105">
        <v>45260</v>
      </c>
      <c r="R264" s="105">
        <v>45274</v>
      </c>
      <c r="S264" s="106">
        <f>R264-Q264</f>
        <v>14</v>
      </c>
      <c r="T264" s="107">
        <v>15</v>
      </c>
      <c r="U264" s="107">
        <v>0</v>
      </c>
      <c r="V264" s="107">
        <v>15</v>
      </c>
      <c r="W264" s="107">
        <v>0</v>
      </c>
      <c r="X264" s="108"/>
      <c r="Y264" s="108"/>
      <c r="Z264" s="109"/>
      <c r="AA264" s="110">
        <v>0</v>
      </c>
      <c r="AB264" s="107">
        <v>1</v>
      </c>
      <c r="AC264" s="119"/>
      <c r="AD264" s="180"/>
      <c r="AE264" s="111">
        <v>0</v>
      </c>
      <c r="AF264" s="121">
        <v>0</v>
      </c>
      <c r="AG264" s="113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4"/>
      <c r="BX264" s="114" t="str">
        <f>"    " &amp; TEXT(AF264,"#0.00%") &amp; " " &amp; "Dry Run" &amp; " " &amp; IF(Q264="","",TEXT(Q264,"M/D-")) &amp; IF(R264="","",TEXT(R264,"M/D")) &amp; " "</f>
        <v xml:space="preserve">    0.00% Dry Run 11/30-12/14 </v>
      </c>
      <c r="BY264" s="114"/>
      <c r="BZ264" s="114"/>
      <c r="CA264" s="114"/>
      <c r="CB264" s="114"/>
      <c r="CC264" s="114"/>
      <c r="CD264" s="114"/>
      <c r="CE264" s="114"/>
      <c r="CF264" s="114"/>
      <c r="CG264" s="114"/>
      <c r="CH264" s="114"/>
      <c r="CI264" s="114"/>
      <c r="CJ264" s="114"/>
      <c r="CK264" s="114"/>
      <c r="CL264" s="114"/>
      <c r="CM264" s="114"/>
      <c r="CN264" s="114"/>
      <c r="CO264" s="114"/>
      <c r="CP264" s="114"/>
      <c r="CQ264" s="114"/>
      <c r="CR264" s="114"/>
      <c r="CS264" s="114"/>
      <c r="CT264" s="114"/>
      <c r="CU264" s="114"/>
      <c r="CV264" s="114"/>
      <c r="CW264" s="114"/>
      <c r="CX264" s="114"/>
      <c r="CY264" s="114"/>
      <c r="CZ264" s="114"/>
      <c r="DA264" s="114"/>
      <c r="DB264" s="114"/>
      <c r="DC264" s="114"/>
      <c r="DD264" s="114"/>
      <c r="DE264" s="114"/>
      <c r="DF264" s="114"/>
      <c r="DG264" s="114"/>
      <c r="DH264" s="114"/>
      <c r="DI264" s="114"/>
      <c r="DJ264" s="114"/>
      <c r="DK264" s="114"/>
      <c r="DL264" s="114"/>
      <c r="DM264" s="114"/>
      <c r="DN264" s="114"/>
      <c r="DO264" s="114"/>
      <c r="DP264" s="114"/>
      <c r="DQ264" s="114"/>
    </row>
    <row r="265" spans="1:121" ht="15" customHeight="1" outlineLevel="4" x14ac:dyDescent="0.25">
      <c r="A265" s="101"/>
      <c r="B265" s="101"/>
      <c r="C265" s="101">
        <v>5</v>
      </c>
      <c r="D265" s="102" t="s">
        <v>285</v>
      </c>
      <c r="E265" s="103"/>
      <c r="F265" s="103"/>
      <c r="G265" s="103"/>
      <c r="H265" s="103"/>
      <c r="I265" s="120" t="s">
        <v>270</v>
      </c>
      <c r="J265" s="120"/>
      <c r="K265" s="120"/>
      <c r="L265" s="120"/>
      <c r="M265" s="120"/>
      <c r="N265" s="120"/>
      <c r="O265" s="120" t="str">
        <f>O264</f>
        <v>2동 상온#1 Aging MSC</v>
      </c>
      <c r="P265" s="184"/>
      <c r="Q265" s="105">
        <v>45266</v>
      </c>
      <c r="R265" s="105">
        <v>45274</v>
      </c>
      <c r="S265" s="106">
        <f>R265-Q265</f>
        <v>8</v>
      </c>
      <c r="T265" s="107">
        <v>9</v>
      </c>
      <c r="U265" s="107">
        <v>0</v>
      </c>
      <c r="V265" s="107">
        <v>9</v>
      </c>
      <c r="W265" s="107">
        <v>0</v>
      </c>
      <c r="X265" s="108"/>
      <c r="Y265" s="108"/>
      <c r="Z265" s="109"/>
      <c r="AA265" s="110">
        <v>0</v>
      </c>
      <c r="AB265" s="107">
        <v>1</v>
      </c>
      <c r="AC265" s="119"/>
      <c r="AD265" s="180"/>
      <c r="AE265" s="111">
        <v>0</v>
      </c>
      <c r="AF265" s="121">
        <v>0</v>
      </c>
      <c r="AG265" s="113"/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  <c r="BI265" s="114"/>
      <c r="BJ265" s="114"/>
      <c r="BK265" s="114"/>
      <c r="BL265" s="114"/>
      <c r="BM265" s="114"/>
      <c r="BN265" s="114"/>
      <c r="BO265" s="114"/>
      <c r="BP265" s="114"/>
      <c r="BQ265" s="114"/>
      <c r="BR265" s="114"/>
      <c r="BS265" s="114"/>
      <c r="BT265" s="114"/>
      <c r="BU265" s="114"/>
      <c r="BV265" s="114"/>
      <c r="BW265" s="114"/>
      <c r="BX265" s="114"/>
      <c r="BY265" s="114" t="str">
        <f>"   " &amp; TEXT(AF265,"#0.00%") &amp; " " &amp; "FAT" &amp; " " &amp; IF(Q265="","",TEXT(Q265,"M/D-")) &amp; IF(R265="","",TEXT(R265,"M/D")) &amp; " "</f>
        <v xml:space="preserve">   0.00% FAT 12/6-12/14 </v>
      </c>
      <c r="BZ265" s="114"/>
      <c r="CA265" s="114"/>
      <c r="CB265" s="114"/>
      <c r="CC265" s="114"/>
      <c r="CD265" s="114"/>
      <c r="CE265" s="114"/>
      <c r="CF265" s="114"/>
      <c r="CG265" s="114"/>
      <c r="CH265" s="114"/>
      <c r="CI265" s="114"/>
      <c r="CJ265" s="114"/>
      <c r="CK265" s="114"/>
      <c r="CL265" s="114"/>
      <c r="CM265" s="114"/>
      <c r="CN265" s="114"/>
      <c r="CO265" s="114"/>
      <c r="CP265" s="114"/>
      <c r="CQ265" s="114"/>
      <c r="CR265" s="114"/>
      <c r="CS265" s="114"/>
      <c r="CT265" s="114"/>
      <c r="CU265" s="114"/>
      <c r="CV265" s="114"/>
      <c r="CW265" s="114"/>
      <c r="CX265" s="114"/>
      <c r="CY265" s="114"/>
      <c r="CZ265" s="114"/>
      <c r="DA265" s="114"/>
      <c r="DB265" s="114"/>
      <c r="DC265" s="114"/>
      <c r="DD265" s="114"/>
      <c r="DE265" s="114"/>
      <c r="DF265" s="114"/>
      <c r="DG265" s="114"/>
      <c r="DH265" s="114"/>
      <c r="DI265" s="114"/>
      <c r="DJ265" s="114"/>
      <c r="DK265" s="114"/>
      <c r="DL265" s="114"/>
      <c r="DM265" s="114"/>
      <c r="DN265" s="114"/>
      <c r="DO265" s="114"/>
      <c r="DP265" s="114"/>
      <c r="DQ265" s="114"/>
    </row>
    <row r="266" spans="1:121" ht="15" customHeight="1" outlineLevel="3" x14ac:dyDescent="0.25">
      <c r="A266" s="101"/>
      <c r="B266" s="101" t="s">
        <v>153</v>
      </c>
      <c r="C266" s="101">
        <v>4</v>
      </c>
      <c r="D266" s="102" t="s">
        <v>717</v>
      </c>
      <c r="E266" s="103"/>
      <c r="F266" s="103"/>
      <c r="G266" s="103"/>
      <c r="H266" s="124" t="s">
        <v>586</v>
      </c>
      <c r="I266" s="120"/>
      <c r="J266" s="120"/>
      <c r="K266" s="120"/>
      <c r="L266" s="120"/>
      <c r="M266" s="120"/>
      <c r="N266" s="120"/>
      <c r="O266" s="103" t="str">
        <f>H266</f>
        <v>2동 고온#1 Aging MSC</v>
      </c>
      <c r="P266" s="184"/>
      <c r="Q266" s="105">
        <v>45230</v>
      </c>
      <c r="R266" s="105">
        <v>45320</v>
      </c>
      <c r="S266" s="106"/>
      <c r="T266" s="107">
        <v>121</v>
      </c>
      <c r="U266" s="107">
        <v>0</v>
      </c>
      <c r="V266" s="107">
        <v>91</v>
      </c>
      <c r="W266" s="107">
        <v>0</v>
      </c>
      <c r="X266" s="108"/>
      <c r="Y266" s="108"/>
      <c r="Z266" s="109">
        <v>0</v>
      </c>
      <c r="AA266" s="110">
        <v>0</v>
      </c>
      <c r="AB266" s="107"/>
      <c r="AC266" s="119"/>
      <c r="AD266" s="180"/>
      <c r="AE266" s="111">
        <v>0</v>
      </c>
      <c r="AF266" s="122">
        <v>0</v>
      </c>
      <c r="AG266" s="113"/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  <c r="BI266" s="114"/>
      <c r="BJ266" s="114"/>
      <c r="BK266" s="114"/>
      <c r="BL266" s="114"/>
      <c r="BM266" s="114"/>
      <c r="BN266" s="114"/>
      <c r="BO266" s="114"/>
      <c r="BP266" s="114"/>
      <c r="BQ266" s="114"/>
      <c r="BR266" s="114"/>
      <c r="BS266" s="114"/>
      <c r="BT266" s="114" t="str">
        <f>"  " &amp; TEXT(AF266,"#0.00%") &amp; " "</f>
        <v xml:space="preserve">  0.00% </v>
      </c>
      <c r="BU266" s="114"/>
      <c r="BV266" s="114"/>
      <c r="BW266" s="114"/>
      <c r="BX266" s="114"/>
      <c r="BY266" s="114"/>
      <c r="BZ266" s="114"/>
      <c r="CA266" s="114"/>
      <c r="CB266" s="114"/>
      <c r="CC266" s="114"/>
      <c r="CD266" s="114"/>
      <c r="CE266" s="114"/>
      <c r="CF266" s="114"/>
      <c r="CG266" s="114" t="str">
        <f>"  " &amp; "2동 고온#1 Aging MSC" &amp; " " &amp; IF(Q266="","",TEXT(Q266,"M/D-")) &amp; IF(R266="","",TEXT(R266,"M/D")) &amp; " "</f>
        <v xml:space="preserve">  2동 고온#1 Aging MSC 10/31-1/29 </v>
      </c>
      <c r="CH266" s="114"/>
      <c r="CI266" s="114"/>
      <c r="CJ266" s="114"/>
      <c r="CK266" s="114"/>
      <c r="CL266" s="114"/>
      <c r="CM266" s="114"/>
      <c r="CN266" s="114"/>
      <c r="CO266" s="114"/>
      <c r="CP266" s="114"/>
      <c r="CQ266" s="114"/>
      <c r="CR266" s="114"/>
      <c r="CS266" s="114"/>
      <c r="CT266" s="114"/>
      <c r="CU266" s="114"/>
      <c r="CV266" s="114"/>
      <c r="CW266" s="114"/>
      <c r="CX266" s="114"/>
      <c r="CY266" s="114"/>
      <c r="CZ266" s="114"/>
      <c r="DA266" s="114"/>
      <c r="DB266" s="114"/>
      <c r="DC266" s="114"/>
      <c r="DD266" s="114"/>
      <c r="DE266" s="114"/>
      <c r="DF266" s="114"/>
      <c r="DG266" s="114"/>
      <c r="DH266" s="114"/>
      <c r="DI266" s="114"/>
      <c r="DJ266" s="114"/>
      <c r="DK266" s="114"/>
      <c r="DL266" s="114"/>
      <c r="DM266" s="114"/>
      <c r="DN266" s="114"/>
      <c r="DO266" s="114"/>
      <c r="DP266" s="114"/>
      <c r="DQ266" s="114"/>
    </row>
    <row r="267" spans="1:121" ht="15" customHeight="1" outlineLevel="4" x14ac:dyDescent="0.25">
      <c r="A267" s="101"/>
      <c r="B267" s="101"/>
      <c r="C267" s="101">
        <v>5</v>
      </c>
      <c r="D267" s="102" t="s">
        <v>718</v>
      </c>
      <c r="E267" s="103"/>
      <c r="F267" s="103"/>
      <c r="G267" s="103"/>
      <c r="H267" s="103"/>
      <c r="I267" s="120" t="s">
        <v>698</v>
      </c>
      <c r="J267" s="120"/>
      <c r="K267" s="120"/>
      <c r="L267" s="120"/>
      <c r="M267" s="120"/>
      <c r="N267" s="120"/>
      <c r="O267" s="120" t="str">
        <f>O266</f>
        <v>2동 고온#1 Aging MSC</v>
      </c>
      <c r="P267" s="184"/>
      <c r="Q267" s="105">
        <v>45230</v>
      </c>
      <c r="R267" s="105">
        <v>45320</v>
      </c>
      <c r="S267" s="106">
        <f>R267-Q267</f>
        <v>90</v>
      </c>
      <c r="T267" s="107">
        <v>91</v>
      </c>
      <c r="U267" s="107">
        <v>0</v>
      </c>
      <c r="V267" s="107">
        <v>91</v>
      </c>
      <c r="W267" s="107">
        <v>0</v>
      </c>
      <c r="X267" s="108"/>
      <c r="Y267" s="108"/>
      <c r="Z267" s="109"/>
      <c r="AA267" s="110">
        <v>0</v>
      </c>
      <c r="AB267" s="107">
        <v>1</v>
      </c>
      <c r="AC267" s="119"/>
      <c r="AD267" s="180"/>
      <c r="AE267" s="111">
        <v>0</v>
      </c>
      <c r="AF267" s="121">
        <v>0</v>
      </c>
      <c r="AG267" s="113"/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  <c r="BI267" s="114"/>
      <c r="BJ267" s="114"/>
      <c r="BK267" s="114"/>
      <c r="BL267" s="114"/>
      <c r="BM267" s="114"/>
      <c r="BN267" s="114"/>
      <c r="BO267" s="114"/>
      <c r="BP267" s="114"/>
      <c r="BQ267" s="114"/>
      <c r="BR267" s="114"/>
      <c r="BS267" s="114"/>
      <c r="BT267" s="114" t="str">
        <f>"  " &amp; TEXT(AF267,"#0.00%") &amp; " "</f>
        <v xml:space="preserve">  0.00% </v>
      </c>
      <c r="BU267" s="114"/>
      <c r="BV267" s="114"/>
      <c r="BW267" s="114"/>
      <c r="BX267" s="114"/>
      <c r="BY267" s="114"/>
      <c r="BZ267" s="114"/>
      <c r="CA267" s="114"/>
      <c r="CB267" s="114"/>
      <c r="CC267" s="114"/>
      <c r="CD267" s="114"/>
      <c r="CE267" s="114"/>
      <c r="CF267" s="114"/>
      <c r="CG267" s="114" t="str">
        <f>"  " &amp; "Dry Run" &amp; " " &amp; IF(Q267="","",TEXT(Q267,"M/D-")) &amp; IF(R267="","",TEXT(R267,"M/D")) &amp; " "</f>
        <v xml:space="preserve">  Dry Run 10/31-1/29 </v>
      </c>
      <c r="CH267" s="114"/>
      <c r="CI267" s="114"/>
      <c r="CJ267" s="114"/>
      <c r="CK267" s="114"/>
      <c r="CL267" s="114"/>
      <c r="CM267" s="114"/>
      <c r="CN267" s="114"/>
      <c r="CO267" s="114"/>
      <c r="CP267" s="114"/>
      <c r="CQ267" s="114"/>
      <c r="CR267" s="114"/>
      <c r="CS267" s="114"/>
      <c r="CT267" s="114"/>
      <c r="CU267" s="114"/>
      <c r="CV267" s="114"/>
      <c r="CW267" s="114"/>
      <c r="CX267" s="114"/>
      <c r="CY267" s="114"/>
      <c r="CZ267" s="114"/>
      <c r="DA267" s="114"/>
      <c r="DB267" s="114"/>
      <c r="DC267" s="114"/>
      <c r="DD267" s="114"/>
      <c r="DE267" s="114"/>
      <c r="DF267" s="114"/>
      <c r="DG267" s="114"/>
      <c r="DH267" s="114"/>
      <c r="DI267" s="114"/>
      <c r="DJ267" s="114"/>
      <c r="DK267" s="114"/>
      <c r="DL267" s="114"/>
      <c r="DM267" s="114"/>
      <c r="DN267" s="114"/>
      <c r="DO267" s="114"/>
      <c r="DP267" s="114"/>
      <c r="DQ267" s="114"/>
    </row>
    <row r="268" spans="1:121" ht="15" customHeight="1" outlineLevel="4" x14ac:dyDescent="0.25">
      <c r="A268" s="101"/>
      <c r="B268" s="101"/>
      <c r="C268" s="101">
        <v>5</v>
      </c>
      <c r="D268" s="102" t="s">
        <v>719</v>
      </c>
      <c r="E268" s="103"/>
      <c r="F268" s="103"/>
      <c r="G268" s="103"/>
      <c r="H268" s="103"/>
      <c r="I268" s="120" t="s">
        <v>270</v>
      </c>
      <c r="J268" s="120"/>
      <c r="K268" s="120"/>
      <c r="L268" s="120"/>
      <c r="M268" s="120"/>
      <c r="N268" s="120"/>
      <c r="O268" s="120" t="str">
        <f>O267</f>
        <v>2동 고온#1 Aging MSC</v>
      </c>
      <c r="P268" s="184"/>
      <c r="Q268" s="105">
        <v>45260</v>
      </c>
      <c r="R268" s="105">
        <v>45289</v>
      </c>
      <c r="S268" s="106">
        <f>R268-Q268</f>
        <v>29</v>
      </c>
      <c r="T268" s="107">
        <v>30</v>
      </c>
      <c r="U268" s="107">
        <v>0</v>
      </c>
      <c r="V268" s="107">
        <v>30</v>
      </c>
      <c r="W268" s="107">
        <v>0</v>
      </c>
      <c r="X268" s="108"/>
      <c r="Y268" s="108"/>
      <c r="Z268" s="109"/>
      <c r="AA268" s="110">
        <v>0</v>
      </c>
      <c r="AB268" s="107">
        <v>1</v>
      </c>
      <c r="AC268" s="119"/>
      <c r="AD268" s="180"/>
      <c r="AE268" s="111">
        <v>0</v>
      </c>
      <c r="AF268" s="121">
        <v>0</v>
      </c>
      <c r="AG268" s="113"/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B268" s="114"/>
      <c r="BC268" s="114"/>
      <c r="BD268" s="114"/>
      <c r="BE268" s="114"/>
      <c r="BF268" s="114"/>
      <c r="BG268" s="114"/>
      <c r="BH268" s="114"/>
      <c r="BI268" s="114"/>
      <c r="BJ268" s="114"/>
      <c r="BK268" s="114"/>
      <c r="BL268" s="114"/>
      <c r="BM268" s="114"/>
      <c r="BN268" s="114"/>
      <c r="BO268" s="114"/>
      <c r="BP268" s="114"/>
      <c r="BQ268" s="114"/>
      <c r="BR268" s="114"/>
      <c r="BS268" s="114"/>
      <c r="BT268" s="114"/>
      <c r="BU268" s="114"/>
      <c r="BV268" s="114"/>
      <c r="BW268" s="114"/>
      <c r="BX268" s="114" t="str">
        <f>"    " &amp; TEXT(AF268,"#0.00%") &amp; " "</f>
        <v xml:space="preserve">    0.00% </v>
      </c>
      <c r="BY268" s="114"/>
      <c r="BZ268" s="114"/>
      <c r="CA268" s="114"/>
      <c r="CB268" s="114" t="str">
        <f>"      " &amp; "FAT" &amp; " " &amp; IF(Q268="","",TEXT(Q268,"M/D-")) &amp; IF(R268="","",TEXT(R268,"M/D")) &amp; " "</f>
        <v xml:space="preserve">      FAT 11/30-12/29 </v>
      </c>
      <c r="CC268" s="114"/>
      <c r="CD268" s="114"/>
      <c r="CE268" s="114"/>
      <c r="CF268" s="114"/>
      <c r="CG268" s="114"/>
      <c r="CH268" s="114"/>
      <c r="CI268" s="114"/>
      <c r="CJ268" s="114"/>
      <c r="CK268" s="114"/>
      <c r="CL268" s="114"/>
      <c r="CM268" s="114"/>
      <c r="CN268" s="114"/>
      <c r="CO268" s="114"/>
      <c r="CP268" s="114"/>
      <c r="CQ268" s="114"/>
      <c r="CR268" s="114"/>
      <c r="CS268" s="114"/>
      <c r="CT268" s="114"/>
      <c r="CU268" s="114"/>
      <c r="CV268" s="114"/>
      <c r="CW268" s="114"/>
      <c r="CX268" s="114"/>
      <c r="CY268" s="114"/>
      <c r="CZ268" s="114"/>
      <c r="DA268" s="114"/>
      <c r="DB268" s="114"/>
      <c r="DC268" s="114"/>
      <c r="DD268" s="114"/>
      <c r="DE268" s="114"/>
      <c r="DF268" s="114"/>
      <c r="DG268" s="114"/>
      <c r="DH268" s="114"/>
      <c r="DI268" s="114"/>
      <c r="DJ268" s="114"/>
      <c r="DK268" s="114"/>
      <c r="DL268" s="114"/>
      <c r="DM268" s="114"/>
      <c r="DN268" s="114"/>
      <c r="DO268" s="114"/>
      <c r="DP268" s="114"/>
      <c r="DQ268" s="114"/>
    </row>
    <row r="269" spans="1:121" ht="15" customHeight="1" outlineLevel="3" x14ac:dyDescent="0.25">
      <c r="A269" s="101"/>
      <c r="B269" s="101" t="s">
        <v>153</v>
      </c>
      <c r="C269" s="101">
        <v>4</v>
      </c>
      <c r="D269" s="102" t="s">
        <v>720</v>
      </c>
      <c r="E269" s="103"/>
      <c r="F269" s="103"/>
      <c r="G269" s="103"/>
      <c r="H269" s="124" t="s">
        <v>588</v>
      </c>
      <c r="I269" s="120"/>
      <c r="J269" s="120"/>
      <c r="K269" s="120"/>
      <c r="L269" s="120"/>
      <c r="M269" s="120"/>
      <c r="N269" s="120"/>
      <c r="O269" s="103" t="str">
        <f>H269</f>
        <v>2동 PPC MSC</v>
      </c>
      <c r="P269" s="184"/>
      <c r="Q269" s="105">
        <v>45260</v>
      </c>
      <c r="R269" s="105">
        <v>45274</v>
      </c>
      <c r="S269" s="106"/>
      <c r="T269" s="107">
        <v>24</v>
      </c>
      <c r="U269" s="107">
        <v>0</v>
      </c>
      <c r="V269" s="107">
        <v>15</v>
      </c>
      <c r="W269" s="107">
        <v>0</v>
      </c>
      <c r="X269" s="108"/>
      <c r="Y269" s="108"/>
      <c r="Z269" s="109">
        <v>0</v>
      </c>
      <c r="AA269" s="110">
        <v>0</v>
      </c>
      <c r="AB269" s="107"/>
      <c r="AC269" s="119"/>
      <c r="AD269" s="180"/>
      <c r="AE269" s="111">
        <v>0</v>
      </c>
      <c r="AF269" s="122">
        <v>0</v>
      </c>
      <c r="AG269" s="113"/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B269" s="114"/>
      <c r="BC269" s="114"/>
      <c r="BD269" s="114"/>
      <c r="BE269" s="114"/>
      <c r="BF269" s="114"/>
      <c r="BG269" s="114"/>
      <c r="BH269" s="114"/>
      <c r="BI269" s="114"/>
      <c r="BJ269" s="114"/>
      <c r="BK269" s="114"/>
      <c r="BL269" s="114"/>
      <c r="BM269" s="114"/>
      <c r="BN269" s="114"/>
      <c r="BO269" s="114"/>
      <c r="BP269" s="114"/>
      <c r="BQ269" s="114"/>
      <c r="BR269" s="114"/>
      <c r="BS269" s="114"/>
      <c r="BT269" s="114"/>
      <c r="BU269" s="114"/>
      <c r="BV269" s="114"/>
      <c r="BW269" s="114"/>
      <c r="BX269" s="114" t="str">
        <f>"    " &amp; TEXT(AF269,"#0.00%") &amp; " " &amp; "2동 PPC MSC" &amp; " " &amp; IF(Q269="","",TEXT(Q269,"M/D-")) &amp; IF(R269="","",TEXT(R269,"M/D")) &amp; " "</f>
        <v xml:space="preserve">    0.00% 2동 PPC MSC 11/30-12/14 </v>
      </c>
      <c r="BY269" s="114"/>
      <c r="BZ269" s="114"/>
      <c r="CA269" s="114"/>
      <c r="CB269" s="114"/>
      <c r="CC269" s="114"/>
      <c r="CD269" s="114"/>
      <c r="CE269" s="114"/>
      <c r="CF269" s="114"/>
      <c r="CG269" s="114"/>
      <c r="CH269" s="114"/>
      <c r="CI269" s="114"/>
      <c r="CJ269" s="114"/>
      <c r="CK269" s="114"/>
      <c r="CL269" s="114"/>
      <c r="CM269" s="114"/>
      <c r="CN269" s="114"/>
      <c r="CO269" s="114"/>
      <c r="CP269" s="114"/>
      <c r="CQ269" s="114"/>
      <c r="CR269" s="114"/>
      <c r="CS269" s="114"/>
      <c r="CT269" s="114"/>
      <c r="CU269" s="114"/>
      <c r="CV269" s="114"/>
      <c r="CW269" s="114"/>
      <c r="CX269" s="114"/>
      <c r="CY269" s="114"/>
      <c r="CZ269" s="114"/>
      <c r="DA269" s="114"/>
      <c r="DB269" s="114"/>
      <c r="DC269" s="114"/>
      <c r="DD269" s="114"/>
      <c r="DE269" s="114"/>
      <c r="DF269" s="114"/>
      <c r="DG269" s="114"/>
      <c r="DH269" s="114"/>
      <c r="DI269" s="114"/>
      <c r="DJ269" s="114"/>
      <c r="DK269" s="114"/>
      <c r="DL269" s="114"/>
      <c r="DM269" s="114"/>
      <c r="DN269" s="114"/>
      <c r="DO269" s="114"/>
      <c r="DP269" s="114"/>
      <c r="DQ269" s="114"/>
    </row>
    <row r="270" spans="1:121" ht="15" customHeight="1" outlineLevel="4" x14ac:dyDescent="0.25">
      <c r="A270" s="101"/>
      <c r="B270" s="101"/>
      <c r="C270" s="101">
        <v>5</v>
      </c>
      <c r="D270" s="102" t="s">
        <v>721</v>
      </c>
      <c r="E270" s="103"/>
      <c r="F270" s="103"/>
      <c r="G270" s="103"/>
      <c r="H270" s="103"/>
      <c r="I270" s="120" t="s">
        <v>698</v>
      </c>
      <c r="J270" s="120"/>
      <c r="K270" s="120"/>
      <c r="L270" s="120"/>
      <c r="M270" s="120"/>
      <c r="N270" s="120"/>
      <c r="O270" s="120" t="str">
        <f>O269</f>
        <v>2동 PPC MSC</v>
      </c>
      <c r="P270" s="184"/>
      <c r="Q270" s="105">
        <v>45260</v>
      </c>
      <c r="R270" s="105">
        <v>45274</v>
      </c>
      <c r="S270" s="106">
        <f>R270-Q270</f>
        <v>14</v>
      </c>
      <c r="T270" s="107">
        <v>15</v>
      </c>
      <c r="U270" s="107">
        <v>0</v>
      </c>
      <c r="V270" s="107">
        <v>15</v>
      </c>
      <c r="W270" s="107">
        <v>0</v>
      </c>
      <c r="X270" s="108"/>
      <c r="Y270" s="108"/>
      <c r="Z270" s="109"/>
      <c r="AA270" s="110">
        <v>0</v>
      </c>
      <c r="AB270" s="107">
        <v>1</v>
      </c>
      <c r="AC270" s="119"/>
      <c r="AD270" s="180"/>
      <c r="AE270" s="111">
        <v>0</v>
      </c>
      <c r="AF270" s="121">
        <v>0</v>
      </c>
      <c r="AG270" s="113"/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114"/>
      <c r="BD270" s="114"/>
      <c r="BE270" s="114"/>
      <c r="BF270" s="114"/>
      <c r="BG270" s="114"/>
      <c r="BH270" s="114"/>
      <c r="BI270" s="114"/>
      <c r="BJ270" s="114"/>
      <c r="BK270" s="114"/>
      <c r="BL270" s="114"/>
      <c r="BM270" s="114"/>
      <c r="BN270" s="114"/>
      <c r="BO270" s="114"/>
      <c r="BP270" s="114"/>
      <c r="BQ270" s="114"/>
      <c r="BR270" s="114"/>
      <c r="BS270" s="114"/>
      <c r="BT270" s="114"/>
      <c r="BU270" s="114"/>
      <c r="BV270" s="114"/>
      <c r="BW270" s="114"/>
      <c r="BX270" s="114" t="str">
        <f>"    " &amp; TEXT(AF270,"#0.00%") &amp; " " &amp; "Dry Run" &amp; " " &amp; IF(Q270="","",TEXT(Q270,"M/D-")) &amp; IF(R270="","",TEXT(R270,"M/D")) &amp; " "</f>
        <v xml:space="preserve">    0.00% Dry Run 11/30-12/14 </v>
      </c>
      <c r="BY270" s="114"/>
      <c r="BZ270" s="114"/>
      <c r="CA270" s="114"/>
      <c r="CB270" s="114"/>
      <c r="CC270" s="114"/>
      <c r="CD270" s="114"/>
      <c r="CE270" s="114"/>
      <c r="CF270" s="114"/>
      <c r="CG270" s="114"/>
      <c r="CH270" s="114"/>
      <c r="CI270" s="114"/>
      <c r="CJ270" s="114"/>
      <c r="CK270" s="114"/>
      <c r="CL270" s="114"/>
      <c r="CM270" s="114"/>
      <c r="CN270" s="114"/>
      <c r="CO270" s="114"/>
      <c r="CP270" s="114"/>
      <c r="CQ270" s="114"/>
      <c r="CR270" s="114"/>
      <c r="CS270" s="114"/>
      <c r="CT270" s="114"/>
      <c r="CU270" s="114"/>
      <c r="CV270" s="114"/>
      <c r="CW270" s="114"/>
      <c r="CX270" s="114"/>
      <c r="CY270" s="114"/>
      <c r="CZ270" s="114"/>
      <c r="DA270" s="114"/>
      <c r="DB270" s="114"/>
      <c r="DC270" s="114"/>
      <c r="DD270" s="114"/>
      <c r="DE270" s="114"/>
      <c r="DF270" s="114"/>
      <c r="DG270" s="114"/>
      <c r="DH270" s="114"/>
      <c r="DI270" s="114"/>
      <c r="DJ270" s="114"/>
      <c r="DK270" s="114"/>
      <c r="DL270" s="114"/>
      <c r="DM270" s="114"/>
      <c r="DN270" s="114"/>
      <c r="DO270" s="114"/>
      <c r="DP270" s="114"/>
      <c r="DQ270" s="114"/>
    </row>
    <row r="271" spans="1:121" ht="15" customHeight="1" outlineLevel="4" x14ac:dyDescent="0.25">
      <c r="A271" s="101"/>
      <c r="B271" s="101"/>
      <c r="C271" s="101">
        <v>5</v>
      </c>
      <c r="D271" s="102" t="s">
        <v>722</v>
      </c>
      <c r="E271" s="103"/>
      <c r="F271" s="103"/>
      <c r="G271" s="103"/>
      <c r="H271" s="103"/>
      <c r="I271" s="120" t="s">
        <v>270</v>
      </c>
      <c r="J271" s="120"/>
      <c r="K271" s="120"/>
      <c r="L271" s="120"/>
      <c r="M271" s="120"/>
      <c r="N271" s="120"/>
      <c r="O271" s="120" t="str">
        <f>O270</f>
        <v>2동 PPC MSC</v>
      </c>
      <c r="P271" s="184"/>
      <c r="Q271" s="105">
        <v>45266</v>
      </c>
      <c r="R271" s="105">
        <v>45274</v>
      </c>
      <c r="S271" s="106">
        <f>R271-Q271</f>
        <v>8</v>
      </c>
      <c r="T271" s="107">
        <v>9</v>
      </c>
      <c r="U271" s="107">
        <v>0</v>
      </c>
      <c r="V271" s="107">
        <v>9</v>
      </c>
      <c r="W271" s="107">
        <v>0</v>
      </c>
      <c r="X271" s="108"/>
      <c r="Y271" s="108"/>
      <c r="Z271" s="109"/>
      <c r="AA271" s="110">
        <v>0</v>
      </c>
      <c r="AB271" s="107">
        <v>1</v>
      </c>
      <c r="AC271" s="119"/>
      <c r="AD271" s="180"/>
      <c r="AE271" s="111">
        <v>0</v>
      </c>
      <c r="AF271" s="121">
        <v>0</v>
      </c>
      <c r="AG271" s="113"/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B271" s="114"/>
      <c r="BC271" s="114"/>
      <c r="BD271" s="114"/>
      <c r="BE271" s="114"/>
      <c r="BF271" s="114"/>
      <c r="BG271" s="114"/>
      <c r="BH271" s="114"/>
      <c r="BI271" s="114"/>
      <c r="BJ271" s="114"/>
      <c r="BK271" s="114"/>
      <c r="BL271" s="114"/>
      <c r="BM271" s="114"/>
      <c r="BN271" s="114"/>
      <c r="BO271" s="114"/>
      <c r="BP271" s="114"/>
      <c r="BQ271" s="114"/>
      <c r="BR271" s="114"/>
      <c r="BS271" s="114"/>
      <c r="BT271" s="114"/>
      <c r="BU271" s="114"/>
      <c r="BV271" s="114"/>
      <c r="BW271" s="114"/>
      <c r="BX271" s="114"/>
      <c r="BY271" s="114" t="str">
        <f>"   " &amp; TEXT(AF271,"#0.00%") &amp; " " &amp; "FAT" &amp; " " &amp; IF(Q271="","",TEXT(Q271,"M/D-")) &amp; IF(R271="","",TEXT(R271,"M/D")) &amp; " "</f>
        <v xml:space="preserve">   0.00% FAT 12/6-12/14 </v>
      </c>
      <c r="BZ271" s="114"/>
      <c r="CA271" s="114"/>
      <c r="CB271" s="114"/>
      <c r="CC271" s="114"/>
      <c r="CD271" s="114"/>
      <c r="CE271" s="114"/>
      <c r="CF271" s="114"/>
      <c r="CG271" s="114"/>
      <c r="CH271" s="114"/>
      <c r="CI271" s="114"/>
      <c r="CJ271" s="114"/>
      <c r="CK271" s="114"/>
      <c r="CL271" s="114"/>
      <c r="CM271" s="114"/>
      <c r="CN271" s="114"/>
      <c r="CO271" s="114"/>
      <c r="CP271" s="114"/>
      <c r="CQ271" s="114"/>
      <c r="CR271" s="114"/>
      <c r="CS271" s="114"/>
      <c r="CT271" s="114"/>
      <c r="CU271" s="114"/>
      <c r="CV271" s="114"/>
      <c r="CW271" s="114"/>
      <c r="CX271" s="114"/>
      <c r="CY271" s="114"/>
      <c r="CZ271" s="114"/>
      <c r="DA271" s="114"/>
      <c r="DB271" s="114"/>
      <c r="DC271" s="114"/>
      <c r="DD271" s="114"/>
      <c r="DE271" s="114"/>
      <c r="DF271" s="114"/>
      <c r="DG271" s="114"/>
      <c r="DH271" s="114"/>
      <c r="DI271" s="114"/>
      <c r="DJ271" s="114"/>
      <c r="DK271" s="114"/>
      <c r="DL271" s="114"/>
      <c r="DM271" s="114"/>
      <c r="DN271" s="114"/>
      <c r="DO271" s="114"/>
      <c r="DP271" s="114"/>
      <c r="DQ271" s="114"/>
    </row>
    <row r="272" spans="1:121" ht="15" customHeight="1" outlineLevel="3" x14ac:dyDescent="0.25">
      <c r="A272" s="101"/>
      <c r="B272" s="101" t="s">
        <v>153</v>
      </c>
      <c r="C272" s="101">
        <v>4</v>
      </c>
      <c r="D272" s="102" t="s">
        <v>723</v>
      </c>
      <c r="E272" s="103"/>
      <c r="F272" s="103"/>
      <c r="G272" s="103"/>
      <c r="H272" s="103" t="s">
        <v>590</v>
      </c>
      <c r="I272" s="120"/>
      <c r="J272" s="120"/>
      <c r="K272" s="120"/>
      <c r="L272" s="120"/>
      <c r="M272" s="120"/>
      <c r="N272" s="120"/>
      <c r="O272" s="103" t="str">
        <f>H272</f>
        <v>2동 충방전 MSC</v>
      </c>
      <c r="P272" s="184"/>
      <c r="Q272" s="105">
        <v>45260</v>
      </c>
      <c r="R272" s="105">
        <v>45274</v>
      </c>
      <c r="S272" s="106"/>
      <c r="T272" s="107">
        <v>24</v>
      </c>
      <c r="U272" s="107">
        <v>0</v>
      </c>
      <c r="V272" s="107">
        <v>15</v>
      </c>
      <c r="W272" s="107">
        <v>0</v>
      </c>
      <c r="X272" s="108"/>
      <c r="Y272" s="108"/>
      <c r="Z272" s="109">
        <v>0</v>
      </c>
      <c r="AA272" s="110">
        <v>0</v>
      </c>
      <c r="AB272" s="107"/>
      <c r="AC272" s="119"/>
      <c r="AD272" s="180"/>
      <c r="AE272" s="111">
        <v>0</v>
      </c>
      <c r="AF272" s="122">
        <v>0</v>
      </c>
      <c r="AG272" s="113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/>
      <c r="BO272" s="114"/>
      <c r="BP272" s="114"/>
      <c r="BQ272" s="114"/>
      <c r="BR272" s="114"/>
      <c r="BS272" s="114"/>
      <c r="BT272" s="114"/>
      <c r="BU272" s="114"/>
      <c r="BV272" s="114"/>
      <c r="BW272" s="114"/>
      <c r="BX272" s="114" t="str">
        <f>"    " &amp; TEXT(AF272,"#0.00%") &amp; " " &amp; "2동 충방전 MSC" &amp; " " &amp; IF(Q272="","",TEXT(Q272,"M/D-")) &amp; IF(R272="","",TEXT(R272,"M/D")) &amp; " "</f>
        <v xml:space="preserve">    0.00% 2동 충방전 MSC 11/30-12/14 </v>
      </c>
      <c r="BY272" s="114"/>
      <c r="BZ272" s="114"/>
      <c r="CA272" s="114"/>
      <c r="CB272" s="114"/>
      <c r="CC272" s="114"/>
      <c r="CD272" s="114"/>
      <c r="CE272" s="114"/>
      <c r="CF272" s="114"/>
      <c r="CG272" s="114"/>
      <c r="CH272" s="114"/>
      <c r="CI272" s="114"/>
      <c r="CJ272" s="114"/>
      <c r="CK272" s="114"/>
      <c r="CL272" s="114"/>
      <c r="CM272" s="114"/>
      <c r="CN272" s="114"/>
      <c r="CO272" s="114"/>
      <c r="CP272" s="114"/>
      <c r="CQ272" s="114"/>
      <c r="CR272" s="114"/>
      <c r="CS272" s="114"/>
      <c r="CT272" s="114"/>
      <c r="CU272" s="114"/>
      <c r="CV272" s="114"/>
      <c r="CW272" s="114"/>
      <c r="CX272" s="114"/>
      <c r="CY272" s="114"/>
      <c r="CZ272" s="114"/>
      <c r="DA272" s="114"/>
      <c r="DB272" s="114"/>
      <c r="DC272" s="114"/>
      <c r="DD272" s="114"/>
      <c r="DE272" s="114"/>
      <c r="DF272" s="114"/>
      <c r="DG272" s="114"/>
      <c r="DH272" s="114"/>
      <c r="DI272" s="114"/>
      <c r="DJ272" s="114"/>
      <c r="DK272" s="114"/>
      <c r="DL272" s="114"/>
      <c r="DM272" s="114"/>
      <c r="DN272" s="114"/>
      <c r="DO272" s="114"/>
      <c r="DP272" s="114"/>
      <c r="DQ272" s="114"/>
    </row>
    <row r="273" spans="1:121" ht="15" customHeight="1" outlineLevel="4" x14ac:dyDescent="0.25">
      <c r="A273" s="101"/>
      <c r="B273" s="101"/>
      <c r="C273" s="101">
        <v>5</v>
      </c>
      <c r="D273" s="102" t="s">
        <v>724</v>
      </c>
      <c r="E273" s="103"/>
      <c r="F273" s="103"/>
      <c r="G273" s="103"/>
      <c r="H273" s="103"/>
      <c r="I273" s="120" t="s">
        <v>698</v>
      </c>
      <c r="J273" s="120"/>
      <c r="K273" s="120"/>
      <c r="L273" s="120"/>
      <c r="M273" s="120"/>
      <c r="N273" s="120"/>
      <c r="O273" s="120" t="str">
        <f>O272</f>
        <v>2동 충방전 MSC</v>
      </c>
      <c r="P273" s="184"/>
      <c r="Q273" s="105">
        <v>45260</v>
      </c>
      <c r="R273" s="105">
        <v>45274</v>
      </c>
      <c r="S273" s="106">
        <f>R273-Q273</f>
        <v>14</v>
      </c>
      <c r="T273" s="107">
        <v>15</v>
      </c>
      <c r="U273" s="107">
        <v>0</v>
      </c>
      <c r="V273" s="107">
        <v>15</v>
      </c>
      <c r="W273" s="107">
        <v>0</v>
      </c>
      <c r="X273" s="108"/>
      <c r="Y273" s="108"/>
      <c r="Z273" s="109"/>
      <c r="AA273" s="110">
        <v>0</v>
      </c>
      <c r="AB273" s="107">
        <v>1</v>
      </c>
      <c r="AC273" s="119"/>
      <c r="AD273" s="180"/>
      <c r="AE273" s="111">
        <v>0</v>
      </c>
      <c r="AF273" s="121">
        <v>0</v>
      </c>
      <c r="AG273" s="113"/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D273" s="114"/>
      <c r="BE273" s="114"/>
      <c r="BF273" s="114"/>
      <c r="BG273" s="114"/>
      <c r="BH273" s="114"/>
      <c r="BI273" s="114"/>
      <c r="BJ273" s="114"/>
      <c r="BK273" s="114"/>
      <c r="BL273" s="114"/>
      <c r="BM273" s="114"/>
      <c r="BN273" s="114"/>
      <c r="BO273" s="114"/>
      <c r="BP273" s="114"/>
      <c r="BQ273" s="114"/>
      <c r="BR273" s="114"/>
      <c r="BS273" s="114"/>
      <c r="BT273" s="114"/>
      <c r="BU273" s="114"/>
      <c r="BV273" s="114"/>
      <c r="BW273" s="114"/>
      <c r="BX273" s="114" t="str">
        <f>"    " &amp; TEXT(AF273,"#0.00%") &amp; " " &amp; "Dry Run" &amp; " " &amp; IF(Q273="","",TEXT(Q273,"M/D-")) &amp; IF(R273="","",TEXT(R273,"M/D")) &amp; " "</f>
        <v xml:space="preserve">    0.00% Dry Run 11/30-12/14 </v>
      </c>
      <c r="BY273" s="114"/>
      <c r="BZ273" s="114"/>
      <c r="CA273" s="114"/>
      <c r="CB273" s="114"/>
      <c r="CC273" s="114"/>
      <c r="CD273" s="114"/>
      <c r="CE273" s="114"/>
      <c r="CF273" s="114"/>
      <c r="CG273" s="114"/>
      <c r="CH273" s="114"/>
      <c r="CI273" s="114"/>
      <c r="CJ273" s="114"/>
      <c r="CK273" s="114"/>
      <c r="CL273" s="114"/>
      <c r="CM273" s="114"/>
      <c r="CN273" s="114"/>
      <c r="CO273" s="114"/>
      <c r="CP273" s="114"/>
      <c r="CQ273" s="114"/>
      <c r="CR273" s="114"/>
      <c r="CS273" s="114"/>
      <c r="CT273" s="114"/>
      <c r="CU273" s="114"/>
      <c r="CV273" s="114"/>
      <c r="CW273" s="114"/>
      <c r="CX273" s="114"/>
      <c r="CY273" s="114"/>
      <c r="CZ273" s="114"/>
      <c r="DA273" s="114"/>
      <c r="DB273" s="114"/>
      <c r="DC273" s="114"/>
      <c r="DD273" s="114"/>
      <c r="DE273" s="114"/>
      <c r="DF273" s="114"/>
      <c r="DG273" s="114"/>
      <c r="DH273" s="114"/>
      <c r="DI273" s="114"/>
      <c r="DJ273" s="114"/>
      <c r="DK273" s="114"/>
      <c r="DL273" s="114"/>
      <c r="DM273" s="114"/>
      <c r="DN273" s="114"/>
      <c r="DO273" s="114"/>
      <c r="DP273" s="114"/>
      <c r="DQ273" s="114"/>
    </row>
    <row r="274" spans="1:121" ht="15" customHeight="1" outlineLevel="4" x14ac:dyDescent="0.25">
      <c r="A274" s="101"/>
      <c r="B274" s="101"/>
      <c r="C274" s="101">
        <v>5</v>
      </c>
      <c r="D274" s="102" t="s">
        <v>725</v>
      </c>
      <c r="E274" s="103"/>
      <c r="F274" s="103"/>
      <c r="G274" s="103"/>
      <c r="H274" s="103"/>
      <c r="I274" s="120" t="s">
        <v>270</v>
      </c>
      <c r="J274" s="120"/>
      <c r="K274" s="120"/>
      <c r="L274" s="120"/>
      <c r="M274" s="120"/>
      <c r="N274" s="120"/>
      <c r="O274" s="120" t="str">
        <f>O273</f>
        <v>2동 충방전 MSC</v>
      </c>
      <c r="P274" s="184"/>
      <c r="Q274" s="105">
        <v>45266</v>
      </c>
      <c r="R274" s="105">
        <v>45274</v>
      </c>
      <c r="S274" s="106">
        <f>R274-Q274</f>
        <v>8</v>
      </c>
      <c r="T274" s="107">
        <v>9</v>
      </c>
      <c r="U274" s="107">
        <v>0</v>
      </c>
      <c r="V274" s="107">
        <v>9</v>
      </c>
      <c r="W274" s="107">
        <v>0</v>
      </c>
      <c r="X274" s="108"/>
      <c r="Y274" s="108"/>
      <c r="Z274" s="109"/>
      <c r="AA274" s="110">
        <v>0</v>
      </c>
      <c r="AB274" s="107">
        <v>1</v>
      </c>
      <c r="AC274" s="119"/>
      <c r="AD274" s="180"/>
      <c r="AE274" s="111">
        <v>0</v>
      </c>
      <c r="AF274" s="121">
        <v>0</v>
      </c>
      <c r="AG274" s="113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 t="str">
        <f>"   " &amp; TEXT(AF274,"#0.00%") &amp; " " &amp; "FAT" &amp; " " &amp; IF(Q274="","",TEXT(Q274,"M/D-")) &amp; IF(R274="","",TEXT(R274,"M/D")) &amp; " "</f>
        <v xml:space="preserve">   0.00% FAT 12/6-12/14 </v>
      </c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  <c r="CJ274" s="114"/>
      <c r="CK274" s="114"/>
      <c r="CL274" s="114"/>
      <c r="CM274" s="114"/>
      <c r="CN274" s="114"/>
      <c r="CO274" s="114"/>
      <c r="CP274" s="114"/>
      <c r="CQ274" s="114"/>
      <c r="CR274" s="114"/>
      <c r="CS274" s="114"/>
      <c r="CT274" s="114"/>
      <c r="CU274" s="114"/>
      <c r="CV274" s="114"/>
      <c r="CW274" s="114"/>
      <c r="CX274" s="114"/>
      <c r="CY274" s="114"/>
      <c r="CZ274" s="114"/>
      <c r="DA274" s="114"/>
      <c r="DB274" s="114"/>
      <c r="DC274" s="114"/>
      <c r="DD274" s="114"/>
      <c r="DE274" s="114"/>
      <c r="DF274" s="114"/>
      <c r="DG274" s="114"/>
      <c r="DH274" s="114"/>
      <c r="DI274" s="114"/>
      <c r="DJ274" s="114"/>
      <c r="DK274" s="114"/>
      <c r="DL274" s="114"/>
      <c r="DM274" s="114"/>
      <c r="DN274" s="114"/>
      <c r="DO274" s="114"/>
      <c r="DP274" s="114"/>
      <c r="DQ274" s="114"/>
    </row>
    <row r="275" spans="1:121" ht="15" customHeight="1" outlineLevel="3" x14ac:dyDescent="0.25">
      <c r="A275" s="101"/>
      <c r="B275" s="101" t="s">
        <v>153</v>
      </c>
      <c r="C275" s="101">
        <v>4</v>
      </c>
      <c r="D275" s="102" t="s">
        <v>726</v>
      </c>
      <c r="E275" s="103"/>
      <c r="F275" s="103"/>
      <c r="G275" s="103"/>
      <c r="H275" s="103" t="s">
        <v>592</v>
      </c>
      <c r="I275" s="120"/>
      <c r="J275" s="120"/>
      <c r="K275" s="120"/>
      <c r="L275" s="120"/>
      <c r="M275" s="120"/>
      <c r="N275" s="120"/>
      <c r="O275" s="103" t="str">
        <f>H275</f>
        <v>2동 고온#2 Aging MSC</v>
      </c>
      <c r="P275" s="184"/>
      <c r="Q275" s="105">
        <v>45291</v>
      </c>
      <c r="R275" s="105">
        <v>45304</v>
      </c>
      <c r="S275" s="106"/>
      <c r="T275" s="107">
        <v>22</v>
      </c>
      <c r="U275" s="107">
        <v>0</v>
      </c>
      <c r="V275" s="107">
        <v>14</v>
      </c>
      <c r="W275" s="107">
        <v>0</v>
      </c>
      <c r="X275" s="108"/>
      <c r="Y275" s="108"/>
      <c r="Z275" s="109">
        <v>0</v>
      </c>
      <c r="AA275" s="110">
        <v>0</v>
      </c>
      <c r="AB275" s="107"/>
      <c r="AC275" s="119"/>
      <c r="AD275" s="180"/>
      <c r="AE275" s="111">
        <v>0</v>
      </c>
      <c r="AF275" s="122">
        <v>0</v>
      </c>
      <c r="AG275" s="113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  <c r="BI275" s="114"/>
      <c r="BJ275" s="114"/>
      <c r="BK275" s="114"/>
      <c r="BL275" s="114"/>
      <c r="BM275" s="114"/>
      <c r="BN275" s="114"/>
      <c r="BO275" s="114"/>
      <c r="BP275" s="114"/>
      <c r="BQ275" s="114"/>
      <c r="BR275" s="114"/>
      <c r="BS275" s="114"/>
      <c r="BT275" s="114"/>
      <c r="BU275" s="114"/>
      <c r="BV275" s="114"/>
      <c r="BW275" s="114"/>
      <c r="BX275" s="114"/>
      <c r="BY275" s="114"/>
      <c r="BZ275" s="114"/>
      <c r="CA275" s="114"/>
      <c r="CB275" s="114"/>
      <c r="CC275" s="114" t="str">
        <f>"" &amp; TEXT(AF275,"#0.00%") &amp; " " &amp; "2동 고온#2 Aging MSC" &amp; " " &amp; IF(Q275="","",TEXT(Q275,"M/D-")) &amp; IF(R275="","",TEXT(R275,"M/D")) &amp; " "</f>
        <v xml:space="preserve">0.00% 2동 고온#2 Aging MSC 12/31-1/13 </v>
      </c>
      <c r="CD275" s="114"/>
      <c r="CE275" s="114"/>
      <c r="CF275" s="114"/>
      <c r="CG275" s="114"/>
      <c r="CH275" s="114"/>
      <c r="CI275" s="114"/>
      <c r="CJ275" s="114"/>
      <c r="CK275" s="114"/>
      <c r="CL275" s="114"/>
      <c r="CM275" s="114"/>
      <c r="CN275" s="114"/>
      <c r="CO275" s="114"/>
      <c r="CP275" s="114"/>
      <c r="CQ275" s="114"/>
      <c r="CR275" s="114"/>
      <c r="CS275" s="114"/>
      <c r="CT275" s="114"/>
      <c r="CU275" s="114"/>
      <c r="CV275" s="114"/>
      <c r="CW275" s="114"/>
      <c r="CX275" s="114"/>
      <c r="CY275" s="114"/>
      <c r="CZ275" s="114"/>
      <c r="DA275" s="114"/>
      <c r="DB275" s="114"/>
      <c r="DC275" s="114"/>
      <c r="DD275" s="114"/>
      <c r="DE275" s="114"/>
      <c r="DF275" s="114"/>
      <c r="DG275" s="114"/>
      <c r="DH275" s="114"/>
      <c r="DI275" s="114"/>
      <c r="DJ275" s="114"/>
      <c r="DK275" s="114"/>
      <c r="DL275" s="114"/>
      <c r="DM275" s="114"/>
      <c r="DN275" s="114"/>
      <c r="DO275" s="114"/>
      <c r="DP275" s="114"/>
      <c r="DQ275" s="114"/>
    </row>
    <row r="276" spans="1:121" ht="15" customHeight="1" outlineLevel="4" x14ac:dyDescent="0.25">
      <c r="A276" s="101"/>
      <c r="B276" s="101"/>
      <c r="C276" s="101">
        <v>5</v>
      </c>
      <c r="D276" s="102" t="s">
        <v>727</v>
      </c>
      <c r="E276" s="103"/>
      <c r="F276" s="103"/>
      <c r="G276" s="103"/>
      <c r="H276" s="103"/>
      <c r="I276" s="120" t="s">
        <v>698</v>
      </c>
      <c r="J276" s="120"/>
      <c r="K276" s="120"/>
      <c r="L276" s="120"/>
      <c r="M276" s="120"/>
      <c r="N276" s="120"/>
      <c r="O276" s="120" t="str">
        <f>O275</f>
        <v>2동 고온#2 Aging MSC</v>
      </c>
      <c r="P276" s="184"/>
      <c r="Q276" s="105">
        <v>45291</v>
      </c>
      <c r="R276" s="105">
        <v>45304</v>
      </c>
      <c r="S276" s="106">
        <f>R276-Q276</f>
        <v>13</v>
      </c>
      <c r="T276" s="107">
        <v>14</v>
      </c>
      <c r="U276" s="107">
        <v>0</v>
      </c>
      <c r="V276" s="107">
        <v>14</v>
      </c>
      <c r="W276" s="107">
        <v>0</v>
      </c>
      <c r="X276" s="108"/>
      <c r="Y276" s="108"/>
      <c r="Z276" s="109"/>
      <c r="AA276" s="110">
        <v>0</v>
      </c>
      <c r="AB276" s="107">
        <v>1</v>
      </c>
      <c r="AC276" s="119"/>
      <c r="AD276" s="180"/>
      <c r="AE276" s="111">
        <v>0</v>
      </c>
      <c r="AF276" s="121">
        <v>0</v>
      </c>
      <c r="AG276" s="113"/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114"/>
      <c r="BH276" s="114"/>
      <c r="BI276" s="114"/>
      <c r="BJ276" s="114"/>
      <c r="BK276" s="114"/>
      <c r="BL276" s="114"/>
      <c r="BM276" s="114"/>
      <c r="BN276" s="114"/>
      <c r="BO276" s="114"/>
      <c r="BP276" s="114"/>
      <c r="BQ276" s="114"/>
      <c r="BR276" s="114"/>
      <c r="BS276" s="114"/>
      <c r="BT276" s="114"/>
      <c r="BU276" s="114"/>
      <c r="BV276" s="114"/>
      <c r="BW276" s="114"/>
      <c r="BX276" s="114"/>
      <c r="BY276" s="114"/>
      <c r="BZ276" s="114"/>
      <c r="CA276" s="114"/>
      <c r="CB276" s="114"/>
      <c r="CC276" s="114" t="str">
        <f>"" &amp; TEXT(AF276,"#0.00%") &amp; " " &amp; "Dry Run" &amp; " " &amp; IF(Q276="","",TEXT(Q276,"M/D-")) &amp; IF(R276="","",TEXT(R276,"M/D")) &amp; " "</f>
        <v xml:space="preserve">0.00% Dry Run 12/31-1/13 </v>
      </c>
      <c r="CD276" s="114"/>
      <c r="CE276" s="114"/>
      <c r="CF276" s="114"/>
      <c r="CG276" s="114"/>
      <c r="CH276" s="114"/>
      <c r="CI276" s="114"/>
      <c r="CJ276" s="114"/>
      <c r="CK276" s="114"/>
      <c r="CL276" s="114"/>
      <c r="CM276" s="114"/>
      <c r="CN276" s="114"/>
      <c r="CO276" s="114"/>
      <c r="CP276" s="114"/>
      <c r="CQ276" s="114"/>
      <c r="CR276" s="114"/>
      <c r="CS276" s="114"/>
      <c r="CT276" s="114"/>
      <c r="CU276" s="114"/>
      <c r="CV276" s="114"/>
      <c r="CW276" s="114"/>
      <c r="CX276" s="114"/>
      <c r="CY276" s="114"/>
      <c r="CZ276" s="114"/>
      <c r="DA276" s="114"/>
      <c r="DB276" s="114"/>
      <c r="DC276" s="114"/>
      <c r="DD276" s="114"/>
      <c r="DE276" s="114"/>
      <c r="DF276" s="114"/>
      <c r="DG276" s="114"/>
      <c r="DH276" s="114"/>
      <c r="DI276" s="114"/>
      <c r="DJ276" s="114"/>
      <c r="DK276" s="114"/>
      <c r="DL276" s="114"/>
      <c r="DM276" s="114"/>
      <c r="DN276" s="114"/>
      <c r="DO276" s="114"/>
      <c r="DP276" s="114"/>
      <c r="DQ276" s="114"/>
    </row>
    <row r="277" spans="1:121" ht="15" customHeight="1" outlineLevel="4" x14ac:dyDescent="0.25">
      <c r="A277" s="101"/>
      <c r="B277" s="101"/>
      <c r="C277" s="101">
        <v>5</v>
      </c>
      <c r="D277" s="102" t="s">
        <v>728</v>
      </c>
      <c r="E277" s="103"/>
      <c r="F277" s="103"/>
      <c r="G277" s="103"/>
      <c r="H277" s="103"/>
      <c r="I277" s="120" t="s">
        <v>270</v>
      </c>
      <c r="J277" s="120"/>
      <c r="K277" s="120"/>
      <c r="L277" s="120"/>
      <c r="M277" s="120"/>
      <c r="N277" s="120"/>
      <c r="O277" s="120" t="str">
        <f>O276</f>
        <v>2동 고온#2 Aging MSC</v>
      </c>
      <c r="P277" s="184"/>
      <c r="Q277" s="105">
        <v>45297</v>
      </c>
      <c r="R277" s="105">
        <v>45304</v>
      </c>
      <c r="S277" s="106">
        <f>R277-Q277</f>
        <v>7</v>
      </c>
      <c r="T277" s="107">
        <v>8</v>
      </c>
      <c r="U277" s="107">
        <v>0</v>
      </c>
      <c r="V277" s="107">
        <v>8</v>
      </c>
      <c r="W277" s="107">
        <v>0</v>
      </c>
      <c r="X277" s="108"/>
      <c r="Y277" s="108"/>
      <c r="Z277" s="109"/>
      <c r="AA277" s="110">
        <v>0</v>
      </c>
      <c r="AB277" s="107">
        <v>1</v>
      </c>
      <c r="AC277" s="119"/>
      <c r="AD277" s="180"/>
      <c r="AE277" s="111">
        <v>0</v>
      </c>
      <c r="AF277" s="121">
        <v>0</v>
      </c>
      <c r="AG277" s="113"/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  <c r="BI277" s="114"/>
      <c r="BJ277" s="114"/>
      <c r="BK277" s="114"/>
      <c r="BL277" s="114"/>
      <c r="BM277" s="114"/>
      <c r="BN277" s="114"/>
      <c r="BO277" s="114"/>
      <c r="BP277" s="114"/>
      <c r="BQ277" s="114"/>
      <c r="BR277" s="114"/>
      <c r="BS277" s="114"/>
      <c r="BT277" s="114"/>
      <c r="BU277" s="114"/>
      <c r="BV277" s="114"/>
      <c r="BW277" s="114"/>
      <c r="BX277" s="114"/>
      <c r="BY277" s="114"/>
      <c r="BZ277" s="114"/>
      <c r="CA277" s="114"/>
      <c r="CB277" s="114"/>
      <c r="CC277" s="114" t="str">
        <f>"      " &amp; TEXT(AF277,"#0.00%") &amp; " " &amp; "FAT" &amp; " " &amp; IF(Q277="","",TEXT(Q277,"M/D-")) &amp; IF(R277="","",TEXT(R277,"M/D")) &amp; " "</f>
        <v xml:space="preserve">      0.00% FAT 1/6-1/13 </v>
      </c>
      <c r="CD277" s="114"/>
      <c r="CE277" s="114"/>
      <c r="CF277" s="114"/>
      <c r="CG277" s="114"/>
      <c r="CH277" s="114"/>
      <c r="CI277" s="114"/>
      <c r="CJ277" s="114"/>
      <c r="CK277" s="114"/>
      <c r="CL277" s="114"/>
      <c r="CM277" s="114"/>
      <c r="CN277" s="114"/>
      <c r="CO277" s="114"/>
      <c r="CP277" s="114"/>
      <c r="CQ277" s="114"/>
      <c r="CR277" s="114"/>
      <c r="CS277" s="114"/>
      <c r="CT277" s="114"/>
      <c r="CU277" s="114"/>
      <c r="CV277" s="114"/>
      <c r="CW277" s="114"/>
      <c r="CX277" s="114"/>
      <c r="CY277" s="114"/>
      <c r="CZ277" s="114"/>
      <c r="DA277" s="114"/>
      <c r="DB277" s="114"/>
      <c r="DC277" s="114"/>
      <c r="DD277" s="114"/>
      <c r="DE277" s="114"/>
      <c r="DF277" s="114"/>
      <c r="DG277" s="114"/>
      <c r="DH277" s="114"/>
      <c r="DI277" s="114"/>
      <c r="DJ277" s="114"/>
      <c r="DK277" s="114"/>
      <c r="DL277" s="114"/>
      <c r="DM277" s="114"/>
      <c r="DN277" s="114"/>
      <c r="DO277" s="114"/>
      <c r="DP277" s="114"/>
      <c r="DQ277" s="114"/>
    </row>
    <row r="278" spans="1:121" ht="15" customHeight="1" outlineLevel="3" x14ac:dyDescent="0.25">
      <c r="A278" s="101"/>
      <c r="B278" s="101" t="s">
        <v>153</v>
      </c>
      <c r="C278" s="101">
        <v>4</v>
      </c>
      <c r="D278" s="102" t="s">
        <v>729</v>
      </c>
      <c r="E278" s="103"/>
      <c r="F278" s="103"/>
      <c r="G278" s="103"/>
      <c r="H278" s="103" t="s">
        <v>594</v>
      </c>
      <c r="I278" s="120"/>
      <c r="J278" s="120"/>
      <c r="K278" s="120"/>
      <c r="L278" s="120"/>
      <c r="M278" s="120"/>
      <c r="N278" s="120"/>
      <c r="O278" s="103" t="str">
        <f>H278</f>
        <v>2동 상온#2,3 Aging MSC</v>
      </c>
      <c r="P278" s="184"/>
      <c r="Q278" s="105">
        <v>45291</v>
      </c>
      <c r="R278" s="105">
        <v>45309</v>
      </c>
      <c r="S278" s="106"/>
      <c r="T278" s="107">
        <v>29</v>
      </c>
      <c r="U278" s="107">
        <v>0</v>
      </c>
      <c r="V278" s="107">
        <v>19</v>
      </c>
      <c r="W278" s="107">
        <v>0</v>
      </c>
      <c r="X278" s="108"/>
      <c r="Y278" s="108"/>
      <c r="Z278" s="109">
        <v>0</v>
      </c>
      <c r="AA278" s="110">
        <v>0</v>
      </c>
      <c r="AB278" s="107"/>
      <c r="AC278" s="119"/>
      <c r="AD278" s="180"/>
      <c r="AE278" s="111">
        <v>0</v>
      </c>
      <c r="AF278" s="122">
        <v>0</v>
      </c>
      <c r="AG278" s="113"/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/>
      <c r="BG278" s="114"/>
      <c r="BH278" s="114"/>
      <c r="BI278" s="114"/>
      <c r="BJ278" s="114"/>
      <c r="BK278" s="114"/>
      <c r="BL278" s="114"/>
      <c r="BM278" s="114"/>
      <c r="BN278" s="114"/>
      <c r="BO278" s="114"/>
      <c r="BP278" s="114"/>
      <c r="BQ278" s="114"/>
      <c r="BR278" s="114"/>
      <c r="BS278" s="114"/>
      <c r="BT278" s="114"/>
      <c r="BU278" s="114"/>
      <c r="BV278" s="114"/>
      <c r="BW278" s="114"/>
      <c r="BX278" s="114"/>
      <c r="BY278" s="114"/>
      <c r="BZ278" s="114"/>
      <c r="CA278" s="114"/>
      <c r="CB278" s="114"/>
      <c r="CC278" s="114" t="str">
        <f>"" &amp; TEXT(AF278,"#0.00%") &amp; " " &amp; "2동 상온#2,3 Aging MSC" &amp; " " &amp; IF(Q278="","",TEXT(Q278,"M/D-")) &amp; IF(R278="","",TEXT(R278,"M/D")) &amp; " "</f>
        <v xml:space="preserve">0.00% 2동 상온#2,3 Aging MSC 12/31-1/18 </v>
      </c>
      <c r="CD278" s="114"/>
      <c r="CE278" s="114"/>
      <c r="CF278" s="114"/>
      <c r="CG278" s="114"/>
      <c r="CH278" s="114"/>
      <c r="CI278" s="114"/>
      <c r="CJ278" s="114"/>
      <c r="CK278" s="114"/>
      <c r="CL278" s="114"/>
      <c r="CM278" s="114"/>
      <c r="CN278" s="114"/>
      <c r="CO278" s="114"/>
      <c r="CP278" s="114"/>
      <c r="CQ278" s="114"/>
      <c r="CR278" s="114"/>
      <c r="CS278" s="114"/>
      <c r="CT278" s="114"/>
      <c r="CU278" s="114"/>
      <c r="CV278" s="114"/>
      <c r="CW278" s="114"/>
      <c r="CX278" s="114"/>
      <c r="CY278" s="114"/>
      <c r="CZ278" s="114"/>
      <c r="DA278" s="114"/>
      <c r="DB278" s="114"/>
      <c r="DC278" s="114"/>
      <c r="DD278" s="114"/>
      <c r="DE278" s="114"/>
      <c r="DF278" s="114"/>
      <c r="DG278" s="114"/>
      <c r="DH278" s="114"/>
      <c r="DI278" s="114"/>
      <c r="DJ278" s="114"/>
      <c r="DK278" s="114"/>
      <c r="DL278" s="114"/>
      <c r="DM278" s="114"/>
      <c r="DN278" s="114"/>
      <c r="DO278" s="114"/>
      <c r="DP278" s="114"/>
      <c r="DQ278" s="114"/>
    </row>
    <row r="279" spans="1:121" ht="15" customHeight="1" outlineLevel="4" x14ac:dyDescent="0.25">
      <c r="A279" s="101"/>
      <c r="B279" s="101"/>
      <c r="C279" s="101">
        <v>5</v>
      </c>
      <c r="D279" s="102" t="s">
        <v>730</v>
      </c>
      <c r="E279" s="103"/>
      <c r="F279" s="103"/>
      <c r="G279" s="103"/>
      <c r="H279" s="103"/>
      <c r="I279" s="120" t="s">
        <v>698</v>
      </c>
      <c r="J279" s="120"/>
      <c r="K279" s="120"/>
      <c r="L279" s="120"/>
      <c r="M279" s="120"/>
      <c r="N279" s="120"/>
      <c r="O279" s="120" t="str">
        <f>O278</f>
        <v>2동 상온#2,3 Aging MSC</v>
      </c>
      <c r="P279" s="184"/>
      <c r="Q279" s="105">
        <v>45291</v>
      </c>
      <c r="R279" s="105">
        <v>45309</v>
      </c>
      <c r="S279" s="106">
        <f>R279-Q279</f>
        <v>18</v>
      </c>
      <c r="T279" s="107">
        <v>19</v>
      </c>
      <c r="U279" s="107">
        <v>0</v>
      </c>
      <c r="V279" s="107">
        <v>19</v>
      </c>
      <c r="W279" s="107">
        <v>0</v>
      </c>
      <c r="X279" s="108"/>
      <c r="Y279" s="108"/>
      <c r="Z279" s="109"/>
      <c r="AA279" s="110">
        <v>0</v>
      </c>
      <c r="AB279" s="107">
        <v>1</v>
      </c>
      <c r="AC279" s="119"/>
      <c r="AD279" s="180"/>
      <c r="AE279" s="111">
        <v>0</v>
      </c>
      <c r="AF279" s="121">
        <v>0</v>
      </c>
      <c r="AG279" s="113"/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/>
      <c r="BE279" s="114"/>
      <c r="BF279" s="114"/>
      <c r="BG279" s="114"/>
      <c r="BH279" s="114"/>
      <c r="BI279" s="114"/>
      <c r="BJ279" s="114"/>
      <c r="BK279" s="114"/>
      <c r="BL279" s="114"/>
      <c r="BM279" s="114"/>
      <c r="BN279" s="114"/>
      <c r="BO279" s="114"/>
      <c r="BP279" s="114"/>
      <c r="BQ279" s="114"/>
      <c r="BR279" s="114"/>
      <c r="BS279" s="114"/>
      <c r="BT279" s="114"/>
      <c r="BU279" s="114"/>
      <c r="BV279" s="114"/>
      <c r="BW279" s="114"/>
      <c r="BX279" s="114"/>
      <c r="BY279" s="114"/>
      <c r="BZ279" s="114"/>
      <c r="CA279" s="114"/>
      <c r="CB279" s="114"/>
      <c r="CC279" s="114" t="str">
        <f>"" &amp; TEXT(AF279,"#0.00%") &amp; " " &amp; "Dry Run" &amp; " " &amp; IF(Q279="","",TEXT(Q279,"M/D-")) &amp; IF(R279="","",TEXT(R279,"M/D")) &amp; " "</f>
        <v xml:space="preserve">0.00% Dry Run 12/31-1/18 </v>
      </c>
      <c r="CD279" s="114"/>
      <c r="CE279" s="114"/>
      <c r="CF279" s="114"/>
      <c r="CG279" s="114"/>
      <c r="CH279" s="114"/>
      <c r="CI279" s="114"/>
      <c r="CJ279" s="114"/>
      <c r="CK279" s="114"/>
      <c r="CL279" s="114"/>
      <c r="CM279" s="114"/>
      <c r="CN279" s="114"/>
      <c r="CO279" s="114"/>
      <c r="CP279" s="114"/>
      <c r="CQ279" s="114"/>
      <c r="CR279" s="114"/>
      <c r="CS279" s="114"/>
      <c r="CT279" s="114"/>
      <c r="CU279" s="114"/>
      <c r="CV279" s="114"/>
      <c r="CW279" s="114"/>
      <c r="CX279" s="114"/>
      <c r="CY279" s="114"/>
      <c r="CZ279" s="114"/>
      <c r="DA279" s="114"/>
      <c r="DB279" s="114"/>
      <c r="DC279" s="114"/>
      <c r="DD279" s="114"/>
      <c r="DE279" s="114"/>
      <c r="DF279" s="114"/>
      <c r="DG279" s="114"/>
      <c r="DH279" s="114"/>
      <c r="DI279" s="114"/>
      <c r="DJ279" s="114"/>
      <c r="DK279" s="114"/>
      <c r="DL279" s="114"/>
      <c r="DM279" s="114"/>
      <c r="DN279" s="114"/>
      <c r="DO279" s="114"/>
      <c r="DP279" s="114"/>
      <c r="DQ279" s="114"/>
    </row>
    <row r="280" spans="1:121" ht="15" customHeight="1" outlineLevel="4" x14ac:dyDescent="0.25">
      <c r="A280" s="101"/>
      <c r="B280" s="101"/>
      <c r="C280" s="101">
        <v>5</v>
      </c>
      <c r="D280" s="102" t="s">
        <v>731</v>
      </c>
      <c r="E280" s="103"/>
      <c r="F280" s="103"/>
      <c r="G280" s="103"/>
      <c r="H280" s="103"/>
      <c r="I280" s="120" t="s">
        <v>270</v>
      </c>
      <c r="J280" s="120"/>
      <c r="K280" s="120"/>
      <c r="L280" s="120"/>
      <c r="M280" s="120"/>
      <c r="N280" s="120"/>
      <c r="O280" s="120" t="str">
        <f>O279</f>
        <v>2동 상온#2,3 Aging MSC</v>
      </c>
      <c r="P280" s="184"/>
      <c r="Q280" s="105">
        <v>45300</v>
      </c>
      <c r="R280" s="105">
        <v>45309</v>
      </c>
      <c r="S280" s="106">
        <f>R280-Q280</f>
        <v>9</v>
      </c>
      <c r="T280" s="107">
        <v>10</v>
      </c>
      <c r="U280" s="107">
        <v>0</v>
      </c>
      <c r="V280" s="107">
        <v>10</v>
      </c>
      <c r="W280" s="107">
        <v>0</v>
      </c>
      <c r="X280" s="108"/>
      <c r="Y280" s="108"/>
      <c r="Z280" s="109"/>
      <c r="AA280" s="110">
        <v>0</v>
      </c>
      <c r="AB280" s="107">
        <v>1</v>
      </c>
      <c r="AC280" s="119"/>
      <c r="AD280" s="180"/>
      <c r="AE280" s="111">
        <v>0</v>
      </c>
      <c r="AF280" s="121">
        <v>0</v>
      </c>
      <c r="AG280" s="113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  <c r="BI280" s="114"/>
      <c r="BJ280" s="114"/>
      <c r="BK280" s="114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  <c r="BW280" s="114"/>
      <c r="BX280" s="114"/>
      <c r="BY280" s="114"/>
      <c r="BZ280" s="114"/>
      <c r="CA280" s="114"/>
      <c r="CB280" s="114"/>
      <c r="CC280" s="114"/>
      <c r="CD280" s="114" t="str">
        <f>"  " &amp; TEXT(AF280,"#0.00%") &amp; " " &amp; "FAT" &amp; " " &amp; IF(Q280="","",TEXT(Q280,"M/D-")) &amp; IF(R280="","",TEXT(R280,"M/D")) &amp; " "</f>
        <v xml:space="preserve">  0.00% FAT 1/9-1/18 </v>
      </c>
      <c r="CE280" s="114"/>
      <c r="CF280" s="114"/>
      <c r="CG280" s="114"/>
      <c r="CH280" s="114"/>
      <c r="CI280" s="114"/>
      <c r="CJ280" s="114"/>
      <c r="CK280" s="114"/>
      <c r="CL280" s="114"/>
      <c r="CM280" s="114"/>
      <c r="CN280" s="114"/>
      <c r="CO280" s="114"/>
      <c r="CP280" s="114"/>
      <c r="CQ280" s="114"/>
      <c r="CR280" s="114"/>
      <c r="CS280" s="114"/>
      <c r="CT280" s="114"/>
      <c r="CU280" s="114"/>
      <c r="CV280" s="114"/>
      <c r="CW280" s="114"/>
      <c r="CX280" s="114"/>
      <c r="CY280" s="114"/>
      <c r="CZ280" s="114"/>
      <c r="DA280" s="114"/>
      <c r="DB280" s="114"/>
      <c r="DC280" s="114"/>
      <c r="DD280" s="114"/>
      <c r="DE280" s="114"/>
      <c r="DF280" s="114"/>
      <c r="DG280" s="114"/>
      <c r="DH280" s="114"/>
      <c r="DI280" s="114"/>
      <c r="DJ280" s="114"/>
      <c r="DK280" s="114"/>
      <c r="DL280" s="114"/>
      <c r="DM280" s="114"/>
      <c r="DN280" s="114"/>
      <c r="DO280" s="114"/>
      <c r="DP280" s="114"/>
      <c r="DQ280" s="114"/>
    </row>
    <row r="281" spans="1:121" ht="15" customHeight="1" outlineLevel="3" x14ac:dyDescent="0.25">
      <c r="A281" s="101"/>
      <c r="B281" s="101" t="s">
        <v>153</v>
      </c>
      <c r="C281" s="101">
        <v>4</v>
      </c>
      <c r="D281" s="102" t="s">
        <v>732</v>
      </c>
      <c r="E281" s="103"/>
      <c r="F281" s="103"/>
      <c r="G281" s="103"/>
      <c r="H281" s="103" t="s">
        <v>596</v>
      </c>
      <c r="I281" s="120"/>
      <c r="J281" s="120"/>
      <c r="K281" s="120"/>
      <c r="L281" s="120"/>
      <c r="M281" s="120"/>
      <c r="N281" s="120"/>
      <c r="O281" s="103" t="str">
        <f>H281</f>
        <v>2동 공 Tray Buffer MSC</v>
      </c>
      <c r="P281" s="184"/>
      <c r="Q281" s="105">
        <v>45291</v>
      </c>
      <c r="R281" s="105">
        <v>45304</v>
      </c>
      <c r="S281" s="106"/>
      <c r="T281" s="107">
        <v>22</v>
      </c>
      <c r="U281" s="107">
        <v>0</v>
      </c>
      <c r="V281" s="107">
        <v>14</v>
      </c>
      <c r="W281" s="107">
        <v>0</v>
      </c>
      <c r="X281" s="108"/>
      <c r="Y281" s="108"/>
      <c r="Z281" s="109">
        <v>0</v>
      </c>
      <c r="AA281" s="110">
        <v>0</v>
      </c>
      <c r="AB281" s="107"/>
      <c r="AC281" s="119"/>
      <c r="AD281" s="180"/>
      <c r="AE281" s="111">
        <v>0</v>
      </c>
      <c r="AF281" s="122">
        <v>0</v>
      </c>
      <c r="AG281" s="113"/>
      <c r="AH281" s="114"/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114"/>
      <c r="BC281" s="114"/>
      <c r="BD281" s="114"/>
      <c r="BE281" s="114"/>
      <c r="BF281" s="114"/>
      <c r="BG281" s="114"/>
      <c r="BH281" s="114"/>
      <c r="BI281" s="114"/>
      <c r="BJ281" s="114"/>
      <c r="BK281" s="114"/>
      <c r="BL281" s="114"/>
      <c r="BM281" s="114"/>
      <c r="BN281" s="114"/>
      <c r="BO281" s="114"/>
      <c r="BP281" s="114"/>
      <c r="BQ281" s="114"/>
      <c r="BR281" s="114"/>
      <c r="BS281" s="114"/>
      <c r="BT281" s="114"/>
      <c r="BU281" s="114"/>
      <c r="BV281" s="114"/>
      <c r="BW281" s="114"/>
      <c r="BX281" s="114"/>
      <c r="BY281" s="114"/>
      <c r="BZ281" s="114"/>
      <c r="CA281" s="114"/>
      <c r="CB281" s="114"/>
      <c r="CC281" s="114" t="str">
        <f>"" &amp; TEXT(AF281,"#0.00%") &amp; " " &amp; "2동 공 Tray Buffer MSC" &amp; " " &amp; IF(Q281="","",TEXT(Q281,"M/D-")) &amp; IF(R281="","",TEXT(R281,"M/D")) &amp; " "</f>
        <v xml:space="preserve">0.00% 2동 공 Tray Buffer MSC 12/31-1/13 </v>
      </c>
      <c r="CD281" s="114"/>
      <c r="CE281" s="114"/>
      <c r="CF281" s="114"/>
      <c r="CG281" s="114"/>
      <c r="CH281" s="114"/>
      <c r="CI281" s="114"/>
      <c r="CJ281" s="114"/>
      <c r="CK281" s="114"/>
      <c r="CL281" s="114"/>
      <c r="CM281" s="114"/>
      <c r="CN281" s="114"/>
      <c r="CO281" s="114"/>
      <c r="CP281" s="114"/>
      <c r="CQ281" s="114"/>
      <c r="CR281" s="114"/>
      <c r="CS281" s="114"/>
      <c r="CT281" s="114"/>
      <c r="CU281" s="114"/>
      <c r="CV281" s="114"/>
      <c r="CW281" s="114"/>
      <c r="CX281" s="114"/>
      <c r="CY281" s="114"/>
      <c r="CZ281" s="114"/>
      <c r="DA281" s="114"/>
      <c r="DB281" s="114"/>
      <c r="DC281" s="114"/>
      <c r="DD281" s="114"/>
      <c r="DE281" s="114"/>
      <c r="DF281" s="114"/>
      <c r="DG281" s="114"/>
      <c r="DH281" s="114"/>
      <c r="DI281" s="114"/>
      <c r="DJ281" s="114"/>
      <c r="DK281" s="114"/>
      <c r="DL281" s="114"/>
      <c r="DM281" s="114"/>
      <c r="DN281" s="114"/>
      <c r="DO281" s="114"/>
      <c r="DP281" s="114"/>
      <c r="DQ281" s="114"/>
    </row>
    <row r="282" spans="1:121" ht="15" customHeight="1" outlineLevel="4" x14ac:dyDescent="0.25">
      <c r="A282" s="101"/>
      <c r="B282" s="101"/>
      <c r="C282" s="101">
        <v>5</v>
      </c>
      <c r="D282" s="102" t="s">
        <v>733</v>
      </c>
      <c r="E282" s="103"/>
      <c r="F282" s="103"/>
      <c r="G282" s="103"/>
      <c r="H282" s="103"/>
      <c r="I282" s="120" t="s">
        <v>698</v>
      </c>
      <c r="J282" s="120"/>
      <c r="K282" s="120"/>
      <c r="L282" s="120"/>
      <c r="M282" s="120"/>
      <c r="N282" s="120"/>
      <c r="O282" s="120" t="str">
        <f>O281</f>
        <v>2동 공 Tray Buffer MSC</v>
      </c>
      <c r="P282" s="184"/>
      <c r="Q282" s="105">
        <v>45291</v>
      </c>
      <c r="R282" s="105">
        <v>45304</v>
      </c>
      <c r="S282" s="106">
        <f>R282-Q282</f>
        <v>13</v>
      </c>
      <c r="T282" s="107">
        <v>14</v>
      </c>
      <c r="U282" s="107">
        <v>0</v>
      </c>
      <c r="V282" s="107">
        <v>14</v>
      </c>
      <c r="W282" s="107">
        <v>0</v>
      </c>
      <c r="X282" s="108"/>
      <c r="Y282" s="108"/>
      <c r="Z282" s="109"/>
      <c r="AA282" s="110">
        <v>0</v>
      </c>
      <c r="AB282" s="107">
        <v>1</v>
      </c>
      <c r="AC282" s="119"/>
      <c r="AD282" s="180"/>
      <c r="AE282" s="111">
        <v>0</v>
      </c>
      <c r="AF282" s="121">
        <v>0</v>
      </c>
      <c r="AG282" s="113"/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114"/>
      <c r="BD282" s="114"/>
      <c r="BE282" s="114"/>
      <c r="BF282" s="114"/>
      <c r="BG282" s="114"/>
      <c r="BH282" s="114"/>
      <c r="BI282" s="114"/>
      <c r="BJ282" s="114"/>
      <c r="BK282" s="114"/>
      <c r="BL282" s="114"/>
      <c r="BM282" s="114"/>
      <c r="BN282" s="114"/>
      <c r="BO282" s="114"/>
      <c r="BP282" s="114"/>
      <c r="BQ282" s="114"/>
      <c r="BR282" s="114"/>
      <c r="BS282" s="114"/>
      <c r="BT282" s="114"/>
      <c r="BU282" s="114"/>
      <c r="BV282" s="114"/>
      <c r="BW282" s="114"/>
      <c r="BX282" s="114"/>
      <c r="BY282" s="114"/>
      <c r="BZ282" s="114"/>
      <c r="CA282" s="114"/>
      <c r="CB282" s="114"/>
      <c r="CC282" s="114" t="str">
        <f>"" &amp; TEXT(AF282,"#0.00%") &amp; " " &amp; "Dry Run" &amp; " " &amp; IF(Q282="","",TEXT(Q282,"M/D-")) &amp; IF(R282="","",TEXT(R282,"M/D")) &amp; " "</f>
        <v xml:space="preserve">0.00% Dry Run 12/31-1/13 </v>
      </c>
      <c r="CD282" s="114"/>
      <c r="CE282" s="114"/>
      <c r="CF282" s="114"/>
      <c r="CG282" s="114"/>
      <c r="CH282" s="114"/>
      <c r="CI282" s="114"/>
      <c r="CJ282" s="114"/>
      <c r="CK282" s="114"/>
      <c r="CL282" s="114"/>
      <c r="CM282" s="114"/>
      <c r="CN282" s="114"/>
      <c r="CO282" s="114"/>
      <c r="CP282" s="114"/>
      <c r="CQ282" s="114"/>
      <c r="CR282" s="114"/>
      <c r="CS282" s="114"/>
      <c r="CT282" s="114"/>
      <c r="CU282" s="114"/>
      <c r="CV282" s="114"/>
      <c r="CW282" s="114"/>
      <c r="CX282" s="114"/>
      <c r="CY282" s="114"/>
      <c r="CZ282" s="114"/>
      <c r="DA282" s="114"/>
      <c r="DB282" s="114"/>
      <c r="DC282" s="114"/>
      <c r="DD282" s="114"/>
      <c r="DE282" s="114"/>
      <c r="DF282" s="114"/>
      <c r="DG282" s="114"/>
      <c r="DH282" s="114"/>
      <c r="DI282" s="114"/>
      <c r="DJ282" s="114"/>
      <c r="DK282" s="114"/>
      <c r="DL282" s="114"/>
      <c r="DM282" s="114"/>
      <c r="DN282" s="114"/>
      <c r="DO282" s="114"/>
      <c r="DP282" s="114"/>
      <c r="DQ282" s="114"/>
    </row>
    <row r="283" spans="1:121" ht="15" customHeight="1" outlineLevel="4" x14ac:dyDescent="0.25">
      <c r="A283" s="101"/>
      <c r="B283" s="101"/>
      <c r="C283" s="101">
        <v>5</v>
      </c>
      <c r="D283" s="102" t="s">
        <v>734</v>
      </c>
      <c r="E283" s="103"/>
      <c r="F283" s="103"/>
      <c r="G283" s="103"/>
      <c r="H283" s="103"/>
      <c r="I283" s="120" t="s">
        <v>270</v>
      </c>
      <c r="J283" s="120"/>
      <c r="K283" s="120"/>
      <c r="L283" s="120"/>
      <c r="M283" s="120"/>
      <c r="N283" s="120"/>
      <c r="O283" s="120" t="str">
        <f>O282</f>
        <v>2동 공 Tray Buffer MSC</v>
      </c>
      <c r="P283" s="184"/>
      <c r="Q283" s="105">
        <v>45297</v>
      </c>
      <c r="R283" s="105">
        <v>45304</v>
      </c>
      <c r="S283" s="106">
        <f>R283-Q283</f>
        <v>7</v>
      </c>
      <c r="T283" s="107">
        <v>8</v>
      </c>
      <c r="U283" s="107">
        <v>0</v>
      </c>
      <c r="V283" s="107">
        <v>8</v>
      </c>
      <c r="W283" s="107">
        <v>0</v>
      </c>
      <c r="X283" s="108"/>
      <c r="Y283" s="108"/>
      <c r="Z283" s="109"/>
      <c r="AA283" s="110">
        <v>0</v>
      </c>
      <c r="AB283" s="107">
        <v>1</v>
      </c>
      <c r="AC283" s="119"/>
      <c r="AD283" s="180"/>
      <c r="AE283" s="111">
        <v>0</v>
      </c>
      <c r="AF283" s="121">
        <v>0</v>
      </c>
      <c r="AG283" s="113"/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  <c r="BI283" s="114"/>
      <c r="BJ283" s="114"/>
      <c r="BK283" s="114"/>
      <c r="BL283" s="114"/>
      <c r="BM283" s="114"/>
      <c r="BN283" s="114"/>
      <c r="BO283" s="114"/>
      <c r="BP283" s="114"/>
      <c r="BQ283" s="114"/>
      <c r="BR283" s="114"/>
      <c r="BS283" s="114"/>
      <c r="BT283" s="114"/>
      <c r="BU283" s="114"/>
      <c r="BV283" s="114"/>
      <c r="BW283" s="114"/>
      <c r="BX283" s="114"/>
      <c r="BY283" s="114"/>
      <c r="BZ283" s="114"/>
      <c r="CA283" s="114"/>
      <c r="CB283" s="114"/>
      <c r="CC283" s="114" t="str">
        <f>"      " &amp; TEXT(AF283,"#0.00%") &amp; " " &amp; "FAT" &amp; " " &amp; IF(Q283="","",TEXT(Q283,"M/D-")) &amp; IF(R283="","",TEXT(R283,"M/D")) &amp; " "</f>
        <v xml:space="preserve">      0.00% FAT 1/6-1/13 </v>
      </c>
      <c r="CD283" s="114"/>
      <c r="CE283" s="114"/>
      <c r="CF283" s="114"/>
      <c r="CG283" s="114"/>
      <c r="CH283" s="114"/>
      <c r="CI283" s="114"/>
      <c r="CJ283" s="114"/>
      <c r="CK283" s="114"/>
      <c r="CL283" s="114"/>
      <c r="CM283" s="114"/>
      <c r="CN283" s="114"/>
      <c r="CO283" s="114"/>
      <c r="CP283" s="114"/>
      <c r="CQ283" s="114"/>
      <c r="CR283" s="114"/>
      <c r="CS283" s="114"/>
      <c r="CT283" s="114"/>
      <c r="CU283" s="114"/>
      <c r="CV283" s="114"/>
      <c r="CW283" s="114"/>
      <c r="CX283" s="114"/>
      <c r="CY283" s="114"/>
      <c r="CZ283" s="114"/>
      <c r="DA283" s="114"/>
      <c r="DB283" s="114"/>
      <c r="DC283" s="114"/>
      <c r="DD283" s="114"/>
      <c r="DE283" s="114"/>
      <c r="DF283" s="114"/>
      <c r="DG283" s="114"/>
      <c r="DH283" s="114"/>
      <c r="DI283" s="114"/>
      <c r="DJ283" s="114"/>
      <c r="DK283" s="114"/>
      <c r="DL283" s="114"/>
      <c r="DM283" s="114"/>
      <c r="DN283" s="114"/>
      <c r="DO283" s="114"/>
      <c r="DP283" s="114"/>
      <c r="DQ283" s="114"/>
    </row>
    <row r="284" spans="1:121" ht="15" customHeight="1" outlineLevel="2" x14ac:dyDescent="0.25">
      <c r="A284" s="101"/>
      <c r="B284" s="101" t="s">
        <v>153</v>
      </c>
      <c r="C284" s="101">
        <v>3</v>
      </c>
      <c r="D284" s="102" t="s">
        <v>735</v>
      </c>
      <c r="E284" s="103"/>
      <c r="F284" s="103"/>
      <c r="G284" s="103" t="s">
        <v>599</v>
      </c>
      <c r="H284" s="103"/>
      <c r="I284" s="120"/>
      <c r="J284" s="120"/>
      <c r="K284" s="120"/>
      <c r="L284" s="120"/>
      <c r="M284" s="120"/>
      <c r="N284" s="120"/>
      <c r="O284" s="194" t="str">
        <f>G284</f>
        <v>1동 Conveyor &amp; Deck</v>
      </c>
      <c r="P284" s="185"/>
      <c r="Q284" s="105">
        <v>45170</v>
      </c>
      <c r="R284" s="105">
        <v>45235</v>
      </c>
      <c r="S284" s="106"/>
      <c r="T284" s="107">
        <v>148</v>
      </c>
      <c r="U284" s="107">
        <v>0</v>
      </c>
      <c r="V284" s="107">
        <v>66</v>
      </c>
      <c r="W284" s="107">
        <v>0</v>
      </c>
      <c r="X284" s="108"/>
      <c r="Y284" s="108"/>
      <c r="Z284" s="109">
        <v>0</v>
      </c>
      <c r="AA284" s="110">
        <v>0</v>
      </c>
      <c r="AB284" s="107"/>
      <c r="AC284" s="106"/>
      <c r="AD284" s="180"/>
      <c r="AE284" s="111">
        <v>0</v>
      </c>
      <c r="AF284" s="122">
        <v>0</v>
      </c>
      <c r="AG284" s="113"/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  <c r="BI284" s="114"/>
      <c r="BJ284" s="114"/>
      <c r="BK284" s="114" t="str">
        <f>"     " &amp; TEXT(AF284,"#0.00%") &amp; " "</f>
        <v xml:space="preserve">     0.00% </v>
      </c>
      <c r="BL284" s="114"/>
      <c r="BM284" s="114"/>
      <c r="BN284" s="114"/>
      <c r="BO284" s="114"/>
      <c r="BP284" s="114"/>
      <c r="BQ284" s="114"/>
      <c r="BR284" s="114"/>
      <c r="BS284" s="114"/>
      <c r="BT284" s="114"/>
      <c r="BU284" s="114" t="str">
        <f>" " &amp; "1동 Conveyor &amp; Deck" &amp; " " &amp; IF(Q284="","",TEXT(Q284,"M/D-")) &amp; IF(R284="","",TEXT(R284,"M/D")) &amp; " "</f>
        <v xml:space="preserve"> 1동 Conveyor &amp; Deck 9/1-11/5 </v>
      </c>
      <c r="BV284" s="114"/>
      <c r="BW284" s="114"/>
      <c r="BX284" s="114"/>
      <c r="BY284" s="114"/>
      <c r="BZ284" s="114"/>
      <c r="CA284" s="114"/>
      <c r="CB284" s="114"/>
      <c r="CC284" s="114"/>
      <c r="CD284" s="114"/>
      <c r="CE284" s="114"/>
      <c r="CF284" s="114"/>
      <c r="CG284" s="114"/>
      <c r="CH284" s="114"/>
      <c r="CI284" s="114"/>
      <c r="CJ284" s="114"/>
      <c r="CK284" s="114"/>
      <c r="CL284" s="114"/>
      <c r="CM284" s="114"/>
      <c r="CN284" s="114"/>
      <c r="CO284" s="114"/>
      <c r="CP284" s="114"/>
      <c r="CQ284" s="114"/>
      <c r="CR284" s="114"/>
      <c r="CS284" s="114"/>
      <c r="CT284" s="114"/>
      <c r="CU284" s="114"/>
      <c r="CV284" s="114"/>
      <c r="CW284" s="114"/>
      <c r="CX284" s="114"/>
      <c r="CY284" s="114"/>
      <c r="CZ284" s="114"/>
      <c r="DA284" s="114"/>
      <c r="DB284" s="114"/>
      <c r="DC284" s="114"/>
      <c r="DD284" s="114"/>
      <c r="DE284" s="114"/>
      <c r="DF284" s="114"/>
      <c r="DG284" s="114"/>
      <c r="DH284" s="114"/>
      <c r="DI284" s="114"/>
      <c r="DJ284" s="114"/>
      <c r="DK284" s="114"/>
      <c r="DL284" s="114"/>
      <c r="DM284" s="114"/>
      <c r="DN284" s="114"/>
      <c r="DO284" s="114"/>
      <c r="DP284" s="114"/>
      <c r="DQ284" s="114"/>
    </row>
    <row r="285" spans="1:121" ht="15" customHeight="1" outlineLevel="3" x14ac:dyDescent="0.25">
      <c r="A285" s="101"/>
      <c r="B285" s="101" t="s">
        <v>153</v>
      </c>
      <c r="C285" s="101">
        <v>4</v>
      </c>
      <c r="D285" s="102" t="s">
        <v>736</v>
      </c>
      <c r="E285" s="103"/>
      <c r="F285" s="103"/>
      <c r="G285" s="103"/>
      <c r="H285" s="103" t="s">
        <v>601</v>
      </c>
      <c r="I285" s="120"/>
      <c r="J285" s="120"/>
      <c r="K285" s="120"/>
      <c r="L285" s="120"/>
      <c r="M285" s="120"/>
      <c r="N285" s="120"/>
      <c r="O285" s="194" t="str">
        <f>H285</f>
        <v>1동 조립동 CV</v>
      </c>
      <c r="P285" s="185"/>
      <c r="Q285" s="105">
        <v>45200</v>
      </c>
      <c r="R285" s="105">
        <v>45214</v>
      </c>
      <c r="S285" s="106"/>
      <c r="T285" s="107">
        <v>24</v>
      </c>
      <c r="U285" s="107">
        <v>0</v>
      </c>
      <c r="V285" s="107">
        <v>15</v>
      </c>
      <c r="W285" s="107">
        <v>0</v>
      </c>
      <c r="X285" s="108"/>
      <c r="Y285" s="108"/>
      <c r="Z285" s="109">
        <v>0</v>
      </c>
      <c r="AA285" s="110">
        <v>0</v>
      </c>
      <c r="AB285" s="107"/>
      <c r="AC285" s="106"/>
      <c r="AD285" s="180"/>
      <c r="AE285" s="111">
        <v>0</v>
      </c>
      <c r="AF285" s="122">
        <v>0</v>
      </c>
      <c r="AG285" s="113"/>
      <c r="AH285" s="114"/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  <c r="BI285" s="114"/>
      <c r="BJ285" s="114"/>
      <c r="BK285" s="114"/>
      <c r="BL285" s="114"/>
      <c r="BM285" s="114"/>
      <c r="BN285" s="114"/>
      <c r="BO285" s="114"/>
      <c r="BP285" s="114" t="str">
        <f>"" &amp; TEXT(AF285,"#0.00%") &amp; " " &amp; "1동 조립동 CV" &amp; " " &amp; IF(Q285="","",TEXT(Q285,"M/D-")) &amp; IF(R285="","",TEXT(R285,"M/D")) &amp; " "</f>
        <v xml:space="preserve">0.00% 1동 조립동 CV 10/1-10/15 </v>
      </c>
      <c r="BQ285" s="114"/>
      <c r="BR285" s="114"/>
      <c r="BS285" s="114"/>
      <c r="BT285" s="114"/>
      <c r="BU285" s="114"/>
      <c r="BV285" s="114"/>
      <c r="BW285" s="114"/>
      <c r="BX285" s="114"/>
      <c r="BY285" s="114"/>
      <c r="BZ285" s="114"/>
      <c r="CA285" s="114"/>
      <c r="CB285" s="114"/>
      <c r="CC285" s="114"/>
      <c r="CD285" s="114"/>
      <c r="CE285" s="114"/>
      <c r="CF285" s="114"/>
      <c r="CG285" s="114"/>
      <c r="CH285" s="114"/>
      <c r="CI285" s="114"/>
      <c r="CJ285" s="114"/>
      <c r="CK285" s="114"/>
      <c r="CL285" s="114"/>
      <c r="CM285" s="114"/>
      <c r="CN285" s="114"/>
      <c r="CO285" s="114"/>
      <c r="CP285" s="114"/>
      <c r="CQ285" s="114"/>
      <c r="CR285" s="114"/>
      <c r="CS285" s="114"/>
      <c r="CT285" s="114"/>
      <c r="CU285" s="114"/>
      <c r="CV285" s="114"/>
      <c r="CW285" s="114"/>
      <c r="CX285" s="114"/>
      <c r="CY285" s="114"/>
      <c r="CZ285" s="114"/>
      <c r="DA285" s="114"/>
      <c r="DB285" s="114"/>
      <c r="DC285" s="114"/>
      <c r="DD285" s="114"/>
      <c r="DE285" s="114"/>
      <c r="DF285" s="114"/>
      <c r="DG285" s="114"/>
      <c r="DH285" s="114"/>
      <c r="DI285" s="114"/>
      <c r="DJ285" s="114"/>
      <c r="DK285" s="114"/>
      <c r="DL285" s="114"/>
      <c r="DM285" s="114"/>
      <c r="DN285" s="114"/>
      <c r="DO285" s="114"/>
      <c r="DP285" s="114"/>
      <c r="DQ285" s="114"/>
    </row>
    <row r="286" spans="1:121" ht="15" customHeight="1" outlineLevel="4" x14ac:dyDescent="0.25">
      <c r="A286" s="101"/>
      <c r="B286" s="101"/>
      <c r="C286" s="101">
        <v>5</v>
      </c>
      <c r="D286" s="102" t="s">
        <v>737</v>
      </c>
      <c r="E286" s="103"/>
      <c r="F286" s="103"/>
      <c r="G286" s="103"/>
      <c r="H286" s="103"/>
      <c r="I286" s="120" t="s">
        <v>698</v>
      </c>
      <c r="J286" s="120"/>
      <c r="K286" s="120"/>
      <c r="L286" s="120"/>
      <c r="M286" s="120"/>
      <c r="N286" s="120"/>
      <c r="O286" s="120" t="str">
        <f>O285</f>
        <v>1동 조립동 CV</v>
      </c>
      <c r="P286" s="185"/>
      <c r="Q286" s="105">
        <v>45200</v>
      </c>
      <c r="R286" s="105">
        <v>45214</v>
      </c>
      <c r="S286" s="106">
        <f>R286-Q286</f>
        <v>14</v>
      </c>
      <c r="T286" s="107">
        <v>15</v>
      </c>
      <c r="U286" s="107">
        <v>0</v>
      </c>
      <c r="V286" s="107">
        <v>15</v>
      </c>
      <c r="W286" s="107">
        <v>0</v>
      </c>
      <c r="X286" s="108"/>
      <c r="Y286" s="108"/>
      <c r="Z286" s="109"/>
      <c r="AA286" s="110">
        <v>0</v>
      </c>
      <c r="AB286" s="107">
        <v>1</v>
      </c>
      <c r="AC286" s="106"/>
      <c r="AD286" s="180"/>
      <c r="AE286" s="111">
        <v>0</v>
      </c>
      <c r="AF286" s="121">
        <v>0</v>
      </c>
      <c r="AG286" s="113"/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  <c r="BI286" s="114"/>
      <c r="BJ286" s="114"/>
      <c r="BK286" s="114"/>
      <c r="BL286" s="114"/>
      <c r="BM286" s="114"/>
      <c r="BN286" s="114"/>
      <c r="BO286" s="114"/>
      <c r="BP286" s="114" t="str">
        <f>"" &amp; TEXT(AF286,"#0.00%") &amp; " " &amp; "Dry Run" &amp; " " &amp; IF(Q286="","",TEXT(Q286,"M/D-")) &amp; IF(R286="","",TEXT(R286,"M/D")) &amp; " "</f>
        <v xml:space="preserve">0.00% Dry Run 10/1-10/15 </v>
      </c>
      <c r="BQ286" s="114"/>
      <c r="BR286" s="114"/>
      <c r="BS286" s="114"/>
      <c r="BT286" s="114"/>
      <c r="BU286" s="114"/>
      <c r="BV286" s="114"/>
      <c r="BW286" s="114"/>
      <c r="BX286" s="114"/>
      <c r="BY286" s="114"/>
      <c r="BZ286" s="114"/>
      <c r="CA286" s="114"/>
      <c r="CB286" s="114"/>
      <c r="CC286" s="114"/>
      <c r="CD286" s="114"/>
      <c r="CE286" s="114"/>
      <c r="CF286" s="114"/>
      <c r="CG286" s="114"/>
      <c r="CH286" s="114"/>
      <c r="CI286" s="114"/>
      <c r="CJ286" s="114"/>
      <c r="CK286" s="114"/>
      <c r="CL286" s="114"/>
      <c r="CM286" s="114"/>
      <c r="CN286" s="114"/>
      <c r="CO286" s="114"/>
      <c r="CP286" s="114"/>
      <c r="CQ286" s="114"/>
      <c r="CR286" s="114"/>
      <c r="CS286" s="114"/>
      <c r="CT286" s="114"/>
      <c r="CU286" s="114"/>
      <c r="CV286" s="114"/>
      <c r="CW286" s="114"/>
      <c r="CX286" s="114"/>
      <c r="CY286" s="114"/>
      <c r="CZ286" s="114"/>
      <c r="DA286" s="114"/>
      <c r="DB286" s="114"/>
      <c r="DC286" s="114"/>
      <c r="DD286" s="114"/>
      <c r="DE286" s="114"/>
      <c r="DF286" s="114"/>
      <c r="DG286" s="114"/>
      <c r="DH286" s="114"/>
      <c r="DI286" s="114"/>
      <c r="DJ286" s="114"/>
      <c r="DK286" s="114"/>
      <c r="DL286" s="114"/>
      <c r="DM286" s="114"/>
      <c r="DN286" s="114"/>
      <c r="DO286" s="114"/>
      <c r="DP286" s="114"/>
      <c r="DQ286" s="114"/>
    </row>
    <row r="287" spans="1:121" ht="15" customHeight="1" outlineLevel="4" x14ac:dyDescent="0.25">
      <c r="A287" s="101"/>
      <c r="B287" s="101"/>
      <c r="C287" s="101">
        <v>5</v>
      </c>
      <c r="D287" s="102" t="s">
        <v>738</v>
      </c>
      <c r="E287" s="103"/>
      <c r="F287" s="103"/>
      <c r="G287" s="103"/>
      <c r="H287" s="103"/>
      <c r="I287" s="120" t="s">
        <v>270</v>
      </c>
      <c r="J287" s="120"/>
      <c r="K287" s="120"/>
      <c r="L287" s="120"/>
      <c r="M287" s="120"/>
      <c r="N287" s="120"/>
      <c r="O287" s="120" t="str">
        <f>O286</f>
        <v>1동 조립동 CV</v>
      </c>
      <c r="P287" s="185"/>
      <c r="Q287" s="105">
        <v>45206</v>
      </c>
      <c r="R287" s="105">
        <v>45214</v>
      </c>
      <c r="S287" s="106">
        <f>R287-Q287</f>
        <v>8</v>
      </c>
      <c r="T287" s="107">
        <v>9</v>
      </c>
      <c r="U287" s="107">
        <v>0</v>
      </c>
      <c r="V287" s="107">
        <v>9</v>
      </c>
      <c r="W287" s="107">
        <v>0</v>
      </c>
      <c r="X287" s="108"/>
      <c r="Y287" s="108"/>
      <c r="Z287" s="109"/>
      <c r="AA287" s="110">
        <v>0</v>
      </c>
      <c r="AB287" s="107">
        <v>1</v>
      </c>
      <c r="AC287" s="106"/>
      <c r="AD287" s="180"/>
      <c r="AE287" s="111">
        <v>0</v>
      </c>
      <c r="AF287" s="121">
        <v>0</v>
      </c>
      <c r="AG287" s="113"/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  <c r="BI287" s="114"/>
      <c r="BJ287" s="114"/>
      <c r="BK287" s="114"/>
      <c r="BL287" s="114"/>
      <c r="BM287" s="114"/>
      <c r="BN287" s="114"/>
      <c r="BO287" s="114"/>
      <c r="BP287" s="114" t="str">
        <f>"      " &amp; TEXT(AF287,"#0.00%") &amp; " " &amp; "FAT" &amp; " " &amp; IF(Q287="","",TEXT(Q287,"M/D-")) &amp; IF(R287="","",TEXT(R287,"M/D")) &amp; " "</f>
        <v xml:space="preserve">      0.00% FAT 10/7-10/15 </v>
      </c>
      <c r="BQ287" s="114"/>
      <c r="BR287" s="114"/>
      <c r="BS287" s="114"/>
      <c r="BT287" s="114"/>
      <c r="BU287" s="114"/>
      <c r="BV287" s="114"/>
      <c r="BW287" s="114"/>
      <c r="BX287" s="114"/>
      <c r="BY287" s="114"/>
      <c r="BZ287" s="114"/>
      <c r="CA287" s="114"/>
      <c r="CB287" s="114"/>
      <c r="CC287" s="114"/>
      <c r="CD287" s="114"/>
      <c r="CE287" s="114"/>
      <c r="CF287" s="114"/>
      <c r="CG287" s="114"/>
      <c r="CH287" s="114"/>
      <c r="CI287" s="114"/>
      <c r="CJ287" s="114"/>
      <c r="CK287" s="114"/>
      <c r="CL287" s="114"/>
      <c r="CM287" s="114"/>
      <c r="CN287" s="114"/>
      <c r="CO287" s="114"/>
      <c r="CP287" s="114"/>
      <c r="CQ287" s="114"/>
      <c r="CR287" s="114"/>
      <c r="CS287" s="114"/>
      <c r="CT287" s="114"/>
      <c r="CU287" s="114"/>
      <c r="CV287" s="114"/>
      <c r="CW287" s="114"/>
      <c r="CX287" s="114"/>
      <c r="CY287" s="114"/>
      <c r="CZ287" s="114"/>
      <c r="DA287" s="114"/>
      <c r="DB287" s="114"/>
      <c r="DC287" s="114"/>
      <c r="DD287" s="114"/>
      <c r="DE287" s="114"/>
      <c r="DF287" s="114"/>
      <c r="DG287" s="114"/>
      <c r="DH287" s="114"/>
      <c r="DI287" s="114"/>
      <c r="DJ287" s="114"/>
      <c r="DK287" s="114"/>
      <c r="DL287" s="114"/>
      <c r="DM287" s="114"/>
      <c r="DN287" s="114"/>
      <c r="DO287" s="114"/>
      <c r="DP287" s="114"/>
      <c r="DQ287" s="114"/>
    </row>
    <row r="288" spans="1:121" ht="15" customHeight="1" outlineLevel="3" x14ac:dyDescent="0.25">
      <c r="A288" s="101"/>
      <c r="B288" s="101" t="s">
        <v>153</v>
      </c>
      <c r="C288" s="101">
        <v>4</v>
      </c>
      <c r="D288" s="102" t="s">
        <v>739</v>
      </c>
      <c r="E288" s="103"/>
      <c r="F288" s="103"/>
      <c r="G288" s="103"/>
      <c r="H288" s="103" t="s">
        <v>607</v>
      </c>
      <c r="I288" s="120"/>
      <c r="J288" s="120"/>
      <c r="K288" s="120"/>
      <c r="L288" s="120"/>
      <c r="M288" s="120"/>
      <c r="N288" s="120"/>
      <c r="O288" s="194" t="str">
        <f>H288</f>
        <v>1동 1F PPC CV</v>
      </c>
      <c r="P288" s="185"/>
      <c r="Q288" s="105">
        <v>45170</v>
      </c>
      <c r="R288" s="105">
        <v>45184</v>
      </c>
      <c r="S288" s="106"/>
      <c r="T288" s="107">
        <v>24</v>
      </c>
      <c r="U288" s="107">
        <v>0</v>
      </c>
      <c r="V288" s="107">
        <v>15</v>
      </c>
      <c r="W288" s="107">
        <v>0</v>
      </c>
      <c r="X288" s="108"/>
      <c r="Y288" s="108"/>
      <c r="Z288" s="109">
        <v>0</v>
      </c>
      <c r="AA288" s="110">
        <v>0</v>
      </c>
      <c r="AB288" s="107"/>
      <c r="AC288" s="106"/>
      <c r="AD288" s="180"/>
      <c r="AE288" s="111">
        <v>0</v>
      </c>
      <c r="AF288" s="122">
        <v>0</v>
      </c>
      <c r="AG288" s="113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 t="str">
        <f>"     " &amp; TEXT(AF288,"#0.00%") &amp; " " &amp; "1동 1F PPC CV" &amp; " " &amp; IF(Q288="","",TEXT(Q288,"M/D-")) &amp; IF(R288="","",TEXT(R288,"M/D")) &amp; " "</f>
        <v xml:space="preserve">     0.00% 1동 1F PPC CV 9/1-9/15 </v>
      </c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W288" s="114"/>
      <c r="BX288" s="114"/>
      <c r="BY288" s="114"/>
      <c r="BZ288" s="114"/>
      <c r="CA288" s="114"/>
      <c r="CB288" s="114"/>
      <c r="CC288" s="114"/>
      <c r="CD288" s="114"/>
      <c r="CE288" s="114"/>
      <c r="CF288" s="114"/>
      <c r="CG288" s="114"/>
      <c r="CH288" s="114"/>
      <c r="CI288" s="114"/>
      <c r="CJ288" s="114"/>
      <c r="CK288" s="114"/>
      <c r="CL288" s="114"/>
      <c r="CM288" s="114"/>
      <c r="CN288" s="114"/>
      <c r="CO288" s="114"/>
      <c r="CP288" s="114"/>
      <c r="CQ288" s="114"/>
      <c r="CR288" s="114"/>
      <c r="CS288" s="114"/>
      <c r="CT288" s="114"/>
      <c r="CU288" s="114"/>
      <c r="CV288" s="114"/>
      <c r="CW288" s="114"/>
      <c r="CX288" s="114"/>
      <c r="CY288" s="114"/>
      <c r="CZ288" s="114"/>
      <c r="DA288" s="114"/>
      <c r="DB288" s="114"/>
      <c r="DC288" s="114"/>
      <c r="DD288" s="114"/>
      <c r="DE288" s="114"/>
      <c r="DF288" s="114"/>
      <c r="DG288" s="114"/>
      <c r="DH288" s="114"/>
      <c r="DI288" s="114"/>
      <c r="DJ288" s="114"/>
      <c r="DK288" s="114"/>
      <c r="DL288" s="114"/>
      <c r="DM288" s="114"/>
      <c r="DN288" s="114"/>
      <c r="DO288" s="114"/>
      <c r="DP288" s="114"/>
      <c r="DQ288" s="114"/>
    </row>
    <row r="289" spans="1:121" ht="15" customHeight="1" outlineLevel="4" x14ac:dyDescent="0.25">
      <c r="A289" s="101"/>
      <c r="B289" s="101"/>
      <c r="C289" s="101">
        <v>5</v>
      </c>
      <c r="D289" s="102" t="s">
        <v>740</v>
      </c>
      <c r="E289" s="103"/>
      <c r="F289" s="103"/>
      <c r="G289" s="103"/>
      <c r="H289" s="103"/>
      <c r="I289" s="120" t="s">
        <v>698</v>
      </c>
      <c r="J289" s="120"/>
      <c r="K289" s="120"/>
      <c r="L289" s="120"/>
      <c r="M289" s="120"/>
      <c r="N289" s="120"/>
      <c r="O289" s="120" t="str">
        <f>O288</f>
        <v>1동 1F PPC CV</v>
      </c>
      <c r="P289" s="185"/>
      <c r="Q289" s="105">
        <v>45170</v>
      </c>
      <c r="R289" s="105">
        <v>45184</v>
      </c>
      <c r="S289" s="106">
        <f>R289-Q289</f>
        <v>14</v>
      </c>
      <c r="T289" s="107">
        <v>15</v>
      </c>
      <c r="U289" s="107">
        <v>0</v>
      </c>
      <c r="V289" s="107">
        <v>15</v>
      </c>
      <c r="W289" s="107">
        <v>0</v>
      </c>
      <c r="X289" s="108"/>
      <c r="Y289" s="108"/>
      <c r="Z289" s="109"/>
      <c r="AA289" s="110">
        <v>0</v>
      </c>
      <c r="AB289" s="107">
        <v>1</v>
      </c>
      <c r="AC289" s="106"/>
      <c r="AD289" s="180"/>
      <c r="AE289" s="111">
        <v>0</v>
      </c>
      <c r="AF289" s="121">
        <v>0</v>
      </c>
      <c r="AG289" s="113"/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  <c r="BI289" s="114"/>
      <c r="BJ289" s="114"/>
      <c r="BK289" s="114" t="str">
        <f>"     " &amp; TEXT(AF289,"#0.00%") &amp; " " &amp; "Dry Run" &amp; " " &amp; IF(Q289="","",TEXT(Q289,"M/D-")) &amp; IF(R289="","",TEXT(R289,"M/D")) &amp; " "</f>
        <v xml:space="preserve">     0.00% Dry Run 9/1-9/15 </v>
      </c>
      <c r="BL289" s="114"/>
      <c r="BM289" s="114"/>
      <c r="BN289" s="114"/>
      <c r="BO289" s="114"/>
      <c r="BP289" s="114"/>
      <c r="BQ289" s="114"/>
      <c r="BR289" s="114"/>
      <c r="BS289" s="114"/>
      <c r="BT289" s="114"/>
      <c r="BU289" s="114"/>
      <c r="BV289" s="114"/>
      <c r="BW289" s="114"/>
      <c r="BX289" s="114"/>
      <c r="BY289" s="114"/>
      <c r="BZ289" s="114"/>
      <c r="CA289" s="114"/>
      <c r="CB289" s="114"/>
      <c r="CC289" s="114"/>
      <c r="CD289" s="114"/>
      <c r="CE289" s="114"/>
      <c r="CF289" s="114"/>
      <c r="CG289" s="114"/>
      <c r="CH289" s="114"/>
      <c r="CI289" s="114"/>
      <c r="CJ289" s="114"/>
      <c r="CK289" s="114"/>
      <c r="CL289" s="114"/>
      <c r="CM289" s="114"/>
      <c r="CN289" s="114"/>
      <c r="CO289" s="114"/>
      <c r="CP289" s="114"/>
      <c r="CQ289" s="114"/>
      <c r="CR289" s="114"/>
      <c r="CS289" s="114"/>
      <c r="CT289" s="114"/>
      <c r="CU289" s="114"/>
      <c r="CV289" s="114"/>
      <c r="CW289" s="114"/>
      <c r="CX289" s="114"/>
      <c r="CY289" s="114"/>
      <c r="CZ289" s="114"/>
      <c r="DA289" s="114"/>
      <c r="DB289" s="114"/>
      <c r="DC289" s="114"/>
      <c r="DD289" s="114"/>
      <c r="DE289" s="114"/>
      <c r="DF289" s="114"/>
      <c r="DG289" s="114"/>
      <c r="DH289" s="114"/>
      <c r="DI289" s="114"/>
      <c r="DJ289" s="114"/>
      <c r="DK289" s="114"/>
      <c r="DL289" s="114"/>
      <c r="DM289" s="114"/>
      <c r="DN289" s="114"/>
      <c r="DO289" s="114"/>
      <c r="DP289" s="114"/>
      <c r="DQ289" s="114"/>
    </row>
    <row r="290" spans="1:121" ht="15" customHeight="1" outlineLevel="4" x14ac:dyDescent="0.25">
      <c r="A290" s="101"/>
      <c r="B290" s="101"/>
      <c r="C290" s="101">
        <v>5</v>
      </c>
      <c r="D290" s="102" t="s">
        <v>741</v>
      </c>
      <c r="E290" s="103"/>
      <c r="F290" s="103"/>
      <c r="G290" s="103"/>
      <c r="H290" s="103"/>
      <c r="I290" s="120" t="s">
        <v>270</v>
      </c>
      <c r="J290" s="120"/>
      <c r="K290" s="120"/>
      <c r="L290" s="120"/>
      <c r="M290" s="120"/>
      <c r="N290" s="120"/>
      <c r="O290" s="120" t="str">
        <f>O289</f>
        <v>1동 1F PPC CV</v>
      </c>
      <c r="P290" s="185"/>
      <c r="Q290" s="105">
        <v>45176</v>
      </c>
      <c r="R290" s="105">
        <v>45184</v>
      </c>
      <c r="S290" s="106">
        <f>R290-Q290</f>
        <v>8</v>
      </c>
      <c r="T290" s="107">
        <v>9</v>
      </c>
      <c r="U290" s="107">
        <v>0</v>
      </c>
      <c r="V290" s="107">
        <v>9</v>
      </c>
      <c r="W290" s="107">
        <v>0</v>
      </c>
      <c r="X290" s="108"/>
      <c r="Y290" s="108"/>
      <c r="Z290" s="109"/>
      <c r="AA290" s="110">
        <v>0</v>
      </c>
      <c r="AB290" s="107">
        <v>1</v>
      </c>
      <c r="AC290" s="106"/>
      <c r="AD290" s="180"/>
      <c r="AE290" s="111">
        <v>0</v>
      </c>
      <c r="AF290" s="121">
        <v>0</v>
      </c>
      <c r="AG290" s="113"/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/>
      <c r="BF290" s="114"/>
      <c r="BG290" s="114"/>
      <c r="BH290" s="114"/>
      <c r="BI290" s="114"/>
      <c r="BJ290" s="114"/>
      <c r="BK290" s="114"/>
      <c r="BL290" s="114" t="str">
        <f>"    " &amp; TEXT(AF290,"#0.00%") &amp; " " &amp; "FAT" &amp; " " &amp; IF(Q290="","",TEXT(Q290,"M/D-")) &amp; IF(R290="","",TEXT(R290,"M/D")) &amp; " "</f>
        <v xml:space="preserve">    0.00% FAT 9/7-9/15 </v>
      </c>
      <c r="BM290" s="114"/>
      <c r="BN290" s="114"/>
      <c r="BO290" s="114"/>
      <c r="BP290" s="114"/>
      <c r="BQ290" s="114"/>
      <c r="BR290" s="114"/>
      <c r="BS290" s="114"/>
      <c r="BT290" s="114"/>
      <c r="BU290" s="114"/>
      <c r="BV290" s="114"/>
      <c r="BW290" s="114"/>
      <c r="BX290" s="114"/>
      <c r="BY290" s="114"/>
      <c r="BZ290" s="114"/>
      <c r="CA290" s="114"/>
      <c r="CB290" s="114"/>
      <c r="CC290" s="114"/>
      <c r="CD290" s="114"/>
      <c r="CE290" s="114"/>
      <c r="CF290" s="114"/>
      <c r="CG290" s="114"/>
      <c r="CH290" s="114"/>
      <c r="CI290" s="114"/>
      <c r="CJ290" s="114"/>
      <c r="CK290" s="114"/>
      <c r="CL290" s="114"/>
      <c r="CM290" s="114"/>
      <c r="CN290" s="114"/>
      <c r="CO290" s="114"/>
      <c r="CP290" s="114"/>
      <c r="CQ290" s="114"/>
      <c r="CR290" s="114"/>
      <c r="CS290" s="114"/>
      <c r="CT290" s="114"/>
      <c r="CU290" s="114"/>
      <c r="CV290" s="114"/>
      <c r="CW290" s="114"/>
      <c r="CX290" s="114"/>
      <c r="CY290" s="114"/>
      <c r="CZ290" s="114"/>
      <c r="DA290" s="114"/>
      <c r="DB290" s="114"/>
      <c r="DC290" s="114"/>
      <c r="DD290" s="114"/>
      <c r="DE290" s="114"/>
      <c r="DF290" s="114"/>
      <c r="DG290" s="114"/>
      <c r="DH290" s="114"/>
      <c r="DI290" s="114"/>
      <c r="DJ290" s="114"/>
      <c r="DK290" s="114"/>
      <c r="DL290" s="114"/>
      <c r="DM290" s="114"/>
      <c r="DN290" s="114"/>
      <c r="DO290" s="114"/>
      <c r="DP290" s="114"/>
      <c r="DQ290" s="114"/>
    </row>
    <row r="291" spans="1:121" ht="15" customHeight="1" outlineLevel="3" x14ac:dyDescent="0.25">
      <c r="A291" s="101"/>
      <c r="B291" s="101" t="s">
        <v>153</v>
      </c>
      <c r="C291" s="101">
        <v>4</v>
      </c>
      <c r="D291" s="102" t="s">
        <v>742</v>
      </c>
      <c r="E291" s="103"/>
      <c r="F291" s="103"/>
      <c r="G291" s="103"/>
      <c r="H291" s="103" t="s">
        <v>613</v>
      </c>
      <c r="I291" s="120"/>
      <c r="J291" s="120"/>
      <c r="K291" s="120"/>
      <c r="L291" s="120"/>
      <c r="M291" s="120"/>
      <c r="N291" s="120"/>
      <c r="O291" s="194" t="str">
        <f>H291</f>
        <v>1동 1F 충방전 CV</v>
      </c>
      <c r="P291" s="185"/>
      <c r="Q291" s="105">
        <v>45170</v>
      </c>
      <c r="R291" s="105">
        <v>45184</v>
      </c>
      <c r="S291" s="106"/>
      <c r="T291" s="107">
        <v>24</v>
      </c>
      <c r="U291" s="107">
        <v>0</v>
      </c>
      <c r="V291" s="107">
        <v>15</v>
      </c>
      <c r="W291" s="107">
        <v>0</v>
      </c>
      <c r="X291" s="108"/>
      <c r="Y291" s="108"/>
      <c r="Z291" s="109">
        <v>0</v>
      </c>
      <c r="AA291" s="110">
        <v>0</v>
      </c>
      <c r="AB291" s="107"/>
      <c r="AC291" s="106"/>
      <c r="AD291" s="180"/>
      <c r="AE291" s="111">
        <v>0</v>
      </c>
      <c r="AF291" s="122">
        <v>0</v>
      </c>
      <c r="AG291" s="113"/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  <c r="BI291" s="114"/>
      <c r="BJ291" s="114"/>
      <c r="BK291" s="114" t="str">
        <f>"     " &amp; TEXT(AF291,"#0.00%") &amp; " " &amp; "1동 1F 충방전 CV" &amp; " " &amp; IF(Q291="","",TEXT(Q291,"M/D-")) &amp; IF(R291="","",TEXT(R291,"M/D")) &amp; " "</f>
        <v xml:space="preserve">     0.00% 1동 1F 충방전 CV 9/1-9/15 </v>
      </c>
      <c r="BL291" s="114"/>
      <c r="BM291" s="114"/>
      <c r="BN291" s="114"/>
      <c r="BO291" s="114"/>
      <c r="BP291" s="114"/>
      <c r="BQ291" s="114"/>
      <c r="BR291" s="114"/>
      <c r="BS291" s="114"/>
      <c r="BT291" s="114"/>
      <c r="BU291" s="114"/>
      <c r="BV291" s="114"/>
      <c r="BW291" s="114"/>
      <c r="BX291" s="114"/>
      <c r="BY291" s="114"/>
      <c r="BZ291" s="114"/>
      <c r="CA291" s="114"/>
      <c r="CB291" s="114"/>
      <c r="CC291" s="114"/>
      <c r="CD291" s="114"/>
      <c r="CE291" s="114"/>
      <c r="CF291" s="114"/>
      <c r="CG291" s="114"/>
      <c r="CH291" s="114"/>
      <c r="CI291" s="114"/>
      <c r="CJ291" s="114"/>
      <c r="CK291" s="114"/>
      <c r="CL291" s="114"/>
      <c r="CM291" s="114"/>
      <c r="CN291" s="114"/>
      <c r="CO291" s="114"/>
      <c r="CP291" s="114"/>
      <c r="CQ291" s="114"/>
      <c r="CR291" s="114"/>
      <c r="CS291" s="114"/>
      <c r="CT291" s="114"/>
      <c r="CU291" s="114"/>
      <c r="CV291" s="114"/>
      <c r="CW291" s="114"/>
      <c r="CX291" s="114"/>
      <c r="CY291" s="114"/>
      <c r="CZ291" s="114"/>
      <c r="DA291" s="114"/>
      <c r="DB291" s="114"/>
      <c r="DC291" s="114"/>
      <c r="DD291" s="114"/>
      <c r="DE291" s="114"/>
      <c r="DF291" s="114"/>
      <c r="DG291" s="114"/>
      <c r="DH291" s="114"/>
      <c r="DI291" s="114"/>
      <c r="DJ291" s="114"/>
      <c r="DK291" s="114"/>
      <c r="DL291" s="114"/>
      <c r="DM291" s="114"/>
      <c r="DN291" s="114"/>
      <c r="DO291" s="114"/>
      <c r="DP291" s="114"/>
      <c r="DQ291" s="114"/>
    </row>
    <row r="292" spans="1:121" ht="15" customHeight="1" outlineLevel="4" x14ac:dyDescent="0.25">
      <c r="A292" s="101"/>
      <c r="B292" s="101"/>
      <c r="C292" s="101">
        <v>5</v>
      </c>
      <c r="D292" s="102" t="s">
        <v>743</v>
      </c>
      <c r="E292" s="103"/>
      <c r="F292" s="103"/>
      <c r="G292" s="103"/>
      <c r="H292" s="103"/>
      <c r="I292" s="120" t="s">
        <v>698</v>
      </c>
      <c r="J292" s="120"/>
      <c r="K292" s="120"/>
      <c r="L292" s="120"/>
      <c r="M292" s="120"/>
      <c r="N292" s="120"/>
      <c r="O292" s="120" t="str">
        <f>O291</f>
        <v>1동 1F 충방전 CV</v>
      </c>
      <c r="P292" s="185"/>
      <c r="Q292" s="105">
        <v>45170</v>
      </c>
      <c r="R292" s="105">
        <v>45184</v>
      </c>
      <c r="S292" s="106">
        <f>R292-Q292</f>
        <v>14</v>
      </c>
      <c r="T292" s="107">
        <v>15</v>
      </c>
      <c r="U292" s="107">
        <v>0</v>
      </c>
      <c r="V292" s="107">
        <v>15</v>
      </c>
      <c r="W292" s="107">
        <v>0</v>
      </c>
      <c r="X292" s="108"/>
      <c r="Y292" s="108"/>
      <c r="Z292" s="109"/>
      <c r="AA292" s="110">
        <v>0</v>
      </c>
      <c r="AB292" s="107">
        <v>1</v>
      </c>
      <c r="AC292" s="106"/>
      <c r="AD292" s="180"/>
      <c r="AE292" s="111">
        <v>0</v>
      </c>
      <c r="AF292" s="121">
        <v>0</v>
      </c>
      <c r="AG292" s="113"/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  <c r="BI292" s="114"/>
      <c r="BJ292" s="114"/>
      <c r="BK292" s="114" t="str">
        <f>"     " &amp; TEXT(AF292,"#0.00%") &amp; " " &amp; "Dry Run" &amp; " " &amp; IF(Q292="","",TEXT(Q292,"M/D-")) &amp; IF(R292="","",TEXT(R292,"M/D")) &amp; " "</f>
        <v xml:space="preserve">     0.00% Dry Run 9/1-9/15 </v>
      </c>
      <c r="BL292" s="114"/>
      <c r="BM292" s="114"/>
      <c r="BN292" s="114"/>
      <c r="BO292" s="114"/>
      <c r="BP292" s="114"/>
      <c r="BQ292" s="114"/>
      <c r="BR292" s="114"/>
      <c r="BS292" s="114"/>
      <c r="BT292" s="114"/>
      <c r="BU292" s="114"/>
      <c r="BV292" s="114"/>
      <c r="BW292" s="114"/>
      <c r="BX292" s="114"/>
      <c r="BY292" s="114"/>
      <c r="BZ292" s="114"/>
      <c r="CA292" s="114"/>
      <c r="CB292" s="114"/>
      <c r="CC292" s="114"/>
      <c r="CD292" s="114"/>
      <c r="CE292" s="114"/>
      <c r="CF292" s="114"/>
      <c r="CG292" s="114"/>
      <c r="CH292" s="114"/>
      <c r="CI292" s="114"/>
      <c r="CJ292" s="114"/>
      <c r="CK292" s="114"/>
      <c r="CL292" s="114"/>
      <c r="CM292" s="114"/>
      <c r="CN292" s="114"/>
      <c r="CO292" s="114"/>
      <c r="CP292" s="114"/>
      <c r="CQ292" s="114"/>
      <c r="CR292" s="114"/>
      <c r="CS292" s="114"/>
      <c r="CT292" s="114"/>
      <c r="CU292" s="114"/>
      <c r="CV292" s="114"/>
      <c r="CW292" s="114"/>
      <c r="CX292" s="114"/>
      <c r="CY292" s="114"/>
      <c r="CZ292" s="114"/>
      <c r="DA292" s="114"/>
      <c r="DB292" s="114"/>
      <c r="DC292" s="114"/>
      <c r="DD292" s="114"/>
      <c r="DE292" s="114"/>
      <c r="DF292" s="114"/>
      <c r="DG292" s="114"/>
      <c r="DH292" s="114"/>
      <c r="DI292" s="114"/>
      <c r="DJ292" s="114"/>
      <c r="DK292" s="114"/>
      <c r="DL292" s="114"/>
      <c r="DM292" s="114"/>
      <c r="DN292" s="114"/>
      <c r="DO292" s="114"/>
      <c r="DP292" s="114"/>
      <c r="DQ292" s="114"/>
    </row>
    <row r="293" spans="1:121" ht="15" customHeight="1" outlineLevel="4" x14ac:dyDescent="0.25">
      <c r="A293" s="101"/>
      <c r="B293" s="101"/>
      <c r="C293" s="101">
        <v>5</v>
      </c>
      <c r="D293" s="102" t="s">
        <v>744</v>
      </c>
      <c r="E293" s="103"/>
      <c r="F293" s="103"/>
      <c r="G293" s="103"/>
      <c r="H293" s="103"/>
      <c r="I293" s="120" t="s">
        <v>270</v>
      </c>
      <c r="J293" s="120"/>
      <c r="K293" s="120"/>
      <c r="L293" s="120"/>
      <c r="M293" s="120"/>
      <c r="N293" s="120"/>
      <c r="O293" s="120" t="str">
        <f>O292</f>
        <v>1동 1F 충방전 CV</v>
      </c>
      <c r="P293" s="185"/>
      <c r="Q293" s="105">
        <v>45176</v>
      </c>
      <c r="R293" s="105">
        <v>45184</v>
      </c>
      <c r="S293" s="106">
        <f>R293-Q293</f>
        <v>8</v>
      </c>
      <c r="T293" s="107">
        <v>9</v>
      </c>
      <c r="U293" s="107">
        <v>0</v>
      </c>
      <c r="V293" s="107">
        <v>9</v>
      </c>
      <c r="W293" s="107">
        <v>0</v>
      </c>
      <c r="X293" s="108"/>
      <c r="Y293" s="108"/>
      <c r="Z293" s="109"/>
      <c r="AA293" s="110">
        <v>0</v>
      </c>
      <c r="AB293" s="107">
        <v>1</v>
      </c>
      <c r="AC293" s="106"/>
      <c r="AD293" s="180"/>
      <c r="AE293" s="111">
        <v>0</v>
      </c>
      <c r="AF293" s="121">
        <v>0</v>
      </c>
      <c r="AG293" s="113"/>
      <c r="AH293" s="114"/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  <c r="BI293" s="114"/>
      <c r="BJ293" s="114"/>
      <c r="BK293" s="114"/>
      <c r="BL293" s="114" t="str">
        <f>"    " &amp; TEXT(AF293,"#0.00%") &amp; " " &amp; "FAT" &amp; " " &amp; IF(Q293="","",TEXT(Q293,"M/D-")) &amp; IF(R293="","",TEXT(R293,"M/D")) &amp; " "</f>
        <v xml:space="preserve">    0.00% FAT 9/7-9/15 </v>
      </c>
      <c r="BM293" s="114"/>
      <c r="BN293" s="114"/>
      <c r="BO293" s="114"/>
      <c r="BP293" s="114"/>
      <c r="BQ293" s="114"/>
      <c r="BR293" s="114"/>
      <c r="BS293" s="114"/>
      <c r="BT293" s="114"/>
      <c r="BU293" s="114"/>
      <c r="BV293" s="114"/>
      <c r="BW293" s="114"/>
      <c r="BX293" s="114"/>
      <c r="BY293" s="114"/>
      <c r="BZ293" s="114"/>
      <c r="CA293" s="114"/>
      <c r="CB293" s="114"/>
      <c r="CC293" s="114"/>
      <c r="CD293" s="114"/>
      <c r="CE293" s="114"/>
      <c r="CF293" s="114"/>
      <c r="CG293" s="114"/>
      <c r="CH293" s="114"/>
      <c r="CI293" s="114"/>
      <c r="CJ293" s="114"/>
      <c r="CK293" s="114"/>
      <c r="CL293" s="114"/>
      <c r="CM293" s="114"/>
      <c r="CN293" s="114"/>
      <c r="CO293" s="114"/>
      <c r="CP293" s="114"/>
      <c r="CQ293" s="114"/>
      <c r="CR293" s="114"/>
      <c r="CS293" s="114"/>
      <c r="CT293" s="114"/>
      <c r="CU293" s="114"/>
      <c r="CV293" s="114"/>
      <c r="CW293" s="114"/>
      <c r="CX293" s="114"/>
      <c r="CY293" s="114"/>
      <c r="CZ293" s="114"/>
      <c r="DA293" s="114"/>
      <c r="DB293" s="114"/>
      <c r="DC293" s="114"/>
      <c r="DD293" s="114"/>
      <c r="DE293" s="114"/>
      <c r="DF293" s="114"/>
      <c r="DG293" s="114"/>
      <c r="DH293" s="114"/>
      <c r="DI293" s="114"/>
      <c r="DJ293" s="114"/>
      <c r="DK293" s="114"/>
      <c r="DL293" s="114"/>
      <c r="DM293" s="114"/>
      <c r="DN293" s="114"/>
      <c r="DO293" s="114"/>
      <c r="DP293" s="114"/>
      <c r="DQ293" s="114"/>
    </row>
    <row r="294" spans="1:121" ht="15" customHeight="1" outlineLevel="3" x14ac:dyDescent="0.25">
      <c r="A294" s="101"/>
      <c r="B294" s="101" t="s">
        <v>153</v>
      </c>
      <c r="C294" s="101">
        <v>4</v>
      </c>
      <c r="D294" s="102" t="s">
        <v>745</v>
      </c>
      <c r="E294" s="103"/>
      <c r="F294" s="103"/>
      <c r="G294" s="103"/>
      <c r="H294" s="103" t="s">
        <v>619</v>
      </c>
      <c r="I294" s="120"/>
      <c r="J294" s="120"/>
      <c r="K294" s="120"/>
      <c r="L294" s="120"/>
      <c r="M294" s="120"/>
      <c r="N294" s="120"/>
      <c r="O294" s="194" t="str">
        <f>H294</f>
        <v>1동 1F Folding CV</v>
      </c>
      <c r="P294" s="185"/>
      <c r="Q294" s="105">
        <v>45219</v>
      </c>
      <c r="R294" s="105">
        <v>45235</v>
      </c>
      <c r="S294" s="106"/>
      <c r="T294" s="107">
        <v>27</v>
      </c>
      <c r="U294" s="107">
        <v>0</v>
      </c>
      <c r="V294" s="107">
        <v>17</v>
      </c>
      <c r="W294" s="107">
        <v>0</v>
      </c>
      <c r="X294" s="108"/>
      <c r="Y294" s="108"/>
      <c r="Z294" s="109">
        <v>0</v>
      </c>
      <c r="AA294" s="110">
        <v>0</v>
      </c>
      <c r="AB294" s="107"/>
      <c r="AC294" s="106"/>
      <c r="AD294" s="180"/>
      <c r="AE294" s="111">
        <v>0</v>
      </c>
      <c r="AF294" s="122">
        <v>0</v>
      </c>
      <c r="AG294" s="113"/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  <c r="BI294" s="114"/>
      <c r="BJ294" s="114"/>
      <c r="BK294" s="114"/>
      <c r="BL294" s="114"/>
      <c r="BM294" s="114"/>
      <c r="BN294" s="114"/>
      <c r="BO294" s="114"/>
      <c r="BP294" s="114"/>
      <c r="BQ294" s="114"/>
      <c r="BR294" s="114" t="str">
        <f>"     " &amp; TEXT(AF294,"#0.00%") &amp; " " &amp; "1동 1F Folding CV" &amp; " " &amp; IF(Q294="","",TEXT(Q294,"M/D-")) &amp; IF(R294="","",TEXT(R294,"M/D")) &amp; " "</f>
        <v xml:space="preserve">     0.00% 1동 1F Folding CV 10/20-11/5 </v>
      </c>
      <c r="BS294" s="114"/>
      <c r="BT294" s="114"/>
      <c r="BU294" s="114"/>
      <c r="BV294" s="114"/>
      <c r="BW294" s="114"/>
      <c r="BX294" s="114"/>
      <c r="BY294" s="114"/>
      <c r="BZ294" s="114"/>
      <c r="CA294" s="114"/>
      <c r="CB294" s="114"/>
      <c r="CC294" s="114"/>
      <c r="CD294" s="114"/>
      <c r="CE294" s="114"/>
      <c r="CF294" s="114"/>
      <c r="CG294" s="114"/>
      <c r="CH294" s="114"/>
      <c r="CI294" s="114"/>
      <c r="CJ294" s="114"/>
      <c r="CK294" s="114"/>
      <c r="CL294" s="114"/>
      <c r="CM294" s="114"/>
      <c r="CN294" s="114"/>
      <c r="CO294" s="114"/>
      <c r="CP294" s="114"/>
      <c r="CQ294" s="114"/>
      <c r="CR294" s="114"/>
      <c r="CS294" s="114"/>
      <c r="CT294" s="114"/>
      <c r="CU294" s="114"/>
      <c r="CV294" s="114"/>
      <c r="CW294" s="114"/>
      <c r="CX294" s="114"/>
      <c r="CY294" s="114"/>
      <c r="CZ294" s="114"/>
      <c r="DA294" s="114"/>
      <c r="DB294" s="114"/>
      <c r="DC294" s="114"/>
      <c r="DD294" s="114"/>
      <c r="DE294" s="114"/>
      <c r="DF294" s="114"/>
      <c r="DG294" s="114"/>
      <c r="DH294" s="114"/>
      <c r="DI294" s="114"/>
      <c r="DJ294" s="114"/>
      <c r="DK294" s="114"/>
      <c r="DL294" s="114"/>
      <c r="DM294" s="114"/>
      <c r="DN294" s="114"/>
      <c r="DO294" s="114"/>
      <c r="DP294" s="114"/>
      <c r="DQ294" s="114"/>
    </row>
    <row r="295" spans="1:121" ht="15" customHeight="1" outlineLevel="4" x14ac:dyDescent="0.25">
      <c r="A295" s="101"/>
      <c r="B295" s="101"/>
      <c r="C295" s="101">
        <v>5</v>
      </c>
      <c r="D295" s="102" t="s">
        <v>746</v>
      </c>
      <c r="E295" s="103"/>
      <c r="F295" s="103"/>
      <c r="G295" s="103"/>
      <c r="H295" s="103"/>
      <c r="I295" s="120" t="s">
        <v>698</v>
      </c>
      <c r="J295" s="120"/>
      <c r="K295" s="120"/>
      <c r="L295" s="120"/>
      <c r="M295" s="120"/>
      <c r="N295" s="120"/>
      <c r="O295" s="120" t="str">
        <f>O294</f>
        <v>1동 1F Folding CV</v>
      </c>
      <c r="P295" s="185"/>
      <c r="Q295" s="105">
        <v>45219</v>
      </c>
      <c r="R295" s="105">
        <v>45235</v>
      </c>
      <c r="S295" s="106">
        <f>R295-Q295</f>
        <v>16</v>
      </c>
      <c r="T295" s="107">
        <v>17</v>
      </c>
      <c r="U295" s="107">
        <v>0</v>
      </c>
      <c r="V295" s="107">
        <v>17</v>
      </c>
      <c r="W295" s="107">
        <v>0</v>
      </c>
      <c r="X295" s="108"/>
      <c r="Y295" s="108"/>
      <c r="Z295" s="109"/>
      <c r="AA295" s="110">
        <v>0</v>
      </c>
      <c r="AB295" s="107">
        <v>1</v>
      </c>
      <c r="AC295" s="106"/>
      <c r="AD295" s="180"/>
      <c r="AE295" s="111">
        <v>0</v>
      </c>
      <c r="AF295" s="121">
        <v>0</v>
      </c>
      <c r="AG295" s="113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  <c r="BI295" s="114"/>
      <c r="BJ295" s="114"/>
      <c r="BK295" s="114"/>
      <c r="BL295" s="114"/>
      <c r="BM295" s="114"/>
      <c r="BN295" s="114"/>
      <c r="BO295" s="114"/>
      <c r="BP295" s="114"/>
      <c r="BQ295" s="114"/>
      <c r="BR295" s="114" t="str">
        <f>"     " &amp; TEXT(AF295,"#0.00%") &amp; " " &amp; "Dry Run" &amp; " " &amp; IF(Q295="","",TEXT(Q295,"M/D-")) &amp; IF(R295="","",TEXT(R295,"M/D")) &amp; " "</f>
        <v xml:space="preserve">     0.00% Dry Run 10/20-11/5 </v>
      </c>
      <c r="BS295" s="114"/>
      <c r="BT295" s="114"/>
      <c r="BU295" s="114"/>
      <c r="BV295" s="114"/>
      <c r="BW295" s="114"/>
      <c r="BX295" s="114"/>
      <c r="BY295" s="114"/>
      <c r="BZ295" s="114"/>
      <c r="CA295" s="114"/>
      <c r="CB295" s="114"/>
      <c r="CC295" s="114"/>
      <c r="CD295" s="114"/>
      <c r="CE295" s="114"/>
      <c r="CF295" s="114"/>
      <c r="CG295" s="114"/>
      <c r="CH295" s="114"/>
      <c r="CI295" s="114"/>
      <c r="CJ295" s="114"/>
      <c r="CK295" s="114"/>
      <c r="CL295" s="114"/>
      <c r="CM295" s="114"/>
      <c r="CN295" s="114"/>
      <c r="CO295" s="114"/>
      <c r="CP295" s="114"/>
      <c r="CQ295" s="114"/>
      <c r="CR295" s="114"/>
      <c r="CS295" s="114"/>
      <c r="CT295" s="114"/>
      <c r="CU295" s="114"/>
      <c r="CV295" s="114"/>
      <c r="CW295" s="114"/>
      <c r="CX295" s="114"/>
      <c r="CY295" s="114"/>
      <c r="CZ295" s="114"/>
      <c r="DA295" s="114"/>
      <c r="DB295" s="114"/>
      <c r="DC295" s="114"/>
      <c r="DD295" s="114"/>
      <c r="DE295" s="114"/>
      <c r="DF295" s="114"/>
      <c r="DG295" s="114"/>
      <c r="DH295" s="114"/>
      <c r="DI295" s="114"/>
      <c r="DJ295" s="114"/>
      <c r="DK295" s="114"/>
      <c r="DL295" s="114"/>
      <c r="DM295" s="114"/>
      <c r="DN295" s="114"/>
      <c r="DO295" s="114"/>
      <c r="DP295" s="114"/>
      <c r="DQ295" s="114"/>
    </row>
    <row r="296" spans="1:121" ht="15" customHeight="1" outlineLevel="4" x14ac:dyDescent="0.25">
      <c r="A296" s="101"/>
      <c r="B296" s="101"/>
      <c r="C296" s="101">
        <v>5</v>
      </c>
      <c r="D296" s="102" t="s">
        <v>747</v>
      </c>
      <c r="E296" s="103"/>
      <c r="F296" s="103"/>
      <c r="G296" s="103"/>
      <c r="H296" s="103"/>
      <c r="I296" s="120" t="s">
        <v>270</v>
      </c>
      <c r="J296" s="120"/>
      <c r="K296" s="120"/>
      <c r="L296" s="120"/>
      <c r="M296" s="120"/>
      <c r="N296" s="120"/>
      <c r="O296" s="120" t="str">
        <f>O295</f>
        <v>1동 1F Folding CV</v>
      </c>
      <c r="P296" s="185"/>
      <c r="Q296" s="105">
        <v>45226</v>
      </c>
      <c r="R296" s="105">
        <v>45235</v>
      </c>
      <c r="S296" s="106">
        <f>R296-Q296</f>
        <v>9</v>
      </c>
      <c r="T296" s="107">
        <v>10</v>
      </c>
      <c r="U296" s="107">
        <v>0</v>
      </c>
      <c r="V296" s="107">
        <v>10</v>
      </c>
      <c r="W296" s="107">
        <v>0</v>
      </c>
      <c r="X296" s="108"/>
      <c r="Y296" s="108"/>
      <c r="Z296" s="109"/>
      <c r="AA296" s="110">
        <v>0</v>
      </c>
      <c r="AB296" s="107">
        <v>1</v>
      </c>
      <c r="AC296" s="106"/>
      <c r="AD296" s="180"/>
      <c r="AE296" s="111">
        <v>0</v>
      </c>
      <c r="AF296" s="121">
        <v>0</v>
      </c>
      <c r="AG296" s="113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 t="str">
        <f>"     " &amp; TEXT(AF296,"#0.00%") &amp; " " &amp; "FAT" &amp; " " &amp; IF(Q296="","",TEXT(Q296,"M/D-")) &amp; IF(R296="","",TEXT(R296,"M/D")) &amp; " "</f>
        <v xml:space="preserve">     0.00% FAT 10/27-11/5 </v>
      </c>
      <c r="BT296" s="114"/>
      <c r="BU296" s="114"/>
      <c r="BV296" s="114"/>
      <c r="BW296" s="114"/>
      <c r="BX296" s="114"/>
      <c r="BY296" s="114"/>
      <c r="BZ296" s="114"/>
      <c r="CA296" s="114"/>
      <c r="CB296" s="114"/>
      <c r="CC296" s="114"/>
      <c r="CD296" s="114"/>
      <c r="CE296" s="114"/>
      <c r="CF296" s="114"/>
      <c r="CG296" s="114"/>
      <c r="CH296" s="114"/>
      <c r="CI296" s="114"/>
      <c r="CJ296" s="114"/>
      <c r="CK296" s="114"/>
      <c r="CL296" s="114"/>
      <c r="CM296" s="114"/>
      <c r="CN296" s="114"/>
      <c r="CO296" s="114"/>
      <c r="CP296" s="114"/>
      <c r="CQ296" s="114"/>
      <c r="CR296" s="114"/>
      <c r="CS296" s="114"/>
      <c r="CT296" s="114"/>
      <c r="CU296" s="114"/>
      <c r="CV296" s="114"/>
      <c r="CW296" s="114"/>
      <c r="CX296" s="114"/>
      <c r="CY296" s="114"/>
      <c r="CZ296" s="114"/>
      <c r="DA296" s="114"/>
      <c r="DB296" s="114"/>
      <c r="DC296" s="114"/>
      <c r="DD296" s="114"/>
      <c r="DE296" s="114"/>
      <c r="DF296" s="114"/>
      <c r="DG296" s="114"/>
      <c r="DH296" s="114"/>
      <c r="DI296" s="114"/>
      <c r="DJ296" s="114"/>
      <c r="DK296" s="114"/>
      <c r="DL296" s="114"/>
      <c r="DM296" s="114"/>
      <c r="DN296" s="114"/>
      <c r="DO296" s="114"/>
      <c r="DP296" s="114"/>
      <c r="DQ296" s="114"/>
    </row>
    <row r="297" spans="1:121" ht="15" customHeight="1" outlineLevel="3" x14ac:dyDescent="0.25">
      <c r="A297" s="101"/>
      <c r="B297" s="101" t="s">
        <v>153</v>
      </c>
      <c r="C297" s="101">
        <v>4</v>
      </c>
      <c r="D297" s="102" t="s">
        <v>748</v>
      </c>
      <c r="E297" s="103"/>
      <c r="F297" s="103"/>
      <c r="G297" s="103"/>
      <c r="H297" s="124" t="s">
        <v>625</v>
      </c>
      <c r="I297" s="120"/>
      <c r="J297" s="120"/>
      <c r="K297" s="120"/>
      <c r="L297" s="120"/>
      <c r="M297" s="120"/>
      <c r="N297" s="120"/>
      <c r="O297" s="194" t="str">
        <f>H297</f>
        <v>1동 2F Degasssing전 CV</v>
      </c>
      <c r="P297" s="185"/>
      <c r="Q297" s="105">
        <v>45200</v>
      </c>
      <c r="R297" s="105">
        <v>45214</v>
      </c>
      <c r="S297" s="106"/>
      <c r="T297" s="107">
        <v>24</v>
      </c>
      <c r="U297" s="107">
        <v>0</v>
      </c>
      <c r="V297" s="107">
        <v>15</v>
      </c>
      <c r="W297" s="107">
        <v>0</v>
      </c>
      <c r="X297" s="108"/>
      <c r="Y297" s="108"/>
      <c r="Z297" s="109">
        <v>0</v>
      </c>
      <c r="AA297" s="110">
        <v>0</v>
      </c>
      <c r="AB297" s="107"/>
      <c r="AC297" s="106"/>
      <c r="AD297" s="180"/>
      <c r="AE297" s="111">
        <v>0</v>
      </c>
      <c r="AF297" s="122">
        <v>0</v>
      </c>
      <c r="AG297" s="113"/>
      <c r="AH297" s="114"/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114"/>
      <c r="BD297" s="114"/>
      <c r="BE297" s="114"/>
      <c r="BF297" s="114"/>
      <c r="BG297" s="114"/>
      <c r="BH297" s="114"/>
      <c r="BI297" s="114"/>
      <c r="BJ297" s="114"/>
      <c r="BK297" s="114"/>
      <c r="BL297" s="114"/>
      <c r="BM297" s="114"/>
      <c r="BN297" s="114"/>
      <c r="BO297" s="114"/>
      <c r="BP297" s="114" t="str">
        <f>"" &amp; TEXT(AF297,"#0.00%") &amp; " " &amp; "1동 2F Degasssing전 CV" &amp; " " &amp; IF(Q297="","",TEXT(Q297,"M/D-")) &amp; IF(R297="","",TEXT(R297,"M/D")) &amp; " "</f>
        <v xml:space="preserve">0.00% 1동 2F Degasssing전 CV 10/1-10/15 </v>
      </c>
      <c r="BQ297" s="114"/>
      <c r="BR297" s="114"/>
      <c r="BS297" s="114"/>
      <c r="BT297" s="114"/>
      <c r="BU297" s="114"/>
      <c r="BV297" s="114"/>
      <c r="BW297" s="114"/>
      <c r="BX297" s="114"/>
      <c r="BY297" s="114"/>
      <c r="BZ297" s="114"/>
      <c r="CA297" s="114"/>
      <c r="CB297" s="114"/>
      <c r="CC297" s="114"/>
      <c r="CD297" s="114"/>
      <c r="CE297" s="114"/>
      <c r="CF297" s="114"/>
      <c r="CG297" s="114"/>
      <c r="CH297" s="114"/>
      <c r="CI297" s="114"/>
      <c r="CJ297" s="114"/>
      <c r="CK297" s="114"/>
      <c r="CL297" s="114"/>
      <c r="CM297" s="114"/>
      <c r="CN297" s="114"/>
      <c r="CO297" s="114"/>
      <c r="CP297" s="114"/>
      <c r="CQ297" s="114"/>
      <c r="CR297" s="114"/>
      <c r="CS297" s="114"/>
      <c r="CT297" s="114"/>
      <c r="CU297" s="114"/>
      <c r="CV297" s="114"/>
      <c r="CW297" s="114"/>
      <c r="CX297" s="114"/>
      <c r="CY297" s="114"/>
      <c r="CZ297" s="114"/>
      <c r="DA297" s="114"/>
      <c r="DB297" s="114"/>
      <c r="DC297" s="114"/>
      <c r="DD297" s="114"/>
      <c r="DE297" s="114"/>
      <c r="DF297" s="114"/>
      <c r="DG297" s="114"/>
      <c r="DH297" s="114"/>
      <c r="DI297" s="114"/>
      <c r="DJ297" s="114"/>
      <c r="DK297" s="114"/>
      <c r="DL297" s="114"/>
      <c r="DM297" s="114"/>
      <c r="DN297" s="114"/>
      <c r="DO297" s="114"/>
      <c r="DP297" s="114"/>
      <c r="DQ297" s="114"/>
    </row>
    <row r="298" spans="1:121" ht="15" customHeight="1" outlineLevel="4" x14ac:dyDescent="0.25">
      <c r="A298" s="101"/>
      <c r="B298" s="101"/>
      <c r="C298" s="101">
        <v>5</v>
      </c>
      <c r="D298" s="102" t="s">
        <v>749</v>
      </c>
      <c r="E298" s="103"/>
      <c r="F298" s="103"/>
      <c r="G298" s="103"/>
      <c r="H298" s="103"/>
      <c r="I298" s="120" t="s">
        <v>698</v>
      </c>
      <c r="J298" s="120"/>
      <c r="K298" s="120"/>
      <c r="L298" s="120"/>
      <c r="M298" s="120"/>
      <c r="N298" s="120"/>
      <c r="O298" s="120" t="str">
        <f>O297</f>
        <v>1동 2F Degasssing전 CV</v>
      </c>
      <c r="P298" s="185"/>
      <c r="Q298" s="105">
        <v>45200</v>
      </c>
      <c r="R298" s="105">
        <v>45214</v>
      </c>
      <c r="S298" s="106">
        <f>R298-Q298</f>
        <v>14</v>
      </c>
      <c r="T298" s="107">
        <v>15</v>
      </c>
      <c r="U298" s="107">
        <v>0</v>
      </c>
      <c r="V298" s="107">
        <v>15</v>
      </c>
      <c r="W298" s="107">
        <v>0</v>
      </c>
      <c r="X298" s="108"/>
      <c r="Y298" s="108"/>
      <c r="Z298" s="109"/>
      <c r="AA298" s="110">
        <v>0</v>
      </c>
      <c r="AB298" s="107">
        <v>1</v>
      </c>
      <c r="AC298" s="106"/>
      <c r="AD298" s="180"/>
      <c r="AE298" s="111">
        <v>0</v>
      </c>
      <c r="AF298" s="121">
        <v>0</v>
      </c>
      <c r="AG298" s="113"/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  <c r="BI298" s="114"/>
      <c r="BJ298" s="114"/>
      <c r="BK298" s="114"/>
      <c r="BL298" s="114"/>
      <c r="BM298" s="114"/>
      <c r="BN298" s="114"/>
      <c r="BO298" s="114"/>
      <c r="BP298" s="114" t="str">
        <f>"" &amp; TEXT(AF298,"#0.00%") &amp; " " &amp; "Dry Run" &amp; " " &amp; IF(Q298="","",TEXT(Q298,"M/D-")) &amp; IF(R298="","",TEXT(R298,"M/D")) &amp; " "</f>
        <v xml:space="preserve">0.00% Dry Run 10/1-10/15 </v>
      </c>
      <c r="BQ298" s="114"/>
      <c r="BR298" s="114"/>
      <c r="BS298" s="114"/>
      <c r="BT298" s="114"/>
      <c r="BU298" s="114"/>
      <c r="BV298" s="114"/>
      <c r="BW298" s="114"/>
      <c r="BX298" s="114"/>
      <c r="BY298" s="114"/>
      <c r="BZ298" s="114"/>
      <c r="CA298" s="114"/>
      <c r="CB298" s="114"/>
      <c r="CC298" s="114"/>
      <c r="CD298" s="114"/>
      <c r="CE298" s="114"/>
      <c r="CF298" s="114"/>
      <c r="CG298" s="114"/>
      <c r="CH298" s="114"/>
      <c r="CI298" s="114"/>
      <c r="CJ298" s="114"/>
      <c r="CK298" s="114"/>
      <c r="CL298" s="114"/>
      <c r="CM298" s="114"/>
      <c r="CN298" s="114"/>
      <c r="CO298" s="114"/>
      <c r="CP298" s="114"/>
      <c r="CQ298" s="114"/>
      <c r="CR298" s="114"/>
      <c r="CS298" s="114"/>
      <c r="CT298" s="114"/>
      <c r="CU298" s="114"/>
      <c r="CV298" s="114"/>
      <c r="CW298" s="114"/>
      <c r="CX298" s="114"/>
      <c r="CY298" s="114"/>
      <c r="CZ298" s="114"/>
      <c r="DA298" s="114"/>
      <c r="DB298" s="114"/>
      <c r="DC298" s="114"/>
      <c r="DD298" s="114"/>
      <c r="DE298" s="114"/>
      <c r="DF298" s="114"/>
      <c r="DG298" s="114"/>
      <c r="DH298" s="114"/>
      <c r="DI298" s="114"/>
      <c r="DJ298" s="114"/>
      <c r="DK298" s="114"/>
      <c r="DL298" s="114"/>
      <c r="DM298" s="114"/>
      <c r="DN298" s="114"/>
      <c r="DO298" s="114"/>
      <c r="DP298" s="114"/>
      <c r="DQ298" s="114"/>
    </row>
    <row r="299" spans="1:121" ht="15" customHeight="1" outlineLevel="4" x14ac:dyDescent="0.25">
      <c r="A299" s="101"/>
      <c r="B299" s="101"/>
      <c r="C299" s="101">
        <v>5</v>
      </c>
      <c r="D299" s="102" t="s">
        <v>750</v>
      </c>
      <c r="E299" s="103"/>
      <c r="F299" s="103"/>
      <c r="G299" s="103"/>
      <c r="H299" s="103"/>
      <c r="I299" s="120" t="s">
        <v>270</v>
      </c>
      <c r="J299" s="120"/>
      <c r="K299" s="120"/>
      <c r="L299" s="120"/>
      <c r="M299" s="120"/>
      <c r="N299" s="120"/>
      <c r="O299" s="120" t="str">
        <f>O298</f>
        <v>1동 2F Degasssing전 CV</v>
      </c>
      <c r="P299" s="185"/>
      <c r="Q299" s="105">
        <v>45206</v>
      </c>
      <c r="R299" s="105">
        <v>45214</v>
      </c>
      <c r="S299" s="106">
        <f>R299-Q299</f>
        <v>8</v>
      </c>
      <c r="T299" s="107">
        <v>9</v>
      </c>
      <c r="U299" s="107">
        <v>0</v>
      </c>
      <c r="V299" s="107">
        <v>9</v>
      </c>
      <c r="W299" s="107">
        <v>0</v>
      </c>
      <c r="X299" s="108"/>
      <c r="Y299" s="108"/>
      <c r="Z299" s="109"/>
      <c r="AA299" s="110">
        <v>0</v>
      </c>
      <c r="AB299" s="107">
        <v>1</v>
      </c>
      <c r="AC299" s="106"/>
      <c r="AD299" s="180"/>
      <c r="AE299" s="111">
        <v>0</v>
      </c>
      <c r="AF299" s="121">
        <v>0</v>
      </c>
      <c r="AG299" s="113"/>
      <c r="AH299" s="114"/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  <c r="BI299" s="114"/>
      <c r="BJ299" s="114"/>
      <c r="BK299" s="114"/>
      <c r="BL299" s="114"/>
      <c r="BM299" s="114"/>
      <c r="BN299" s="114"/>
      <c r="BO299" s="114"/>
      <c r="BP299" s="114" t="str">
        <f>"      " &amp; TEXT(AF299,"#0.00%") &amp; " " &amp; "FAT" &amp; " " &amp; IF(Q299="","",TEXT(Q299,"M/D-")) &amp; IF(R299="","",TEXT(R299,"M/D")) &amp; " "</f>
        <v xml:space="preserve">      0.00% FAT 10/7-10/15 </v>
      </c>
      <c r="BQ299" s="114"/>
      <c r="BR299" s="114"/>
      <c r="BS299" s="114"/>
      <c r="BT299" s="114"/>
      <c r="BU299" s="114"/>
      <c r="BV299" s="114"/>
      <c r="BW299" s="114"/>
      <c r="BX299" s="114"/>
      <c r="BY299" s="114"/>
      <c r="BZ299" s="114"/>
      <c r="CA299" s="114"/>
      <c r="CB299" s="114"/>
      <c r="CC299" s="114"/>
      <c r="CD299" s="114"/>
      <c r="CE299" s="114"/>
      <c r="CF299" s="114"/>
      <c r="CG299" s="114"/>
      <c r="CH299" s="114"/>
      <c r="CI299" s="114"/>
      <c r="CJ299" s="114"/>
      <c r="CK299" s="114"/>
      <c r="CL299" s="114"/>
      <c r="CM299" s="114"/>
      <c r="CN299" s="114"/>
      <c r="CO299" s="114"/>
      <c r="CP299" s="114"/>
      <c r="CQ299" s="114"/>
      <c r="CR299" s="114"/>
      <c r="CS299" s="114"/>
      <c r="CT299" s="114"/>
      <c r="CU299" s="114"/>
      <c r="CV299" s="114"/>
      <c r="CW299" s="114"/>
      <c r="CX299" s="114"/>
      <c r="CY299" s="114"/>
      <c r="CZ299" s="114"/>
      <c r="DA299" s="114"/>
      <c r="DB299" s="114"/>
      <c r="DC299" s="114"/>
      <c r="DD299" s="114"/>
      <c r="DE299" s="114"/>
      <c r="DF299" s="114"/>
      <c r="DG299" s="114"/>
      <c r="DH299" s="114"/>
      <c r="DI299" s="114"/>
      <c r="DJ299" s="114"/>
      <c r="DK299" s="114"/>
      <c r="DL299" s="114"/>
      <c r="DM299" s="114"/>
      <c r="DN299" s="114"/>
      <c r="DO299" s="114"/>
      <c r="DP299" s="114"/>
      <c r="DQ299" s="114"/>
    </row>
    <row r="300" spans="1:121" ht="15" customHeight="1" outlineLevel="3" x14ac:dyDescent="0.25">
      <c r="A300" s="101"/>
      <c r="B300" s="101" t="s">
        <v>153</v>
      </c>
      <c r="C300" s="101">
        <v>4</v>
      </c>
      <c r="D300" s="102" t="s">
        <v>751</v>
      </c>
      <c r="E300" s="103"/>
      <c r="F300" s="103"/>
      <c r="G300" s="103"/>
      <c r="H300" s="124" t="s">
        <v>631</v>
      </c>
      <c r="I300" s="120"/>
      <c r="J300" s="120"/>
      <c r="K300" s="120"/>
      <c r="L300" s="120"/>
      <c r="M300" s="120"/>
      <c r="N300" s="120"/>
      <c r="O300" s="194" t="str">
        <f>H300</f>
        <v>1동 2F Degasssing후 CV</v>
      </c>
      <c r="P300" s="185"/>
      <c r="Q300" s="105">
        <v>45209</v>
      </c>
      <c r="R300" s="105">
        <v>45224</v>
      </c>
      <c r="S300" s="106"/>
      <c r="T300" s="107">
        <v>25</v>
      </c>
      <c r="U300" s="107">
        <v>0</v>
      </c>
      <c r="V300" s="107">
        <v>16</v>
      </c>
      <c r="W300" s="107">
        <v>0</v>
      </c>
      <c r="X300" s="108"/>
      <c r="Y300" s="108"/>
      <c r="Z300" s="109">
        <v>0</v>
      </c>
      <c r="AA300" s="110">
        <v>0</v>
      </c>
      <c r="AB300" s="107"/>
      <c r="AC300" s="106"/>
      <c r="AD300" s="180"/>
      <c r="AE300" s="111">
        <v>0</v>
      </c>
      <c r="AF300" s="122">
        <v>0</v>
      </c>
      <c r="AG300" s="113"/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  <c r="BI300" s="114"/>
      <c r="BJ300" s="114"/>
      <c r="BK300" s="114"/>
      <c r="BL300" s="114"/>
      <c r="BM300" s="114"/>
      <c r="BN300" s="114"/>
      <c r="BO300" s="114"/>
      <c r="BP300" s="114"/>
      <c r="BQ300" s="114" t="str">
        <f>"  " &amp; TEXT(AF300,"#0.00%") &amp; " " &amp; "1동 2F Degasssing후 CV" &amp; " " &amp; IF(Q300="","",TEXT(Q300,"M/D-")) &amp; IF(R300="","",TEXT(R300,"M/D")) &amp; " "</f>
        <v xml:space="preserve">  0.00% 1동 2F Degasssing후 CV 10/10-10/25 </v>
      </c>
      <c r="BR300" s="114"/>
      <c r="BS300" s="114"/>
      <c r="BT300" s="114"/>
      <c r="BU300" s="114"/>
      <c r="BV300" s="114"/>
      <c r="BW300" s="114"/>
      <c r="BX300" s="114"/>
      <c r="BY300" s="114"/>
      <c r="BZ300" s="114"/>
      <c r="CA300" s="114"/>
      <c r="CB300" s="114"/>
      <c r="CC300" s="114"/>
      <c r="CD300" s="114"/>
      <c r="CE300" s="114"/>
      <c r="CF300" s="114"/>
      <c r="CG300" s="114"/>
      <c r="CH300" s="114"/>
      <c r="CI300" s="114"/>
      <c r="CJ300" s="114"/>
      <c r="CK300" s="114"/>
      <c r="CL300" s="114"/>
      <c r="CM300" s="114"/>
      <c r="CN300" s="114"/>
      <c r="CO300" s="114"/>
      <c r="CP300" s="114"/>
      <c r="CQ300" s="114"/>
      <c r="CR300" s="114"/>
      <c r="CS300" s="114"/>
      <c r="CT300" s="114"/>
      <c r="CU300" s="114"/>
      <c r="CV300" s="114"/>
      <c r="CW300" s="114"/>
      <c r="CX300" s="114"/>
      <c r="CY300" s="114"/>
      <c r="CZ300" s="114"/>
      <c r="DA300" s="114"/>
      <c r="DB300" s="114"/>
      <c r="DC300" s="114"/>
      <c r="DD300" s="114"/>
      <c r="DE300" s="114"/>
      <c r="DF300" s="114"/>
      <c r="DG300" s="114"/>
      <c r="DH300" s="114"/>
      <c r="DI300" s="114"/>
      <c r="DJ300" s="114"/>
      <c r="DK300" s="114"/>
      <c r="DL300" s="114"/>
      <c r="DM300" s="114"/>
      <c r="DN300" s="114"/>
      <c r="DO300" s="114"/>
      <c r="DP300" s="114"/>
      <c r="DQ300" s="114"/>
    </row>
    <row r="301" spans="1:121" ht="15" customHeight="1" outlineLevel="4" x14ac:dyDescent="0.25">
      <c r="A301" s="101"/>
      <c r="B301" s="101"/>
      <c r="C301" s="101">
        <v>5</v>
      </c>
      <c r="D301" s="102" t="s">
        <v>752</v>
      </c>
      <c r="E301" s="103"/>
      <c r="F301" s="103"/>
      <c r="G301" s="103"/>
      <c r="H301" s="103"/>
      <c r="I301" s="120" t="s">
        <v>698</v>
      </c>
      <c r="J301" s="120"/>
      <c r="K301" s="120"/>
      <c r="L301" s="120"/>
      <c r="M301" s="120"/>
      <c r="N301" s="120"/>
      <c r="O301" s="120" t="str">
        <f>O300</f>
        <v>1동 2F Degasssing후 CV</v>
      </c>
      <c r="P301" s="185"/>
      <c r="Q301" s="105">
        <v>45209</v>
      </c>
      <c r="R301" s="105">
        <v>45224</v>
      </c>
      <c r="S301" s="106">
        <f>R301-Q301</f>
        <v>15</v>
      </c>
      <c r="T301" s="107">
        <v>16</v>
      </c>
      <c r="U301" s="107">
        <v>0</v>
      </c>
      <c r="V301" s="107">
        <v>16</v>
      </c>
      <c r="W301" s="107">
        <v>0</v>
      </c>
      <c r="X301" s="108"/>
      <c r="Y301" s="108"/>
      <c r="Z301" s="109"/>
      <c r="AA301" s="110">
        <v>0</v>
      </c>
      <c r="AB301" s="107">
        <v>1</v>
      </c>
      <c r="AC301" s="106"/>
      <c r="AD301" s="180"/>
      <c r="AE301" s="111">
        <v>0</v>
      </c>
      <c r="AF301" s="121">
        <v>0</v>
      </c>
      <c r="AG301" s="113"/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  <c r="BI301" s="114"/>
      <c r="BJ301" s="114"/>
      <c r="BK301" s="114"/>
      <c r="BL301" s="114"/>
      <c r="BM301" s="114"/>
      <c r="BN301" s="114"/>
      <c r="BO301" s="114"/>
      <c r="BP301" s="114"/>
      <c r="BQ301" s="114" t="str">
        <f>"  " &amp; TEXT(AF301,"#0.00%") &amp; " " &amp; "Dry Run" &amp; " " &amp; IF(Q301="","",TEXT(Q301,"M/D-")) &amp; IF(R301="","",TEXT(R301,"M/D")) &amp; " "</f>
        <v xml:space="preserve">  0.00% Dry Run 10/10-10/25 </v>
      </c>
      <c r="BR301" s="114"/>
      <c r="BS301" s="114"/>
      <c r="BT301" s="114"/>
      <c r="BU301" s="114"/>
      <c r="BV301" s="114"/>
      <c r="BW301" s="114"/>
      <c r="BX301" s="114"/>
      <c r="BY301" s="114"/>
      <c r="BZ301" s="114"/>
      <c r="CA301" s="114"/>
      <c r="CB301" s="114"/>
      <c r="CC301" s="114"/>
      <c r="CD301" s="114"/>
      <c r="CE301" s="114"/>
      <c r="CF301" s="114"/>
      <c r="CG301" s="114"/>
      <c r="CH301" s="114"/>
      <c r="CI301" s="114"/>
      <c r="CJ301" s="114"/>
      <c r="CK301" s="114"/>
      <c r="CL301" s="114"/>
      <c r="CM301" s="114"/>
      <c r="CN301" s="114"/>
      <c r="CO301" s="114"/>
      <c r="CP301" s="114"/>
      <c r="CQ301" s="114"/>
      <c r="CR301" s="114"/>
      <c r="CS301" s="114"/>
      <c r="CT301" s="114"/>
      <c r="CU301" s="114"/>
      <c r="CV301" s="114"/>
      <c r="CW301" s="114"/>
      <c r="CX301" s="114"/>
      <c r="CY301" s="114"/>
      <c r="CZ301" s="114"/>
      <c r="DA301" s="114"/>
      <c r="DB301" s="114"/>
      <c r="DC301" s="114"/>
      <c r="DD301" s="114"/>
      <c r="DE301" s="114"/>
      <c r="DF301" s="114"/>
      <c r="DG301" s="114"/>
      <c r="DH301" s="114"/>
      <c r="DI301" s="114"/>
      <c r="DJ301" s="114"/>
      <c r="DK301" s="114"/>
      <c r="DL301" s="114"/>
      <c r="DM301" s="114"/>
      <c r="DN301" s="114"/>
      <c r="DO301" s="114"/>
      <c r="DP301" s="114"/>
      <c r="DQ301" s="114"/>
    </row>
    <row r="302" spans="1:121" ht="15" customHeight="1" outlineLevel="4" x14ac:dyDescent="0.25">
      <c r="A302" s="101"/>
      <c r="B302" s="101"/>
      <c r="C302" s="101">
        <v>5</v>
      </c>
      <c r="D302" s="102" t="s">
        <v>753</v>
      </c>
      <c r="E302" s="103"/>
      <c r="F302" s="103"/>
      <c r="G302" s="103"/>
      <c r="H302" s="103"/>
      <c r="I302" s="120" t="s">
        <v>270</v>
      </c>
      <c r="J302" s="120"/>
      <c r="K302" s="120"/>
      <c r="L302" s="120"/>
      <c r="M302" s="120"/>
      <c r="N302" s="120"/>
      <c r="O302" s="120" t="str">
        <f>O301</f>
        <v>1동 2F Degasssing후 CV</v>
      </c>
      <c r="P302" s="185"/>
      <c r="Q302" s="105">
        <v>45216</v>
      </c>
      <c r="R302" s="105">
        <v>45224</v>
      </c>
      <c r="S302" s="106">
        <f>R302-Q302</f>
        <v>8</v>
      </c>
      <c r="T302" s="107">
        <v>9</v>
      </c>
      <c r="U302" s="107">
        <v>0</v>
      </c>
      <c r="V302" s="107">
        <v>9</v>
      </c>
      <c r="W302" s="107">
        <v>0</v>
      </c>
      <c r="X302" s="108"/>
      <c r="Y302" s="108"/>
      <c r="Z302" s="109"/>
      <c r="AA302" s="110">
        <v>0</v>
      </c>
      <c r="AB302" s="107">
        <v>1</v>
      </c>
      <c r="AC302" s="106"/>
      <c r="AD302" s="180"/>
      <c r="AE302" s="111">
        <v>0</v>
      </c>
      <c r="AF302" s="121">
        <v>0</v>
      </c>
      <c r="AG302" s="113"/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  <c r="BI302" s="114"/>
      <c r="BJ302" s="114"/>
      <c r="BK302" s="114"/>
      <c r="BL302" s="114"/>
      <c r="BM302" s="114"/>
      <c r="BN302" s="114"/>
      <c r="BO302" s="114"/>
      <c r="BP302" s="114"/>
      <c r="BQ302" s="114"/>
      <c r="BR302" s="114" t="str">
        <f>"  " &amp; TEXT(AF302,"#0.00%") &amp; " " &amp; "FAT" &amp; " " &amp; IF(Q302="","",TEXT(Q302,"M/D-")) &amp; IF(R302="","",TEXT(R302,"M/D")) &amp; " "</f>
        <v xml:space="preserve">  0.00% FAT 10/17-10/25 </v>
      </c>
      <c r="BS302" s="114"/>
      <c r="BT302" s="114"/>
      <c r="BU302" s="114"/>
      <c r="BV302" s="114"/>
      <c r="BW302" s="114"/>
      <c r="BX302" s="114"/>
      <c r="BY302" s="114"/>
      <c r="BZ302" s="114"/>
      <c r="CA302" s="114"/>
      <c r="CB302" s="114"/>
      <c r="CC302" s="114"/>
      <c r="CD302" s="114"/>
      <c r="CE302" s="114"/>
      <c r="CF302" s="114"/>
      <c r="CG302" s="114"/>
      <c r="CH302" s="114"/>
      <c r="CI302" s="114"/>
      <c r="CJ302" s="114"/>
      <c r="CK302" s="114"/>
      <c r="CL302" s="114"/>
      <c r="CM302" s="114"/>
      <c r="CN302" s="114"/>
      <c r="CO302" s="114"/>
      <c r="CP302" s="114"/>
      <c r="CQ302" s="114"/>
      <c r="CR302" s="114"/>
      <c r="CS302" s="114"/>
      <c r="CT302" s="114"/>
      <c r="CU302" s="114"/>
      <c r="CV302" s="114"/>
      <c r="CW302" s="114"/>
      <c r="CX302" s="114"/>
      <c r="CY302" s="114"/>
      <c r="CZ302" s="114"/>
      <c r="DA302" s="114"/>
      <c r="DB302" s="114"/>
      <c r="DC302" s="114"/>
      <c r="DD302" s="114"/>
      <c r="DE302" s="114"/>
      <c r="DF302" s="114"/>
      <c r="DG302" s="114"/>
      <c r="DH302" s="114"/>
      <c r="DI302" s="114"/>
      <c r="DJ302" s="114"/>
      <c r="DK302" s="114"/>
      <c r="DL302" s="114"/>
      <c r="DM302" s="114"/>
      <c r="DN302" s="114"/>
      <c r="DO302" s="114"/>
      <c r="DP302" s="114"/>
      <c r="DQ302" s="114"/>
    </row>
    <row r="303" spans="1:121" ht="15" customHeight="1" outlineLevel="2" x14ac:dyDescent="0.25">
      <c r="A303" s="101"/>
      <c r="B303" s="101" t="s">
        <v>153</v>
      </c>
      <c r="C303" s="101">
        <v>3</v>
      </c>
      <c r="D303" s="102" t="s">
        <v>754</v>
      </c>
      <c r="E303" s="103"/>
      <c r="F303" s="103"/>
      <c r="G303" s="103" t="s">
        <v>637</v>
      </c>
      <c r="H303" s="103"/>
      <c r="I303" s="120"/>
      <c r="J303" s="120"/>
      <c r="K303" s="120"/>
      <c r="L303" s="120"/>
      <c r="M303" s="120"/>
      <c r="N303" s="120"/>
      <c r="O303" s="194" t="str">
        <f>G303</f>
        <v>2동 Conveyor &amp; Deck</v>
      </c>
      <c r="P303" s="185"/>
      <c r="Q303" s="105">
        <v>45230</v>
      </c>
      <c r="R303" s="105">
        <v>45295</v>
      </c>
      <c r="S303" s="106"/>
      <c r="T303" s="107">
        <v>148</v>
      </c>
      <c r="U303" s="107">
        <v>0</v>
      </c>
      <c r="V303" s="107">
        <v>66</v>
      </c>
      <c r="W303" s="107">
        <v>0</v>
      </c>
      <c r="X303" s="108"/>
      <c r="Y303" s="108"/>
      <c r="Z303" s="109">
        <v>0</v>
      </c>
      <c r="AA303" s="110">
        <v>0</v>
      </c>
      <c r="AB303" s="107"/>
      <c r="AC303" s="106"/>
      <c r="AD303" s="180"/>
      <c r="AE303" s="111">
        <v>0</v>
      </c>
      <c r="AF303" s="122">
        <v>0</v>
      </c>
      <c r="AG303" s="113"/>
      <c r="AH303" s="114"/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  <c r="BI303" s="114"/>
      <c r="BJ303" s="114"/>
      <c r="BK303" s="114"/>
      <c r="BL303" s="114"/>
      <c r="BM303" s="114"/>
      <c r="BN303" s="114"/>
      <c r="BO303" s="114"/>
      <c r="BP303" s="114"/>
      <c r="BQ303" s="114"/>
      <c r="BR303" s="114"/>
      <c r="BS303" s="114"/>
      <c r="BT303" s="114" t="str">
        <f>"  " &amp; TEXT(AF303,"#0.00%") &amp; " "</f>
        <v xml:space="preserve">  0.00% </v>
      </c>
      <c r="BU303" s="114"/>
      <c r="BV303" s="114"/>
      <c r="BW303" s="114"/>
      <c r="BX303" s="114"/>
      <c r="BY303" s="114"/>
      <c r="BZ303" s="114"/>
      <c r="CA303" s="114"/>
      <c r="CB303" s="114"/>
      <c r="CC303" s="114" t="str">
        <f>"     " &amp; "2동 Conveyor &amp; Deck" &amp; " " &amp; IF(Q303="","",TEXT(Q303,"M/D-")) &amp; IF(R303="","",TEXT(R303,"M/D")) &amp; " "</f>
        <v xml:space="preserve">     2동 Conveyor &amp; Deck 10/31-1/4 </v>
      </c>
      <c r="CD303" s="114"/>
      <c r="CE303" s="114"/>
      <c r="CF303" s="114"/>
      <c r="CG303" s="114"/>
      <c r="CH303" s="114"/>
      <c r="CI303" s="114"/>
      <c r="CJ303" s="114"/>
      <c r="CK303" s="114"/>
      <c r="CL303" s="114"/>
      <c r="CM303" s="114"/>
      <c r="CN303" s="114"/>
      <c r="CO303" s="114"/>
      <c r="CP303" s="114"/>
      <c r="CQ303" s="114"/>
      <c r="CR303" s="114"/>
      <c r="CS303" s="114"/>
      <c r="CT303" s="114"/>
      <c r="CU303" s="114"/>
      <c r="CV303" s="114"/>
      <c r="CW303" s="114"/>
      <c r="CX303" s="114"/>
      <c r="CY303" s="114"/>
      <c r="CZ303" s="114"/>
      <c r="DA303" s="114"/>
      <c r="DB303" s="114"/>
      <c r="DC303" s="114"/>
      <c r="DD303" s="114"/>
      <c r="DE303" s="114"/>
      <c r="DF303" s="114"/>
      <c r="DG303" s="114"/>
      <c r="DH303" s="114"/>
      <c r="DI303" s="114"/>
      <c r="DJ303" s="114"/>
      <c r="DK303" s="114"/>
      <c r="DL303" s="114"/>
      <c r="DM303" s="114"/>
      <c r="DN303" s="114"/>
      <c r="DO303" s="114"/>
      <c r="DP303" s="114"/>
      <c r="DQ303" s="114"/>
    </row>
    <row r="304" spans="1:121" ht="15" customHeight="1" outlineLevel="3" x14ac:dyDescent="0.25">
      <c r="A304" s="101"/>
      <c r="B304" s="101" t="s">
        <v>153</v>
      </c>
      <c r="C304" s="101">
        <v>4</v>
      </c>
      <c r="D304" s="102" t="s">
        <v>755</v>
      </c>
      <c r="E304" s="103"/>
      <c r="F304" s="103"/>
      <c r="G304" s="103"/>
      <c r="H304" s="103" t="s">
        <v>639</v>
      </c>
      <c r="I304" s="120"/>
      <c r="J304" s="120"/>
      <c r="K304" s="120"/>
      <c r="L304" s="120"/>
      <c r="M304" s="120"/>
      <c r="N304" s="120"/>
      <c r="O304" s="194" t="str">
        <f>H304</f>
        <v>2동 조립동 CV</v>
      </c>
      <c r="P304" s="185"/>
      <c r="Q304" s="105">
        <v>45260</v>
      </c>
      <c r="R304" s="105">
        <v>45274</v>
      </c>
      <c r="S304" s="106"/>
      <c r="T304" s="107">
        <v>24</v>
      </c>
      <c r="U304" s="107">
        <v>0</v>
      </c>
      <c r="V304" s="107">
        <v>15</v>
      </c>
      <c r="W304" s="107">
        <v>0</v>
      </c>
      <c r="X304" s="108"/>
      <c r="Y304" s="108"/>
      <c r="Z304" s="109">
        <v>0</v>
      </c>
      <c r="AA304" s="110">
        <v>0</v>
      </c>
      <c r="AB304" s="107"/>
      <c r="AC304" s="106"/>
      <c r="AD304" s="180"/>
      <c r="AE304" s="111">
        <v>0</v>
      </c>
      <c r="AF304" s="122">
        <v>0</v>
      </c>
      <c r="AG304" s="113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W304" s="114"/>
      <c r="BX304" s="114" t="str">
        <f>"    " &amp; TEXT(AF304,"#0.00%") &amp; " " &amp; "2동 조립동 CV" &amp; " " &amp; IF(Q304="","",TEXT(Q304,"M/D-")) &amp; IF(R304="","",TEXT(R304,"M/D")) &amp; " "</f>
        <v xml:space="preserve">    0.00% 2동 조립동 CV 11/30-12/14 </v>
      </c>
      <c r="BY304" s="114"/>
      <c r="BZ304" s="114"/>
      <c r="CA304" s="114"/>
      <c r="CB304" s="114"/>
      <c r="CC304" s="114"/>
      <c r="CD304" s="114"/>
      <c r="CE304" s="114"/>
      <c r="CF304" s="114"/>
      <c r="CG304" s="114"/>
      <c r="CH304" s="114"/>
      <c r="CI304" s="114"/>
      <c r="CJ304" s="114"/>
      <c r="CK304" s="114"/>
      <c r="CL304" s="114"/>
      <c r="CM304" s="114"/>
      <c r="CN304" s="114"/>
      <c r="CO304" s="114"/>
      <c r="CP304" s="114"/>
      <c r="CQ304" s="114"/>
      <c r="CR304" s="114"/>
      <c r="CS304" s="114"/>
      <c r="CT304" s="114"/>
      <c r="CU304" s="114"/>
      <c r="CV304" s="114"/>
      <c r="CW304" s="114"/>
      <c r="CX304" s="114"/>
      <c r="CY304" s="114"/>
      <c r="CZ304" s="114"/>
      <c r="DA304" s="114"/>
      <c r="DB304" s="114"/>
      <c r="DC304" s="114"/>
      <c r="DD304" s="114"/>
      <c r="DE304" s="114"/>
      <c r="DF304" s="114"/>
      <c r="DG304" s="114"/>
      <c r="DH304" s="114"/>
      <c r="DI304" s="114"/>
      <c r="DJ304" s="114"/>
      <c r="DK304" s="114"/>
      <c r="DL304" s="114"/>
      <c r="DM304" s="114"/>
      <c r="DN304" s="114"/>
      <c r="DO304" s="114"/>
      <c r="DP304" s="114"/>
      <c r="DQ304" s="114"/>
    </row>
    <row r="305" spans="1:121" ht="15" customHeight="1" outlineLevel="4" x14ac:dyDescent="0.25">
      <c r="A305" s="101"/>
      <c r="B305" s="101"/>
      <c r="C305" s="101">
        <v>5</v>
      </c>
      <c r="D305" s="102" t="s">
        <v>756</v>
      </c>
      <c r="E305" s="103"/>
      <c r="F305" s="103"/>
      <c r="G305" s="103"/>
      <c r="H305" s="103"/>
      <c r="I305" s="120" t="s">
        <v>698</v>
      </c>
      <c r="J305" s="120"/>
      <c r="K305" s="120"/>
      <c r="L305" s="120"/>
      <c r="M305" s="120"/>
      <c r="N305" s="120"/>
      <c r="O305" s="120" t="str">
        <f>O304</f>
        <v>2동 조립동 CV</v>
      </c>
      <c r="P305" s="185"/>
      <c r="Q305" s="105">
        <v>45260</v>
      </c>
      <c r="R305" s="105">
        <v>45274</v>
      </c>
      <c r="S305" s="106">
        <f>R305-Q305</f>
        <v>14</v>
      </c>
      <c r="T305" s="107">
        <v>15</v>
      </c>
      <c r="U305" s="107">
        <v>0</v>
      </c>
      <c r="V305" s="107">
        <v>15</v>
      </c>
      <c r="W305" s="107">
        <v>0</v>
      </c>
      <c r="X305" s="108"/>
      <c r="Y305" s="108"/>
      <c r="Z305" s="109"/>
      <c r="AA305" s="110">
        <v>0</v>
      </c>
      <c r="AB305" s="107">
        <v>1</v>
      </c>
      <c r="AC305" s="106"/>
      <c r="AD305" s="180"/>
      <c r="AE305" s="111">
        <v>0</v>
      </c>
      <c r="AF305" s="121">
        <v>0</v>
      </c>
      <c r="AG305" s="113"/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  <c r="BI305" s="114"/>
      <c r="BJ305" s="114"/>
      <c r="BK305" s="114"/>
      <c r="BL305" s="114"/>
      <c r="BM305" s="114"/>
      <c r="BN305" s="114"/>
      <c r="BO305" s="114"/>
      <c r="BP305" s="114"/>
      <c r="BQ305" s="114"/>
      <c r="BR305" s="114"/>
      <c r="BS305" s="114"/>
      <c r="BT305" s="114"/>
      <c r="BU305" s="114"/>
      <c r="BV305" s="114"/>
      <c r="BW305" s="114"/>
      <c r="BX305" s="114" t="str">
        <f>"    " &amp; TEXT(AF305,"#0.00%") &amp; " " &amp; "Dry Run" &amp; " " &amp; IF(Q305="","",TEXT(Q305,"M/D-")) &amp; IF(R305="","",TEXT(R305,"M/D")) &amp; " "</f>
        <v xml:space="preserve">    0.00% Dry Run 11/30-12/14 </v>
      </c>
      <c r="BY305" s="114"/>
      <c r="BZ305" s="114"/>
      <c r="CA305" s="114"/>
      <c r="CB305" s="114"/>
      <c r="CC305" s="114"/>
      <c r="CD305" s="114"/>
      <c r="CE305" s="114"/>
      <c r="CF305" s="114"/>
      <c r="CG305" s="114"/>
      <c r="CH305" s="114"/>
      <c r="CI305" s="114"/>
      <c r="CJ305" s="114"/>
      <c r="CK305" s="114"/>
      <c r="CL305" s="114"/>
      <c r="CM305" s="114"/>
      <c r="CN305" s="114"/>
      <c r="CO305" s="114"/>
      <c r="CP305" s="114"/>
      <c r="CQ305" s="114"/>
      <c r="CR305" s="114"/>
      <c r="CS305" s="114"/>
      <c r="CT305" s="114"/>
      <c r="CU305" s="114"/>
      <c r="CV305" s="114"/>
      <c r="CW305" s="114"/>
      <c r="CX305" s="114"/>
      <c r="CY305" s="114"/>
      <c r="CZ305" s="114"/>
      <c r="DA305" s="114"/>
      <c r="DB305" s="114"/>
      <c r="DC305" s="114"/>
      <c r="DD305" s="114"/>
      <c r="DE305" s="114"/>
      <c r="DF305" s="114"/>
      <c r="DG305" s="114"/>
      <c r="DH305" s="114"/>
      <c r="DI305" s="114"/>
      <c r="DJ305" s="114"/>
      <c r="DK305" s="114"/>
      <c r="DL305" s="114"/>
      <c r="DM305" s="114"/>
      <c r="DN305" s="114"/>
      <c r="DO305" s="114"/>
      <c r="DP305" s="114"/>
      <c r="DQ305" s="114"/>
    </row>
    <row r="306" spans="1:121" ht="15" customHeight="1" outlineLevel="4" x14ac:dyDescent="0.25">
      <c r="A306" s="101"/>
      <c r="B306" s="101"/>
      <c r="C306" s="101">
        <v>5</v>
      </c>
      <c r="D306" s="102" t="s">
        <v>757</v>
      </c>
      <c r="E306" s="103"/>
      <c r="F306" s="103"/>
      <c r="G306" s="103"/>
      <c r="H306" s="103"/>
      <c r="I306" s="120" t="s">
        <v>270</v>
      </c>
      <c r="J306" s="120"/>
      <c r="K306" s="120"/>
      <c r="L306" s="120"/>
      <c r="M306" s="120"/>
      <c r="N306" s="120"/>
      <c r="O306" s="120" t="str">
        <f>O305</f>
        <v>2동 조립동 CV</v>
      </c>
      <c r="P306" s="185"/>
      <c r="Q306" s="105">
        <v>45266</v>
      </c>
      <c r="R306" s="105">
        <v>45274</v>
      </c>
      <c r="S306" s="106">
        <f>R306-Q306</f>
        <v>8</v>
      </c>
      <c r="T306" s="107">
        <v>9</v>
      </c>
      <c r="U306" s="107">
        <v>0</v>
      </c>
      <c r="V306" s="107">
        <v>9</v>
      </c>
      <c r="W306" s="107">
        <v>0</v>
      </c>
      <c r="X306" s="108"/>
      <c r="Y306" s="108"/>
      <c r="Z306" s="109"/>
      <c r="AA306" s="110">
        <v>0</v>
      </c>
      <c r="AB306" s="107">
        <v>1</v>
      </c>
      <c r="AC306" s="106"/>
      <c r="AD306" s="180"/>
      <c r="AE306" s="111">
        <v>0</v>
      </c>
      <c r="AF306" s="121">
        <v>0</v>
      </c>
      <c r="AG306" s="113"/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  <c r="BI306" s="114"/>
      <c r="BJ306" s="114"/>
      <c r="BK306" s="114"/>
      <c r="BL306" s="114"/>
      <c r="BM306" s="114"/>
      <c r="BN306" s="114"/>
      <c r="BO306" s="114"/>
      <c r="BP306" s="114"/>
      <c r="BQ306" s="114"/>
      <c r="BR306" s="114"/>
      <c r="BS306" s="114"/>
      <c r="BT306" s="114"/>
      <c r="BU306" s="114"/>
      <c r="BV306" s="114"/>
      <c r="BW306" s="114"/>
      <c r="BX306" s="114"/>
      <c r="BY306" s="114" t="str">
        <f>"   " &amp; TEXT(AF306,"#0.00%") &amp; " " &amp; "FAT" &amp; " " &amp; IF(Q306="","",TEXT(Q306,"M/D-")) &amp; IF(R306="","",TEXT(R306,"M/D")) &amp; " "</f>
        <v xml:space="preserve">   0.00% FAT 12/6-12/14 </v>
      </c>
      <c r="BZ306" s="114"/>
      <c r="CA306" s="114"/>
      <c r="CB306" s="114"/>
      <c r="CC306" s="114"/>
      <c r="CD306" s="114"/>
      <c r="CE306" s="114"/>
      <c r="CF306" s="114"/>
      <c r="CG306" s="114"/>
      <c r="CH306" s="114"/>
      <c r="CI306" s="114"/>
      <c r="CJ306" s="114"/>
      <c r="CK306" s="114"/>
      <c r="CL306" s="114"/>
      <c r="CM306" s="114"/>
      <c r="CN306" s="114"/>
      <c r="CO306" s="114"/>
      <c r="CP306" s="114"/>
      <c r="CQ306" s="114"/>
      <c r="CR306" s="114"/>
      <c r="CS306" s="114"/>
      <c r="CT306" s="114"/>
      <c r="CU306" s="114"/>
      <c r="CV306" s="114"/>
      <c r="CW306" s="114"/>
      <c r="CX306" s="114"/>
      <c r="CY306" s="114"/>
      <c r="CZ306" s="114"/>
      <c r="DA306" s="114"/>
      <c r="DB306" s="114"/>
      <c r="DC306" s="114"/>
      <c r="DD306" s="114"/>
      <c r="DE306" s="114"/>
      <c r="DF306" s="114"/>
      <c r="DG306" s="114"/>
      <c r="DH306" s="114"/>
      <c r="DI306" s="114"/>
      <c r="DJ306" s="114"/>
      <c r="DK306" s="114"/>
      <c r="DL306" s="114"/>
      <c r="DM306" s="114"/>
      <c r="DN306" s="114"/>
      <c r="DO306" s="114"/>
      <c r="DP306" s="114"/>
      <c r="DQ306" s="114"/>
    </row>
    <row r="307" spans="1:121" ht="15" customHeight="1" outlineLevel="3" x14ac:dyDescent="0.25">
      <c r="A307" s="101"/>
      <c r="B307" s="101" t="s">
        <v>153</v>
      </c>
      <c r="C307" s="101">
        <v>4</v>
      </c>
      <c r="D307" s="102" t="s">
        <v>758</v>
      </c>
      <c r="E307" s="103"/>
      <c r="F307" s="103"/>
      <c r="G307" s="103"/>
      <c r="H307" s="103" t="s">
        <v>645</v>
      </c>
      <c r="I307" s="120"/>
      <c r="J307" s="120"/>
      <c r="K307" s="120"/>
      <c r="L307" s="120"/>
      <c r="M307" s="120"/>
      <c r="N307" s="120"/>
      <c r="O307" s="194" t="str">
        <f>H307</f>
        <v>2동 1F PPC CV</v>
      </c>
      <c r="P307" s="185"/>
      <c r="Q307" s="105">
        <v>45230</v>
      </c>
      <c r="R307" s="105">
        <v>45244</v>
      </c>
      <c r="S307" s="106"/>
      <c r="T307" s="107">
        <v>24</v>
      </c>
      <c r="U307" s="107">
        <v>0</v>
      </c>
      <c r="V307" s="107">
        <v>15</v>
      </c>
      <c r="W307" s="107">
        <v>0</v>
      </c>
      <c r="X307" s="108"/>
      <c r="Y307" s="108"/>
      <c r="Z307" s="109">
        <v>0</v>
      </c>
      <c r="AA307" s="110">
        <v>0</v>
      </c>
      <c r="AB307" s="107"/>
      <c r="AC307" s="106"/>
      <c r="AD307" s="180"/>
      <c r="AE307" s="111">
        <v>0</v>
      </c>
      <c r="AF307" s="122">
        <v>0</v>
      </c>
      <c r="AG307" s="113"/>
      <c r="AH307" s="114"/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/>
      <c r="BG307" s="114"/>
      <c r="BH307" s="114"/>
      <c r="BI307" s="114"/>
      <c r="BJ307" s="114"/>
      <c r="BK307" s="114"/>
      <c r="BL307" s="114"/>
      <c r="BM307" s="114"/>
      <c r="BN307" s="114"/>
      <c r="BO307" s="114"/>
      <c r="BP307" s="114"/>
      <c r="BQ307" s="114"/>
      <c r="BR307" s="114"/>
      <c r="BS307" s="114"/>
      <c r="BT307" s="114" t="str">
        <f>"  " &amp; TEXT(AF307,"#0.00%") &amp; " " &amp; "2동 1F PPC CV" &amp; " " &amp; IF(Q307="","",TEXT(Q307,"M/D-")) &amp; IF(R307="","",TEXT(R307,"M/D")) &amp; " "</f>
        <v xml:space="preserve">  0.00% 2동 1F PPC CV 10/31-11/14 </v>
      </c>
      <c r="BU307" s="114"/>
      <c r="BV307" s="114"/>
      <c r="BW307" s="114"/>
      <c r="BX307" s="114"/>
      <c r="BY307" s="114"/>
      <c r="BZ307" s="114"/>
      <c r="CA307" s="114"/>
      <c r="CB307" s="114"/>
      <c r="CC307" s="114"/>
      <c r="CD307" s="114"/>
      <c r="CE307" s="114"/>
      <c r="CF307" s="114"/>
      <c r="CG307" s="114"/>
      <c r="CH307" s="114"/>
      <c r="CI307" s="114"/>
      <c r="CJ307" s="114"/>
      <c r="CK307" s="114"/>
      <c r="CL307" s="114"/>
      <c r="CM307" s="114"/>
      <c r="CN307" s="114"/>
      <c r="CO307" s="114"/>
      <c r="CP307" s="114"/>
      <c r="CQ307" s="114"/>
      <c r="CR307" s="114"/>
      <c r="CS307" s="114"/>
      <c r="CT307" s="114"/>
      <c r="CU307" s="114"/>
      <c r="CV307" s="114"/>
      <c r="CW307" s="114"/>
      <c r="CX307" s="114"/>
      <c r="CY307" s="114"/>
      <c r="CZ307" s="114"/>
      <c r="DA307" s="114"/>
      <c r="DB307" s="114"/>
      <c r="DC307" s="114"/>
      <c r="DD307" s="114"/>
      <c r="DE307" s="114"/>
      <c r="DF307" s="114"/>
      <c r="DG307" s="114"/>
      <c r="DH307" s="114"/>
      <c r="DI307" s="114"/>
      <c r="DJ307" s="114"/>
      <c r="DK307" s="114"/>
      <c r="DL307" s="114"/>
      <c r="DM307" s="114"/>
      <c r="DN307" s="114"/>
      <c r="DO307" s="114"/>
      <c r="DP307" s="114"/>
      <c r="DQ307" s="114"/>
    </row>
    <row r="308" spans="1:121" ht="15" customHeight="1" outlineLevel="4" x14ac:dyDescent="0.25">
      <c r="A308" s="101"/>
      <c r="B308" s="101"/>
      <c r="C308" s="101">
        <v>5</v>
      </c>
      <c r="D308" s="102" t="s">
        <v>759</v>
      </c>
      <c r="E308" s="103"/>
      <c r="F308" s="103"/>
      <c r="G308" s="103"/>
      <c r="H308" s="103"/>
      <c r="I308" s="120" t="s">
        <v>698</v>
      </c>
      <c r="J308" s="120"/>
      <c r="K308" s="120"/>
      <c r="L308" s="120"/>
      <c r="M308" s="120"/>
      <c r="N308" s="120"/>
      <c r="O308" s="120" t="str">
        <f>O307</f>
        <v>2동 1F PPC CV</v>
      </c>
      <c r="P308" s="185"/>
      <c r="Q308" s="105">
        <v>45230</v>
      </c>
      <c r="R308" s="105">
        <v>45244</v>
      </c>
      <c r="S308" s="106">
        <f>R308-Q308</f>
        <v>14</v>
      </c>
      <c r="T308" s="107">
        <v>15</v>
      </c>
      <c r="U308" s="107">
        <v>0</v>
      </c>
      <c r="V308" s="107">
        <v>15</v>
      </c>
      <c r="W308" s="107">
        <v>0</v>
      </c>
      <c r="X308" s="108"/>
      <c r="Y308" s="108"/>
      <c r="Z308" s="109"/>
      <c r="AA308" s="110">
        <v>0</v>
      </c>
      <c r="AB308" s="107">
        <v>1</v>
      </c>
      <c r="AC308" s="106"/>
      <c r="AD308" s="180"/>
      <c r="AE308" s="111">
        <v>0</v>
      </c>
      <c r="AF308" s="121">
        <v>0</v>
      </c>
      <c r="AG308" s="113"/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  <c r="BI308" s="114"/>
      <c r="BJ308" s="114"/>
      <c r="BK308" s="114"/>
      <c r="BL308" s="114"/>
      <c r="BM308" s="114"/>
      <c r="BN308" s="114"/>
      <c r="BO308" s="114"/>
      <c r="BP308" s="114"/>
      <c r="BQ308" s="114"/>
      <c r="BR308" s="114"/>
      <c r="BS308" s="114"/>
      <c r="BT308" s="114" t="str">
        <f>"  " &amp; TEXT(AF308,"#0.00%") &amp; " " &amp; "Dry Run" &amp; " " &amp; IF(Q308="","",TEXT(Q308,"M/D-")) &amp; IF(R308="","",TEXT(R308,"M/D")) &amp; " "</f>
        <v xml:space="preserve">  0.00% Dry Run 10/31-11/14 </v>
      </c>
      <c r="BU308" s="114"/>
      <c r="BV308" s="114"/>
      <c r="BW308" s="114"/>
      <c r="BX308" s="114"/>
      <c r="BY308" s="114"/>
      <c r="BZ308" s="114"/>
      <c r="CA308" s="114"/>
      <c r="CB308" s="114"/>
      <c r="CC308" s="114"/>
      <c r="CD308" s="114"/>
      <c r="CE308" s="114"/>
      <c r="CF308" s="114"/>
      <c r="CG308" s="114"/>
      <c r="CH308" s="114"/>
      <c r="CI308" s="114"/>
      <c r="CJ308" s="114"/>
      <c r="CK308" s="114"/>
      <c r="CL308" s="114"/>
      <c r="CM308" s="114"/>
      <c r="CN308" s="114"/>
      <c r="CO308" s="114"/>
      <c r="CP308" s="114"/>
      <c r="CQ308" s="114"/>
      <c r="CR308" s="114"/>
      <c r="CS308" s="114"/>
      <c r="CT308" s="114"/>
      <c r="CU308" s="114"/>
      <c r="CV308" s="114"/>
      <c r="CW308" s="114"/>
      <c r="CX308" s="114"/>
      <c r="CY308" s="114"/>
      <c r="CZ308" s="114"/>
      <c r="DA308" s="114"/>
      <c r="DB308" s="114"/>
      <c r="DC308" s="114"/>
      <c r="DD308" s="114"/>
      <c r="DE308" s="114"/>
      <c r="DF308" s="114"/>
      <c r="DG308" s="114"/>
      <c r="DH308" s="114"/>
      <c r="DI308" s="114"/>
      <c r="DJ308" s="114"/>
      <c r="DK308" s="114"/>
      <c r="DL308" s="114"/>
      <c r="DM308" s="114"/>
      <c r="DN308" s="114"/>
      <c r="DO308" s="114"/>
      <c r="DP308" s="114"/>
      <c r="DQ308" s="114"/>
    </row>
    <row r="309" spans="1:121" ht="15" customHeight="1" outlineLevel="4" x14ac:dyDescent="0.25">
      <c r="A309" s="101"/>
      <c r="B309" s="101"/>
      <c r="C309" s="101">
        <v>5</v>
      </c>
      <c r="D309" s="102" t="s">
        <v>760</v>
      </c>
      <c r="E309" s="103"/>
      <c r="F309" s="103"/>
      <c r="G309" s="103"/>
      <c r="H309" s="103"/>
      <c r="I309" s="120" t="s">
        <v>270</v>
      </c>
      <c r="J309" s="120"/>
      <c r="K309" s="120"/>
      <c r="L309" s="120"/>
      <c r="M309" s="120"/>
      <c r="N309" s="120"/>
      <c r="O309" s="120" t="str">
        <f>O308</f>
        <v>2동 1F PPC CV</v>
      </c>
      <c r="P309" s="185"/>
      <c r="Q309" s="105">
        <v>45236</v>
      </c>
      <c r="R309" s="105">
        <v>45244</v>
      </c>
      <c r="S309" s="106">
        <f>R309-Q309</f>
        <v>8</v>
      </c>
      <c r="T309" s="107">
        <v>9</v>
      </c>
      <c r="U309" s="107">
        <v>0</v>
      </c>
      <c r="V309" s="107">
        <v>9</v>
      </c>
      <c r="W309" s="107">
        <v>0</v>
      </c>
      <c r="X309" s="108"/>
      <c r="Y309" s="108"/>
      <c r="Z309" s="109"/>
      <c r="AA309" s="110">
        <v>0</v>
      </c>
      <c r="AB309" s="107">
        <v>1</v>
      </c>
      <c r="AC309" s="106"/>
      <c r="AD309" s="180"/>
      <c r="AE309" s="111">
        <v>0</v>
      </c>
      <c r="AF309" s="121">
        <v>0</v>
      </c>
      <c r="AG309" s="113"/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/>
      <c r="BE309" s="114"/>
      <c r="BF309" s="114"/>
      <c r="BG309" s="114"/>
      <c r="BH309" s="114"/>
      <c r="BI309" s="114"/>
      <c r="BJ309" s="114"/>
      <c r="BK309" s="114"/>
      <c r="BL309" s="114"/>
      <c r="BM309" s="114"/>
      <c r="BN309" s="114"/>
      <c r="BO309" s="114"/>
      <c r="BP309" s="114"/>
      <c r="BQ309" s="114"/>
      <c r="BR309" s="114"/>
      <c r="BS309" s="114"/>
      <c r="BT309" s="114"/>
      <c r="BU309" s="114" t="str">
        <f>" " &amp; TEXT(AF309,"#0.00%") &amp; " " &amp; "FAT" &amp; " " &amp; IF(Q309="","",TEXT(Q309,"M/D-")) &amp; IF(R309="","",TEXT(R309,"M/D")) &amp; " "</f>
        <v xml:space="preserve"> 0.00% FAT 11/6-11/14 </v>
      </c>
      <c r="BV309" s="114"/>
      <c r="BW309" s="114"/>
      <c r="BX309" s="114"/>
      <c r="BY309" s="114"/>
      <c r="BZ309" s="114"/>
      <c r="CA309" s="114"/>
      <c r="CB309" s="114"/>
      <c r="CC309" s="114"/>
      <c r="CD309" s="114"/>
      <c r="CE309" s="114"/>
      <c r="CF309" s="114"/>
      <c r="CG309" s="114"/>
      <c r="CH309" s="114"/>
      <c r="CI309" s="114"/>
      <c r="CJ309" s="114"/>
      <c r="CK309" s="114"/>
      <c r="CL309" s="114"/>
      <c r="CM309" s="114"/>
      <c r="CN309" s="114"/>
      <c r="CO309" s="114"/>
      <c r="CP309" s="114"/>
      <c r="CQ309" s="114"/>
      <c r="CR309" s="114"/>
      <c r="CS309" s="114"/>
      <c r="CT309" s="114"/>
      <c r="CU309" s="114"/>
      <c r="CV309" s="114"/>
      <c r="CW309" s="114"/>
      <c r="CX309" s="114"/>
      <c r="CY309" s="114"/>
      <c r="CZ309" s="114"/>
      <c r="DA309" s="114"/>
      <c r="DB309" s="114"/>
      <c r="DC309" s="114"/>
      <c r="DD309" s="114"/>
      <c r="DE309" s="114"/>
      <c r="DF309" s="114"/>
      <c r="DG309" s="114"/>
      <c r="DH309" s="114"/>
      <c r="DI309" s="114"/>
      <c r="DJ309" s="114"/>
      <c r="DK309" s="114"/>
      <c r="DL309" s="114"/>
      <c r="DM309" s="114"/>
      <c r="DN309" s="114"/>
      <c r="DO309" s="114"/>
      <c r="DP309" s="114"/>
      <c r="DQ309" s="114"/>
    </row>
    <row r="310" spans="1:121" ht="15" customHeight="1" outlineLevel="3" x14ac:dyDescent="0.25">
      <c r="A310" s="101"/>
      <c r="B310" s="101" t="s">
        <v>153</v>
      </c>
      <c r="C310" s="101">
        <v>4</v>
      </c>
      <c r="D310" s="102" t="s">
        <v>761</v>
      </c>
      <c r="E310" s="103"/>
      <c r="F310" s="103"/>
      <c r="G310" s="103"/>
      <c r="H310" s="103" t="s">
        <v>651</v>
      </c>
      <c r="I310" s="120"/>
      <c r="J310" s="120"/>
      <c r="K310" s="120"/>
      <c r="L310" s="120"/>
      <c r="M310" s="120"/>
      <c r="N310" s="120"/>
      <c r="O310" s="194" t="str">
        <f>H310</f>
        <v>2동 1F 충방전 CV</v>
      </c>
      <c r="P310" s="185"/>
      <c r="Q310" s="105">
        <v>45230</v>
      </c>
      <c r="R310" s="105">
        <v>45244</v>
      </c>
      <c r="S310" s="106"/>
      <c r="T310" s="107">
        <v>24</v>
      </c>
      <c r="U310" s="107">
        <v>0</v>
      </c>
      <c r="V310" s="107">
        <v>15</v>
      </c>
      <c r="W310" s="107">
        <v>0</v>
      </c>
      <c r="X310" s="108"/>
      <c r="Y310" s="108"/>
      <c r="Z310" s="109">
        <v>0</v>
      </c>
      <c r="AA310" s="110">
        <v>0</v>
      </c>
      <c r="AB310" s="107"/>
      <c r="AC310" s="106"/>
      <c r="AD310" s="180"/>
      <c r="AE310" s="111">
        <v>0</v>
      </c>
      <c r="AF310" s="122">
        <v>0</v>
      </c>
      <c r="AG310" s="113"/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B310" s="114"/>
      <c r="BC310" s="114"/>
      <c r="BD310" s="114"/>
      <c r="BE310" s="114"/>
      <c r="BF310" s="114"/>
      <c r="BG310" s="114"/>
      <c r="BH310" s="114"/>
      <c r="BI310" s="114"/>
      <c r="BJ310" s="114"/>
      <c r="BK310" s="114"/>
      <c r="BL310" s="114"/>
      <c r="BM310" s="114"/>
      <c r="BN310" s="114"/>
      <c r="BO310" s="114"/>
      <c r="BP310" s="114"/>
      <c r="BQ310" s="114"/>
      <c r="BR310" s="114"/>
      <c r="BS310" s="114"/>
      <c r="BT310" s="114" t="str">
        <f>"  " &amp; TEXT(AF310,"#0.00%") &amp; " " &amp; "2동 1F 충방전 CV" &amp; " " &amp; IF(Q310="","",TEXT(Q310,"M/D-")) &amp; IF(R310="","",TEXT(R310,"M/D")) &amp; " "</f>
        <v xml:space="preserve">  0.00% 2동 1F 충방전 CV 10/31-11/14 </v>
      </c>
      <c r="BU310" s="114"/>
      <c r="BV310" s="114"/>
      <c r="BW310" s="114"/>
      <c r="BX310" s="114"/>
      <c r="BY310" s="114"/>
      <c r="BZ310" s="114"/>
      <c r="CA310" s="114"/>
      <c r="CB310" s="114"/>
      <c r="CC310" s="114"/>
      <c r="CD310" s="114"/>
      <c r="CE310" s="114"/>
      <c r="CF310" s="114"/>
      <c r="CG310" s="114"/>
      <c r="CH310" s="114"/>
      <c r="CI310" s="114"/>
      <c r="CJ310" s="114"/>
      <c r="CK310" s="114"/>
      <c r="CL310" s="114"/>
      <c r="CM310" s="114"/>
      <c r="CN310" s="114"/>
      <c r="CO310" s="114"/>
      <c r="CP310" s="114"/>
      <c r="CQ310" s="114"/>
      <c r="CR310" s="114"/>
      <c r="CS310" s="114"/>
      <c r="CT310" s="114"/>
      <c r="CU310" s="114"/>
      <c r="CV310" s="114"/>
      <c r="CW310" s="114"/>
      <c r="CX310" s="114"/>
      <c r="CY310" s="114"/>
      <c r="CZ310" s="114"/>
      <c r="DA310" s="114"/>
      <c r="DB310" s="114"/>
      <c r="DC310" s="114"/>
      <c r="DD310" s="114"/>
      <c r="DE310" s="114"/>
      <c r="DF310" s="114"/>
      <c r="DG310" s="114"/>
      <c r="DH310" s="114"/>
      <c r="DI310" s="114"/>
      <c r="DJ310" s="114"/>
      <c r="DK310" s="114"/>
      <c r="DL310" s="114"/>
      <c r="DM310" s="114"/>
      <c r="DN310" s="114"/>
      <c r="DO310" s="114"/>
      <c r="DP310" s="114"/>
      <c r="DQ310" s="114"/>
    </row>
    <row r="311" spans="1:121" ht="15" customHeight="1" outlineLevel="4" x14ac:dyDescent="0.25">
      <c r="A311" s="101"/>
      <c r="B311" s="101"/>
      <c r="C311" s="101">
        <v>5</v>
      </c>
      <c r="D311" s="102" t="s">
        <v>762</v>
      </c>
      <c r="E311" s="103"/>
      <c r="F311" s="103"/>
      <c r="G311" s="103"/>
      <c r="H311" s="103"/>
      <c r="I311" s="120" t="s">
        <v>698</v>
      </c>
      <c r="J311" s="120"/>
      <c r="K311" s="120"/>
      <c r="L311" s="120"/>
      <c r="M311" s="120"/>
      <c r="N311" s="120"/>
      <c r="O311" s="120" t="str">
        <f>O310</f>
        <v>2동 1F 충방전 CV</v>
      </c>
      <c r="P311" s="185"/>
      <c r="Q311" s="105">
        <v>45230</v>
      </c>
      <c r="R311" s="105">
        <v>45244</v>
      </c>
      <c r="S311" s="106">
        <f>R311-Q311</f>
        <v>14</v>
      </c>
      <c r="T311" s="107">
        <v>15</v>
      </c>
      <c r="U311" s="107">
        <v>0</v>
      </c>
      <c r="V311" s="107">
        <v>15</v>
      </c>
      <c r="W311" s="107">
        <v>0</v>
      </c>
      <c r="X311" s="108"/>
      <c r="Y311" s="108"/>
      <c r="Z311" s="109"/>
      <c r="AA311" s="110">
        <v>0</v>
      </c>
      <c r="AB311" s="107">
        <v>1</v>
      </c>
      <c r="AC311" s="106"/>
      <c r="AD311" s="180"/>
      <c r="AE311" s="111">
        <v>0</v>
      </c>
      <c r="AF311" s="121">
        <v>0</v>
      </c>
      <c r="AG311" s="113"/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  <c r="BI311" s="114"/>
      <c r="BJ311" s="114"/>
      <c r="BK311" s="114"/>
      <c r="BL311" s="114"/>
      <c r="BM311" s="114"/>
      <c r="BN311" s="114"/>
      <c r="BO311" s="114"/>
      <c r="BP311" s="114"/>
      <c r="BQ311" s="114"/>
      <c r="BR311" s="114"/>
      <c r="BS311" s="114"/>
      <c r="BT311" s="114" t="str">
        <f>"  " &amp; TEXT(AF311,"#0.00%") &amp; " " &amp; "Dry Run" &amp; " " &amp; IF(Q311="","",TEXT(Q311,"M/D-")) &amp; IF(R311="","",TEXT(R311,"M/D")) &amp; " "</f>
        <v xml:space="preserve">  0.00% Dry Run 10/31-11/14 </v>
      </c>
      <c r="BU311" s="114"/>
      <c r="BV311" s="114"/>
      <c r="BW311" s="114"/>
      <c r="BX311" s="114"/>
      <c r="BY311" s="114"/>
      <c r="BZ311" s="114"/>
      <c r="CA311" s="114"/>
      <c r="CB311" s="114"/>
      <c r="CC311" s="114"/>
      <c r="CD311" s="114"/>
      <c r="CE311" s="114"/>
      <c r="CF311" s="114"/>
      <c r="CG311" s="114"/>
      <c r="CH311" s="114"/>
      <c r="CI311" s="114"/>
      <c r="CJ311" s="114"/>
      <c r="CK311" s="114"/>
      <c r="CL311" s="114"/>
      <c r="CM311" s="114"/>
      <c r="CN311" s="114"/>
      <c r="CO311" s="114"/>
      <c r="CP311" s="114"/>
      <c r="CQ311" s="114"/>
      <c r="CR311" s="114"/>
      <c r="CS311" s="114"/>
      <c r="CT311" s="114"/>
      <c r="CU311" s="114"/>
      <c r="CV311" s="114"/>
      <c r="CW311" s="114"/>
      <c r="CX311" s="114"/>
      <c r="CY311" s="114"/>
      <c r="CZ311" s="114"/>
      <c r="DA311" s="114"/>
      <c r="DB311" s="114"/>
      <c r="DC311" s="114"/>
      <c r="DD311" s="114"/>
      <c r="DE311" s="114"/>
      <c r="DF311" s="114"/>
      <c r="DG311" s="114"/>
      <c r="DH311" s="114"/>
      <c r="DI311" s="114"/>
      <c r="DJ311" s="114"/>
      <c r="DK311" s="114"/>
      <c r="DL311" s="114"/>
      <c r="DM311" s="114"/>
      <c r="DN311" s="114"/>
      <c r="DO311" s="114"/>
      <c r="DP311" s="114"/>
      <c r="DQ311" s="114"/>
    </row>
    <row r="312" spans="1:121" ht="15" customHeight="1" outlineLevel="4" x14ac:dyDescent="0.25">
      <c r="A312" s="101"/>
      <c r="B312" s="101"/>
      <c r="C312" s="101">
        <v>5</v>
      </c>
      <c r="D312" s="102" t="s">
        <v>763</v>
      </c>
      <c r="E312" s="103"/>
      <c r="F312" s="103"/>
      <c r="G312" s="103"/>
      <c r="H312" s="103"/>
      <c r="I312" s="120" t="s">
        <v>270</v>
      </c>
      <c r="J312" s="120"/>
      <c r="K312" s="120"/>
      <c r="L312" s="120"/>
      <c r="M312" s="120"/>
      <c r="N312" s="120"/>
      <c r="O312" s="120" t="str">
        <f>O311</f>
        <v>2동 1F 충방전 CV</v>
      </c>
      <c r="P312" s="185"/>
      <c r="Q312" s="105">
        <v>45236</v>
      </c>
      <c r="R312" s="105">
        <v>45244</v>
      </c>
      <c r="S312" s="106">
        <f>R312-Q312</f>
        <v>8</v>
      </c>
      <c r="T312" s="107">
        <v>9</v>
      </c>
      <c r="U312" s="107">
        <v>0</v>
      </c>
      <c r="V312" s="107">
        <v>9</v>
      </c>
      <c r="W312" s="107">
        <v>0</v>
      </c>
      <c r="X312" s="108"/>
      <c r="Y312" s="108"/>
      <c r="Z312" s="109"/>
      <c r="AA312" s="110">
        <v>0</v>
      </c>
      <c r="AB312" s="107">
        <v>1</v>
      </c>
      <c r="AC312" s="106"/>
      <c r="AD312" s="180"/>
      <c r="AE312" s="111">
        <v>0</v>
      </c>
      <c r="AF312" s="121">
        <v>0</v>
      </c>
      <c r="AG312" s="113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 t="str">
        <f>" " &amp; TEXT(AF312,"#0.00%") &amp; " " &amp; "FAT" &amp; " " &amp; IF(Q312="","",TEXT(Q312,"M/D-")) &amp; IF(R312="","",TEXT(R312,"M/D")) &amp; " "</f>
        <v xml:space="preserve"> 0.00% FAT 11/6-11/14 </v>
      </c>
      <c r="BV312" s="114"/>
      <c r="BW312" s="114"/>
      <c r="BX312" s="114"/>
      <c r="BY312" s="114"/>
      <c r="BZ312" s="114"/>
      <c r="CA312" s="114"/>
      <c r="CB312" s="114"/>
      <c r="CC312" s="114"/>
      <c r="CD312" s="114"/>
      <c r="CE312" s="114"/>
      <c r="CF312" s="114"/>
      <c r="CG312" s="114"/>
      <c r="CH312" s="114"/>
      <c r="CI312" s="114"/>
      <c r="CJ312" s="114"/>
      <c r="CK312" s="114"/>
      <c r="CL312" s="114"/>
      <c r="CM312" s="114"/>
      <c r="CN312" s="114"/>
      <c r="CO312" s="114"/>
      <c r="CP312" s="114"/>
      <c r="CQ312" s="114"/>
      <c r="CR312" s="114"/>
      <c r="CS312" s="114"/>
      <c r="CT312" s="114"/>
      <c r="CU312" s="114"/>
      <c r="CV312" s="114"/>
      <c r="CW312" s="114"/>
      <c r="CX312" s="114"/>
      <c r="CY312" s="114"/>
      <c r="CZ312" s="114"/>
      <c r="DA312" s="114"/>
      <c r="DB312" s="114"/>
      <c r="DC312" s="114"/>
      <c r="DD312" s="114"/>
      <c r="DE312" s="114"/>
      <c r="DF312" s="114"/>
      <c r="DG312" s="114"/>
      <c r="DH312" s="114"/>
      <c r="DI312" s="114"/>
      <c r="DJ312" s="114"/>
      <c r="DK312" s="114"/>
      <c r="DL312" s="114"/>
      <c r="DM312" s="114"/>
      <c r="DN312" s="114"/>
      <c r="DO312" s="114"/>
      <c r="DP312" s="114"/>
      <c r="DQ312" s="114"/>
    </row>
    <row r="313" spans="1:121" ht="15" customHeight="1" outlineLevel="3" x14ac:dyDescent="0.25">
      <c r="A313" s="101"/>
      <c r="B313" s="101" t="s">
        <v>153</v>
      </c>
      <c r="C313" s="101">
        <v>4</v>
      </c>
      <c r="D313" s="102" t="s">
        <v>764</v>
      </c>
      <c r="E313" s="103"/>
      <c r="F313" s="103"/>
      <c r="G313" s="103"/>
      <c r="H313" s="103" t="s">
        <v>657</v>
      </c>
      <c r="I313" s="120"/>
      <c r="J313" s="120"/>
      <c r="K313" s="120"/>
      <c r="L313" s="120"/>
      <c r="M313" s="120"/>
      <c r="N313" s="120"/>
      <c r="O313" s="194" t="str">
        <f>H313</f>
        <v>2동 1F Folding CV</v>
      </c>
      <c r="P313" s="185"/>
      <c r="Q313" s="105">
        <v>45279</v>
      </c>
      <c r="R313" s="105">
        <v>45295</v>
      </c>
      <c r="S313" s="106"/>
      <c r="T313" s="107">
        <v>27</v>
      </c>
      <c r="U313" s="107">
        <v>0</v>
      </c>
      <c r="V313" s="107">
        <v>17</v>
      </c>
      <c r="W313" s="107">
        <v>0</v>
      </c>
      <c r="X313" s="108"/>
      <c r="Y313" s="108"/>
      <c r="Z313" s="109">
        <v>0</v>
      </c>
      <c r="AA313" s="110">
        <v>0</v>
      </c>
      <c r="AB313" s="107"/>
      <c r="AC313" s="106"/>
      <c r="AD313" s="180"/>
      <c r="AE313" s="111">
        <v>0</v>
      </c>
      <c r="AF313" s="122">
        <v>0</v>
      </c>
      <c r="AG313" s="113"/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  <c r="BI313" s="114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 t="str">
        <f>"  " &amp; TEXT(AF313,"#0.00%") &amp; " " &amp; "2동 1F Folding CV" &amp; " " &amp; IF(Q313="","",TEXT(Q313,"M/D-")) &amp; IF(R313="","",TEXT(R313,"M/D")) &amp; " "</f>
        <v xml:space="preserve">  0.00% 2동 1F Folding CV 12/19-1/4 </v>
      </c>
      <c r="CB313" s="114"/>
      <c r="CC313" s="114"/>
      <c r="CD313" s="114"/>
      <c r="CE313" s="114"/>
      <c r="CF313" s="114"/>
      <c r="CG313" s="114"/>
      <c r="CH313" s="114"/>
      <c r="CI313" s="114"/>
      <c r="CJ313" s="114"/>
      <c r="CK313" s="114"/>
      <c r="CL313" s="114"/>
      <c r="CM313" s="114"/>
      <c r="CN313" s="114"/>
      <c r="CO313" s="114"/>
      <c r="CP313" s="114"/>
      <c r="CQ313" s="114"/>
      <c r="CR313" s="114"/>
      <c r="CS313" s="114"/>
      <c r="CT313" s="114"/>
      <c r="CU313" s="114"/>
      <c r="CV313" s="114"/>
      <c r="CW313" s="114"/>
      <c r="CX313" s="114"/>
      <c r="CY313" s="114"/>
      <c r="CZ313" s="114"/>
      <c r="DA313" s="114"/>
      <c r="DB313" s="114"/>
      <c r="DC313" s="114"/>
      <c r="DD313" s="114"/>
      <c r="DE313" s="114"/>
      <c r="DF313" s="114"/>
      <c r="DG313" s="114"/>
      <c r="DH313" s="114"/>
      <c r="DI313" s="114"/>
      <c r="DJ313" s="114"/>
      <c r="DK313" s="114"/>
      <c r="DL313" s="114"/>
      <c r="DM313" s="114"/>
      <c r="DN313" s="114"/>
      <c r="DO313" s="114"/>
      <c r="DP313" s="114"/>
      <c r="DQ313" s="114"/>
    </row>
    <row r="314" spans="1:121" ht="15" customHeight="1" outlineLevel="4" x14ac:dyDescent="0.25">
      <c r="A314" s="101"/>
      <c r="B314" s="101"/>
      <c r="C314" s="101">
        <v>5</v>
      </c>
      <c r="D314" s="102" t="s">
        <v>765</v>
      </c>
      <c r="E314" s="103"/>
      <c r="F314" s="103"/>
      <c r="G314" s="103"/>
      <c r="H314" s="103"/>
      <c r="I314" s="120" t="s">
        <v>698</v>
      </c>
      <c r="J314" s="120"/>
      <c r="K314" s="120"/>
      <c r="L314" s="120"/>
      <c r="M314" s="120"/>
      <c r="N314" s="120"/>
      <c r="O314" s="120" t="str">
        <f>O313</f>
        <v>2동 1F Folding CV</v>
      </c>
      <c r="P314" s="185"/>
      <c r="Q314" s="105">
        <v>45279</v>
      </c>
      <c r="R314" s="105">
        <v>45295</v>
      </c>
      <c r="S314" s="106">
        <f>R314-Q314</f>
        <v>16</v>
      </c>
      <c r="T314" s="107">
        <v>17</v>
      </c>
      <c r="U314" s="107">
        <v>0</v>
      </c>
      <c r="V314" s="107">
        <v>17</v>
      </c>
      <c r="W314" s="107">
        <v>0</v>
      </c>
      <c r="X314" s="108"/>
      <c r="Y314" s="108"/>
      <c r="Z314" s="109"/>
      <c r="AA314" s="110">
        <v>0</v>
      </c>
      <c r="AB314" s="107">
        <v>1</v>
      </c>
      <c r="AC314" s="106"/>
      <c r="AD314" s="180"/>
      <c r="AE314" s="111">
        <v>0</v>
      </c>
      <c r="AF314" s="121">
        <v>0</v>
      </c>
      <c r="AG314" s="113"/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  <c r="BI314" s="114"/>
      <c r="BJ314" s="114"/>
      <c r="BK314" s="114"/>
      <c r="BL314" s="114"/>
      <c r="BM314" s="114"/>
      <c r="BN314" s="114"/>
      <c r="BO314" s="114"/>
      <c r="BP314" s="114"/>
      <c r="BQ314" s="114"/>
      <c r="BR314" s="114"/>
      <c r="BS314" s="114"/>
      <c r="BT314" s="114"/>
      <c r="BU314" s="114"/>
      <c r="BV314" s="114"/>
      <c r="BW314" s="114"/>
      <c r="BX314" s="114"/>
      <c r="BY314" s="114"/>
      <c r="BZ314" s="114"/>
      <c r="CA314" s="114" t="str">
        <f>"  " &amp; TEXT(AF314,"#0.00%") &amp; " " &amp; "Dry Run" &amp; " " &amp; IF(Q314="","",TEXT(Q314,"M/D-")) &amp; IF(R314="","",TEXT(R314,"M/D")) &amp; " "</f>
        <v xml:space="preserve">  0.00% Dry Run 12/19-1/4 </v>
      </c>
      <c r="CB314" s="114"/>
      <c r="CC314" s="114"/>
      <c r="CD314" s="114"/>
      <c r="CE314" s="114"/>
      <c r="CF314" s="114"/>
      <c r="CG314" s="114"/>
      <c r="CH314" s="114"/>
      <c r="CI314" s="114"/>
      <c r="CJ314" s="114"/>
      <c r="CK314" s="114"/>
      <c r="CL314" s="114"/>
      <c r="CM314" s="114"/>
      <c r="CN314" s="114"/>
      <c r="CO314" s="114"/>
      <c r="CP314" s="114"/>
      <c r="CQ314" s="114"/>
      <c r="CR314" s="114"/>
      <c r="CS314" s="114"/>
      <c r="CT314" s="114"/>
      <c r="CU314" s="114"/>
      <c r="CV314" s="114"/>
      <c r="CW314" s="114"/>
      <c r="CX314" s="114"/>
      <c r="CY314" s="114"/>
      <c r="CZ314" s="114"/>
      <c r="DA314" s="114"/>
      <c r="DB314" s="114"/>
      <c r="DC314" s="114"/>
      <c r="DD314" s="114"/>
      <c r="DE314" s="114"/>
      <c r="DF314" s="114"/>
      <c r="DG314" s="114"/>
      <c r="DH314" s="114"/>
      <c r="DI314" s="114"/>
      <c r="DJ314" s="114"/>
      <c r="DK314" s="114"/>
      <c r="DL314" s="114"/>
      <c r="DM314" s="114"/>
      <c r="DN314" s="114"/>
      <c r="DO314" s="114"/>
      <c r="DP314" s="114"/>
      <c r="DQ314" s="114"/>
    </row>
    <row r="315" spans="1:121" ht="15" customHeight="1" outlineLevel="4" x14ac:dyDescent="0.25">
      <c r="A315" s="101"/>
      <c r="B315" s="101"/>
      <c r="C315" s="101">
        <v>5</v>
      </c>
      <c r="D315" s="102" t="s">
        <v>766</v>
      </c>
      <c r="E315" s="103"/>
      <c r="F315" s="103"/>
      <c r="G315" s="103"/>
      <c r="H315" s="103"/>
      <c r="I315" s="120" t="s">
        <v>270</v>
      </c>
      <c r="J315" s="120"/>
      <c r="K315" s="120"/>
      <c r="L315" s="120"/>
      <c r="M315" s="120"/>
      <c r="N315" s="120"/>
      <c r="O315" s="120" t="str">
        <f>O314</f>
        <v>2동 1F Folding CV</v>
      </c>
      <c r="P315" s="185"/>
      <c r="Q315" s="105">
        <v>45286</v>
      </c>
      <c r="R315" s="105">
        <v>45295</v>
      </c>
      <c r="S315" s="106">
        <f>R315-Q315</f>
        <v>9</v>
      </c>
      <c r="T315" s="107">
        <v>10</v>
      </c>
      <c r="U315" s="107">
        <v>0</v>
      </c>
      <c r="V315" s="107">
        <v>10</v>
      </c>
      <c r="W315" s="107">
        <v>0</v>
      </c>
      <c r="X315" s="108"/>
      <c r="Y315" s="108"/>
      <c r="Z315" s="109"/>
      <c r="AA315" s="110">
        <v>0</v>
      </c>
      <c r="AB315" s="107">
        <v>1</v>
      </c>
      <c r="AC315" s="106"/>
      <c r="AD315" s="180"/>
      <c r="AE315" s="111">
        <v>0</v>
      </c>
      <c r="AF315" s="121">
        <v>0</v>
      </c>
      <c r="AG315" s="113"/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/>
      <c r="BE315" s="114"/>
      <c r="BF315" s="114"/>
      <c r="BG315" s="114"/>
      <c r="BH315" s="114"/>
      <c r="BI315" s="114"/>
      <c r="BJ315" s="114"/>
      <c r="BK315" s="114"/>
      <c r="BL315" s="114"/>
      <c r="BM315" s="114"/>
      <c r="BN315" s="114"/>
      <c r="BO315" s="114"/>
      <c r="BP315" s="114"/>
      <c r="BQ315" s="114"/>
      <c r="BR315" s="114"/>
      <c r="BS315" s="114"/>
      <c r="BT315" s="114"/>
      <c r="BU315" s="114"/>
      <c r="BV315" s="114"/>
      <c r="BW315" s="114"/>
      <c r="BX315" s="114"/>
      <c r="BY315" s="114"/>
      <c r="BZ315" s="114"/>
      <c r="CA315" s="114"/>
      <c r="CB315" s="114" t="str">
        <f>"  " &amp; TEXT(AF315,"#0.00%") &amp; " " &amp; "FAT" &amp; " " &amp; IF(Q315="","",TEXT(Q315,"M/D-")) &amp; IF(R315="","",TEXT(R315,"M/D")) &amp; " "</f>
        <v xml:space="preserve">  0.00% FAT 12/26-1/4 </v>
      </c>
      <c r="CC315" s="114"/>
      <c r="CD315" s="114"/>
      <c r="CE315" s="114"/>
      <c r="CF315" s="114"/>
      <c r="CG315" s="114"/>
      <c r="CH315" s="114"/>
      <c r="CI315" s="114"/>
      <c r="CJ315" s="114"/>
      <c r="CK315" s="114"/>
      <c r="CL315" s="114"/>
      <c r="CM315" s="114"/>
      <c r="CN315" s="114"/>
      <c r="CO315" s="114"/>
      <c r="CP315" s="114"/>
      <c r="CQ315" s="114"/>
      <c r="CR315" s="114"/>
      <c r="CS315" s="114"/>
      <c r="CT315" s="114"/>
      <c r="CU315" s="114"/>
      <c r="CV315" s="114"/>
      <c r="CW315" s="114"/>
      <c r="CX315" s="114"/>
      <c r="CY315" s="114"/>
      <c r="CZ315" s="114"/>
      <c r="DA315" s="114"/>
      <c r="DB315" s="114"/>
      <c r="DC315" s="114"/>
      <c r="DD315" s="114"/>
      <c r="DE315" s="114"/>
      <c r="DF315" s="114"/>
      <c r="DG315" s="114"/>
      <c r="DH315" s="114"/>
      <c r="DI315" s="114"/>
      <c r="DJ315" s="114"/>
      <c r="DK315" s="114"/>
      <c r="DL315" s="114"/>
      <c r="DM315" s="114"/>
      <c r="DN315" s="114"/>
      <c r="DO315" s="114"/>
      <c r="DP315" s="114"/>
      <c r="DQ315" s="114"/>
    </row>
    <row r="316" spans="1:121" ht="15" customHeight="1" outlineLevel="3" x14ac:dyDescent="0.25">
      <c r="A316" s="101"/>
      <c r="B316" s="101" t="s">
        <v>153</v>
      </c>
      <c r="C316" s="101">
        <v>4</v>
      </c>
      <c r="D316" s="102" t="s">
        <v>767</v>
      </c>
      <c r="E316" s="103"/>
      <c r="F316" s="103"/>
      <c r="G316" s="103"/>
      <c r="H316" s="124" t="s">
        <v>663</v>
      </c>
      <c r="I316" s="120"/>
      <c r="J316" s="120"/>
      <c r="K316" s="120"/>
      <c r="L316" s="120"/>
      <c r="M316" s="120"/>
      <c r="N316" s="120"/>
      <c r="O316" s="194" t="str">
        <f>H316</f>
        <v>2동 2F Degasssing전 CV</v>
      </c>
      <c r="P316" s="185"/>
      <c r="Q316" s="105">
        <v>45260</v>
      </c>
      <c r="R316" s="105">
        <v>45274</v>
      </c>
      <c r="S316" s="106"/>
      <c r="T316" s="107">
        <v>24</v>
      </c>
      <c r="U316" s="107">
        <v>0</v>
      </c>
      <c r="V316" s="107">
        <v>15</v>
      </c>
      <c r="W316" s="107">
        <v>0</v>
      </c>
      <c r="X316" s="108"/>
      <c r="Y316" s="108"/>
      <c r="Z316" s="109">
        <v>0</v>
      </c>
      <c r="AA316" s="110">
        <v>0</v>
      </c>
      <c r="AB316" s="107"/>
      <c r="AC316" s="106"/>
      <c r="AD316" s="180"/>
      <c r="AE316" s="111">
        <v>0</v>
      </c>
      <c r="AF316" s="122">
        <v>0</v>
      </c>
      <c r="AG316" s="113"/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114"/>
      <c r="BH316" s="114"/>
      <c r="BI316" s="114"/>
      <c r="BJ316" s="114"/>
      <c r="BK316" s="114"/>
      <c r="BL316" s="114"/>
      <c r="BM316" s="114"/>
      <c r="BN316" s="114"/>
      <c r="BO316" s="114"/>
      <c r="BP316" s="114"/>
      <c r="BQ316" s="114"/>
      <c r="BR316" s="114"/>
      <c r="BS316" s="114"/>
      <c r="BT316" s="114"/>
      <c r="BU316" s="114"/>
      <c r="BV316" s="114"/>
      <c r="BW316" s="114"/>
      <c r="BX316" s="114" t="str">
        <f>"    " &amp; TEXT(AF316,"#0.00%") &amp; " " &amp; "2동 2F Degasssing전 CV" &amp; " " &amp; IF(Q316="","",TEXT(Q316,"M/D-")) &amp; IF(R316="","",TEXT(R316,"M/D")) &amp; " "</f>
        <v xml:space="preserve">    0.00% 2동 2F Degasssing전 CV 11/30-12/14 </v>
      </c>
      <c r="BY316" s="114"/>
      <c r="BZ316" s="114"/>
      <c r="CA316" s="114"/>
      <c r="CB316" s="114"/>
      <c r="CC316" s="114"/>
      <c r="CD316" s="114"/>
      <c r="CE316" s="114"/>
      <c r="CF316" s="114"/>
      <c r="CG316" s="114"/>
      <c r="CH316" s="114"/>
      <c r="CI316" s="114"/>
      <c r="CJ316" s="114"/>
      <c r="CK316" s="114"/>
      <c r="CL316" s="114"/>
      <c r="CM316" s="114"/>
      <c r="CN316" s="114"/>
      <c r="CO316" s="114"/>
      <c r="CP316" s="114"/>
      <c r="CQ316" s="114"/>
      <c r="CR316" s="114"/>
      <c r="CS316" s="114"/>
      <c r="CT316" s="114"/>
      <c r="CU316" s="114"/>
      <c r="CV316" s="114"/>
      <c r="CW316" s="114"/>
      <c r="CX316" s="114"/>
      <c r="CY316" s="114"/>
      <c r="CZ316" s="114"/>
      <c r="DA316" s="114"/>
      <c r="DB316" s="114"/>
      <c r="DC316" s="114"/>
      <c r="DD316" s="114"/>
      <c r="DE316" s="114"/>
      <c r="DF316" s="114"/>
      <c r="DG316" s="114"/>
      <c r="DH316" s="114"/>
      <c r="DI316" s="114"/>
      <c r="DJ316" s="114"/>
      <c r="DK316" s="114"/>
      <c r="DL316" s="114"/>
      <c r="DM316" s="114"/>
      <c r="DN316" s="114"/>
      <c r="DO316" s="114"/>
      <c r="DP316" s="114"/>
      <c r="DQ316" s="114"/>
    </row>
    <row r="317" spans="1:121" ht="15" customHeight="1" outlineLevel="4" x14ac:dyDescent="0.25">
      <c r="A317" s="101"/>
      <c r="B317" s="101"/>
      <c r="C317" s="101">
        <v>5</v>
      </c>
      <c r="D317" s="102" t="s">
        <v>768</v>
      </c>
      <c r="E317" s="103"/>
      <c r="F317" s="103"/>
      <c r="G317" s="103"/>
      <c r="H317" s="103"/>
      <c r="I317" s="120" t="s">
        <v>698</v>
      </c>
      <c r="J317" s="120"/>
      <c r="K317" s="120"/>
      <c r="L317" s="120"/>
      <c r="M317" s="120"/>
      <c r="N317" s="120"/>
      <c r="O317" s="120" t="str">
        <f>O316</f>
        <v>2동 2F Degasssing전 CV</v>
      </c>
      <c r="P317" s="185"/>
      <c r="Q317" s="105">
        <v>45260</v>
      </c>
      <c r="R317" s="105">
        <v>45274</v>
      </c>
      <c r="S317" s="106">
        <f>R317-Q317</f>
        <v>14</v>
      </c>
      <c r="T317" s="107">
        <v>15</v>
      </c>
      <c r="U317" s="107">
        <v>0</v>
      </c>
      <c r="V317" s="107">
        <v>15</v>
      </c>
      <c r="W317" s="107">
        <v>0</v>
      </c>
      <c r="X317" s="108"/>
      <c r="Y317" s="108"/>
      <c r="Z317" s="109"/>
      <c r="AA317" s="110">
        <v>0</v>
      </c>
      <c r="AB317" s="107">
        <v>1</v>
      </c>
      <c r="AC317" s="106"/>
      <c r="AD317" s="180"/>
      <c r="AE317" s="111">
        <v>0</v>
      </c>
      <c r="AF317" s="121">
        <v>0</v>
      </c>
      <c r="AG317" s="113"/>
      <c r="AH317" s="114"/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/>
      <c r="BF317" s="114"/>
      <c r="BG317" s="114"/>
      <c r="BH317" s="114"/>
      <c r="BI317" s="114"/>
      <c r="BJ317" s="114"/>
      <c r="BK317" s="114"/>
      <c r="BL317" s="114"/>
      <c r="BM317" s="114"/>
      <c r="BN317" s="114"/>
      <c r="BO317" s="114"/>
      <c r="BP317" s="114"/>
      <c r="BQ317" s="114"/>
      <c r="BR317" s="114"/>
      <c r="BS317" s="114"/>
      <c r="BT317" s="114"/>
      <c r="BU317" s="114"/>
      <c r="BV317" s="114"/>
      <c r="BW317" s="114"/>
      <c r="BX317" s="114" t="str">
        <f>"    " &amp; TEXT(AF317,"#0.00%") &amp; " " &amp; "Dry Run" &amp; " " &amp; IF(Q317="","",TEXT(Q317,"M/D-")) &amp; IF(R317="","",TEXT(R317,"M/D")) &amp; " "</f>
        <v xml:space="preserve">    0.00% Dry Run 11/30-12/14 </v>
      </c>
      <c r="BY317" s="114"/>
      <c r="BZ317" s="114"/>
      <c r="CA317" s="114"/>
      <c r="CB317" s="114"/>
      <c r="CC317" s="114"/>
      <c r="CD317" s="114"/>
      <c r="CE317" s="114"/>
      <c r="CF317" s="114"/>
      <c r="CG317" s="114"/>
      <c r="CH317" s="114"/>
      <c r="CI317" s="114"/>
      <c r="CJ317" s="114"/>
      <c r="CK317" s="114"/>
      <c r="CL317" s="114"/>
      <c r="CM317" s="114"/>
      <c r="CN317" s="114"/>
      <c r="CO317" s="114"/>
      <c r="CP317" s="114"/>
      <c r="CQ317" s="114"/>
      <c r="CR317" s="114"/>
      <c r="CS317" s="114"/>
      <c r="CT317" s="114"/>
      <c r="CU317" s="114"/>
      <c r="CV317" s="114"/>
      <c r="CW317" s="114"/>
      <c r="CX317" s="114"/>
      <c r="CY317" s="114"/>
      <c r="CZ317" s="114"/>
      <c r="DA317" s="114"/>
      <c r="DB317" s="114"/>
      <c r="DC317" s="114"/>
      <c r="DD317" s="114"/>
      <c r="DE317" s="114"/>
      <c r="DF317" s="114"/>
      <c r="DG317" s="114"/>
      <c r="DH317" s="114"/>
      <c r="DI317" s="114"/>
      <c r="DJ317" s="114"/>
      <c r="DK317" s="114"/>
      <c r="DL317" s="114"/>
      <c r="DM317" s="114"/>
      <c r="DN317" s="114"/>
      <c r="DO317" s="114"/>
      <c r="DP317" s="114"/>
      <c r="DQ317" s="114"/>
    </row>
    <row r="318" spans="1:121" ht="15" customHeight="1" outlineLevel="4" x14ac:dyDescent="0.25">
      <c r="A318" s="101"/>
      <c r="B318" s="101"/>
      <c r="C318" s="101">
        <v>5</v>
      </c>
      <c r="D318" s="102" t="s">
        <v>769</v>
      </c>
      <c r="E318" s="103"/>
      <c r="F318" s="103"/>
      <c r="G318" s="103"/>
      <c r="H318" s="103"/>
      <c r="I318" s="120" t="s">
        <v>270</v>
      </c>
      <c r="J318" s="120"/>
      <c r="K318" s="120"/>
      <c r="L318" s="120"/>
      <c r="M318" s="120"/>
      <c r="N318" s="120"/>
      <c r="O318" s="120" t="str">
        <f>O317</f>
        <v>2동 2F Degasssing전 CV</v>
      </c>
      <c r="P318" s="185"/>
      <c r="Q318" s="105">
        <v>45266</v>
      </c>
      <c r="R318" s="105">
        <v>45274</v>
      </c>
      <c r="S318" s="106">
        <f>R318-Q318</f>
        <v>8</v>
      </c>
      <c r="T318" s="107">
        <v>9</v>
      </c>
      <c r="U318" s="107">
        <v>0</v>
      </c>
      <c r="V318" s="107">
        <v>9</v>
      </c>
      <c r="W318" s="107">
        <v>0</v>
      </c>
      <c r="X318" s="108"/>
      <c r="Y318" s="108"/>
      <c r="Z318" s="109"/>
      <c r="AA318" s="110">
        <v>0</v>
      </c>
      <c r="AB318" s="107">
        <v>1</v>
      </c>
      <c r="AC318" s="106"/>
      <c r="AD318" s="180"/>
      <c r="AE318" s="111">
        <v>0</v>
      </c>
      <c r="AF318" s="121">
        <v>0</v>
      </c>
      <c r="AG318" s="113"/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  <c r="BI318" s="114"/>
      <c r="BJ318" s="114"/>
      <c r="BK318" s="114"/>
      <c r="BL318" s="114"/>
      <c r="BM318" s="114"/>
      <c r="BN318" s="114"/>
      <c r="BO318" s="114"/>
      <c r="BP318" s="114"/>
      <c r="BQ318" s="114"/>
      <c r="BR318" s="114"/>
      <c r="BS318" s="114"/>
      <c r="BT318" s="114"/>
      <c r="BU318" s="114"/>
      <c r="BV318" s="114"/>
      <c r="BW318" s="114"/>
      <c r="BX318" s="114"/>
      <c r="BY318" s="114" t="str">
        <f>"   " &amp; TEXT(AF318,"#0.00%") &amp; " " &amp; "FAT" &amp; " " &amp; IF(Q318="","",TEXT(Q318,"M/D-")) &amp; IF(R318="","",TEXT(R318,"M/D")) &amp; " "</f>
        <v xml:space="preserve">   0.00% FAT 12/6-12/14 </v>
      </c>
      <c r="BZ318" s="114"/>
      <c r="CA318" s="114"/>
      <c r="CB318" s="114"/>
      <c r="CC318" s="114"/>
      <c r="CD318" s="114"/>
      <c r="CE318" s="114"/>
      <c r="CF318" s="114"/>
      <c r="CG318" s="114"/>
      <c r="CH318" s="114"/>
      <c r="CI318" s="114"/>
      <c r="CJ318" s="114"/>
      <c r="CK318" s="114"/>
      <c r="CL318" s="114"/>
      <c r="CM318" s="114"/>
      <c r="CN318" s="114"/>
      <c r="CO318" s="114"/>
      <c r="CP318" s="114"/>
      <c r="CQ318" s="114"/>
      <c r="CR318" s="114"/>
      <c r="CS318" s="114"/>
      <c r="CT318" s="114"/>
      <c r="CU318" s="114"/>
      <c r="CV318" s="114"/>
      <c r="CW318" s="114"/>
      <c r="CX318" s="114"/>
      <c r="CY318" s="114"/>
      <c r="CZ318" s="114"/>
      <c r="DA318" s="114"/>
      <c r="DB318" s="114"/>
      <c r="DC318" s="114"/>
      <c r="DD318" s="114"/>
      <c r="DE318" s="114"/>
      <c r="DF318" s="114"/>
      <c r="DG318" s="114"/>
      <c r="DH318" s="114"/>
      <c r="DI318" s="114"/>
      <c r="DJ318" s="114"/>
      <c r="DK318" s="114"/>
      <c r="DL318" s="114"/>
      <c r="DM318" s="114"/>
      <c r="DN318" s="114"/>
      <c r="DO318" s="114"/>
      <c r="DP318" s="114"/>
      <c r="DQ318" s="114"/>
    </row>
    <row r="319" spans="1:121" ht="15" customHeight="1" outlineLevel="3" x14ac:dyDescent="0.25">
      <c r="A319" s="101"/>
      <c r="B319" s="101" t="s">
        <v>153</v>
      </c>
      <c r="C319" s="101">
        <v>4</v>
      </c>
      <c r="D319" s="102" t="s">
        <v>770</v>
      </c>
      <c r="E319" s="103"/>
      <c r="F319" s="103"/>
      <c r="G319" s="103"/>
      <c r="H319" s="124" t="s">
        <v>669</v>
      </c>
      <c r="I319" s="120"/>
      <c r="J319" s="120"/>
      <c r="K319" s="120"/>
      <c r="L319" s="120"/>
      <c r="M319" s="120"/>
      <c r="N319" s="120"/>
      <c r="O319" s="194" t="str">
        <f>H319</f>
        <v>2동 2F Degasssing후 CV</v>
      </c>
      <c r="P319" s="185"/>
      <c r="Q319" s="105">
        <v>45269</v>
      </c>
      <c r="R319" s="105">
        <v>45284</v>
      </c>
      <c r="S319" s="106"/>
      <c r="T319" s="107">
        <v>25</v>
      </c>
      <c r="U319" s="107">
        <v>0</v>
      </c>
      <c r="V319" s="107">
        <v>16</v>
      </c>
      <c r="W319" s="107">
        <v>0</v>
      </c>
      <c r="X319" s="108"/>
      <c r="Y319" s="108"/>
      <c r="Z319" s="109">
        <v>0</v>
      </c>
      <c r="AA319" s="110">
        <v>0</v>
      </c>
      <c r="AB319" s="107"/>
      <c r="AC319" s="106"/>
      <c r="AD319" s="180"/>
      <c r="AE319" s="111">
        <v>0</v>
      </c>
      <c r="AF319" s="122">
        <v>0</v>
      </c>
      <c r="AG319" s="113"/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  <c r="BI319" s="114"/>
      <c r="BJ319" s="114"/>
      <c r="BK319" s="114"/>
      <c r="BL319" s="114"/>
      <c r="BM319" s="114"/>
      <c r="BN319" s="114"/>
      <c r="BO319" s="114"/>
      <c r="BP319" s="114"/>
      <c r="BQ319" s="114"/>
      <c r="BR319" s="114"/>
      <c r="BS319" s="114"/>
      <c r="BT319" s="114"/>
      <c r="BU319" s="114"/>
      <c r="BV319" s="114"/>
      <c r="BW319" s="114"/>
      <c r="BX319" s="114"/>
      <c r="BY319" s="114" t="str">
        <f>"      " &amp; TEXT(AF319,"#0.00%") &amp; " " &amp; "2동 2F Degasssing후 CV" &amp; " " &amp; IF(Q319="","",TEXT(Q319,"M/D-")) &amp; IF(R319="","",TEXT(R319,"M/D")) &amp; " "</f>
        <v xml:space="preserve">      0.00% 2동 2F Degasssing후 CV 12/9-12/24 </v>
      </c>
      <c r="BZ319" s="114"/>
      <c r="CA319" s="114"/>
      <c r="CB319" s="114"/>
      <c r="CC319" s="114"/>
      <c r="CD319" s="114"/>
      <c r="CE319" s="114"/>
      <c r="CF319" s="114"/>
      <c r="CG319" s="114"/>
      <c r="CH319" s="114"/>
      <c r="CI319" s="114"/>
      <c r="CJ319" s="114"/>
      <c r="CK319" s="114"/>
      <c r="CL319" s="114"/>
      <c r="CM319" s="114"/>
      <c r="CN319" s="114"/>
      <c r="CO319" s="114"/>
      <c r="CP319" s="114"/>
      <c r="CQ319" s="114"/>
      <c r="CR319" s="114"/>
      <c r="CS319" s="114"/>
      <c r="CT319" s="114"/>
      <c r="CU319" s="114"/>
      <c r="CV319" s="114"/>
      <c r="CW319" s="114"/>
      <c r="CX319" s="114"/>
      <c r="CY319" s="114"/>
      <c r="CZ319" s="114"/>
      <c r="DA319" s="114"/>
      <c r="DB319" s="114"/>
      <c r="DC319" s="114"/>
      <c r="DD319" s="114"/>
      <c r="DE319" s="114"/>
      <c r="DF319" s="114"/>
      <c r="DG319" s="114"/>
      <c r="DH319" s="114"/>
      <c r="DI319" s="114"/>
      <c r="DJ319" s="114"/>
      <c r="DK319" s="114"/>
      <c r="DL319" s="114"/>
      <c r="DM319" s="114"/>
      <c r="DN319" s="114"/>
      <c r="DO319" s="114"/>
      <c r="DP319" s="114"/>
      <c r="DQ319" s="114"/>
    </row>
    <row r="320" spans="1:121" ht="15" customHeight="1" outlineLevel="4" x14ac:dyDescent="0.25">
      <c r="A320" s="101"/>
      <c r="B320" s="101"/>
      <c r="C320" s="101">
        <v>5</v>
      </c>
      <c r="D320" s="102" t="s">
        <v>771</v>
      </c>
      <c r="E320" s="103"/>
      <c r="F320" s="103"/>
      <c r="G320" s="103"/>
      <c r="H320" s="103"/>
      <c r="I320" s="120" t="s">
        <v>698</v>
      </c>
      <c r="J320" s="120"/>
      <c r="K320" s="120"/>
      <c r="L320" s="120"/>
      <c r="M320" s="120"/>
      <c r="N320" s="120"/>
      <c r="O320" s="120" t="str">
        <f>O319</f>
        <v>2동 2F Degasssing후 CV</v>
      </c>
      <c r="P320" s="185"/>
      <c r="Q320" s="105">
        <v>45269</v>
      </c>
      <c r="R320" s="105">
        <v>45284</v>
      </c>
      <c r="S320" s="106">
        <f>R320-Q320</f>
        <v>15</v>
      </c>
      <c r="T320" s="107">
        <v>16</v>
      </c>
      <c r="U320" s="107">
        <v>0</v>
      </c>
      <c r="V320" s="107">
        <v>16</v>
      </c>
      <c r="W320" s="107">
        <v>0</v>
      </c>
      <c r="X320" s="108"/>
      <c r="Y320" s="108"/>
      <c r="Z320" s="109"/>
      <c r="AA320" s="110">
        <v>0</v>
      </c>
      <c r="AB320" s="107">
        <v>1</v>
      </c>
      <c r="AC320" s="106"/>
      <c r="AD320" s="180"/>
      <c r="AE320" s="111">
        <v>0</v>
      </c>
      <c r="AF320" s="121">
        <v>0</v>
      </c>
      <c r="AG320" s="113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4"/>
      <c r="BX320" s="114"/>
      <c r="BY320" s="114" t="str">
        <f>"      " &amp; TEXT(AF320,"#0.00%") &amp; " " &amp; "Dry Run" &amp; " " &amp; IF(Q320="","",TEXT(Q320,"M/D-")) &amp; IF(R320="","",TEXT(R320,"M/D")) &amp; " "</f>
        <v xml:space="preserve">      0.00% Dry Run 12/9-12/24 </v>
      </c>
      <c r="BZ320" s="114"/>
      <c r="CA320" s="114"/>
      <c r="CB320" s="114"/>
      <c r="CC320" s="114"/>
      <c r="CD320" s="114"/>
      <c r="CE320" s="114"/>
      <c r="CF320" s="114"/>
      <c r="CG320" s="114"/>
      <c r="CH320" s="114"/>
      <c r="CI320" s="114"/>
      <c r="CJ320" s="114"/>
      <c r="CK320" s="114"/>
      <c r="CL320" s="114"/>
      <c r="CM320" s="114"/>
      <c r="CN320" s="114"/>
      <c r="CO320" s="114"/>
      <c r="CP320" s="114"/>
      <c r="CQ320" s="114"/>
      <c r="CR320" s="114"/>
      <c r="CS320" s="114"/>
      <c r="CT320" s="114"/>
      <c r="CU320" s="114"/>
      <c r="CV320" s="114"/>
      <c r="CW320" s="114"/>
      <c r="CX320" s="114"/>
      <c r="CY320" s="114"/>
      <c r="CZ320" s="114"/>
      <c r="DA320" s="114"/>
      <c r="DB320" s="114"/>
      <c r="DC320" s="114"/>
      <c r="DD320" s="114"/>
      <c r="DE320" s="114"/>
      <c r="DF320" s="114"/>
      <c r="DG320" s="114"/>
      <c r="DH320" s="114"/>
      <c r="DI320" s="114"/>
      <c r="DJ320" s="114"/>
      <c r="DK320" s="114"/>
      <c r="DL320" s="114"/>
      <c r="DM320" s="114"/>
      <c r="DN320" s="114"/>
      <c r="DO320" s="114"/>
      <c r="DP320" s="114"/>
      <c r="DQ320" s="114"/>
    </row>
    <row r="321" spans="1:121" ht="15" customHeight="1" outlineLevel="4" x14ac:dyDescent="0.25">
      <c r="A321" s="101"/>
      <c r="B321" s="101"/>
      <c r="C321" s="101">
        <v>5</v>
      </c>
      <c r="D321" s="102" t="s">
        <v>772</v>
      </c>
      <c r="E321" s="103"/>
      <c r="F321" s="103"/>
      <c r="G321" s="103"/>
      <c r="H321" s="103"/>
      <c r="I321" s="120" t="s">
        <v>270</v>
      </c>
      <c r="J321" s="120"/>
      <c r="K321" s="120"/>
      <c r="L321" s="120"/>
      <c r="M321" s="120"/>
      <c r="N321" s="120"/>
      <c r="O321" s="120" t="str">
        <f>O320</f>
        <v>2동 2F Degasssing후 CV</v>
      </c>
      <c r="P321" s="185"/>
      <c r="Q321" s="105">
        <v>45276</v>
      </c>
      <c r="R321" s="105">
        <v>45284</v>
      </c>
      <c r="S321" s="106">
        <f>R321-Q321</f>
        <v>8</v>
      </c>
      <c r="T321" s="107">
        <v>9</v>
      </c>
      <c r="U321" s="107">
        <v>0</v>
      </c>
      <c r="V321" s="107">
        <v>9</v>
      </c>
      <c r="W321" s="107">
        <v>0</v>
      </c>
      <c r="X321" s="108"/>
      <c r="Y321" s="108"/>
      <c r="Z321" s="109"/>
      <c r="AA321" s="110">
        <v>0</v>
      </c>
      <c r="AB321" s="107">
        <v>1</v>
      </c>
      <c r="AC321" s="106"/>
      <c r="AD321" s="180"/>
      <c r="AE321" s="111">
        <v>0</v>
      </c>
      <c r="AF321" s="121">
        <v>0</v>
      </c>
      <c r="AG321" s="113"/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  <c r="BI321" s="114"/>
      <c r="BJ321" s="114"/>
      <c r="BK321" s="114"/>
      <c r="BL321" s="114"/>
      <c r="BM321" s="114"/>
      <c r="BN321" s="114"/>
      <c r="BO321" s="114"/>
      <c r="BP321" s="114"/>
      <c r="BQ321" s="114"/>
      <c r="BR321" s="114"/>
      <c r="BS321" s="114"/>
      <c r="BT321" s="114"/>
      <c r="BU321" s="114"/>
      <c r="BV321" s="114"/>
      <c r="BW321" s="114"/>
      <c r="BX321" s="114"/>
      <c r="BY321" s="114"/>
      <c r="BZ321" s="114" t="str">
        <f>"      " &amp; TEXT(AF321,"#0.00%") &amp; " " &amp; "FAT" &amp; " " &amp; IF(Q321="","",TEXT(Q321,"M/D-")) &amp; IF(R321="","",TEXT(R321,"M/D")) &amp; " "</f>
        <v xml:space="preserve">      0.00% FAT 12/16-12/24 </v>
      </c>
      <c r="CA321" s="114"/>
      <c r="CB321" s="114"/>
      <c r="CC321" s="114"/>
      <c r="CD321" s="114"/>
      <c r="CE321" s="114"/>
      <c r="CF321" s="114"/>
      <c r="CG321" s="114"/>
      <c r="CH321" s="114"/>
      <c r="CI321" s="114"/>
      <c r="CJ321" s="114"/>
      <c r="CK321" s="114"/>
      <c r="CL321" s="114"/>
      <c r="CM321" s="114"/>
      <c r="CN321" s="114"/>
      <c r="CO321" s="114"/>
      <c r="CP321" s="114"/>
      <c r="CQ321" s="114"/>
      <c r="CR321" s="114"/>
      <c r="CS321" s="114"/>
      <c r="CT321" s="114"/>
      <c r="CU321" s="114"/>
      <c r="CV321" s="114"/>
      <c r="CW321" s="114"/>
      <c r="CX321" s="114"/>
      <c r="CY321" s="114"/>
      <c r="CZ321" s="114"/>
      <c r="DA321" s="114"/>
      <c r="DB321" s="114"/>
      <c r="DC321" s="114"/>
      <c r="DD321" s="114"/>
      <c r="DE321" s="114"/>
      <c r="DF321" s="114"/>
      <c r="DG321" s="114"/>
      <c r="DH321" s="114"/>
      <c r="DI321" s="114"/>
      <c r="DJ321" s="114"/>
      <c r="DK321" s="114"/>
      <c r="DL321" s="114"/>
      <c r="DM321" s="114"/>
      <c r="DN321" s="114"/>
      <c r="DO321" s="114"/>
      <c r="DP321" s="114"/>
      <c r="DQ321" s="114"/>
    </row>
    <row r="322" spans="1:121" ht="15" customHeight="1" x14ac:dyDescent="0.25">
      <c r="A322" s="101"/>
      <c r="B322" s="101" t="s">
        <v>153</v>
      </c>
      <c r="C322" s="101">
        <v>1</v>
      </c>
      <c r="D322" s="102" t="s">
        <v>286</v>
      </c>
      <c r="E322" s="103" t="s">
        <v>287</v>
      </c>
      <c r="F322" s="103"/>
      <c r="G322" s="103"/>
      <c r="H322" s="103"/>
      <c r="I322" s="120"/>
      <c r="J322" s="120"/>
      <c r="K322" s="120"/>
      <c r="L322" s="120"/>
      <c r="M322" s="120"/>
      <c r="N322" s="120"/>
      <c r="O322" s="194"/>
      <c r="P322" s="185"/>
      <c r="Q322" s="105">
        <v>45184</v>
      </c>
      <c r="R322" s="105">
        <v>45350</v>
      </c>
      <c r="S322" s="106"/>
      <c r="T322" s="107">
        <v>843</v>
      </c>
      <c r="U322" s="107">
        <v>0</v>
      </c>
      <c r="V322" s="107">
        <v>167</v>
      </c>
      <c r="W322" s="107">
        <v>0</v>
      </c>
      <c r="X322" s="108"/>
      <c r="Y322" s="108"/>
      <c r="Z322" s="109">
        <v>0</v>
      </c>
      <c r="AA322" s="110">
        <v>0</v>
      </c>
      <c r="AB322" s="107"/>
      <c r="AC322" s="106"/>
      <c r="AD322" s="180"/>
      <c r="AE322" s="111">
        <v>0</v>
      </c>
      <c r="AF322" s="122">
        <v>0</v>
      </c>
      <c r="AG322" s="113"/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/>
      <c r="BG322" s="114"/>
      <c r="BH322" s="114"/>
      <c r="BI322" s="114"/>
      <c r="BJ322" s="114"/>
      <c r="BK322" s="114"/>
      <c r="BL322" s="114"/>
      <c r="BM322" s="114" t="str">
        <f>"     " &amp; TEXT(AF322,"#0.00%") &amp; " "</f>
        <v xml:space="preserve">     0.00% </v>
      </c>
      <c r="BN322" s="114"/>
      <c r="BO322" s="114"/>
      <c r="BP322" s="114"/>
      <c r="BQ322" s="114"/>
      <c r="BR322" s="114"/>
      <c r="BS322" s="114"/>
      <c r="BT322" s="114"/>
      <c r="BU322" s="114"/>
      <c r="BV322" s="114"/>
      <c r="BW322" s="114"/>
      <c r="BX322" s="114"/>
      <c r="BY322" s="114"/>
      <c r="BZ322" s="114"/>
      <c r="CA322" s="114"/>
      <c r="CB322" s="114"/>
      <c r="CC322" s="114"/>
      <c r="CD322" s="114"/>
      <c r="CE322" s="114"/>
      <c r="CF322" s="114"/>
      <c r="CG322" s="114"/>
      <c r="CH322" s="114"/>
      <c r="CI322" s="114"/>
      <c r="CJ322" s="114"/>
      <c r="CK322" s="114" t="str">
        <f>"    " &amp; "FOB" &amp; " " &amp; IF(Q322="","",TEXT(Q322,"M/D-")) &amp; IF(R322="","",TEXT(R322,"M/D")) &amp; " "</f>
        <v xml:space="preserve">    FOB 9/15-2/28 </v>
      </c>
      <c r="CL322" s="114"/>
      <c r="CM322" s="114"/>
      <c r="CN322" s="114"/>
      <c r="CO322" s="114"/>
      <c r="CP322" s="114"/>
      <c r="CQ322" s="114"/>
      <c r="CR322" s="114"/>
      <c r="CS322" s="114"/>
      <c r="CT322" s="114"/>
      <c r="CU322" s="114"/>
      <c r="CV322" s="114"/>
      <c r="CW322" s="114"/>
      <c r="CX322" s="114"/>
      <c r="CY322" s="114"/>
      <c r="CZ322" s="114"/>
      <c r="DA322" s="114"/>
      <c r="DB322" s="114"/>
      <c r="DC322" s="114"/>
      <c r="DD322" s="114"/>
      <c r="DE322" s="114"/>
      <c r="DF322" s="114"/>
      <c r="DG322" s="114"/>
      <c r="DH322" s="114"/>
      <c r="DI322" s="114"/>
      <c r="DJ322" s="114"/>
      <c r="DK322" s="114"/>
      <c r="DL322" s="114"/>
      <c r="DM322" s="114"/>
      <c r="DN322" s="114"/>
      <c r="DO322" s="114"/>
      <c r="DP322" s="114"/>
      <c r="DQ322" s="114"/>
    </row>
    <row r="323" spans="1:121" ht="15" customHeight="1" outlineLevel="1" x14ac:dyDescent="0.25">
      <c r="A323" s="101"/>
      <c r="B323" s="101" t="s">
        <v>153</v>
      </c>
      <c r="C323" s="101">
        <v>2</v>
      </c>
      <c r="D323" s="102" t="s">
        <v>288</v>
      </c>
      <c r="E323" s="103"/>
      <c r="F323" s="103" t="s">
        <v>536</v>
      </c>
      <c r="G323" s="103"/>
      <c r="H323" s="103"/>
      <c r="I323" s="120"/>
      <c r="J323" s="120"/>
      <c r="K323" s="120"/>
      <c r="L323" s="120"/>
      <c r="M323" s="120"/>
      <c r="N323" s="120"/>
      <c r="O323" s="120"/>
      <c r="P323" s="184"/>
      <c r="Q323" s="105">
        <v>45184</v>
      </c>
      <c r="R323" s="105">
        <v>45350</v>
      </c>
      <c r="S323" s="106"/>
      <c r="T323" s="107">
        <v>843</v>
      </c>
      <c r="U323" s="107">
        <v>0</v>
      </c>
      <c r="V323" s="107">
        <v>167</v>
      </c>
      <c r="W323" s="107">
        <v>0</v>
      </c>
      <c r="X323" s="108"/>
      <c r="Y323" s="108"/>
      <c r="Z323" s="109">
        <v>0</v>
      </c>
      <c r="AA323" s="110">
        <v>0</v>
      </c>
      <c r="AB323" s="107"/>
      <c r="AC323" s="119"/>
      <c r="AD323" s="180"/>
      <c r="AE323" s="111">
        <v>0</v>
      </c>
      <c r="AF323" s="122">
        <v>0</v>
      </c>
      <c r="AG323" s="113"/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B323" s="114"/>
      <c r="BC323" s="114"/>
      <c r="BD323" s="114"/>
      <c r="BE323" s="114"/>
      <c r="BF323" s="114"/>
      <c r="BG323" s="114"/>
      <c r="BH323" s="114"/>
      <c r="BI323" s="114"/>
      <c r="BJ323" s="114"/>
      <c r="BK323" s="114"/>
      <c r="BL323" s="114"/>
      <c r="BM323" s="114" t="str">
        <f>"     " &amp; TEXT(AF323,"#0.00%") &amp; " "</f>
        <v xml:space="preserve">     0.00% </v>
      </c>
      <c r="BN323" s="114"/>
      <c r="BO323" s="114"/>
      <c r="BP323" s="114"/>
      <c r="BQ323" s="114"/>
      <c r="BR323" s="114"/>
      <c r="BS323" s="114"/>
      <c r="BT323" s="114"/>
      <c r="BU323" s="114"/>
      <c r="BV323" s="114"/>
      <c r="BW323" s="114"/>
      <c r="BX323" s="114"/>
      <c r="BY323" s="114"/>
      <c r="BZ323" s="114"/>
      <c r="CA323" s="114"/>
      <c r="CB323" s="114"/>
      <c r="CC323" s="114"/>
      <c r="CD323" s="114"/>
      <c r="CE323" s="114"/>
      <c r="CF323" s="114"/>
      <c r="CG323" s="114"/>
      <c r="CH323" s="114"/>
      <c r="CI323" s="114"/>
      <c r="CJ323" s="114"/>
      <c r="CK323" s="114" t="str">
        <f>"    " &amp; "BOSK TN" &amp; " " &amp; IF(Q323="","",TEXT(Q323,"M/D-")) &amp; IF(R323="","",TEXT(R323,"M/D")) &amp; " "</f>
        <v xml:space="preserve">    BOSK TN 9/15-2/28 </v>
      </c>
      <c r="CL323" s="114"/>
      <c r="CM323" s="114"/>
      <c r="CN323" s="114"/>
      <c r="CO323" s="114"/>
      <c r="CP323" s="114"/>
      <c r="CQ323" s="114"/>
      <c r="CR323" s="114"/>
      <c r="CS323" s="114"/>
      <c r="CT323" s="114"/>
      <c r="CU323" s="114"/>
      <c r="CV323" s="114"/>
      <c r="CW323" s="114"/>
      <c r="CX323" s="114"/>
      <c r="CY323" s="114"/>
      <c r="CZ323" s="114"/>
      <c r="DA323" s="114"/>
      <c r="DB323" s="114"/>
      <c r="DC323" s="114"/>
      <c r="DD323" s="114"/>
      <c r="DE323" s="114"/>
      <c r="DF323" s="114"/>
      <c r="DG323" s="114"/>
      <c r="DH323" s="114"/>
      <c r="DI323" s="114"/>
      <c r="DJ323" s="114"/>
      <c r="DK323" s="114"/>
      <c r="DL323" s="114"/>
      <c r="DM323" s="114"/>
      <c r="DN323" s="114"/>
      <c r="DO323" s="114"/>
      <c r="DP323" s="114"/>
      <c r="DQ323" s="114"/>
    </row>
    <row r="324" spans="1:121" ht="15" customHeight="1" outlineLevel="2" x14ac:dyDescent="0.25">
      <c r="A324" s="101"/>
      <c r="B324" s="101" t="s">
        <v>153</v>
      </c>
      <c r="C324" s="101">
        <v>3</v>
      </c>
      <c r="D324" s="102" t="s">
        <v>289</v>
      </c>
      <c r="E324" s="103"/>
      <c r="F324" s="103"/>
      <c r="G324" s="141" t="s">
        <v>559</v>
      </c>
      <c r="H324" s="103"/>
      <c r="I324" s="103"/>
      <c r="J324" s="103"/>
      <c r="K324" s="103"/>
      <c r="L324" s="103"/>
      <c r="M324" s="103"/>
      <c r="N324" s="103"/>
      <c r="O324" s="103" t="str">
        <f>G324</f>
        <v>1동 Rack</v>
      </c>
      <c r="P324" s="118"/>
      <c r="Q324" s="108">
        <v>45184</v>
      </c>
      <c r="R324" s="105">
        <v>45240</v>
      </c>
      <c r="S324" s="106"/>
      <c r="T324" s="107">
        <v>153</v>
      </c>
      <c r="U324" s="107">
        <v>0</v>
      </c>
      <c r="V324" s="107">
        <v>57</v>
      </c>
      <c r="W324" s="107">
        <v>0</v>
      </c>
      <c r="X324" s="108"/>
      <c r="Y324" s="108"/>
      <c r="Z324" s="109">
        <v>0</v>
      </c>
      <c r="AA324" s="110">
        <v>0</v>
      </c>
      <c r="AB324" s="107"/>
      <c r="AC324" s="119"/>
      <c r="AD324" s="180"/>
      <c r="AE324" s="111">
        <v>0</v>
      </c>
      <c r="AF324" s="122">
        <v>0</v>
      </c>
      <c r="AG324" s="113"/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/>
      <c r="BE324" s="114"/>
      <c r="BF324" s="114"/>
      <c r="BG324" s="114"/>
      <c r="BH324" s="114"/>
      <c r="BI324" s="114"/>
      <c r="BJ324" s="114"/>
      <c r="BK324" s="114"/>
      <c r="BL324" s="114"/>
      <c r="BM324" s="114" t="str">
        <f>"     " &amp; TEXT(AF324,"#0.00%") &amp; " "</f>
        <v xml:space="preserve">     0.00% </v>
      </c>
      <c r="BN324" s="114"/>
      <c r="BO324" s="114"/>
      <c r="BP324" s="114"/>
      <c r="BQ324" s="114"/>
      <c r="BR324" s="114"/>
      <c r="BS324" s="114"/>
      <c r="BT324" s="114"/>
      <c r="BU324" s="114" t="str">
        <f>"      " &amp; "1동 Rack" &amp; " " &amp; IF(Q324="","",TEXT(Q324,"M/D-")) &amp; IF(R324="","",TEXT(R324,"M/D")) &amp; " "</f>
        <v xml:space="preserve">      1동 Rack 9/15-11/10 </v>
      </c>
      <c r="BV324" s="114"/>
      <c r="BW324" s="114"/>
      <c r="BX324" s="114"/>
      <c r="BY324" s="114"/>
      <c r="BZ324" s="114"/>
      <c r="CA324" s="114"/>
      <c r="CB324" s="114"/>
      <c r="CC324" s="114"/>
      <c r="CD324" s="114"/>
      <c r="CE324" s="114"/>
      <c r="CF324" s="114"/>
      <c r="CG324" s="114"/>
      <c r="CH324" s="114"/>
      <c r="CI324" s="114"/>
      <c r="CJ324" s="114"/>
      <c r="CK324" s="114"/>
      <c r="CL324" s="114"/>
      <c r="CM324" s="114"/>
      <c r="CN324" s="114"/>
      <c r="CO324" s="114"/>
      <c r="CP324" s="114"/>
      <c r="CQ324" s="114"/>
      <c r="CR324" s="114"/>
      <c r="CS324" s="114"/>
      <c r="CT324" s="114"/>
      <c r="CU324" s="114"/>
      <c r="CV324" s="114"/>
      <c r="CW324" s="114"/>
      <c r="CX324" s="114"/>
      <c r="CY324" s="114"/>
      <c r="CZ324" s="114"/>
      <c r="DA324" s="114"/>
      <c r="DB324" s="114"/>
      <c r="DC324" s="114"/>
      <c r="DD324" s="114"/>
      <c r="DE324" s="114"/>
      <c r="DF324" s="114"/>
      <c r="DG324" s="114"/>
      <c r="DH324" s="114"/>
      <c r="DI324" s="114"/>
      <c r="DJ324" s="114"/>
      <c r="DK324" s="114"/>
      <c r="DL324" s="114"/>
      <c r="DM324" s="114"/>
      <c r="DN324" s="114"/>
      <c r="DO324" s="114"/>
      <c r="DP324" s="114"/>
      <c r="DQ324" s="114"/>
    </row>
    <row r="325" spans="1:121" ht="15" customHeight="1" outlineLevel="3" x14ac:dyDescent="0.25">
      <c r="A325" s="101"/>
      <c r="B325" s="101" t="s">
        <v>153</v>
      </c>
      <c r="C325" s="101">
        <v>4</v>
      </c>
      <c r="D325" s="102" t="s">
        <v>290</v>
      </c>
      <c r="E325" s="103"/>
      <c r="F325" s="103"/>
      <c r="G325" s="103"/>
      <c r="H325" s="103" t="s">
        <v>560</v>
      </c>
      <c r="I325" s="103"/>
      <c r="J325" s="103"/>
      <c r="K325" s="103"/>
      <c r="L325" s="103"/>
      <c r="M325" s="103"/>
      <c r="N325" s="103"/>
      <c r="O325" s="103" t="str">
        <f>H325</f>
        <v>1동 상온#1 Aging(Deck&amp;Accessory)</v>
      </c>
      <c r="P325" s="118"/>
      <c r="Q325" s="108">
        <v>45184</v>
      </c>
      <c r="R325" s="105">
        <v>45200</v>
      </c>
      <c r="S325" s="106"/>
      <c r="T325" s="107">
        <v>17</v>
      </c>
      <c r="U325" s="107">
        <v>0</v>
      </c>
      <c r="V325" s="107">
        <v>17</v>
      </c>
      <c r="W325" s="107">
        <v>0</v>
      </c>
      <c r="X325" s="108"/>
      <c r="Y325" s="108"/>
      <c r="Z325" s="109">
        <v>0</v>
      </c>
      <c r="AA325" s="110">
        <v>0</v>
      </c>
      <c r="AB325" s="107"/>
      <c r="AC325" s="119"/>
      <c r="AD325" s="180"/>
      <c r="AE325" s="111">
        <v>0</v>
      </c>
      <c r="AF325" s="122">
        <v>0</v>
      </c>
      <c r="AG325" s="113"/>
      <c r="AH325" s="114"/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  <c r="BI325" s="114"/>
      <c r="BJ325" s="114"/>
      <c r="BK325" s="114"/>
      <c r="BL325" s="114"/>
      <c r="BM325" s="114" t="str">
        <f>"     " &amp; TEXT(AF325,"#0.00%") &amp; " " &amp; "1동 상온#1 Aging(Deck&amp;Accessory)" &amp; " " &amp; IF(Q325="","",TEXT(Q325,"M/D-")) &amp; IF(R325="","",TEXT(R325,"M/D")) &amp; " "</f>
        <v xml:space="preserve">     0.00% 1동 상온#1 Aging(Deck&amp;Accessory) 9/15-10/1 </v>
      </c>
      <c r="BN325" s="114"/>
      <c r="BO325" s="114"/>
      <c r="BP325" s="114"/>
      <c r="BQ325" s="114"/>
      <c r="BR325" s="114"/>
      <c r="BS325" s="114"/>
      <c r="BT325" s="114"/>
      <c r="BU325" s="114"/>
      <c r="BV325" s="114"/>
      <c r="BW325" s="114"/>
      <c r="BX325" s="114"/>
      <c r="BY325" s="114"/>
      <c r="BZ325" s="114"/>
      <c r="CA325" s="114"/>
      <c r="CB325" s="114"/>
      <c r="CC325" s="114"/>
      <c r="CD325" s="114"/>
      <c r="CE325" s="114"/>
      <c r="CF325" s="114"/>
      <c r="CG325" s="114"/>
      <c r="CH325" s="114"/>
      <c r="CI325" s="114"/>
      <c r="CJ325" s="114"/>
      <c r="CK325" s="114"/>
      <c r="CL325" s="114"/>
      <c r="CM325" s="114"/>
      <c r="CN325" s="114"/>
      <c r="CO325" s="114"/>
      <c r="CP325" s="114"/>
      <c r="CQ325" s="114"/>
      <c r="CR325" s="114"/>
      <c r="CS325" s="114"/>
      <c r="CT325" s="114"/>
      <c r="CU325" s="114"/>
      <c r="CV325" s="114"/>
      <c r="CW325" s="114"/>
      <c r="CX325" s="114"/>
      <c r="CY325" s="114"/>
      <c r="CZ325" s="114"/>
      <c r="DA325" s="114"/>
      <c r="DB325" s="114"/>
      <c r="DC325" s="114"/>
      <c r="DD325" s="114"/>
      <c r="DE325" s="114"/>
      <c r="DF325" s="114"/>
      <c r="DG325" s="114"/>
      <c r="DH325" s="114"/>
      <c r="DI325" s="114"/>
      <c r="DJ325" s="114"/>
      <c r="DK325" s="114"/>
      <c r="DL325" s="114"/>
      <c r="DM325" s="114"/>
      <c r="DN325" s="114"/>
      <c r="DO325" s="114"/>
      <c r="DP325" s="114"/>
      <c r="DQ325" s="114"/>
    </row>
    <row r="326" spans="1:121" ht="15" customHeight="1" outlineLevel="4" x14ac:dyDescent="0.25">
      <c r="A326" s="101"/>
      <c r="B326" s="101"/>
      <c r="C326" s="101">
        <v>5</v>
      </c>
      <c r="D326" s="102" t="s">
        <v>291</v>
      </c>
      <c r="E326" s="103"/>
      <c r="F326" s="103"/>
      <c r="G326" s="103"/>
      <c r="H326" s="103"/>
      <c r="I326" s="120" t="s">
        <v>773</v>
      </c>
      <c r="J326" s="120"/>
      <c r="K326" s="120"/>
      <c r="L326" s="120"/>
      <c r="M326" s="120"/>
      <c r="N326" s="120"/>
      <c r="O326" s="120" t="str">
        <f>O325</f>
        <v>1동 상온#1 Aging(Deck&amp;Accessory)</v>
      </c>
      <c r="P326" s="184"/>
      <c r="Q326" s="105">
        <v>45184</v>
      </c>
      <c r="R326" s="105">
        <v>45199</v>
      </c>
      <c r="S326" s="106">
        <f>R326-Q326</f>
        <v>15</v>
      </c>
      <c r="T326" s="107">
        <v>16</v>
      </c>
      <c r="U326" s="107">
        <v>0</v>
      </c>
      <c r="V326" s="107">
        <v>16</v>
      </c>
      <c r="W326" s="107">
        <v>0</v>
      </c>
      <c r="X326" s="108"/>
      <c r="Y326" s="108"/>
      <c r="Z326" s="109"/>
      <c r="AA326" s="110">
        <v>0</v>
      </c>
      <c r="AB326" s="107">
        <v>1</v>
      </c>
      <c r="AC326" s="119"/>
      <c r="AD326" s="180"/>
      <c r="AE326" s="111">
        <v>0</v>
      </c>
      <c r="AF326" s="121">
        <v>0</v>
      </c>
      <c r="AG326" s="113"/>
      <c r="AH326" s="114"/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  <c r="BI326" s="114"/>
      <c r="BJ326" s="114"/>
      <c r="BK326" s="114"/>
      <c r="BL326" s="114"/>
      <c r="BM326" s="114" t="str">
        <f>"     " &amp; TEXT(AF326,"#0.00%") &amp; " " &amp; "Packing" &amp; " " &amp; IF(Q326="","",TEXT(Q326,"M/D-")) &amp; IF(R326="","",TEXT(R326,"M/D")) &amp; " "</f>
        <v xml:space="preserve">     0.00% Packing 9/15-9/30 </v>
      </c>
      <c r="BN326" s="114"/>
      <c r="BO326" s="114"/>
      <c r="BP326" s="114"/>
      <c r="BQ326" s="114"/>
      <c r="BR326" s="114"/>
      <c r="BS326" s="114"/>
      <c r="BT326" s="114"/>
      <c r="BU326" s="114"/>
      <c r="BV326" s="114"/>
      <c r="BW326" s="114"/>
      <c r="BX326" s="114"/>
      <c r="BY326" s="114"/>
      <c r="BZ326" s="114"/>
      <c r="CA326" s="114"/>
      <c r="CB326" s="114"/>
      <c r="CC326" s="114"/>
      <c r="CD326" s="114"/>
      <c r="CE326" s="114"/>
      <c r="CF326" s="114"/>
      <c r="CG326" s="114"/>
      <c r="CH326" s="114"/>
      <c r="CI326" s="114"/>
      <c r="CJ326" s="114"/>
      <c r="CK326" s="114"/>
      <c r="CL326" s="114"/>
      <c r="CM326" s="114"/>
      <c r="CN326" s="114"/>
      <c r="CO326" s="114"/>
      <c r="CP326" s="114"/>
      <c r="CQ326" s="114"/>
      <c r="CR326" s="114"/>
      <c r="CS326" s="114"/>
      <c r="CT326" s="114"/>
      <c r="CU326" s="114"/>
      <c r="CV326" s="114"/>
      <c r="CW326" s="114"/>
      <c r="CX326" s="114"/>
      <c r="CY326" s="114"/>
      <c r="CZ326" s="114"/>
      <c r="DA326" s="114"/>
      <c r="DB326" s="114"/>
      <c r="DC326" s="114"/>
      <c r="DD326" s="114"/>
      <c r="DE326" s="114"/>
      <c r="DF326" s="114"/>
      <c r="DG326" s="114"/>
      <c r="DH326" s="114"/>
      <c r="DI326" s="114"/>
      <c r="DJ326" s="114"/>
      <c r="DK326" s="114"/>
      <c r="DL326" s="114"/>
      <c r="DM326" s="114"/>
      <c r="DN326" s="114"/>
      <c r="DO326" s="114"/>
      <c r="DP326" s="114"/>
      <c r="DQ326" s="114"/>
    </row>
    <row r="327" spans="1:121" ht="15" customHeight="1" outlineLevel="4" x14ac:dyDescent="0.25">
      <c r="A327" s="101"/>
      <c r="B327" s="101"/>
      <c r="C327" s="101">
        <v>5</v>
      </c>
      <c r="D327" s="102" t="s">
        <v>292</v>
      </c>
      <c r="E327" s="103"/>
      <c r="F327" s="103"/>
      <c r="G327" s="103"/>
      <c r="H327" s="103"/>
      <c r="I327" s="120" t="s">
        <v>287</v>
      </c>
      <c r="J327" s="120"/>
      <c r="K327" s="120"/>
      <c r="L327" s="120"/>
      <c r="M327" s="120"/>
      <c r="N327" s="120"/>
      <c r="O327" s="120" t="str">
        <f>O326</f>
        <v>1동 상온#1 Aging(Deck&amp;Accessory)</v>
      </c>
      <c r="P327" s="184"/>
      <c r="Q327" s="105">
        <v>45200</v>
      </c>
      <c r="R327" s="105">
        <v>45200</v>
      </c>
      <c r="S327" s="106"/>
      <c r="T327" s="107">
        <v>1</v>
      </c>
      <c r="U327" s="107">
        <v>0</v>
      </c>
      <c r="V327" s="107">
        <v>1</v>
      </c>
      <c r="W327" s="107">
        <v>0</v>
      </c>
      <c r="X327" s="108"/>
      <c r="Y327" s="108"/>
      <c r="Z327" s="109"/>
      <c r="AA327" s="110">
        <v>0</v>
      </c>
      <c r="AB327" s="107">
        <v>1</v>
      </c>
      <c r="AC327" s="119"/>
      <c r="AD327" s="180"/>
      <c r="AE327" s="111">
        <v>0</v>
      </c>
      <c r="AF327" s="121">
        <v>0</v>
      </c>
      <c r="AG327" s="113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 t="str">
        <f>"" &amp; TEXT(AF327,"#0.00%") &amp; " " &amp; "FOB" &amp; " " &amp; IF(Q327="","",TEXT(Q327,"M/D-")) &amp; IF(R327="","",TEXT(R327,"M/D")) &amp; " "</f>
        <v xml:space="preserve">0.00% FOB 10/1-10/1 </v>
      </c>
      <c r="BQ327" s="114"/>
      <c r="BR327" s="114"/>
      <c r="BS327" s="114"/>
      <c r="BT327" s="114"/>
      <c r="BU327" s="114"/>
      <c r="BV327" s="114"/>
      <c r="BW327" s="114"/>
      <c r="BX327" s="114"/>
      <c r="BY327" s="114"/>
      <c r="BZ327" s="114"/>
      <c r="CA327" s="114"/>
      <c r="CB327" s="114"/>
      <c r="CC327" s="114"/>
      <c r="CD327" s="114"/>
      <c r="CE327" s="114"/>
      <c r="CF327" s="114"/>
      <c r="CG327" s="114"/>
      <c r="CH327" s="114"/>
      <c r="CI327" s="114"/>
      <c r="CJ327" s="114"/>
      <c r="CK327" s="114"/>
      <c r="CL327" s="114"/>
      <c r="CM327" s="114"/>
      <c r="CN327" s="114"/>
      <c r="CO327" s="114"/>
      <c r="CP327" s="114"/>
      <c r="CQ327" s="114"/>
      <c r="CR327" s="114"/>
      <c r="CS327" s="114"/>
      <c r="CT327" s="114"/>
      <c r="CU327" s="114"/>
      <c r="CV327" s="114"/>
      <c r="CW327" s="114"/>
      <c r="CX327" s="114"/>
      <c r="CY327" s="114"/>
      <c r="CZ327" s="114"/>
      <c r="DA327" s="114"/>
      <c r="DB327" s="114"/>
      <c r="DC327" s="114"/>
      <c r="DD327" s="114"/>
      <c r="DE327" s="114"/>
      <c r="DF327" s="114"/>
      <c r="DG327" s="114"/>
      <c r="DH327" s="114"/>
      <c r="DI327" s="114"/>
      <c r="DJ327" s="114"/>
      <c r="DK327" s="114"/>
      <c r="DL327" s="114"/>
      <c r="DM327" s="114"/>
      <c r="DN327" s="114"/>
      <c r="DO327" s="114"/>
      <c r="DP327" s="114"/>
      <c r="DQ327" s="114"/>
    </row>
    <row r="328" spans="1:121" ht="15" customHeight="1" outlineLevel="3" x14ac:dyDescent="0.25">
      <c r="A328" s="101"/>
      <c r="B328" s="101" t="s">
        <v>153</v>
      </c>
      <c r="C328" s="101">
        <v>4</v>
      </c>
      <c r="D328" s="102" t="s">
        <v>293</v>
      </c>
      <c r="E328" s="103"/>
      <c r="F328" s="103"/>
      <c r="G328" s="103"/>
      <c r="H328" s="103" t="s">
        <v>561</v>
      </c>
      <c r="I328" s="103"/>
      <c r="J328" s="103"/>
      <c r="K328" s="103"/>
      <c r="L328" s="103"/>
      <c r="M328" s="103"/>
      <c r="N328" s="103"/>
      <c r="O328" s="103" t="str">
        <f>H328</f>
        <v>1동 고온#1 Aging (Deck&amp;Accessory)</v>
      </c>
      <c r="P328" s="118"/>
      <c r="Q328" s="108">
        <v>45209</v>
      </c>
      <c r="R328" s="105">
        <v>45226</v>
      </c>
      <c r="S328" s="106"/>
      <c r="T328" s="107">
        <v>18</v>
      </c>
      <c r="U328" s="107">
        <v>0</v>
      </c>
      <c r="V328" s="107">
        <v>18</v>
      </c>
      <c r="W328" s="107">
        <v>0</v>
      </c>
      <c r="X328" s="108"/>
      <c r="Y328" s="108"/>
      <c r="Z328" s="109">
        <v>0</v>
      </c>
      <c r="AA328" s="110">
        <v>0</v>
      </c>
      <c r="AB328" s="107"/>
      <c r="AC328" s="119"/>
      <c r="AD328" s="180"/>
      <c r="AE328" s="111">
        <v>0</v>
      </c>
      <c r="AF328" s="122">
        <v>0</v>
      </c>
      <c r="AG328" s="113"/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  <c r="BI328" s="114"/>
      <c r="BJ328" s="114"/>
      <c r="BK328" s="114"/>
      <c r="BL328" s="114"/>
      <c r="BM328" s="114"/>
      <c r="BN328" s="114"/>
      <c r="BO328" s="114"/>
      <c r="BP328" s="114"/>
      <c r="BQ328" s="114" t="str">
        <f>"  " &amp; TEXT(AF328,"#0.00%") &amp; " " &amp; "1동 고온#1 Aging (Deck&amp;Accessory)" &amp; " " &amp; IF(Q328="","",TEXT(Q328,"M/D-")) &amp; IF(R328="","",TEXT(R328,"M/D")) &amp; " "</f>
        <v xml:space="preserve">  0.00% 1동 고온#1 Aging (Deck&amp;Accessory) 10/10-10/27 </v>
      </c>
      <c r="BR328" s="114"/>
      <c r="BS328" s="114"/>
      <c r="BT328" s="114"/>
      <c r="BU328" s="114"/>
      <c r="BV328" s="114"/>
      <c r="BW328" s="114"/>
      <c r="BX328" s="114"/>
      <c r="BY328" s="114"/>
      <c r="BZ328" s="114"/>
      <c r="CA328" s="114"/>
      <c r="CB328" s="114"/>
      <c r="CC328" s="114"/>
      <c r="CD328" s="114"/>
      <c r="CE328" s="114"/>
      <c r="CF328" s="114"/>
      <c r="CG328" s="114"/>
      <c r="CH328" s="114"/>
      <c r="CI328" s="114"/>
      <c r="CJ328" s="114"/>
      <c r="CK328" s="114"/>
      <c r="CL328" s="114"/>
      <c r="CM328" s="114"/>
      <c r="CN328" s="114"/>
      <c r="CO328" s="114"/>
      <c r="CP328" s="114"/>
      <c r="CQ328" s="114"/>
      <c r="CR328" s="114"/>
      <c r="CS328" s="114"/>
      <c r="CT328" s="114"/>
      <c r="CU328" s="114"/>
      <c r="CV328" s="114"/>
      <c r="CW328" s="114"/>
      <c r="CX328" s="114"/>
      <c r="CY328" s="114"/>
      <c r="CZ328" s="114"/>
      <c r="DA328" s="114"/>
      <c r="DB328" s="114"/>
      <c r="DC328" s="114"/>
      <c r="DD328" s="114"/>
      <c r="DE328" s="114"/>
      <c r="DF328" s="114"/>
      <c r="DG328" s="114"/>
      <c r="DH328" s="114"/>
      <c r="DI328" s="114"/>
      <c r="DJ328" s="114"/>
      <c r="DK328" s="114"/>
      <c r="DL328" s="114"/>
      <c r="DM328" s="114"/>
      <c r="DN328" s="114"/>
      <c r="DO328" s="114"/>
      <c r="DP328" s="114"/>
      <c r="DQ328" s="114"/>
    </row>
    <row r="329" spans="1:121" ht="15" customHeight="1" outlineLevel="4" x14ac:dyDescent="0.25">
      <c r="A329" s="101"/>
      <c r="B329" s="101"/>
      <c r="C329" s="101">
        <v>5</v>
      </c>
      <c r="D329" s="102" t="s">
        <v>294</v>
      </c>
      <c r="E329" s="103"/>
      <c r="F329" s="103"/>
      <c r="G329" s="103"/>
      <c r="H329" s="103"/>
      <c r="I329" s="120" t="s">
        <v>773</v>
      </c>
      <c r="J329" s="120"/>
      <c r="K329" s="120"/>
      <c r="L329" s="120"/>
      <c r="M329" s="120"/>
      <c r="N329" s="120"/>
      <c r="O329" s="120" t="str">
        <f>O328</f>
        <v>1동 고온#1 Aging (Deck&amp;Accessory)</v>
      </c>
      <c r="P329" s="184"/>
      <c r="Q329" s="105">
        <v>45209</v>
      </c>
      <c r="R329" s="105">
        <v>45225</v>
      </c>
      <c r="S329" s="106">
        <f>R329-Q329</f>
        <v>16</v>
      </c>
      <c r="T329" s="107">
        <v>17</v>
      </c>
      <c r="U329" s="107">
        <v>0</v>
      </c>
      <c r="V329" s="107">
        <v>17</v>
      </c>
      <c r="W329" s="107">
        <v>0</v>
      </c>
      <c r="X329" s="108"/>
      <c r="Y329" s="108"/>
      <c r="Z329" s="109"/>
      <c r="AA329" s="110">
        <v>0</v>
      </c>
      <c r="AB329" s="107">
        <v>1</v>
      </c>
      <c r="AC329" s="119"/>
      <c r="AD329" s="180"/>
      <c r="AE329" s="111">
        <v>0</v>
      </c>
      <c r="AF329" s="121">
        <v>0</v>
      </c>
      <c r="AG329" s="113"/>
      <c r="AH329" s="114"/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/>
      <c r="BE329" s="114"/>
      <c r="BF329" s="114"/>
      <c r="BG329" s="114"/>
      <c r="BH329" s="114"/>
      <c r="BI329" s="114"/>
      <c r="BJ329" s="114"/>
      <c r="BK329" s="114"/>
      <c r="BL329" s="114"/>
      <c r="BM329" s="114"/>
      <c r="BN329" s="114"/>
      <c r="BO329" s="114"/>
      <c r="BP329" s="114"/>
      <c r="BQ329" s="114" t="str">
        <f>"  " &amp; TEXT(AF329,"#0.00%") &amp; " " &amp; "Packing" &amp; " " &amp; IF(Q329="","",TEXT(Q329,"M/D-")) &amp; IF(R329="","",TEXT(R329,"M/D")) &amp; " "</f>
        <v xml:space="preserve">  0.00% Packing 10/10-10/26 </v>
      </c>
      <c r="BR329" s="114"/>
      <c r="BS329" s="114"/>
      <c r="BT329" s="114"/>
      <c r="BU329" s="114"/>
      <c r="BV329" s="114"/>
      <c r="BW329" s="114"/>
      <c r="BX329" s="114"/>
      <c r="BY329" s="114"/>
      <c r="BZ329" s="114"/>
      <c r="CA329" s="114"/>
      <c r="CB329" s="114"/>
      <c r="CC329" s="114"/>
      <c r="CD329" s="114"/>
      <c r="CE329" s="114"/>
      <c r="CF329" s="114"/>
      <c r="CG329" s="114"/>
      <c r="CH329" s="114"/>
      <c r="CI329" s="114"/>
      <c r="CJ329" s="114"/>
      <c r="CK329" s="114"/>
      <c r="CL329" s="114"/>
      <c r="CM329" s="114"/>
      <c r="CN329" s="114"/>
      <c r="CO329" s="114"/>
      <c r="CP329" s="114"/>
      <c r="CQ329" s="114"/>
      <c r="CR329" s="114"/>
      <c r="CS329" s="114"/>
      <c r="CT329" s="114"/>
      <c r="CU329" s="114"/>
      <c r="CV329" s="114"/>
      <c r="CW329" s="114"/>
      <c r="CX329" s="114"/>
      <c r="CY329" s="114"/>
      <c r="CZ329" s="114"/>
      <c r="DA329" s="114"/>
      <c r="DB329" s="114"/>
      <c r="DC329" s="114"/>
      <c r="DD329" s="114"/>
      <c r="DE329" s="114"/>
      <c r="DF329" s="114"/>
      <c r="DG329" s="114"/>
      <c r="DH329" s="114"/>
      <c r="DI329" s="114"/>
      <c r="DJ329" s="114"/>
      <c r="DK329" s="114"/>
      <c r="DL329" s="114"/>
      <c r="DM329" s="114"/>
      <c r="DN329" s="114"/>
      <c r="DO329" s="114"/>
      <c r="DP329" s="114"/>
      <c r="DQ329" s="114"/>
    </row>
    <row r="330" spans="1:121" ht="15" customHeight="1" outlineLevel="4" x14ac:dyDescent="0.25">
      <c r="A330" s="101"/>
      <c r="B330" s="101"/>
      <c r="C330" s="101">
        <v>5</v>
      </c>
      <c r="D330" s="102" t="s">
        <v>295</v>
      </c>
      <c r="E330" s="103"/>
      <c r="F330" s="103"/>
      <c r="G330" s="103"/>
      <c r="H330" s="103"/>
      <c r="I330" s="120" t="s">
        <v>287</v>
      </c>
      <c r="J330" s="120"/>
      <c r="K330" s="120"/>
      <c r="L330" s="120"/>
      <c r="M330" s="120"/>
      <c r="N330" s="120"/>
      <c r="O330" s="120" t="str">
        <f>O329</f>
        <v>1동 고온#1 Aging (Deck&amp;Accessory)</v>
      </c>
      <c r="P330" s="184"/>
      <c r="Q330" s="105">
        <v>45226</v>
      </c>
      <c r="R330" s="105">
        <v>45226</v>
      </c>
      <c r="S330" s="106"/>
      <c r="T330" s="107">
        <v>1</v>
      </c>
      <c r="U330" s="107">
        <v>0</v>
      </c>
      <c r="V330" s="107">
        <v>1</v>
      </c>
      <c r="W330" s="107">
        <v>0</v>
      </c>
      <c r="X330" s="108"/>
      <c r="Y330" s="108"/>
      <c r="Z330" s="109"/>
      <c r="AA330" s="110">
        <v>0</v>
      </c>
      <c r="AB330" s="107">
        <v>1</v>
      </c>
      <c r="AC330" s="119"/>
      <c r="AD330" s="180"/>
      <c r="AE330" s="111">
        <v>0</v>
      </c>
      <c r="AF330" s="121">
        <v>0</v>
      </c>
      <c r="AG330" s="113"/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/>
      <c r="BF330" s="114"/>
      <c r="BG330" s="114"/>
      <c r="BH330" s="114"/>
      <c r="BI330" s="114"/>
      <c r="BJ330" s="114"/>
      <c r="BK330" s="114"/>
      <c r="BL330" s="114"/>
      <c r="BM330" s="114"/>
      <c r="BN330" s="114"/>
      <c r="BO330" s="114"/>
      <c r="BP330" s="114"/>
      <c r="BQ330" s="114"/>
      <c r="BR330" s="114"/>
      <c r="BS330" s="114" t="str">
        <f>"     " &amp; TEXT(AF330,"#0.00%") &amp; " " &amp; "FOB" &amp; " " &amp; IF(Q330="","",TEXT(Q330,"M/D-")) &amp; IF(R330="","",TEXT(R330,"M/D")) &amp; " "</f>
        <v xml:space="preserve">     0.00% FOB 10/27-10/27 </v>
      </c>
      <c r="BT330" s="114"/>
      <c r="BU330" s="114"/>
      <c r="BV330" s="114"/>
      <c r="BW330" s="114"/>
      <c r="BX330" s="114"/>
      <c r="BY330" s="114"/>
      <c r="BZ330" s="114"/>
      <c r="CA330" s="114"/>
      <c r="CB330" s="114"/>
      <c r="CC330" s="114"/>
      <c r="CD330" s="114"/>
      <c r="CE330" s="114"/>
      <c r="CF330" s="114"/>
      <c r="CG330" s="114"/>
      <c r="CH330" s="114"/>
      <c r="CI330" s="114"/>
      <c r="CJ330" s="114"/>
      <c r="CK330" s="114"/>
      <c r="CL330" s="114"/>
      <c r="CM330" s="114"/>
      <c r="CN330" s="114"/>
      <c r="CO330" s="114"/>
      <c r="CP330" s="114"/>
      <c r="CQ330" s="114"/>
      <c r="CR330" s="114"/>
      <c r="CS330" s="114"/>
      <c r="CT330" s="114"/>
      <c r="CU330" s="114"/>
      <c r="CV330" s="114"/>
      <c r="CW330" s="114"/>
      <c r="CX330" s="114"/>
      <c r="CY330" s="114"/>
      <c r="CZ330" s="114"/>
      <c r="DA330" s="114"/>
      <c r="DB330" s="114"/>
      <c r="DC330" s="114"/>
      <c r="DD330" s="114"/>
      <c r="DE330" s="114"/>
      <c r="DF330" s="114"/>
      <c r="DG330" s="114"/>
      <c r="DH330" s="114"/>
      <c r="DI330" s="114"/>
      <c r="DJ330" s="114"/>
      <c r="DK330" s="114"/>
      <c r="DL330" s="114"/>
      <c r="DM330" s="114"/>
      <c r="DN330" s="114"/>
      <c r="DO330" s="114"/>
      <c r="DP330" s="114"/>
      <c r="DQ330" s="114"/>
    </row>
    <row r="331" spans="1:121" ht="15" customHeight="1" outlineLevel="3" x14ac:dyDescent="0.25">
      <c r="A331" s="101"/>
      <c r="B331" s="101" t="s">
        <v>153</v>
      </c>
      <c r="C331" s="101">
        <v>4</v>
      </c>
      <c r="D331" s="102" t="s">
        <v>296</v>
      </c>
      <c r="E331" s="103"/>
      <c r="F331" s="103"/>
      <c r="G331" s="103"/>
      <c r="H331" s="103" t="s">
        <v>562</v>
      </c>
      <c r="I331" s="103"/>
      <c r="J331" s="103"/>
      <c r="K331" s="103"/>
      <c r="L331" s="103"/>
      <c r="M331" s="103"/>
      <c r="N331" s="103"/>
      <c r="O331" s="103" t="str">
        <f>H331</f>
        <v>1동 PPC (Deck&amp;Accessory)</v>
      </c>
      <c r="P331" s="118"/>
      <c r="Q331" s="108">
        <v>45184</v>
      </c>
      <c r="R331" s="105">
        <v>45200</v>
      </c>
      <c r="S331" s="106"/>
      <c r="T331" s="107">
        <v>17</v>
      </c>
      <c r="U331" s="107">
        <v>0</v>
      </c>
      <c r="V331" s="107">
        <v>17</v>
      </c>
      <c r="W331" s="107">
        <v>0</v>
      </c>
      <c r="X331" s="108"/>
      <c r="Y331" s="108"/>
      <c r="Z331" s="109">
        <v>0</v>
      </c>
      <c r="AA331" s="110">
        <v>0</v>
      </c>
      <c r="AB331" s="107"/>
      <c r="AC331" s="119"/>
      <c r="AD331" s="180"/>
      <c r="AE331" s="111">
        <v>0</v>
      </c>
      <c r="AF331" s="122">
        <v>0</v>
      </c>
      <c r="AG331" s="113"/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  <c r="BI331" s="114"/>
      <c r="BJ331" s="114"/>
      <c r="BK331" s="114"/>
      <c r="BL331" s="114"/>
      <c r="BM331" s="114" t="str">
        <f>"     " &amp; TEXT(AF331,"#0.00%") &amp; " " &amp; "1동 PPC (Deck&amp;Accessory)" &amp; " " &amp; IF(Q331="","",TEXT(Q331,"M/D-")) &amp; IF(R331="","",TEXT(R331,"M/D")) &amp; " "</f>
        <v xml:space="preserve">     0.00% 1동 PPC (Deck&amp;Accessory) 9/15-10/1 </v>
      </c>
      <c r="BN331" s="114"/>
      <c r="BO331" s="114"/>
      <c r="BP331" s="114"/>
      <c r="BQ331" s="114"/>
      <c r="BR331" s="114"/>
      <c r="BS331" s="114"/>
      <c r="BT331" s="114"/>
      <c r="BU331" s="114"/>
      <c r="BV331" s="114"/>
      <c r="BW331" s="114"/>
      <c r="BX331" s="114"/>
      <c r="BY331" s="114"/>
      <c r="BZ331" s="114"/>
      <c r="CA331" s="114"/>
      <c r="CB331" s="114"/>
      <c r="CC331" s="114"/>
      <c r="CD331" s="114"/>
      <c r="CE331" s="114"/>
      <c r="CF331" s="114"/>
      <c r="CG331" s="114"/>
      <c r="CH331" s="114"/>
      <c r="CI331" s="114"/>
      <c r="CJ331" s="114"/>
      <c r="CK331" s="114"/>
      <c r="CL331" s="114"/>
      <c r="CM331" s="114"/>
      <c r="CN331" s="114"/>
      <c r="CO331" s="114"/>
      <c r="CP331" s="114"/>
      <c r="CQ331" s="114"/>
      <c r="CR331" s="114"/>
      <c r="CS331" s="114"/>
      <c r="CT331" s="114"/>
      <c r="CU331" s="114"/>
      <c r="CV331" s="114"/>
      <c r="CW331" s="114"/>
      <c r="CX331" s="114"/>
      <c r="CY331" s="114"/>
      <c r="CZ331" s="114"/>
      <c r="DA331" s="114"/>
      <c r="DB331" s="114"/>
      <c r="DC331" s="114"/>
      <c r="DD331" s="114"/>
      <c r="DE331" s="114"/>
      <c r="DF331" s="114"/>
      <c r="DG331" s="114"/>
      <c r="DH331" s="114"/>
      <c r="DI331" s="114"/>
      <c r="DJ331" s="114"/>
      <c r="DK331" s="114"/>
      <c r="DL331" s="114"/>
      <c r="DM331" s="114"/>
      <c r="DN331" s="114"/>
      <c r="DO331" s="114"/>
      <c r="DP331" s="114"/>
      <c r="DQ331" s="114"/>
    </row>
    <row r="332" spans="1:121" ht="15" customHeight="1" outlineLevel="4" x14ac:dyDescent="0.25">
      <c r="A332" s="101"/>
      <c r="B332" s="101"/>
      <c r="C332" s="101">
        <v>5</v>
      </c>
      <c r="D332" s="102" t="s">
        <v>297</v>
      </c>
      <c r="E332" s="103"/>
      <c r="F332" s="103"/>
      <c r="G332" s="103"/>
      <c r="H332" s="103"/>
      <c r="I332" s="120" t="s">
        <v>773</v>
      </c>
      <c r="J332" s="120"/>
      <c r="K332" s="120"/>
      <c r="L332" s="120"/>
      <c r="M332" s="120"/>
      <c r="N332" s="120"/>
      <c r="O332" s="120" t="str">
        <f>O331</f>
        <v>1동 PPC (Deck&amp;Accessory)</v>
      </c>
      <c r="P332" s="184"/>
      <c r="Q332" s="105">
        <v>45184</v>
      </c>
      <c r="R332" s="105">
        <v>45199</v>
      </c>
      <c r="S332" s="106">
        <f>R332-Q332</f>
        <v>15</v>
      </c>
      <c r="T332" s="107">
        <v>16</v>
      </c>
      <c r="U332" s="107">
        <v>0</v>
      </c>
      <c r="V332" s="107">
        <v>16</v>
      </c>
      <c r="W332" s="107">
        <v>0</v>
      </c>
      <c r="X332" s="108"/>
      <c r="Y332" s="108"/>
      <c r="Z332" s="109"/>
      <c r="AA332" s="110">
        <v>0</v>
      </c>
      <c r="AB332" s="107">
        <v>1</v>
      </c>
      <c r="AC332" s="119"/>
      <c r="AD332" s="180"/>
      <c r="AE332" s="111">
        <v>0</v>
      </c>
      <c r="AF332" s="121">
        <v>0</v>
      </c>
      <c r="AG332" s="113"/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  <c r="BI332" s="114"/>
      <c r="BJ332" s="114"/>
      <c r="BK332" s="114"/>
      <c r="BL332" s="114"/>
      <c r="BM332" s="114" t="str">
        <f>"     " &amp; TEXT(AF332,"#0.00%") &amp; " " &amp; "Packing" &amp; " " &amp; IF(Q332="","",TEXT(Q332,"M/D-")) &amp; IF(R332="","",TEXT(R332,"M/D")) &amp; " "</f>
        <v xml:space="preserve">     0.00% Packing 9/15-9/30 </v>
      </c>
      <c r="BN332" s="114"/>
      <c r="BO332" s="114"/>
      <c r="BP332" s="114"/>
      <c r="BQ332" s="114"/>
      <c r="BR332" s="114"/>
      <c r="BS332" s="114"/>
      <c r="BT332" s="114"/>
      <c r="BU332" s="114"/>
      <c r="BV332" s="114"/>
      <c r="BW332" s="114"/>
      <c r="BX332" s="114"/>
      <c r="BY332" s="114"/>
      <c r="BZ332" s="114"/>
      <c r="CA332" s="114"/>
      <c r="CB332" s="114"/>
      <c r="CC332" s="114"/>
      <c r="CD332" s="114"/>
      <c r="CE332" s="114"/>
      <c r="CF332" s="114"/>
      <c r="CG332" s="114"/>
      <c r="CH332" s="114"/>
      <c r="CI332" s="114"/>
      <c r="CJ332" s="114"/>
      <c r="CK332" s="114"/>
      <c r="CL332" s="114"/>
      <c r="CM332" s="114"/>
      <c r="CN332" s="114"/>
      <c r="CO332" s="114"/>
      <c r="CP332" s="114"/>
      <c r="CQ332" s="114"/>
      <c r="CR332" s="114"/>
      <c r="CS332" s="114"/>
      <c r="CT332" s="114"/>
      <c r="CU332" s="114"/>
      <c r="CV332" s="114"/>
      <c r="CW332" s="114"/>
      <c r="CX332" s="114"/>
      <c r="CY332" s="114"/>
      <c r="CZ332" s="114"/>
      <c r="DA332" s="114"/>
      <c r="DB332" s="114"/>
      <c r="DC332" s="114"/>
      <c r="DD332" s="114"/>
      <c r="DE332" s="114"/>
      <c r="DF332" s="114"/>
      <c r="DG332" s="114"/>
      <c r="DH332" s="114"/>
      <c r="DI332" s="114"/>
      <c r="DJ332" s="114"/>
      <c r="DK332" s="114"/>
      <c r="DL332" s="114"/>
      <c r="DM332" s="114"/>
      <c r="DN332" s="114"/>
      <c r="DO332" s="114"/>
      <c r="DP332" s="114"/>
      <c r="DQ332" s="114"/>
    </row>
    <row r="333" spans="1:121" ht="15" customHeight="1" outlineLevel="4" x14ac:dyDescent="0.25">
      <c r="A333" s="101"/>
      <c r="B333" s="101"/>
      <c r="C333" s="101">
        <v>5</v>
      </c>
      <c r="D333" s="102" t="s">
        <v>298</v>
      </c>
      <c r="E333" s="103"/>
      <c r="F333" s="103"/>
      <c r="G333" s="103"/>
      <c r="H333" s="103"/>
      <c r="I333" s="120" t="s">
        <v>287</v>
      </c>
      <c r="J333" s="120"/>
      <c r="K333" s="120"/>
      <c r="L333" s="120"/>
      <c r="M333" s="120"/>
      <c r="N333" s="120"/>
      <c r="O333" s="120" t="str">
        <f>O332</f>
        <v>1동 PPC (Deck&amp;Accessory)</v>
      </c>
      <c r="P333" s="184"/>
      <c r="Q333" s="105">
        <v>45200</v>
      </c>
      <c r="R333" s="105">
        <v>45200</v>
      </c>
      <c r="S333" s="106"/>
      <c r="T333" s="107">
        <v>1</v>
      </c>
      <c r="U333" s="107">
        <v>0</v>
      </c>
      <c r="V333" s="107">
        <v>1</v>
      </c>
      <c r="W333" s="107">
        <v>0</v>
      </c>
      <c r="X333" s="108"/>
      <c r="Y333" s="108"/>
      <c r="Z333" s="109"/>
      <c r="AA333" s="110">
        <v>0</v>
      </c>
      <c r="AB333" s="107">
        <v>1</v>
      </c>
      <c r="AC333" s="119"/>
      <c r="AD333" s="180"/>
      <c r="AE333" s="111">
        <v>0</v>
      </c>
      <c r="AF333" s="121">
        <v>0</v>
      </c>
      <c r="AG333" s="113"/>
      <c r="AH333" s="114"/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  <c r="BI333" s="114"/>
      <c r="BJ333" s="114"/>
      <c r="BK333" s="114"/>
      <c r="BL333" s="114"/>
      <c r="BM333" s="114"/>
      <c r="BN333" s="114"/>
      <c r="BO333" s="114"/>
      <c r="BP333" s="114" t="str">
        <f>"" &amp; TEXT(AF333,"#0.00%") &amp; " " &amp; "FOB" &amp; " " &amp; IF(Q333="","",TEXT(Q333,"M/D-")) &amp; IF(R333="","",TEXT(R333,"M/D")) &amp; " "</f>
        <v xml:space="preserve">0.00% FOB 10/1-10/1 </v>
      </c>
      <c r="BQ333" s="114"/>
      <c r="BR333" s="114"/>
      <c r="BS333" s="114"/>
      <c r="BT333" s="114"/>
      <c r="BU333" s="114"/>
      <c r="BV333" s="114"/>
      <c r="BW333" s="114"/>
      <c r="BX333" s="114"/>
      <c r="BY333" s="114"/>
      <c r="BZ333" s="114"/>
      <c r="CA333" s="114"/>
      <c r="CB333" s="114"/>
      <c r="CC333" s="114"/>
      <c r="CD333" s="114"/>
      <c r="CE333" s="114"/>
      <c r="CF333" s="114"/>
      <c r="CG333" s="114"/>
      <c r="CH333" s="114"/>
      <c r="CI333" s="114"/>
      <c r="CJ333" s="114"/>
      <c r="CK333" s="114"/>
      <c r="CL333" s="114"/>
      <c r="CM333" s="114"/>
      <c r="CN333" s="114"/>
      <c r="CO333" s="114"/>
      <c r="CP333" s="114"/>
      <c r="CQ333" s="114"/>
      <c r="CR333" s="114"/>
      <c r="CS333" s="114"/>
      <c r="CT333" s="114"/>
      <c r="CU333" s="114"/>
      <c r="CV333" s="114"/>
      <c r="CW333" s="114"/>
      <c r="CX333" s="114"/>
      <c r="CY333" s="114"/>
      <c r="CZ333" s="114"/>
      <c r="DA333" s="114"/>
      <c r="DB333" s="114"/>
      <c r="DC333" s="114"/>
      <c r="DD333" s="114"/>
      <c r="DE333" s="114"/>
      <c r="DF333" s="114"/>
      <c r="DG333" s="114"/>
      <c r="DH333" s="114"/>
      <c r="DI333" s="114"/>
      <c r="DJ333" s="114"/>
      <c r="DK333" s="114"/>
      <c r="DL333" s="114"/>
      <c r="DM333" s="114"/>
      <c r="DN333" s="114"/>
      <c r="DO333" s="114"/>
      <c r="DP333" s="114"/>
      <c r="DQ333" s="114"/>
    </row>
    <row r="334" spans="1:121" ht="15" customHeight="1" outlineLevel="3" x14ac:dyDescent="0.25">
      <c r="A334" s="101"/>
      <c r="B334" s="101" t="s">
        <v>153</v>
      </c>
      <c r="C334" s="101">
        <v>4</v>
      </c>
      <c r="D334" s="102" t="s">
        <v>299</v>
      </c>
      <c r="E334" s="103"/>
      <c r="F334" s="103"/>
      <c r="G334" s="103"/>
      <c r="H334" s="103" t="s">
        <v>563</v>
      </c>
      <c r="I334" s="103"/>
      <c r="J334" s="103"/>
      <c r="K334" s="103"/>
      <c r="L334" s="103"/>
      <c r="M334" s="103"/>
      <c r="N334" s="103"/>
      <c r="O334" s="103" t="str">
        <f>H334</f>
        <v>1동 충방전 (Deck&amp;Accessory)</v>
      </c>
      <c r="P334" s="118"/>
      <c r="Q334" s="108">
        <v>45184</v>
      </c>
      <c r="R334" s="105">
        <v>45200</v>
      </c>
      <c r="S334" s="106"/>
      <c r="T334" s="107">
        <v>17</v>
      </c>
      <c r="U334" s="107">
        <v>0</v>
      </c>
      <c r="V334" s="107">
        <v>17</v>
      </c>
      <c r="W334" s="107">
        <v>0</v>
      </c>
      <c r="X334" s="108"/>
      <c r="Y334" s="108"/>
      <c r="Z334" s="109">
        <v>0</v>
      </c>
      <c r="AA334" s="110">
        <v>0</v>
      </c>
      <c r="AB334" s="107"/>
      <c r="AC334" s="119"/>
      <c r="AD334" s="180"/>
      <c r="AE334" s="111">
        <v>0</v>
      </c>
      <c r="AF334" s="122">
        <v>0</v>
      </c>
      <c r="AG334" s="113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4" t="str">
        <f>"     " &amp; TEXT(AF334,"#0.00%") &amp; " " &amp; "1동 충방전 (Deck&amp;Accessory)" &amp; " " &amp; IF(Q334="","",TEXT(Q334,"M/D-")) &amp; IF(R334="","",TEXT(R334,"M/D")) &amp; " "</f>
        <v xml:space="preserve">     0.00% 1동 충방전 (Deck&amp;Accessory) 9/15-10/1 </v>
      </c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4"/>
      <c r="BX334" s="114"/>
      <c r="BY334" s="114"/>
      <c r="BZ334" s="114"/>
      <c r="CA334" s="114"/>
      <c r="CB334" s="114"/>
      <c r="CC334" s="114"/>
      <c r="CD334" s="114"/>
      <c r="CE334" s="114"/>
      <c r="CF334" s="114"/>
      <c r="CG334" s="114"/>
      <c r="CH334" s="114"/>
      <c r="CI334" s="114"/>
      <c r="CJ334" s="114"/>
      <c r="CK334" s="114"/>
      <c r="CL334" s="114"/>
      <c r="CM334" s="114"/>
      <c r="CN334" s="114"/>
      <c r="CO334" s="114"/>
      <c r="CP334" s="114"/>
      <c r="CQ334" s="114"/>
      <c r="CR334" s="114"/>
      <c r="CS334" s="114"/>
      <c r="CT334" s="114"/>
      <c r="CU334" s="114"/>
      <c r="CV334" s="114"/>
      <c r="CW334" s="114"/>
      <c r="CX334" s="114"/>
      <c r="CY334" s="114"/>
      <c r="CZ334" s="114"/>
      <c r="DA334" s="114"/>
      <c r="DB334" s="114"/>
      <c r="DC334" s="114"/>
      <c r="DD334" s="114"/>
      <c r="DE334" s="114"/>
      <c r="DF334" s="114"/>
      <c r="DG334" s="114"/>
      <c r="DH334" s="114"/>
      <c r="DI334" s="114"/>
      <c r="DJ334" s="114"/>
      <c r="DK334" s="114"/>
      <c r="DL334" s="114"/>
      <c r="DM334" s="114"/>
      <c r="DN334" s="114"/>
      <c r="DO334" s="114"/>
      <c r="DP334" s="114"/>
      <c r="DQ334" s="114"/>
    </row>
    <row r="335" spans="1:121" ht="15" customHeight="1" outlineLevel="4" x14ac:dyDescent="0.25">
      <c r="A335" s="101"/>
      <c r="B335" s="101"/>
      <c r="C335" s="101">
        <v>5</v>
      </c>
      <c r="D335" s="102" t="s">
        <v>300</v>
      </c>
      <c r="E335" s="103"/>
      <c r="F335" s="103"/>
      <c r="G335" s="103"/>
      <c r="H335" s="103"/>
      <c r="I335" s="120" t="s">
        <v>773</v>
      </c>
      <c r="J335" s="120"/>
      <c r="K335" s="120"/>
      <c r="L335" s="120"/>
      <c r="M335" s="120"/>
      <c r="N335" s="120"/>
      <c r="O335" s="120" t="str">
        <f>O334</f>
        <v>1동 충방전 (Deck&amp;Accessory)</v>
      </c>
      <c r="P335" s="184"/>
      <c r="Q335" s="105">
        <v>45184</v>
      </c>
      <c r="R335" s="105">
        <v>45199</v>
      </c>
      <c r="S335" s="106">
        <f>R335-Q335</f>
        <v>15</v>
      </c>
      <c r="T335" s="107">
        <v>16</v>
      </c>
      <c r="U335" s="107">
        <v>0</v>
      </c>
      <c r="V335" s="107">
        <v>16</v>
      </c>
      <c r="W335" s="107">
        <v>0</v>
      </c>
      <c r="X335" s="108"/>
      <c r="Y335" s="108"/>
      <c r="Z335" s="109"/>
      <c r="AA335" s="110">
        <v>0</v>
      </c>
      <c r="AB335" s="107">
        <v>1</v>
      </c>
      <c r="AC335" s="119"/>
      <c r="AD335" s="180"/>
      <c r="AE335" s="111">
        <v>0</v>
      </c>
      <c r="AF335" s="121">
        <v>0</v>
      </c>
      <c r="AG335" s="113"/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  <c r="BI335" s="114"/>
      <c r="BJ335" s="114"/>
      <c r="BK335" s="114"/>
      <c r="BL335" s="114"/>
      <c r="BM335" s="114" t="str">
        <f>"     " &amp; TEXT(AF335,"#0.00%") &amp; " " &amp; "Packing" &amp; " " &amp; IF(Q335="","",TEXT(Q335,"M/D-")) &amp; IF(R335="","",TEXT(R335,"M/D")) &amp; " "</f>
        <v xml:space="preserve">     0.00% Packing 9/15-9/30 </v>
      </c>
      <c r="BN335" s="114"/>
      <c r="BO335" s="114"/>
      <c r="BP335" s="114"/>
      <c r="BQ335" s="114"/>
      <c r="BR335" s="114"/>
      <c r="BS335" s="114"/>
      <c r="BT335" s="114"/>
      <c r="BU335" s="114"/>
      <c r="BV335" s="114"/>
      <c r="BW335" s="114"/>
      <c r="BX335" s="114"/>
      <c r="BY335" s="114"/>
      <c r="BZ335" s="114"/>
      <c r="CA335" s="114"/>
      <c r="CB335" s="114"/>
      <c r="CC335" s="114"/>
      <c r="CD335" s="114"/>
      <c r="CE335" s="114"/>
      <c r="CF335" s="114"/>
      <c r="CG335" s="114"/>
      <c r="CH335" s="114"/>
      <c r="CI335" s="114"/>
      <c r="CJ335" s="114"/>
      <c r="CK335" s="114"/>
      <c r="CL335" s="114"/>
      <c r="CM335" s="114"/>
      <c r="CN335" s="114"/>
      <c r="CO335" s="114"/>
      <c r="CP335" s="114"/>
      <c r="CQ335" s="114"/>
      <c r="CR335" s="114"/>
      <c r="CS335" s="114"/>
      <c r="CT335" s="114"/>
      <c r="CU335" s="114"/>
      <c r="CV335" s="114"/>
      <c r="CW335" s="114"/>
      <c r="CX335" s="114"/>
      <c r="CY335" s="114"/>
      <c r="CZ335" s="114"/>
      <c r="DA335" s="114"/>
      <c r="DB335" s="114"/>
      <c r="DC335" s="114"/>
      <c r="DD335" s="114"/>
      <c r="DE335" s="114"/>
      <c r="DF335" s="114"/>
      <c r="DG335" s="114"/>
      <c r="DH335" s="114"/>
      <c r="DI335" s="114"/>
      <c r="DJ335" s="114"/>
      <c r="DK335" s="114"/>
      <c r="DL335" s="114"/>
      <c r="DM335" s="114"/>
      <c r="DN335" s="114"/>
      <c r="DO335" s="114"/>
      <c r="DP335" s="114"/>
      <c r="DQ335" s="114"/>
    </row>
    <row r="336" spans="1:121" ht="15" customHeight="1" outlineLevel="4" x14ac:dyDescent="0.25">
      <c r="A336" s="101"/>
      <c r="B336" s="101"/>
      <c r="C336" s="101">
        <v>5</v>
      </c>
      <c r="D336" s="102" t="s">
        <v>301</v>
      </c>
      <c r="E336" s="103"/>
      <c r="F336" s="103"/>
      <c r="G336" s="103"/>
      <c r="H336" s="103"/>
      <c r="I336" s="120" t="s">
        <v>287</v>
      </c>
      <c r="J336" s="120"/>
      <c r="K336" s="120"/>
      <c r="L336" s="120"/>
      <c r="M336" s="120"/>
      <c r="N336" s="120"/>
      <c r="O336" s="120" t="str">
        <f>O335</f>
        <v>1동 충방전 (Deck&amp;Accessory)</v>
      </c>
      <c r="P336" s="184"/>
      <c r="Q336" s="105">
        <v>45200</v>
      </c>
      <c r="R336" s="105">
        <v>45200</v>
      </c>
      <c r="S336" s="106"/>
      <c r="T336" s="107">
        <v>1</v>
      </c>
      <c r="U336" s="107">
        <v>0</v>
      </c>
      <c r="V336" s="107">
        <v>1</v>
      </c>
      <c r="W336" s="107">
        <v>0</v>
      </c>
      <c r="X336" s="108"/>
      <c r="Y336" s="108"/>
      <c r="Z336" s="109"/>
      <c r="AA336" s="110">
        <v>0</v>
      </c>
      <c r="AB336" s="107">
        <v>1</v>
      </c>
      <c r="AC336" s="119"/>
      <c r="AD336" s="180"/>
      <c r="AE336" s="111">
        <v>0</v>
      </c>
      <c r="AF336" s="121">
        <v>0</v>
      </c>
      <c r="AG336" s="113"/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  <c r="BI336" s="114"/>
      <c r="BJ336" s="114"/>
      <c r="BK336" s="114"/>
      <c r="BL336" s="114"/>
      <c r="BM336" s="114"/>
      <c r="BN336" s="114"/>
      <c r="BO336" s="114"/>
      <c r="BP336" s="114" t="str">
        <f>"" &amp; TEXT(AF336,"#0.00%") &amp; " " &amp; "FOB" &amp; " " &amp; IF(Q336="","",TEXT(Q336,"M/D-")) &amp; IF(R336="","",TEXT(R336,"M/D")) &amp; " "</f>
        <v xml:space="preserve">0.00% FOB 10/1-10/1 </v>
      </c>
      <c r="BQ336" s="114"/>
      <c r="BR336" s="114"/>
      <c r="BS336" s="114"/>
      <c r="BT336" s="114"/>
      <c r="BU336" s="114"/>
      <c r="BV336" s="114"/>
      <c r="BW336" s="114"/>
      <c r="BX336" s="114"/>
      <c r="BY336" s="114"/>
      <c r="BZ336" s="114"/>
      <c r="CA336" s="114"/>
      <c r="CB336" s="114"/>
      <c r="CC336" s="114"/>
      <c r="CD336" s="114"/>
      <c r="CE336" s="114"/>
      <c r="CF336" s="114"/>
      <c r="CG336" s="114"/>
      <c r="CH336" s="114"/>
      <c r="CI336" s="114"/>
      <c r="CJ336" s="114"/>
      <c r="CK336" s="114"/>
      <c r="CL336" s="114"/>
      <c r="CM336" s="114"/>
      <c r="CN336" s="114"/>
      <c r="CO336" s="114"/>
      <c r="CP336" s="114"/>
      <c r="CQ336" s="114"/>
      <c r="CR336" s="114"/>
      <c r="CS336" s="114"/>
      <c r="CT336" s="114"/>
      <c r="CU336" s="114"/>
      <c r="CV336" s="114"/>
      <c r="CW336" s="114"/>
      <c r="CX336" s="114"/>
      <c r="CY336" s="114"/>
      <c r="CZ336" s="114"/>
      <c r="DA336" s="114"/>
      <c r="DB336" s="114"/>
      <c r="DC336" s="114"/>
      <c r="DD336" s="114"/>
      <c r="DE336" s="114"/>
      <c r="DF336" s="114"/>
      <c r="DG336" s="114"/>
      <c r="DH336" s="114"/>
      <c r="DI336" s="114"/>
      <c r="DJ336" s="114"/>
      <c r="DK336" s="114"/>
      <c r="DL336" s="114"/>
      <c r="DM336" s="114"/>
      <c r="DN336" s="114"/>
      <c r="DO336" s="114"/>
      <c r="DP336" s="114"/>
      <c r="DQ336" s="114"/>
    </row>
    <row r="337" spans="1:121" ht="15" customHeight="1" outlineLevel="3" x14ac:dyDescent="0.25">
      <c r="A337" s="101"/>
      <c r="B337" s="101" t="s">
        <v>153</v>
      </c>
      <c r="C337" s="101">
        <v>4</v>
      </c>
      <c r="D337" s="102" t="s">
        <v>302</v>
      </c>
      <c r="E337" s="103"/>
      <c r="F337" s="103"/>
      <c r="G337" s="103"/>
      <c r="H337" s="103" t="s">
        <v>564</v>
      </c>
      <c r="I337" s="103"/>
      <c r="J337" s="103"/>
      <c r="K337" s="103"/>
      <c r="L337" s="103"/>
      <c r="M337" s="103"/>
      <c r="N337" s="103"/>
      <c r="O337" s="103" t="str">
        <f>H337</f>
        <v>1동 고온#2 Aging (Deck&amp;Accessory)</v>
      </c>
      <c r="P337" s="118"/>
      <c r="Q337" s="108">
        <v>45200</v>
      </c>
      <c r="R337" s="105">
        <v>45240</v>
      </c>
      <c r="S337" s="106"/>
      <c r="T337" s="107">
        <v>41</v>
      </c>
      <c r="U337" s="107">
        <v>0</v>
      </c>
      <c r="V337" s="107">
        <v>41</v>
      </c>
      <c r="W337" s="107">
        <v>0</v>
      </c>
      <c r="X337" s="108"/>
      <c r="Y337" s="108"/>
      <c r="Z337" s="109">
        <v>0</v>
      </c>
      <c r="AA337" s="110">
        <v>0</v>
      </c>
      <c r="AB337" s="107"/>
      <c r="AC337" s="119"/>
      <c r="AD337" s="180"/>
      <c r="AE337" s="111">
        <v>0</v>
      </c>
      <c r="AF337" s="122">
        <v>0</v>
      </c>
      <c r="AG337" s="113"/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  <c r="BI337" s="114"/>
      <c r="BJ337" s="114"/>
      <c r="BK337" s="114"/>
      <c r="BL337" s="114"/>
      <c r="BM337" s="114"/>
      <c r="BN337" s="114"/>
      <c r="BO337" s="114"/>
      <c r="BP337" s="114" t="str">
        <f>"" &amp; TEXT(AF337,"#0.00%") &amp; " "</f>
        <v xml:space="preserve">0.00% </v>
      </c>
      <c r="BQ337" s="114"/>
      <c r="BR337" s="114"/>
      <c r="BS337" s="114"/>
      <c r="BT337" s="114"/>
      <c r="BU337" s="114" t="str">
        <f>"      " &amp; "1동 고온#2 Aging (Deck&amp;Accessory)" &amp; " " &amp; IF(Q337="","",TEXT(Q337,"M/D-")) &amp; IF(R337="","",TEXT(R337,"M/D")) &amp; " "</f>
        <v xml:space="preserve">      1동 고온#2 Aging (Deck&amp;Accessory) 10/1-11/10 </v>
      </c>
      <c r="BV337" s="114"/>
      <c r="BW337" s="114"/>
      <c r="BX337" s="114"/>
      <c r="BY337" s="114"/>
      <c r="BZ337" s="114"/>
      <c r="CA337" s="114"/>
      <c r="CB337" s="114"/>
      <c r="CC337" s="114"/>
      <c r="CD337" s="114"/>
      <c r="CE337" s="114"/>
      <c r="CF337" s="114"/>
      <c r="CG337" s="114"/>
      <c r="CH337" s="114"/>
      <c r="CI337" s="114"/>
      <c r="CJ337" s="114"/>
      <c r="CK337" s="114"/>
      <c r="CL337" s="114"/>
      <c r="CM337" s="114"/>
      <c r="CN337" s="114"/>
      <c r="CO337" s="114"/>
      <c r="CP337" s="114"/>
      <c r="CQ337" s="114"/>
      <c r="CR337" s="114"/>
      <c r="CS337" s="114"/>
      <c r="CT337" s="114"/>
      <c r="CU337" s="114"/>
      <c r="CV337" s="114"/>
      <c r="CW337" s="114"/>
      <c r="CX337" s="114"/>
      <c r="CY337" s="114"/>
      <c r="CZ337" s="114"/>
      <c r="DA337" s="114"/>
      <c r="DB337" s="114"/>
      <c r="DC337" s="114"/>
      <c r="DD337" s="114"/>
      <c r="DE337" s="114"/>
      <c r="DF337" s="114"/>
      <c r="DG337" s="114"/>
      <c r="DH337" s="114"/>
      <c r="DI337" s="114"/>
      <c r="DJ337" s="114"/>
      <c r="DK337" s="114"/>
      <c r="DL337" s="114"/>
      <c r="DM337" s="114"/>
      <c r="DN337" s="114"/>
      <c r="DO337" s="114"/>
      <c r="DP337" s="114"/>
      <c r="DQ337" s="114"/>
    </row>
    <row r="338" spans="1:121" ht="15" customHeight="1" outlineLevel="4" x14ac:dyDescent="0.25">
      <c r="A338" s="101"/>
      <c r="B338" s="101"/>
      <c r="C338" s="101">
        <v>5</v>
      </c>
      <c r="D338" s="102" t="s">
        <v>303</v>
      </c>
      <c r="E338" s="103"/>
      <c r="F338" s="103"/>
      <c r="G338" s="103"/>
      <c r="H338" s="103"/>
      <c r="I338" s="120" t="s">
        <v>773</v>
      </c>
      <c r="J338" s="120"/>
      <c r="K338" s="120"/>
      <c r="L338" s="120"/>
      <c r="M338" s="120"/>
      <c r="N338" s="120"/>
      <c r="O338" s="120" t="str">
        <f>O337</f>
        <v>1동 고온#2 Aging (Deck&amp;Accessory)</v>
      </c>
      <c r="P338" s="184"/>
      <c r="Q338" s="105">
        <v>45200</v>
      </c>
      <c r="R338" s="105">
        <v>45213</v>
      </c>
      <c r="S338" s="106">
        <f>R338-Q338</f>
        <v>13</v>
      </c>
      <c r="T338" s="107">
        <v>14</v>
      </c>
      <c r="U338" s="107">
        <v>0</v>
      </c>
      <c r="V338" s="107">
        <v>14</v>
      </c>
      <c r="W338" s="107">
        <v>0</v>
      </c>
      <c r="X338" s="108"/>
      <c r="Y338" s="108"/>
      <c r="Z338" s="109"/>
      <c r="AA338" s="110">
        <v>0</v>
      </c>
      <c r="AB338" s="107">
        <v>1</v>
      </c>
      <c r="AC338" s="119"/>
      <c r="AD338" s="180"/>
      <c r="AE338" s="111">
        <v>0</v>
      </c>
      <c r="AF338" s="121">
        <v>0</v>
      </c>
      <c r="AG338" s="113"/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  <c r="BI338" s="114"/>
      <c r="BJ338" s="114"/>
      <c r="BK338" s="114"/>
      <c r="BL338" s="114"/>
      <c r="BM338" s="114"/>
      <c r="BN338" s="114"/>
      <c r="BO338" s="114"/>
      <c r="BP338" s="114" t="str">
        <f>"" &amp; TEXT(AF338,"#0.00%") &amp; " " &amp; "Packing" &amp; " " &amp; IF(Q338="","",TEXT(Q338,"M/D-")) &amp; IF(R338="","",TEXT(R338,"M/D")) &amp; " "</f>
        <v xml:space="preserve">0.00% Packing 10/1-10/14 </v>
      </c>
      <c r="BQ338" s="114"/>
      <c r="BR338" s="114"/>
      <c r="BS338" s="114"/>
      <c r="BT338" s="114"/>
      <c r="BU338" s="114"/>
      <c r="BV338" s="114"/>
      <c r="BW338" s="114"/>
      <c r="BX338" s="114"/>
      <c r="BY338" s="114"/>
      <c r="BZ338" s="114"/>
      <c r="CA338" s="114"/>
      <c r="CB338" s="114"/>
      <c r="CC338" s="114"/>
      <c r="CD338" s="114"/>
      <c r="CE338" s="114"/>
      <c r="CF338" s="114"/>
      <c r="CG338" s="114"/>
      <c r="CH338" s="114"/>
      <c r="CI338" s="114"/>
      <c r="CJ338" s="114"/>
      <c r="CK338" s="114"/>
      <c r="CL338" s="114"/>
      <c r="CM338" s="114"/>
      <c r="CN338" s="114"/>
      <c r="CO338" s="114"/>
      <c r="CP338" s="114"/>
      <c r="CQ338" s="114"/>
      <c r="CR338" s="114"/>
      <c r="CS338" s="114"/>
      <c r="CT338" s="114"/>
      <c r="CU338" s="114"/>
      <c r="CV338" s="114"/>
      <c r="CW338" s="114"/>
      <c r="CX338" s="114"/>
      <c r="CY338" s="114"/>
      <c r="CZ338" s="114"/>
      <c r="DA338" s="114"/>
      <c r="DB338" s="114"/>
      <c r="DC338" s="114"/>
      <c r="DD338" s="114"/>
      <c r="DE338" s="114"/>
      <c r="DF338" s="114"/>
      <c r="DG338" s="114"/>
      <c r="DH338" s="114"/>
      <c r="DI338" s="114"/>
      <c r="DJ338" s="114"/>
      <c r="DK338" s="114"/>
      <c r="DL338" s="114"/>
      <c r="DM338" s="114"/>
      <c r="DN338" s="114"/>
      <c r="DO338" s="114"/>
      <c r="DP338" s="114"/>
      <c r="DQ338" s="114"/>
    </row>
    <row r="339" spans="1:121" ht="15" customHeight="1" outlineLevel="4" x14ac:dyDescent="0.25">
      <c r="A339" s="101"/>
      <c r="B339" s="101"/>
      <c r="C339" s="101">
        <v>5</v>
      </c>
      <c r="D339" s="102" t="s">
        <v>304</v>
      </c>
      <c r="E339" s="103"/>
      <c r="F339" s="103"/>
      <c r="G339" s="103"/>
      <c r="H339" s="103"/>
      <c r="I339" s="120" t="s">
        <v>287</v>
      </c>
      <c r="J339" s="120"/>
      <c r="K339" s="120"/>
      <c r="L339" s="120"/>
      <c r="M339" s="120"/>
      <c r="N339" s="120"/>
      <c r="O339" s="120" t="str">
        <f>O338</f>
        <v>1동 고온#2 Aging (Deck&amp;Accessory)</v>
      </c>
      <c r="P339" s="184"/>
      <c r="Q339" s="105">
        <v>45214</v>
      </c>
      <c r="R339" s="105">
        <v>45240</v>
      </c>
      <c r="S339" s="106"/>
      <c r="T339" s="107">
        <v>27</v>
      </c>
      <c r="U339" s="107">
        <v>0</v>
      </c>
      <c r="V339" s="107">
        <v>27</v>
      </c>
      <c r="W339" s="107">
        <v>0</v>
      </c>
      <c r="X339" s="108"/>
      <c r="Y339" s="108"/>
      <c r="Z339" s="109"/>
      <c r="AA339" s="110">
        <v>0</v>
      </c>
      <c r="AB339" s="107">
        <v>1</v>
      </c>
      <c r="AC339" s="119"/>
      <c r="AD339" s="180"/>
      <c r="AE339" s="111">
        <v>0</v>
      </c>
      <c r="AF339" s="121">
        <v>0</v>
      </c>
      <c r="AG339" s="113"/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  <c r="BI339" s="114"/>
      <c r="BJ339" s="114"/>
      <c r="BK339" s="114"/>
      <c r="BL339" s="114"/>
      <c r="BM339" s="114"/>
      <c r="BN339" s="114"/>
      <c r="BO339" s="114"/>
      <c r="BP339" s="114"/>
      <c r="BQ339" s="114"/>
      <c r="BR339" s="114" t="str">
        <f>"" &amp; TEXT(AF339,"#0.00%") &amp; " "</f>
        <v xml:space="preserve">0.00% </v>
      </c>
      <c r="BS339" s="114"/>
      <c r="BT339" s="114"/>
      <c r="BU339" s="114" t="str">
        <f>"      " &amp; "FOB" &amp; " " &amp; IF(Q339="","",TEXT(Q339,"M/D-")) &amp; IF(R339="","",TEXT(R339,"M/D")) &amp; " "</f>
        <v xml:space="preserve">      FOB 10/15-11/10 </v>
      </c>
      <c r="BV339" s="114"/>
      <c r="BW339" s="114"/>
      <c r="BX339" s="114"/>
      <c r="BY339" s="114"/>
      <c r="BZ339" s="114"/>
      <c r="CA339" s="114"/>
      <c r="CB339" s="114"/>
      <c r="CC339" s="114"/>
      <c r="CD339" s="114"/>
      <c r="CE339" s="114"/>
      <c r="CF339" s="114"/>
      <c r="CG339" s="114"/>
      <c r="CH339" s="114"/>
      <c r="CI339" s="114"/>
      <c r="CJ339" s="114"/>
      <c r="CK339" s="114"/>
      <c r="CL339" s="114"/>
      <c r="CM339" s="114"/>
      <c r="CN339" s="114"/>
      <c r="CO339" s="114"/>
      <c r="CP339" s="114"/>
      <c r="CQ339" s="114"/>
      <c r="CR339" s="114"/>
      <c r="CS339" s="114"/>
      <c r="CT339" s="114"/>
      <c r="CU339" s="114"/>
      <c r="CV339" s="114"/>
      <c r="CW339" s="114"/>
      <c r="CX339" s="114"/>
      <c r="CY339" s="114"/>
      <c r="CZ339" s="114"/>
      <c r="DA339" s="114"/>
      <c r="DB339" s="114"/>
      <c r="DC339" s="114"/>
      <c r="DD339" s="114"/>
      <c r="DE339" s="114"/>
      <c r="DF339" s="114"/>
      <c r="DG339" s="114"/>
      <c r="DH339" s="114"/>
      <c r="DI339" s="114"/>
      <c r="DJ339" s="114"/>
      <c r="DK339" s="114"/>
      <c r="DL339" s="114"/>
      <c r="DM339" s="114"/>
      <c r="DN339" s="114"/>
      <c r="DO339" s="114"/>
      <c r="DP339" s="114"/>
      <c r="DQ339" s="114"/>
    </row>
    <row r="340" spans="1:121" ht="15" customHeight="1" outlineLevel="3" x14ac:dyDescent="0.25">
      <c r="A340" s="101"/>
      <c r="B340" s="101" t="s">
        <v>153</v>
      </c>
      <c r="C340" s="101">
        <v>4</v>
      </c>
      <c r="D340" s="102" t="s">
        <v>492</v>
      </c>
      <c r="E340" s="103"/>
      <c r="F340" s="103"/>
      <c r="G340" s="103"/>
      <c r="H340" s="103" t="s">
        <v>565</v>
      </c>
      <c r="I340" s="103"/>
      <c r="J340" s="103"/>
      <c r="K340" s="103"/>
      <c r="L340" s="103"/>
      <c r="M340" s="103"/>
      <c r="N340" s="103"/>
      <c r="O340" s="103" t="str">
        <f>H340</f>
        <v>1동 상온#2,3 Aging (Deck&amp;Accessory)</v>
      </c>
      <c r="P340" s="118"/>
      <c r="Q340" s="108">
        <v>45224</v>
      </c>
      <c r="R340" s="105">
        <v>45240</v>
      </c>
      <c r="S340" s="106"/>
      <c r="T340" s="107">
        <v>17</v>
      </c>
      <c r="U340" s="107">
        <v>0</v>
      </c>
      <c r="V340" s="107">
        <v>17</v>
      </c>
      <c r="W340" s="107">
        <v>0</v>
      </c>
      <c r="X340" s="108"/>
      <c r="Y340" s="108"/>
      <c r="Z340" s="109">
        <v>0</v>
      </c>
      <c r="AA340" s="110">
        <v>0</v>
      </c>
      <c r="AB340" s="107"/>
      <c r="AC340" s="119"/>
      <c r="AD340" s="180"/>
      <c r="AE340" s="111">
        <v>0</v>
      </c>
      <c r="AF340" s="122">
        <v>0</v>
      </c>
      <c r="AG340" s="113"/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  <c r="BI340" s="114"/>
      <c r="BJ340" s="114"/>
      <c r="BK340" s="114"/>
      <c r="BL340" s="114"/>
      <c r="BM340" s="114"/>
      <c r="BN340" s="114"/>
      <c r="BO340" s="114"/>
      <c r="BP340" s="114"/>
      <c r="BQ340" s="114"/>
      <c r="BR340" s="114"/>
      <c r="BS340" s="114" t="str">
        <f>"   " &amp; TEXT(AF340,"#0.00%") &amp; " " &amp; "1동 상온#2,3 Aging (Deck&amp;Accessory)" &amp; " " &amp; IF(Q340="","",TEXT(Q340,"M/D-")) &amp; IF(R340="","",TEXT(R340,"M/D")) &amp; " "</f>
        <v xml:space="preserve">   0.00% 1동 상온#2,3 Aging (Deck&amp;Accessory) 10/25-11/10 </v>
      </c>
      <c r="BT340" s="114"/>
      <c r="BU340" s="114"/>
      <c r="BV340" s="114"/>
      <c r="BW340" s="114"/>
      <c r="BX340" s="114"/>
      <c r="BY340" s="114"/>
      <c r="BZ340" s="114"/>
      <c r="CA340" s="114"/>
      <c r="CB340" s="114"/>
      <c r="CC340" s="114"/>
      <c r="CD340" s="114"/>
      <c r="CE340" s="114"/>
      <c r="CF340" s="114"/>
      <c r="CG340" s="114"/>
      <c r="CH340" s="114"/>
      <c r="CI340" s="114"/>
      <c r="CJ340" s="114"/>
      <c r="CK340" s="114"/>
      <c r="CL340" s="114"/>
      <c r="CM340" s="114"/>
      <c r="CN340" s="114"/>
      <c r="CO340" s="114"/>
      <c r="CP340" s="114"/>
      <c r="CQ340" s="114"/>
      <c r="CR340" s="114"/>
      <c r="CS340" s="114"/>
      <c r="CT340" s="114"/>
      <c r="CU340" s="114"/>
      <c r="CV340" s="114"/>
      <c r="CW340" s="114"/>
      <c r="CX340" s="114"/>
      <c r="CY340" s="114"/>
      <c r="CZ340" s="114"/>
      <c r="DA340" s="114"/>
      <c r="DB340" s="114"/>
      <c r="DC340" s="114"/>
      <c r="DD340" s="114"/>
      <c r="DE340" s="114"/>
      <c r="DF340" s="114"/>
      <c r="DG340" s="114"/>
      <c r="DH340" s="114"/>
      <c r="DI340" s="114"/>
      <c r="DJ340" s="114"/>
      <c r="DK340" s="114"/>
      <c r="DL340" s="114"/>
      <c r="DM340" s="114"/>
      <c r="DN340" s="114"/>
      <c r="DO340" s="114"/>
      <c r="DP340" s="114"/>
      <c r="DQ340" s="114"/>
    </row>
    <row r="341" spans="1:121" ht="15" customHeight="1" outlineLevel="4" x14ac:dyDescent="0.25">
      <c r="A341" s="101"/>
      <c r="B341" s="101"/>
      <c r="C341" s="101">
        <v>5</v>
      </c>
      <c r="D341" s="102" t="s">
        <v>493</v>
      </c>
      <c r="E341" s="103"/>
      <c r="F341" s="103"/>
      <c r="G341" s="103"/>
      <c r="H341" s="103"/>
      <c r="I341" s="120" t="s">
        <v>773</v>
      </c>
      <c r="J341" s="120"/>
      <c r="K341" s="120"/>
      <c r="L341" s="120"/>
      <c r="M341" s="120"/>
      <c r="N341" s="120"/>
      <c r="O341" s="120" t="str">
        <f>O340</f>
        <v>1동 상온#2,3 Aging (Deck&amp;Accessory)</v>
      </c>
      <c r="P341" s="184"/>
      <c r="Q341" s="105">
        <v>45224</v>
      </c>
      <c r="R341" s="105">
        <v>45239</v>
      </c>
      <c r="S341" s="106">
        <f>R341-Q341</f>
        <v>15</v>
      </c>
      <c r="T341" s="107">
        <v>16</v>
      </c>
      <c r="U341" s="107">
        <v>0</v>
      </c>
      <c r="V341" s="107">
        <v>16</v>
      </c>
      <c r="W341" s="107">
        <v>0</v>
      </c>
      <c r="X341" s="108"/>
      <c r="Y341" s="108"/>
      <c r="Z341" s="109"/>
      <c r="AA341" s="110">
        <v>0</v>
      </c>
      <c r="AB341" s="107">
        <v>1</v>
      </c>
      <c r="AC341" s="119"/>
      <c r="AD341" s="180"/>
      <c r="AE341" s="111">
        <v>0</v>
      </c>
      <c r="AF341" s="121">
        <v>0</v>
      </c>
      <c r="AG341" s="113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 t="str">
        <f>"   " &amp; TEXT(AF341,"#0.00%") &amp; " " &amp; "Packing" &amp; " " &amp; IF(Q341="","",TEXT(Q341,"M/D-")) &amp; IF(R341="","",TEXT(R341,"M/D")) &amp; " "</f>
        <v xml:space="preserve">   0.00% Packing 10/25-11/9 </v>
      </c>
      <c r="BT341" s="114"/>
      <c r="BU341" s="114"/>
      <c r="BV341" s="114"/>
      <c r="BW341" s="114"/>
      <c r="BX341" s="114"/>
      <c r="BY341" s="114"/>
      <c r="BZ341" s="114"/>
      <c r="CA341" s="114"/>
      <c r="CB341" s="114"/>
      <c r="CC341" s="114"/>
      <c r="CD341" s="114"/>
      <c r="CE341" s="114"/>
      <c r="CF341" s="114"/>
      <c r="CG341" s="114"/>
      <c r="CH341" s="114"/>
      <c r="CI341" s="114"/>
      <c r="CJ341" s="114"/>
      <c r="CK341" s="114"/>
      <c r="CL341" s="114"/>
      <c r="CM341" s="114"/>
      <c r="CN341" s="114"/>
      <c r="CO341" s="114"/>
      <c r="CP341" s="114"/>
      <c r="CQ341" s="114"/>
      <c r="CR341" s="114"/>
      <c r="CS341" s="114"/>
      <c r="CT341" s="114"/>
      <c r="CU341" s="114"/>
      <c r="CV341" s="114"/>
      <c r="CW341" s="114"/>
      <c r="CX341" s="114"/>
      <c r="CY341" s="114"/>
      <c r="CZ341" s="114"/>
      <c r="DA341" s="114"/>
      <c r="DB341" s="114"/>
      <c r="DC341" s="114"/>
      <c r="DD341" s="114"/>
      <c r="DE341" s="114"/>
      <c r="DF341" s="114"/>
      <c r="DG341" s="114"/>
      <c r="DH341" s="114"/>
      <c r="DI341" s="114"/>
      <c r="DJ341" s="114"/>
      <c r="DK341" s="114"/>
      <c r="DL341" s="114"/>
      <c r="DM341" s="114"/>
      <c r="DN341" s="114"/>
      <c r="DO341" s="114"/>
      <c r="DP341" s="114"/>
      <c r="DQ341" s="114"/>
    </row>
    <row r="342" spans="1:121" ht="15" customHeight="1" outlineLevel="4" x14ac:dyDescent="0.25">
      <c r="A342" s="101"/>
      <c r="B342" s="101"/>
      <c r="C342" s="101">
        <v>5</v>
      </c>
      <c r="D342" s="102" t="s">
        <v>494</v>
      </c>
      <c r="E342" s="103"/>
      <c r="F342" s="103"/>
      <c r="G342" s="103"/>
      <c r="H342" s="103"/>
      <c r="I342" s="120" t="s">
        <v>287</v>
      </c>
      <c r="J342" s="120"/>
      <c r="K342" s="120"/>
      <c r="L342" s="120"/>
      <c r="M342" s="120"/>
      <c r="N342" s="120"/>
      <c r="O342" s="120" t="str">
        <f>O341</f>
        <v>1동 상온#2,3 Aging (Deck&amp;Accessory)</v>
      </c>
      <c r="P342" s="184"/>
      <c r="Q342" s="105">
        <v>45240</v>
      </c>
      <c r="R342" s="105">
        <v>45240</v>
      </c>
      <c r="S342" s="106"/>
      <c r="T342" s="107">
        <v>1</v>
      </c>
      <c r="U342" s="107">
        <v>0</v>
      </c>
      <c r="V342" s="107">
        <v>1</v>
      </c>
      <c r="W342" s="107">
        <v>0</v>
      </c>
      <c r="X342" s="108"/>
      <c r="Y342" s="108"/>
      <c r="Z342" s="109"/>
      <c r="AA342" s="110">
        <v>0</v>
      </c>
      <c r="AB342" s="107">
        <v>1</v>
      </c>
      <c r="AC342" s="119"/>
      <c r="AD342" s="180"/>
      <c r="AE342" s="111">
        <v>0</v>
      </c>
      <c r="AF342" s="121">
        <v>0</v>
      </c>
      <c r="AG342" s="113"/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  <c r="BI342" s="114"/>
      <c r="BJ342" s="114"/>
      <c r="BK342" s="114"/>
      <c r="BL342" s="114"/>
      <c r="BM342" s="114"/>
      <c r="BN342" s="114"/>
      <c r="BO342" s="114"/>
      <c r="BP342" s="114"/>
      <c r="BQ342" s="114"/>
      <c r="BR342" s="114"/>
      <c r="BS342" s="114"/>
      <c r="BT342" s="114"/>
      <c r="BU342" s="114" t="str">
        <f>"     " &amp; TEXT(AF342,"#0.00%") &amp; " " &amp; "FOB" &amp; " " &amp; IF(Q342="","",TEXT(Q342,"M/D-")) &amp; IF(R342="","",TEXT(R342,"M/D")) &amp; " "</f>
        <v xml:space="preserve">     0.00% FOB 11/10-11/10 </v>
      </c>
      <c r="BV342" s="114"/>
      <c r="BW342" s="114"/>
      <c r="BX342" s="114"/>
      <c r="BY342" s="114"/>
      <c r="BZ342" s="114"/>
      <c r="CA342" s="114"/>
      <c r="CB342" s="114"/>
      <c r="CC342" s="114"/>
      <c r="CD342" s="114"/>
      <c r="CE342" s="114"/>
      <c r="CF342" s="114"/>
      <c r="CG342" s="114"/>
      <c r="CH342" s="114"/>
      <c r="CI342" s="114"/>
      <c r="CJ342" s="114"/>
      <c r="CK342" s="114"/>
      <c r="CL342" s="114"/>
      <c r="CM342" s="114"/>
      <c r="CN342" s="114"/>
      <c r="CO342" s="114"/>
      <c r="CP342" s="114"/>
      <c r="CQ342" s="114"/>
      <c r="CR342" s="114"/>
      <c r="CS342" s="114"/>
      <c r="CT342" s="114"/>
      <c r="CU342" s="114"/>
      <c r="CV342" s="114"/>
      <c r="CW342" s="114"/>
      <c r="CX342" s="114"/>
      <c r="CY342" s="114"/>
      <c r="CZ342" s="114"/>
      <c r="DA342" s="114"/>
      <c r="DB342" s="114"/>
      <c r="DC342" s="114"/>
      <c r="DD342" s="114"/>
      <c r="DE342" s="114"/>
      <c r="DF342" s="114"/>
      <c r="DG342" s="114"/>
      <c r="DH342" s="114"/>
      <c r="DI342" s="114"/>
      <c r="DJ342" s="114"/>
      <c r="DK342" s="114"/>
      <c r="DL342" s="114"/>
      <c r="DM342" s="114"/>
      <c r="DN342" s="114"/>
      <c r="DO342" s="114"/>
      <c r="DP342" s="114"/>
      <c r="DQ342" s="114"/>
    </row>
    <row r="343" spans="1:121" ht="15" customHeight="1" outlineLevel="3" x14ac:dyDescent="0.25">
      <c r="A343" s="101"/>
      <c r="B343" s="101" t="s">
        <v>153</v>
      </c>
      <c r="C343" s="101">
        <v>4</v>
      </c>
      <c r="D343" s="102" t="s">
        <v>495</v>
      </c>
      <c r="E343" s="103"/>
      <c r="F343" s="103"/>
      <c r="G343" s="103"/>
      <c r="H343" s="103" t="s">
        <v>566</v>
      </c>
      <c r="I343" s="103"/>
      <c r="J343" s="103"/>
      <c r="K343" s="103"/>
      <c r="L343" s="103"/>
      <c r="M343" s="103"/>
      <c r="N343" s="103"/>
      <c r="O343" s="103" t="str">
        <f>H343</f>
        <v>1동 공 Tray Buffer</v>
      </c>
      <c r="P343" s="118"/>
      <c r="Q343" s="108">
        <v>45200</v>
      </c>
      <c r="R343" s="105">
        <v>45229</v>
      </c>
      <c r="S343" s="106"/>
      <c r="T343" s="107">
        <v>26</v>
      </c>
      <c r="U343" s="107">
        <v>0</v>
      </c>
      <c r="V343" s="107">
        <v>30</v>
      </c>
      <c r="W343" s="107">
        <v>0</v>
      </c>
      <c r="X343" s="108"/>
      <c r="Y343" s="108"/>
      <c r="Z343" s="109">
        <v>0</v>
      </c>
      <c r="AA343" s="110">
        <v>0</v>
      </c>
      <c r="AB343" s="107"/>
      <c r="AC343" s="119"/>
      <c r="AD343" s="180"/>
      <c r="AE343" s="111">
        <v>0</v>
      </c>
      <c r="AF343" s="122">
        <v>0</v>
      </c>
      <c r="AG343" s="113"/>
      <c r="AH343" s="114"/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  <c r="BI343" s="114"/>
      <c r="BJ343" s="114"/>
      <c r="BK343" s="114"/>
      <c r="BL343" s="114"/>
      <c r="BM343" s="114"/>
      <c r="BN343" s="114"/>
      <c r="BO343" s="114"/>
      <c r="BP343" s="114" t="str">
        <f>"" &amp; TEXT(AF343,"#0.00%") &amp; " "</f>
        <v xml:space="preserve">0.00% </v>
      </c>
      <c r="BQ343" s="114"/>
      <c r="BR343" s="114"/>
      <c r="BS343" s="114"/>
      <c r="BT343" s="114" t="str">
        <f>"  " &amp; "1동 공 Tray Buffer" &amp; " " &amp; IF(Q343="","",TEXT(Q343,"M/D-")) &amp; IF(R343="","",TEXT(R343,"M/D")) &amp; " "</f>
        <v xml:space="preserve">  1동 공 Tray Buffer 10/1-10/30 </v>
      </c>
      <c r="BU343" s="114"/>
      <c r="BV343" s="114"/>
      <c r="BW343" s="114"/>
      <c r="BX343" s="114"/>
      <c r="BY343" s="114"/>
      <c r="BZ343" s="114"/>
      <c r="CA343" s="114"/>
      <c r="CB343" s="114"/>
      <c r="CC343" s="114"/>
      <c r="CD343" s="114"/>
      <c r="CE343" s="114"/>
      <c r="CF343" s="114"/>
      <c r="CG343" s="114"/>
      <c r="CH343" s="114"/>
      <c r="CI343" s="114"/>
      <c r="CJ343" s="114"/>
      <c r="CK343" s="114"/>
      <c r="CL343" s="114"/>
      <c r="CM343" s="114"/>
      <c r="CN343" s="114"/>
      <c r="CO343" s="114"/>
      <c r="CP343" s="114"/>
      <c r="CQ343" s="114"/>
      <c r="CR343" s="114"/>
      <c r="CS343" s="114"/>
      <c r="CT343" s="114"/>
      <c r="CU343" s="114"/>
      <c r="CV343" s="114"/>
      <c r="CW343" s="114"/>
      <c r="CX343" s="114"/>
      <c r="CY343" s="114"/>
      <c r="CZ343" s="114"/>
      <c r="DA343" s="114"/>
      <c r="DB343" s="114"/>
      <c r="DC343" s="114"/>
      <c r="DD343" s="114"/>
      <c r="DE343" s="114"/>
      <c r="DF343" s="114"/>
      <c r="DG343" s="114"/>
      <c r="DH343" s="114"/>
      <c r="DI343" s="114"/>
      <c r="DJ343" s="114"/>
      <c r="DK343" s="114"/>
      <c r="DL343" s="114"/>
      <c r="DM343" s="114"/>
      <c r="DN343" s="114"/>
      <c r="DO343" s="114"/>
      <c r="DP343" s="114"/>
      <c r="DQ343" s="114"/>
    </row>
    <row r="344" spans="1:121" ht="15" customHeight="1" outlineLevel="4" x14ac:dyDescent="0.25">
      <c r="A344" s="101"/>
      <c r="B344" s="101"/>
      <c r="C344" s="101">
        <v>5</v>
      </c>
      <c r="D344" s="102" t="s">
        <v>496</v>
      </c>
      <c r="E344" s="103"/>
      <c r="F344" s="103"/>
      <c r="G344" s="103"/>
      <c r="H344" s="103"/>
      <c r="I344" s="120" t="s">
        <v>773</v>
      </c>
      <c r="J344" s="120"/>
      <c r="K344" s="120"/>
      <c r="L344" s="120"/>
      <c r="M344" s="120"/>
      <c r="N344" s="120"/>
      <c r="O344" s="120" t="str">
        <f>O343</f>
        <v>1동 공 Tray Buffer</v>
      </c>
      <c r="P344" s="184"/>
      <c r="Q344" s="105">
        <v>45200</v>
      </c>
      <c r="R344" s="105">
        <v>45209</v>
      </c>
      <c r="S344" s="106">
        <f>R344-Q344</f>
        <v>9</v>
      </c>
      <c r="T344" s="107">
        <v>10</v>
      </c>
      <c r="U344" s="107">
        <v>0</v>
      </c>
      <c r="V344" s="107">
        <v>10</v>
      </c>
      <c r="W344" s="107">
        <v>0</v>
      </c>
      <c r="X344" s="108"/>
      <c r="Y344" s="108"/>
      <c r="Z344" s="109"/>
      <c r="AA344" s="110">
        <v>0</v>
      </c>
      <c r="AB344" s="107">
        <v>1</v>
      </c>
      <c r="AC344" s="119"/>
      <c r="AD344" s="180"/>
      <c r="AE344" s="111">
        <v>0</v>
      </c>
      <c r="AF344" s="121">
        <v>0</v>
      </c>
      <c r="AG344" s="113"/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  <c r="BI344" s="114"/>
      <c r="BJ344" s="114"/>
      <c r="BK344" s="114"/>
      <c r="BL344" s="114"/>
      <c r="BM344" s="114"/>
      <c r="BN344" s="114"/>
      <c r="BO344" s="114"/>
      <c r="BP344" s="114" t="str">
        <f>"" &amp; TEXT(AF344,"#0.00%") &amp; " " &amp; "Packing" &amp; " " &amp; IF(Q344="","",TEXT(Q344,"M/D-")) &amp; IF(R344="","",TEXT(R344,"M/D")) &amp; " "</f>
        <v xml:space="preserve">0.00% Packing 10/1-10/10 </v>
      </c>
      <c r="BQ344" s="114"/>
      <c r="BR344" s="114"/>
      <c r="BS344" s="114"/>
      <c r="BT344" s="114"/>
      <c r="BU344" s="114"/>
      <c r="BV344" s="114"/>
      <c r="BW344" s="114"/>
      <c r="BX344" s="114"/>
      <c r="BY344" s="114"/>
      <c r="BZ344" s="114"/>
      <c r="CA344" s="114"/>
      <c r="CB344" s="114"/>
      <c r="CC344" s="114"/>
      <c r="CD344" s="114"/>
      <c r="CE344" s="114"/>
      <c r="CF344" s="114"/>
      <c r="CG344" s="114"/>
      <c r="CH344" s="114"/>
      <c r="CI344" s="114"/>
      <c r="CJ344" s="114"/>
      <c r="CK344" s="114"/>
      <c r="CL344" s="114"/>
      <c r="CM344" s="114"/>
      <c r="CN344" s="114"/>
      <c r="CO344" s="114"/>
      <c r="CP344" s="114"/>
      <c r="CQ344" s="114"/>
      <c r="CR344" s="114"/>
      <c r="CS344" s="114"/>
      <c r="CT344" s="114"/>
      <c r="CU344" s="114"/>
      <c r="CV344" s="114"/>
      <c r="CW344" s="114"/>
      <c r="CX344" s="114"/>
      <c r="CY344" s="114"/>
      <c r="CZ344" s="114"/>
      <c r="DA344" s="114"/>
      <c r="DB344" s="114"/>
      <c r="DC344" s="114"/>
      <c r="DD344" s="114"/>
      <c r="DE344" s="114"/>
      <c r="DF344" s="114"/>
      <c r="DG344" s="114"/>
      <c r="DH344" s="114"/>
      <c r="DI344" s="114"/>
      <c r="DJ344" s="114"/>
      <c r="DK344" s="114"/>
      <c r="DL344" s="114"/>
      <c r="DM344" s="114"/>
      <c r="DN344" s="114"/>
      <c r="DO344" s="114"/>
      <c r="DP344" s="114"/>
      <c r="DQ344" s="114"/>
    </row>
    <row r="345" spans="1:121" ht="15" customHeight="1" outlineLevel="4" x14ac:dyDescent="0.25">
      <c r="A345" s="101"/>
      <c r="B345" s="101"/>
      <c r="C345" s="101">
        <v>5</v>
      </c>
      <c r="D345" s="102" t="s">
        <v>497</v>
      </c>
      <c r="E345" s="103"/>
      <c r="F345" s="103"/>
      <c r="G345" s="103"/>
      <c r="H345" s="103"/>
      <c r="I345" s="120" t="s">
        <v>287</v>
      </c>
      <c r="J345" s="120"/>
      <c r="K345" s="120"/>
      <c r="L345" s="120"/>
      <c r="M345" s="120"/>
      <c r="N345" s="120"/>
      <c r="O345" s="120" t="str">
        <f>O344</f>
        <v>1동 공 Tray Buffer</v>
      </c>
      <c r="P345" s="184"/>
      <c r="Q345" s="105">
        <v>45214</v>
      </c>
      <c r="R345" s="105">
        <v>45229</v>
      </c>
      <c r="S345" s="106"/>
      <c r="T345" s="107">
        <v>16</v>
      </c>
      <c r="U345" s="107">
        <v>0</v>
      </c>
      <c r="V345" s="107">
        <v>16</v>
      </c>
      <c r="W345" s="107">
        <v>0</v>
      </c>
      <c r="X345" s="108"/>
      <c r="Y345" s="108"/>
      <c r="Z345" s="109"/>
      <c r="AA345" s="110">
        <v>0</v>
      </c>
      <c r="AB345" s="107">
        <v>1</v>
      </c>
      <c r="AC345" s="119"/>
      <c r="AD345" s="180"/>
      <c r="AE345" s="111">
        <v>0</v>
      </c>
      <c r="AF345" s="121">
        <v>0</v>
      </c>
      <c r="AG345" s="113"/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  <c r="BI345" s="114"/>
      <c r="BJ345" s="114"/>
      <c r="BK345" s="114"/>
      <c r="BL345" s="114"/>
      <c r="BM345" s="114"/>
      <c r="BN345" s="114"/>
      <c r="BO345" s="114"/>
      <c r="BP345" s="114"/>
      <c r="BQ345" s="114"/>
      <c r="BR345" s="114" t="str">
        <f>"" &amp; TEXT(AF345,"#0.00%") &amp; " " &amp; "FOB" &amp; " " &amp; IF(Q345="","",TEXT(Q345,"M/D-")) &amp; IF(R345="","",TEXT(R345,"M/D")) &amp; " "</f>
        <v xml:space="preserve">0.00% FOB 10/15-10/30 </v>
      </c>
      <c r="BS345" s="114"/>
      <c r="BT345" s="114"/>
      <c r="BU345" s="114"/>
      <c r="BV345" s="114"/>
      <c r="BW345" s="114"/>
      <c r="BX345" s="114"/>
      <c r="BY345" s="114"/>
      <c r="BZ345" s="114"/>
      <c r="CA345" s="114"/>
      <c r="CB345" s="114"/>
      <c r="CC345" s="114"/>
      <c r="CD345" s="114"/>
      <c r="CE345" s="114"/>
      <c r="CF345" s="114"/>
      <c r="CG345" s="114"/>
      <c r="CH345" s="114"/>
      <c r="CI345" s="114"/>
      <c r="CJ345" s="114"/>
      <c r="CK345" s="114"/>
      <c r="CL345" s="114"/>
      <c r="CM345" s="114"/>
      <c r="CN345" s="114"/>
      <c r="CO345" s="114"/>
      <c r="CP345" s="114"/>
      <c r="CQ345" s="114"/>
      <c r="CR345" s="114"/>
      <c r="CS345" s="114"/>
      <c r="CT345" s="114"/>
      <c r="CU345" s="114"/>
      <c r="CV345" s="114"/>
      <c r="CW345" s="114"/>
      <c r="CX345" s="114"/>
      <c r="CY345" s="114"/>
      <c r="CZ345" s="114"/>
      <c r="DA345" s="114"/>
      <c r="DB345" s="114"/>
      <c r="DC345" s="114"/>
      <c r="DD345" s="114"/>
      <c r="DE345" s="114"/>
      <c r="DF345" s="114"/>
      <c r="DG345" s="114"/>
      <c r="DH345" s="114"/>
      <c r="DI345" s="114"/>
      <c r="DJ345" s="114"/>
      <c r="DK345" s="114"/>
      <c r="DL345" s="114"/>
      <c r="DM345" s="114"/>
      <c r="DN345" s="114"/>
      <c r="DO345" s="114"/>
      <c r="DP345" s="114"/>
      <c r="DQ345" s="114"/>
    </row>
    <row r="346" spans="1:121" ht="15" customHeight="1" outlineLevel="2" x14ac:dyDescent="0.25">
      <c r="A346" s="101"/>
      <c r="B346" s="101" t="s">
        <v>153</v>
      </c>
      <c r="C346" s="101">
        <v>3</v>
      </c>
      <c r="D346" s="102" t="s">
        <v>305</v>
      </c>
      <c r="E346" s="103"/>
      <c r="F346" s="103"/>
      <c r="G346" s="141" t="s">
        <v>567</v>
      </c>
      <c r="H346" s="103"/>
      <c r="I346" s="103"/>
      <c r="J346" s="103"/>
      <c r="K346" s="103"/>
      <c r="L346" s="103"/>
      <c r="M346" s="103"/>
      <c r="N346" s="103"/>
      <c r="O346" s="103" t="str">
        <f>G346</f>
        <v>2동 Rack</v>
      </c>
      <c r="P346" s="118"/>
      <c r="Q346" s="108">
        <v>45264</v>
      </c>
      <c r="R346" s="105">
        <v>45320</v>
      </c>
      <c r="S346" s="106"/>
      <c r="T346" s="107">
        <v>168</v>
      </c>
      <c r="U346" s="107">
        <v>0</v>
      </c>
      <c r="V346" s="107">
        <v>57</v>
      </c>
      <c r="W346" s="107">
        <v>0</v>
      </c>
      <c r="X346" s="108"/>
      <c r="Y346" s="108"/>
      <c r="Z346" s="109">
        <v>0</v>
      </c>
      <c r="AA346" s="110">
        <v>0</v>
      </c>
      <c r="AB346" s="107"/>
      <c r="AC346" s="119"/>
      <c r="AD346" s="180"/>
      <c r="AE346" s="111">
        <v>0</v>
      </c>
      <c r="AF346" s="122">
        <v>0</v>
      </c>
      <c r="AG346" s="113"/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  <c r="BI346" s="114"/>
      <c r="BJ346" s="114"/>
      <c r="BK346" s="114"/>
      <c r="BL346" s="114"/>
      <c r="BM346" s="114"/>
      <c r="BN346" s="114"/>
      <c r="BO346" s="114"/>
      <c r="BP346" s="114"/>
      <c r="BQ346" s="114"/>
      <c r="BR346" s="114"/>
      <c r="BS346" s="114"/>
      <c r="BT346" s="114"/>
      <c r="BU346" s="114"/>
      <c r="BV346" s="114"/>
      <c r="BW346" s="114"/>
      <c r="BX346" s="114"/>
      <c r="BY346" s="114" t="str">
        <f>" " &amp; TEXT(AF346,"#0.00%") &amp; " "</f>
        <v xml:space="preserve"> 0.00% </v>
      </c>
      <c r="BZ346" s="114"/>
      <c r="CA346" s="114"/>
      <c r="CB346" s="114"/>
      <c r="CC346" s="114"/>
      <c r="CD346" s="114"/>
      <c r="CE346" s="114"/>
      <c r="CF346" s="114"/>
      <c r="CG346" s="114" t="str">
        <f>"  " &amp; "2동 Rack" &amp; " " &amp; IF(Q346="","",TEXT(Q346,"M/D-")) &amp; IF(R346="","",TEXT(R346,"M/D")) &amp; " "</f>
        <v xml:space="preserve">  2동 Rack 12/4-1/29 </v>
      </c>
      <c r="CH346" s="114"/>
      <c r="CI346" s="114"/>
      <c r="CJ346" s="114"/>
      <c r="CK346" s="114"/>
      <c r="CL346" s="114"/>
      <c r="CM346" s="114"/>
      <c r="CN346" s="114"/>
      <c r="CO346" s="114"/>
      <c r="CP346" s="114"/>
      <c r="CQ346" s="114"/>
      <c r="CR346" s="114"/>
      <c r="CS346" s="114"/>
      <c r="CT346" s="114"/>
      <c r="CU346" s="114"/>
      <c r="CV346" s="114"/>
      <c r="CW346" s="114"/>
      <c r="CX346" s="114"/>
      <c r="CY346" s="114"/>
      <c r="CZ346" s="114"/>
      <c r="DA346" s="114"/>
      <c r="DB346" s="114"/>
      <c r="DC346" s="114"/>
      <c r="DD346" s="114"/>
      <c r="DE346" s="114"/>
      <c r="DF346" s="114"/>
      <c r="DG346" s="114"/>
      <c r="DH346" s="114"/>
      <c r="DI346" s="114"/>
      <c r="DJ346" s="114"/>
      <c r="DK346" s="114"/>
      <c r="DL346" s="114"/>
      <c r="DM346" s="114"/>
      <c r="DN346" s="114"/>
      <c r="DO346" s="114"/>
      <c r="DP346" s="114"/>
      <c r="DQ346" s="114"/>
    </row>
    <row r="347" spans="1:121" ht="15" customHeight="1" outlineLevel="3" x14ac:dyDescent="0.25">
      <c r="A347" s="101"/>
      <c r="B347" s="101" t="s">
        <v>153</v>
      </c>
      <c r="C347" s="101">
        <v>4</v>
      </c>
      <c r="D347" s="102" t="s">
        <v>306</v>
      </c>
      <c r="E347" s="103"/>
      <c r="F347" s="103"/>
      <c r="G347" s="103"/>
      <c r="H347" s="103" t="s">
        <v>568</v>
      </c>
      <c r="I347" s="103"/>
      <c r="J347" s="103"/>
      <c r="K347" s="103"/>
      <c r="L347" s="103"/>
      <c r="M347" s="103"/>
      <c r="N347" s="103"/>
      <c r="O347" s="103" t="str">
        <f>H347</f>
        <v>2동 상온#1 Aging(Deck&amp;Accessory)</v>
      </c>
      <c r="P347" s="118"/>
      <c r="Q347" s="108">
        <v>45264</v>
      </c>
      <c r="R347" s="105">
        <v>45280</v>
      </c>
      <c r="S347" s="106"/>
      <c r="T347" s="107">
        <v>17</v>
      </c>
      <c r="U347" s="107">
        <v>0</v>
      </c>
      <c r="V347" s="107">
        <v>17</v>
      </c>
      <c r="W347" s="107">
        <v>0</v>
      </c>
      <c r="X347" s="108"/>
      <c r="Y347" s="108"/>
      <c r="Z347" s="109">
        <v>0</v>
      </c>
      <c r="AA347" s="110">
        <v>0</v>
      </c>
      <c r="AB347" s="107"/>
      <c r="AC347" s="119"/>
      <c r="AD347" s="180"/>
      <c r="AE347" s="111">
        <v>0</v>
      </c>
      <c r="AF347" s="122">
        <v>0</v>
      </c>
      <c r="AG347" s="113"/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  <c r="BI347" s="114"/>
      <c r="BJ347" s="114"/>
      <c r="BK347" s="114"/>
      <c r="BL347" s="114"/>
      <c r="BM347" s="114"/>
      <c r="BN347" s="114"/>
      <c r="BO347" s="114"/>
      <c r="BP347" s="114"/>
      <c r="BQ347" s="114"/>
      <c r="BR347" s="114"/>
      <c r="BS347" s="114"/>
      <c r="BT347" s="114"/>
      <c r="BU347" s="114"/>
      <c r="BV347" s="114"/>
      <c r="BW347" s="114"/>
      <c r="BX347" s="114"/>
      <c r="BY347" s="114" t="str">
        <f>" " &amp; TEXT(AF347,"#0.00%") &amp; " " &amp; "2동 상온#1 Aging(Deck&amp;Accessory)" &amp; " " &amp; IF(Q347="","",TEXT(Q347,"M/D-")) &amp; IF(R347="","",TEXT(R347,"M/D")) &amp; " "</f>
        <v xml:space="preserve"> 0.00% 2동 상온#1 Aging(Deck&amp;Accessory) 12/4-12/20 </v>
      </c>
      <c r="BZ347" s="114"/>
      <c r="CA347" s="114"/>
      <c r="CB347" s="114"/>
      <c r="CC347" s="114"/>
      <c r="CD347" s="114"/>
      <c r="CE347" s="114"/>
      <c r="CF347" s="114"/>
      <c r="CG347" s="114"/>
      <c r="CH347" s="114"/>
      <c r="CI347" s="114"/>
      <c r="CJ347" s="114"/>
      <c r="CK347" s="114"/>
      <c r="CL347" s="114"/>
      <c r="CM347" s="114"/>
      <c r="CN347" s="114"/>
      <c r="CO347" s="114"/>
      <c r="CP347" s="114"/>
      <c r="CQ347" s="114"/>
      <c r="CR347" s="114"/>
      <c r="CS347" s="114"/>
      <c r="CT347" s="114"/>
      <c r="CU347" s="114"/>
      <c r="CV347" s="114"/>
      <c r="CW347" s="114"/>
      <c r="CX347" s="114"/>
      <c r="CY347" s="114"/>
      <c r="CZ347" s="114"/>
      <c r="DA347" s="114"/>
      <c r="DB347" s="114"/>
      <c r="DC347" s="114"/>
      <c r="DD347" s="114"/>
      <c r="DE347" s="114"/>
      <c r="DF347" s="114"/>
      <c r="DG347" s="114"/>
      <c r="DH347" s="114"/>
      <c r="DI347" s="114"/>
      <c r="DJ347" s="114"/>
      <c r="DK347" s="114"/>
      <c r="DL347" s="114"/>
      <c r="DM347" s="114"/>
      <c r="DN347" s="114"/>
      <c r="DO347" s="114"/>
      <c r="DP347" s="114"/>
      <c r="DQ347" s="114"/>
    </row>
    <row r="348" spans="1:121" ht="15" customHeight="1" outlineLevel="4" x14ac:dyDescent="0.25">
      <c r="A348" s="101"/>
      <c r="B348" s="101"/>
      <c r="C348" s="101">
        <v>5</v>
      </c>
      <c r="D348" s="102" t="s">
        <v>307</v>
      </c>
      <c r="E348" s="103"/>
      <c r="F348" s="103"/>
      <c r="G348" s="103"/>
      <c r="H348" s="103"/>
      <c r="I348" s="120" t="s">
        <v>773</v>
      </c>
      <c r="J348" s="120"/>
      <c r="K348" s="120"/>
      <c r="L348" s="120"/>
      <c r="M348" s="120"/>
      <c r="N348" s="120"/>
      <c r="O348" s="120" t="str">
        <f>O347</f>
        <v>2동 상온#1 Aging(Deck&amp;Accessory)</v>
      </c>
      <c r="P348" s="184"/>
      <c r="Q348" s="105">
        <v>45264</v>
      </c>
      <c r="R348" s="105">
        <v>45279</v>
      </c>
      <c r="S348" s="106">
        <f>R348-Q348</f>
        <v>15</v>
      </c>
      <c r="T348" s="107">
        <v>16</v>
      </c>
      <c r="U348" s="107">
        <v>0</v>
      </c>
      <c r="V348" s="107">
        <v>16</v>
      </c>
      <c r="W348" s="107">
        <v>0</v>
      </c>
      <c r="X348" s="108"/>
      <c r="Y348" s="108"/>
      <c r="Z348" s="109"/>
      <c r="AA348" s="110">
        <v>0</v>
      </c>
      <c r="AB348" s="107">
        <v>1</v>
      </c>
      <c r="AC348" s="119"/>
      <c r="AD348" s="180"/>
      <c r="AE348" s="111">
        <v>0</v>
      </c>
      <c r="AF348" s="121">
        <v>0</v>
      </c>
      <c r="AG348" s="113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/>
      <c r="BY348" s="114" t="str">
        <f>" " &amp; TEXT(AF348,"#0.00%") &amp; " " &amp; "Packing" &amp; " " &amp; IF(Q348="","",TEXT(Q348,"M/D-")) &amp; IF(R348="","",TEXT(R348,"M/D")) &amp; " "</f>
        <v xml:space="preserve"> 0.00% Packing 12/4-12/19 </v>
      </c>
      <c r="BZ348" s="114"/>
      <c r="CA348" s="114"/>
      <c r="CB348" s="114"/>
      <c r="CC348" s="114"/>
      <c r="CD348" s="114"/>
      <c r="CE348" s="114"/>
      <c r="CF348" s="114"/>
      <c r="CG348" s="114"/>
      <c r="CH348" s="114"/>
      <c r="CI348" s="114"/>
      <c r="CJ348" s="114"/>
      <c r="CK348" s="114"/>
      <c r="CL348" s="114"/>
      <c r="CM348" s="114"/>
      <c r="CN348" s="114"/>
      <c r="CO348" s="114"/>
      <c r="CP348" s="114"/>
      <c r="CQ348" s="114"/>
      <c r="CR348" s="114"/>
      <c r="CS348" s="114"/>
      <c r="CT348" s="114"/>
      <c r="CU348" s="114"/>
      <c r="CV348" s="114"/>
      <c r="CW348" s="114"/>
      <c r="CX348" s="114"/>
      <c r="CY348" s="114"/>
      <c r="CZ348" s="114"/>
      <c r="DA348" s="114"/>
      <c r="DB348" s="114"/>
      <c r="DC348" s="114"/>
      <c r="DD348" s="114"/>
      <c r="DE348" s="114"/>
      <c r="DF348" s="114"/>
      <c r="DG348" s="114"/>
      <c r="DH348" s="114"/>
      <c r="DI348" s="114"/>
      <c r="DJ348" s="114"/>
      <c r="DK348" s="114"/>
      <c r="DL348" s="114"/>
      <c r="DM348" s="114"/>
      <c r="DN348" s="114"/>
      <c r="DO348" s="114"/>
      <c r="DP348" s="114"/>
      <c r="DQ348" s="114"/>
    </row>
    <row r="349" spans="1:121" ht="15" customHeight="1" outlineLevel="4" x14ac:dyDescent="0.25">
      <c r="A349" s="101"/>
      <c r="B349" s="101"/>
      <c r="C349" s="101">
        <v>5</v>
      </c>
      <c r="D349" s="102" t="s">
        <v>308</v>
      </c>
      <c r="E349" s="103"/>
      <c r="F349" s="103"/>
      <c r="G349" s="103"/>
      <c r="H349" s="103"/>
      <c r="I349" s="120" t="s">
        <v>287</v>
      </c>
      <c r="J349" s="120"/>
      <c r="K349" s="120"/>
      <c r="L349" s="120"/>
      <c r="M349" s="120"/>
      <c r="N349" s="120"/>
      <c r="O349" s="120" t="str">
        <f>O348</f>
        <v>2동 상온#1 Aging(Deck&amp;Accessory)</v>
      </c>
      <c r="P349" s="184"/>
      <c r="Q349" s="105">
        <v>45280</v>
      </c>
      <c r="R349" s="105">
        <v>45280</v>
      </c>
      <c r="S349" s="106"/>
      <c r="T349" s="107">
        <v>1</v>
      </c>
      <c r="U349" s="107">
        <v>0</v>
      </c>
      <c r="V349" s="107">
        <v>1</v>
      </c>
      <c r="W349" s="107">
        <v>0</v>
      </c>
      <c r="X349" s="108"/>
      <c r="Y349" s="108"/>
      <c r="Z349" s="109"/>
      <c r="AA349" s="110">
        <v>0</v>
      </c>
      <c r="AB349" s="107">
        <v>1</v>
      </c>
      <c r="AC349" s="119"/>
      <c r="AD349" s="180"/>
      <c r="AE349" s="111">
        <v>0</v>
      </c>
      <c r="AF349" s="121">
        <v>0</v>
      </c>
      <c r="AG349" s="113"/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  <c r="BI349" s="114"/>
      <c r="BJ349" s="114"/>
      <c r="BK349" s="114"/>
      <c r="BL349" s="114"/>
      <c r="BM349" s="114"/>
      <c r="BN349" s="114"/>
      <c r="BO349" s="114"/>
      <c r="BP349" s="114"/>
      <c r="BQ349" s="114"/>
      <c r="BR349" s="114"/>
      <c r="BS349" s="114"/>
      <c r="BT349" s="114"/>
      <c r="BU349" s="114"/>
      <c r="BV349" s="114"/>
      <c r="BW349" s="114"/>
      <c r="BX349" s="114"/>
      <c r="BY349" s="114"/>
      <c r="BZ349" s="114"/>
      <c r="CA349" s="114" t="str">
        <f>"   " &amp; TEXT(AF349,"#0.00%") &amp; " " &amp; "FOB" &amp; " " &amp; IF(Q349="","",TEXT(Q349,"M/D-")) &amp; IF(R349="","",TEXT(R349,"M/D")) &amp; " "</f>
        <v xml:space="preserve">   0.00% FOB 12/20-12/20 </v>
      </c>
      <c r="CB349" s="114"/>
      <c r="CC349" s="114"/>
      <c r="CD349" s="114"/>
      <c r="CE349" s="114"/>
      <c r="CF349" s="114"/>
      <c r="CG349" s="114"/>
      <c r="CH349" s="114"/>
      <c r="CI349" s="114"/>
      <c r="CJ349" s="114"/>
      <c r="CK349" s="114"/>
      <c r="CL349" s="114"/>
      <c r="CM349" s="114"/>
      <c r="CN349" s="114"/>
      <c r="CO349" s="114"/>
      <c r="CP349" s="114"/>
      <c r="CQ349" s="114"/>
      <c r="CR349" s="114"/>
      <c r="CS349" s="114"/>
      <c r="CT349" s="114"/>
      <c r="CU349" s="114"/>
      <c r="CV349" s="114"/>
      <c r="CW349" s="114"/>
      <c r="CX349" s="114"/>
      <c r="CY349" s="114"/>
      <c r="CZ349" s="114"/>
      <c r="DA349" s="114"/>
      <c r="DB349" s="114"/>
      <c r="DC349" s="114"/>
      <c r="DD349" s="114"/>
      <c r="DE349" s="114"/>
      <c r="DF349" s="114"/>
      <c r="DG349" s="114"/>
      <c r="DH349" s="114"/>
      <c r="DI349" s="114"/>
      <c r="DJ349" s="114"/>
      <c r="DK349" s="114"/>
      <c r="DL349" s="114"/>
      <c r="DM349" s="114"/>
      <c r="DN349" s="114"/>
      <c r="DO349" s="114"/>
      <c r="DP349" s="114"/>
      <c r="DQ349" s="114"/>
    </row>
    <row r="350" spans="1:121" ht="15" customHeight="1" outlineLevel="3" x14ac:dyDescent="0.25">
      <c r="A350" s="101"/>
      <c r="B350" s="101" t="s">
        <v>153</v>
      </c>
      <c r="C350" s="101">
        <v>4</v>
      </c>
      <c r="D350" s="102" t="s">
        <v>309</v>
      </c>
      <c r="E350" s="103"/>
      <c r="F350" s="103"/>
      <c r="G350" s="103"/>
      <c r="H350" s="103" t="s">
        <v>569</v>
      </c>
      <c r="I350" s="103"/>
      <c r="J350" s="103"/>
      <c r="K350" s="103"/>
      <c r="L350" s="103"/>
      <c r="M350" s="103"/>
      <c r="N350" s="103"/>
      <c r="O350" s="103" t="str">
        <f>H350</f>
        <v>2동 고온#1 Aging (Deck&amp;Accessory)</v>
      </c>
      <c r="P350" s="118"/>
      <c r="Q350" s="108">
        <v>45289</v>
      </c>
      <c r="R350" s="105">
        <v>45306</v>
      </c>
      <c r="S350" s="106"/>
      <c r="T350" s="107">
        <v>18</v>
      </c>
      <c r="U350" s="107">
        <v>0</v>
      </c>
      <c r="V350" s="107">
        <v>18</v>
      </c>
      <c r="W350" s="107">
        <v>0</v>
      </c>
      <c r="X350" s="108"/>
      <c r="Y350" s="108"/>
      <c r="Z350" s="109">
        <v>0</v>
      </c>
      <c r="AA350" s="110">
        <v>0</v>
      </c>
      <c r="AB350" s="107"/>
      <c r="AC350" s="119"/>
      <c r="AD350" s="180"/>
      <c r="AE350" s="111">
        <v>0</v>
      </c>
      <c r="AF350" s="122">
        <v>0</v>
      </c>
      <c r="AG350" s="113"/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  <c r="BI350" s="114"/>
      <c r="BJ350" s="114"/>
      <c r="BK350" s="114"/>
      <c r="BL350" s="114"/>
      <c r="BM350" s="114"/>
      <c r="BN350" s="114"/>
      <c r="BO350" s="114"/>
      <c r="BP350" s="114"/>
      <c r="BQ350" s="114"/>
      <c r="BR350" s="114"/>
      <c r="BS350" s="114"/>
      <c r="BT350" s="114"/>
      <c r="BU350" s="114"/>
      <c r="BV350" s="114"/>
      <c r="BW350" s="114"/>
      <c r="BX350" s="114"/>
      <c r="BY350" s="114"/>
      <c r="BZ350" s="114"/>
      <c r="CA350" s="114"/>
      <c r="CB350" s="114" t="str">
        <f>"     " &amp; TEXT(AF350,"#0.00%") &amp; " " &amp; "2동 고온#1 Aging (Deck&amp;Accessory)" &amp; " " &amp; IF(Q350="","",TEXT(Q350,"M/D-")) &amp; IF(R350="","",TEXT(R350,"M/D")) &amp; " "</f>
        <v xml:space="preserve">     0.00% 2동 고온#1 Aging (Deck&amp;Accessory) 12/29-1/15 </v>
      </c>
      <c r="CC350" s="114"/>
      <c r="CD350" s="114"/>
      <c r="CE350" s="114"/>
      <c r="CF350" s="114"/>
      <c r="CG350" s="114"/>
      <c r="CH350" s="114"/>
      <c r="CI350" s="114"/>
      <c r="CJ350" s="114"/>
      <c r="CK350" s="114"/>
      <c r="CL350" s="114"/>
      <c r="CM350" s="114"/>
      <c r="CN350" s="114"/>
      <c r="CO350" s="114"/>
      <c r="CP350" s="114"/>
      <c r="CQ350" s="114"/>
      <c r="CR350" s="114"/>
      <c r="CS350" s="114"/>
      <c r="CT350" s="114"/>
      <c r="CU350" s="114"/>
      <c r="CV350" s="114"/>
      <c r="CW350" s="114"/>
      <c r="CX350" s="114"/>
      <c r="CY350" s="114"/>
      <c r="CZ350" s="114"/>
      <c r="DA350" s="114"/>
      <c r="DB350" s="114"/>
      <c r="DC350" s="114"/>
      <c r="DD350" s="114"/>
      <c r="DE350" s="114"/>
      <c r="DF350" s="114"/>
      <c r="DG350" s="114"/>
      <c r="DH350" s="114"/>
      <c r="DI350" s="114"/>
      <c r="DJ350" s="114"/>
      <c r="DK350" s="114"/>
      <c r="DL350" s="114"/>
      <c r="DM350" s="114"/>
      <c r="DN350" s="114"/>
      <c r="DO350" s="114"/>
      <c r="DP350" s="114"/>
      <c r="DQ350" s="114"/>
    </row>
    <row r="351" spans="1:121" ht="15" customHeight="1" outlineLevel="4" x14ac:dyDescent="0.25">
      <c r="A351" s="101"/>
      <c r="B351" s="101"/>
      <c r="C351" s="101">
        <v>5</v>
      </c>
      <c r="D351" s="102" t="s">
        <v>310</v>
      </c>
      <c r="E351" s="103"/>
      <c r="F351" s="103"/>
      <c r="G351" s="103"/>
      <c r="H351" s="103"/>
      <c r="I351" s="120" t="s">
        <v>773</v>
      </c>
      <c r="J351" s="120"/>
      <c r="K351" s="120"/>
      <c r="L351" s="120"/>
      <c r="M351" s="120"/>
      <c r="N351" s="120"/>
      <c r="O351" s="120" t="str">
        <f>O350</f>
        <v>2동 고온#1 Aging (Deck&amp;Accessory)</v>
      </c>
      <c r="P351" s="184"/>
      <c r="Q351" s="105">
        <v>45289</v>
      </c>
      <c r="R351" s="105">
        <v>45305</v>
      </c>
      <c r="S351" s="106">
        <f>R351-Q351</f>
        <v>16</v>
      </c>
      <c r="T351" s="107">
        <v>17</v>
      </c>
      <c r="U351" s="107">
        <v>0</v>
      </c>
      <c r="V351" s="107">
        <v>17</v>
      </c>
      <c r="W351" s="107">
        <v>0</v>
      </c>
      <c r="X351" s="108"/>
      <c r="Y351" s="108"/>
      <c r="Z351" s="109"/>
      <c r="AA351" s="110">
        <v>0</v>
      </c>
      <c r="AB351" s="107">
        <v>1</v>
      </c>
      <c r="AC351" s="119"/>
      <c r="AD351" s="180"/>
      <c r="AE351" s="111">
        <v>0</v>
      </c>
      <c r="AF351" s="121">
        <v>0</v>
      </c>
      <c r="AG351" s="113"/>
      <c r="AH351" s="114"/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  <c r="BI351" s="114"/>
      <c r="BJ351" s="114"/>
      <c r="BK351" s="114"/>
      <c r="BL351" s="114"/>
      <c r="BM351" s="114"/>
      <c r="BN351" s="114"/>
      <c r="BO351" s="114"/>
      <c r="BP351" s="114"/>
      <c r="BQ351" s="114"/>
      <c r="BR351" s="114"/>
      <c r="BS351" s="114"/>
      <c r="BT351" s="114"/>
      <c r="BU351" s="114"/>
      <c r="BV351" s="114"/>
      <c r="BW351" s="114"/>
      <c r="BX351" s="114"/>
      <c r="BY351" s="114"/>
      <c r="BZ351" s="114"/>
      <c r="CA351" s="114"/>
      <c r="CB351" s="114" t="str">
        <f>"     " &amp; TEXT(AF351,"#0.00%") &amp; " " &amp; "Packing" &amp; " " &amp; IF(Q351="","",TEXT(Q351,"M/D-")) &amp; IF(R351="","",TEXT(R351,"M/D")) &amp; " "</f>
        <v xml:space="preserve">     0.00% Packing 12/29-1/14 </v>
      </c>
      <c r="CC351" s="114"/>
      <c r="CD351" s="114"/>
      <c r="CE351" s="114"/>
      <c r="CF351" s="114"/>
      <c r="CG351" s="114"/>
      <c r="CH351" s="114"/>
      <c r="CI351" s="114"/>
      <c r="CJ351" s="114"/>
      <c r="CK351" s="114"/>
      <c r="CL351" s="114"/>
      <c r="CM351" s="114"/>
      <c r="CN351" s="114"/>
      <c r="CO351" s="114"/>
      <c r="CP351" s="114"/>
      <c r="CQ351" s="114"/>
      <c r="CR351" s="114"/>
      <c r="CS351" s="114"/>
      <c r="CT351" s="114"/>
      <c r="CU351" s="114"/>
      <c r="CV351" s="114"/>
      <c r="CW351" s="114"/>
      <c r="CX351" s="114"/>
      <c r="CY351" s="114"/>
      <c r="CZ351" s="114"/>
      <c r="DA351" s="114"/>
      <c r="DB351" s="114"/>
      <c r="DC351" s="114"/>
      <c r="DD351" s="114"/>
      <c r="DE351" s="114"/>
      <c r="DF351" s="114"/>
      <c r="DG351" s="114"/>
      <c r="DH351" s="114"/>
      <c r="DI351" s="114"/>
      <c r="DJ351" s="114"/>
      <c r="DK351" s="114"/>
      <c r="DL351" s="114"/>
      <c r="DM351" s="114"/>
      <c r="DN351" s="114"/>
      <c r="DO351" s="114"/>
      <c r="DP351" s="114"/>
      <c r="DQ351" s="114"/>
    </row>
    <row r="352" spans="1:121" ht="15" customHeight="1" outlineLevel="4" x14ac:dyDescent="0.25">
      <c r="A352" s="101"/>
      <c r="B352" s="101"/>
      <c r="C352" s="101">
        <v>5</v>
      </c>
      <c r="D352" s="102" t="s">
        <v>311</v>
      </c>
      <c r="E352" s="103"/>
      <c r="F352" s="103"/>
      <c r="G352" s="103"/>
      <c r="H352" s="103"/>
      <c r="I352" s="120" t="s">
        <v>287</v>
      </c>
      <c r="J352" s="120"/>
      <c r="K352" s="120"/>
      <c r="L352" s="120"/>
      <c r="M352" s="120"/>
      <c r="N352" s="120"/>
      <c r="O352" s="120" t="str">
        <f>O351</f>
        <v>2동 고온#1 Aging (Deck&amp;Accessory)</v>
      </c>
      <c r="P352" s="184"/>
      <c r="Q352" s="105">
        <v>45306</v>
      </c>
      <c r="R352" s="105">
        <v>45306</v>
      </c>
      <c r="S352" s="106"/>
      <c r="T352" s="107">
        <v>1</v>
      </c>
      <c r="U352" s="107">
        <v>0</v>
      </c>
      <c r="V352" s="107">
        <v>1</v>
      </c>
      <c r="W352" s="107">
        <v>0</v>
      </c>
      <c r="X352" s="108"/>
      <c r="Y352" s="108"/>
      <c r="Z352" s="109"/>
      <c r="AA352" s="110">
        <v>0</v>
      </c>
      <c r="AB352" s="107">
        <v>1</v>
      </c>
      <c r="AC352" s="119"/>
      <c r="AD352" s="180"/>
      <c r="AE352" s="111">
        <v>0</v>
      </c>
      <c r="AF352" s="121">
        <v>0</v>
      </c>
      <c r="AG352" s="113"/>
      <c r="AH352" s="114"/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  <c r="BI352" s="114"/>
      <c r="BJ352" s="114"/>
      <c r="BK352" s="114"/>
      <c r="BL352" s="114"/>
      <c r="BM352" s="114"/>
      <c r="BN352" s="114"/>
      <c r="BO352" s="114"/>
      <c r="BP352" s="114"/>
      <c r="BQ352" s="114"/>
      <c r="BR352" s="114"/>
      <c r="BS352" s="114"/>
      <c r="BT352" s="114"/>
      <c r="BU352" s="114"/>
      <c r="BV352" s="114"/>
      <c r="BW352" s="114"/>
      <c r="BX352" s="114"/>
      <c r="BY352" s="114"/>
      <c r="BZ352" s="114"/>
      <c r="CA352" s="114"/>
      <c r="CB352" s="114"/>
      <c r="CC352" s="114"/>
      <c r="CD352" s="114"/>
      <c r="CE352" s="114" t="str">
        <f>" " &amp; TEXT(AF352,"#0.00%") &amp; " " &amp; "FOB" &amp; " " &amp; IF(Q352="","",TEXT(Q352,"M/D-")) &amp; IF(R352="","",TEXT(R352,"M/D")) &amp; " "</f>
        <v xml:space="preserve"> 0.00% FOB 1/15-1/15 </v>
      </c>
      <c r="CF352" s="114"/>
      <c r="CG352" s="114"/>
      <c r="CH352" s="114"/>
      <c r="CI352" s="114"/>
      <c r="CJ352" s="114"/>
      <c r="CK352" s="114"/>
      <c r="CL352" s="114"/>
      <c r="CM352" s="114"/>
      <c r="CN352" s="114"/>
      <c r="CO352" s="114"/>
      <c r="CP352" s="114"/>
      <c r="CQ352" s="114"/>
      <c r="CR352" s="114"/>
      <c r="CS352" s="114"/>
      <c r="CT352" s="114"/>
      <c r="CU352" s="114"/>
      <c r="CV352" s="114"/>
      <c r="CW352" s="114"/>
      <c r="CX352" s="114"/>
      <c r="CY352" s="114"/>
      <c r="CZ352" s="114"/>
      <c r="DA352" s="114"/>
      <c r="DB352" s="114"/>
      <c r="DC352" s="114"/>
      <c r="DD352" s="114"/>
      <c r="DE352" s="114"/>
      <c r="DF352" s="114"/>
      <c r="DG352" s="114"/>
      <c r="DH352" s="114"/>
      <c r="DI352" s="114"/>
      <c r="DJ352" s="114"/>
      <c r="DK352" s="114"/>
      <c r="DL352" s="114"/>
      <c r="DM352" s="114"/>
      <c r="DN352" s="114"/>
      <c r="DO352" s="114"/>
      <c r="DP352" s="114"/>
      <c r="DQ352" s="114"/>
    </row>
    <row r="353" spans="1:121" ht="15" customHeight="1" outlineLevel="3" x14ac:dyDescent="0.25">
      <c r="A353" s="101"/>
      <c r="B353" s="101" t="s">
        <v>153</v>
      </c>
      <c r="C353" s="101">
        <v>4</v>
      </c>
      <c r="D353" s="102" t="s">
        <v>312</v>
      </c>
      <c r="E353" s="103"/>
      <c r="F353" s="103"/>
      <c r="G353" s="103"/>
      <c r="H353" s="103" t="s">
        <v>570</v>
      </c>
      <c r="I353" s="103"/>
      <c r="J353" s="103"/>
      <c r="K353" s="103"/>
      <c r="L353" s="103"/>
      <c r="M353" s="103"/>
      <c r="N353" s="103"/>
      <c r="O353" s="103" t="str">
        <f>H353</f>
        <v>2동 PPC (Deck&amp;Accessory)</v>
      </c>
      <c r="P353" s="118"/>
      <c r="Q353" s="108">
        <v>45264</v>
      </c>
      <c r="R353" s="105">
        <v>45280</v>
      </c>
      <c r="S353" s="106"/>
      <c r="T353" s="107">
        <v>17</v>
      </c>
      <c r="U353" s="107">
        <v>0</v>
      </c>
      <c r="V353" s="107">
        <v>17</v>
      </c>
      <c r="W353" s="107">
        <v>0</v>
      </c>
      <c r="X353" s="108"/>
      <c r="Y353" s="108"/>
      <c r="Z353" s="109">
        <v>0</v>
      </c>
      <c r="AA353" s="110">
        <v>0</v>
      </c>
      <c r="AB353" s="107"/>
      <c r="AC353" s="119"/>
      <c r="AD353" s="180"/>
      <c r="AE353" s="111">
        <v>0</v>
      </c>
      <c r="AF353" s="122">
        <v>0</v>
      </c>
      <c r="AG353" s="113"/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  <c r="BI353" s="114"/>
      <c r="BJ353" s="114"/>
      <c r="BK353" s="114"/>
      <c r="BL353" s="114"/>
      <c r="BM353" s="114"/>
      <c r="BN353" s="114"/>
      <c r="BO353" s="114"/>
      <c r="BP353" s="114"/>
      <c r="BQ353" s="114"/>
      <c r="BR353" s="114"/>
      <c r="BS353" s="114"/>
      <c r="BT353" s="114"/>
      <c r="BU353" s="114"/>
      <c r="BV353" s="114"/>
      <c r="BW353" s="114"/>
      <c r="BX353" s="114"/>
      <c r="BY353" s="114" t="str">
        <f>" " &amp; TEXT(AF353,"#0.00%") &amp; " " &amp; "2동 PPC (Deck&amp;Accessory)" &amp; " " &amp; IF(Q353="","",TEXT(Q353,"M/D-")) &amp; IF(R353="","",TEXT(R353,"M/D")) &amp; " "</f>
        <v xml:space="preserve"> 0.00% 2동 PPC (Deck&amp;Accessory) 12/4-12/20 </v>
      </c>
      <c r="BZ353" s="114"/>
      <c r="CA353" s="114"/>
      <c r="CB353" s="114"/>
      <c r="CC353" s="114"/>
      <c r="CD353" s="114"/>
      <c r="CE353" s="114"/>
      <c r="CF353" s="114"/>
      <c r="CG353" s="114"/>
      <c r="CH353" s="114"/>
      <c r="CI353" s="114"/>
      <c r="CJ353" s="114"/>
      <c r="CK353" s="114"/>
      <c r="CL353" s="114"/>
      <c r="CM353" s="114"/>
      <c r="CN353" s="114"/>
      <c r="CO353" s="114"/>
      <c r="CP353" s="114"/>
      <c r="CQ353" s="114"/>
      <c r="CR353" s="114"/>
      <c r="CS353" s="114"/>
      <c r="CT353" s="114"/>
      <c r="CU353" s="114"/>
      <c r="CV353" s="114"/>
      <c r="CW353" s="114"/>
      <c r="CX353" s="114"/>
      <c r="CY353" s="114"/>
      <c r="CZ353" s="114"/>
      <c r="DA353" s="114"/>
      <c r="DB353" s="114"/>
      <c r="DC353" s="114"/>
      <c r="DD353" s="114"/>
      <c r="DE353" s="114"/>
      <c r="DF353" s="114"/>
      <c r="DG353" s="114"/>
      <c r="DH353" s="114"/>
      <c r="DI353" s="114"/>
      <c r="DJ353" s="114"/>
      <c r="DK353" s="114"/>
      <c r="DL353" s="114"/>
      <c r="DM353" s="114"/>
      <c r="DN353" s="114"/>
      <c r="DO353" s="114"/>
      <c r="DP353" s="114"/>
      <c r="DQ353" s="114"/>
    </row>
    <row r="354" spans="1:121" ht="15" customHeight="1" outlineLevel="4" x14ac:dyDescent="0.25">
      <c r="A354" s="101"/>
      <c r="B354" s="101"/>
      <c r="C354" s="101">
        <v>5</v>
      </c>
      <c r="D354" s="102" t="s">
        <v>313</v>
      </c>
      <c r="E354" s="103"/>
      <c r="F354" s="103"/>
      <c r="G354" s="103"/>
      <c r="H354" s="103"/>
      <c r="I354" s="120" t="s">
        <v>773</v>
      </c>
      <c r="J354" s="120"/>
      <c r="K354" s="120"/>
      <c r="L354" s="120"/>
      <c r="M354" s="120"/>
      <c r="N354" s="120"/>
      <c r="O354" s="120" t="str">
        <f>O353</f>
        <v>2동 PPC (Deck&amp;Accessory)</v>
      </c>
      <c r="P354" s="184"/>
      <c r="Q354" s="105">
        <v>45264</v>
      </c>
      <c r="R354" s="105">
        <v>45279</v>
      </c>
      <c r="S354" s="106">
        <f>R354-Q354</f>
        <v>15</v>
      </c>
      <c r="T354" s="107">
        <v>16</v>
      </c>
      <c r="U354" s="107">
        <v>0</v>
      </c>
      <c r="V354" s="107">
        <v>16</v>
      </c>
      <c r="W354" s="107">
        <v>0</v>
      </c>
      <c r="X354" s="108"/>
      <c r="Y354" s="108"/>
      <c r="Z354" s="109"/>
      <c r="AA354" s="110">
        <v>0</v>
      </c>
      <c r="AB354" s="107">
        <v>1</v>
      </c>
      <c r="AC354" s="119"/>
      <c r="AD354" s="180"/>
      <c r="AE354" s="111">
        <v>0</v>
      </c>
      <c r="AF354" s="121">
        <v>0</v>
      </c>
      <c r="AG354" s="113"/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  <c r="BI354" s="114"/>
      <c r="BJ354" s="114"/>
      <c r="BK354" s="114"/>
      <c r="BL354" s="114"/>
      <c r="BM354" s="114"/>
      <c r="BN354" s="114"/>
      <c r="BO354" s="114"/>
      <c r="BP354" s="114"/>
      <c r="BQ354" s="114"/>
      <c r="BR354" s="114"/>
      <c r="BS354" s="114"/>
      <c r="BT354" s="114"/>
      <c r="BU354" s="114"/>
      <c r="BV354" s="114"/>
      <c r="BW354" s="114"/>
      <c r="BX354" s="114"/>
      <c r="BY354" s="114" t="str">
        <f>" " &amp; TEXT(AF354,"#0.00%") &amp; " " &amp; "Packing" &amp; " " &amp; IF(Q354="","",TEXT(Q354,"M/D-")) &amp; IF(R354="","",TEXT(R354,"M/D")) &amp; " "</f>
        <v xml:space="preserve"> 0.00% Packing 12/4-12/19 </v>
      </c>
      <c r="BZ354" s="114"/>
      <c r="CA354" s="114"/>
      <c r="CB354" s="114"/>
      <c r="CC354" s="114"/>
      <c r="CD354" s="114"/>
      <c r="CE354" s="114"/>
      <c r="CF354" s="114"/>
      <c r="CG354" s="114"/>
      <c r="CH354" s="114"/>
      <c r="CI354" s="114"/>
      <c r="CJ354" s="114"/>
      <c r="CK354" s="114"/>
      <c r="CL354" s="114"/>
      <c r="CM354" s="114"/>
      <c r="CN354" s="114"/>
      <c r="CO354" s="114"/>
      <c r="CP354" s="114"/>
      <c r="CQ354" s="114"/>
      <c r="CR354" s="114"/>
      <c r="CS354" s="114"/>
      <c r="CT354" s="114"/>
      <c r="CU354" s="114"/>
      <c r="CV354" s="114"/>
      <c r="CW354" s="114"/>
      <c r="CX354" s="114"/>
      <c r="CY354" s="114"/>
      <c r="CZ354" s="114"/>
      <c r="DA354" s="114"/>
      <c r="DB354" s="114"/>
      <c r="DC354" s="114"/>
      <c r="DD354" s="114"/>
      <c r="DE354" s="114"/>
      <c r="DF354" s="114"/>
      <c r="DG354" s="114"/>
      <c r="DH354" s="114"/>
      <c r="DI354" s="114"/>
      <c r="DJ354" s="114"/>
      <c r="DK354" s="114"/>
      <c r="DL354" s="114"/>
      <c r="DM354" s="114"/>
      <c r="DN354" s="114"/>
      <c r="DO354" s="114"/>
      <c r="DP354" s="114"/>
      <c r="DQ354" s="114"/>
    </row>
    <row r="355" spans="1:121" ht="15" customHeight="1" outlineLevel="4" x14ac:dyDescent="0.25">
      <c r="A355" s="101"/>
      <c r="B355" s="101"/>
      <c r="C355" s="101">
        <v>5</v>
      </c>
      <c r="D355" s="102" t="s">
        <v>314</v>
      </c>
      <c r="E355" s="103"/>
      <c r="F355" s="103"/>
      <c r="G355" s="103"/>
      <c r="H355" s="103"/>
      <c r="I355" s="120" t="s">
        <v>287</v>
      </c>
      <c r="J355" s="120"/>
      <c r="K355" s="120"/>
      <c r="L355" s="120"/>
      <c r="M355" s="120"/>
      <c r="N355" s="120"/>
      <c r="O355" s="120" t="str">
        <f>O354</f>
        <v>2동 PPC (Deck&amp;Accessory)</v>
      </c>
      <c r="P355" s="184"/>
      <c r="Q355" s="105">
        <v>45280</v>
      </c>
      <c r="R355" s="105">
        <v>45280</v>
      </c>
      <c r="S355" s="106"/>
      <c r="T355" s="107">
        <v>1</v>
      </c>
      <c r="U355" s="107">
        <v>0</v>
      </c>
      <c r="V355" s="107">
        <v>1</v>
      </c>
      <c r="W355" s="107">
        <v>0</v>
      </c>
      <c r="X355" s="108"/>
      <c r="Y355" s="108"/>
      <c r="Z355" s="109"/>
      <c r="AA355" s="110">
        <v>0</v>
      </c>
      <c r="AB355" s="107">
        <v>1</v>
      </c>
      <c r="AC355" s="119"/>
      <c r="AD355" s="180"/>
      <c r="AE355" s="111">
        <v>0</v>
      </c>
      <c r="AF355" s="121">
        <v>0</v>
      </c>
      <c r="AG355" s="113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4"/>
      <c r="BR355" s="114"/>
      <c r="BS355" s="114"/>
      <c r="BT355" s="114"/>
      <c r="BU355" s="114"/>
      <c r="BV355" s="114"/>
      <c r="BW355" s="114"/>
      <c r="BX355" s="114"/>
      <c r="BY355" s="114"/>
      <c r="BZ355" s="114"/>
      <c r="CA355" s="114" t="str">
        <f>"   " &amp; TEXT(AF355,"#0.00%") &amp; " " &amp; "FOB" &amp; " " &amp; IF(Q355="","",TEXT(Q355,"M/D-")) &amp; IF(R355="","",TEXT(R355,"M/D")) &amp; " "</f>
        <v xml:space="preserve">   0.00% FOB 12/20-12/20 </v>
      </c>
      <c r="CB355" s="114"/>
      <c r="CC355" s="114"/>
      <c r="CD355" s="114"/>
      <c r="CE355" s="114"/>
      <c r="CF355" s="114"/>
      <c r="CG355" s="114"/>
      <c r="CH355" s="114"/>
      <c r="CI355" s="114"/>
      <c r="CJ355" s="114"/>
      <c r="CK355" s="114"/>
      <c r="CL355" s="114"/>
      <c r="CM355" s="114"/>
      <c r="CN355" s="114"/>
      <c r="CO355" s="114"/>
      <c r="CP355" s="114"/>
      <c r="CQ355" s="114"/>
      <c r="CR355" s="114"/>
      <c r="CS355" s="114"/>
      <c r="CT355" s="114"/>
      <c r="CU355" s="114"/>
      <c r="CV355" s="114"/>
      <c r="CW355" s="114"/>
      <c r="CX355" s="114"/>
      <c r="CY355" s="114"/>
      <c r="CZ355" s="114"/>
      <c r="DA355" s="114"/>
      <c r="DB355" s="114"/>
      <c r="DC355" s="114"/>
      <c r="DD355" s="114"/>
      <c r="DE355" s="114"/>
      <c r="DF355" s="114"/>
      <c r="DG355" s="114"/>
      <c r="DH355" s="114"/>
      <c r="DI355" s="114"/>
      <c r="DJ355" s="114"/>
      <c r="DK355" s="114"/>
      <c r="DL355" s="114"/>
      <c r="DM355" s="114"/>
      <c r="DN355" s="114"/>
      <c r="DO355" s="114"/>
      <c r="DP355" s="114"/>
      <c r="DQ355" s="114"/>
    </row>
    <row r="356" spans="1:121" ht="15" customHeight="1" outlineLevel="3" x14ac:dyDescent="0.25">
      <c r="A356" s="101"/>
      <c r="B356" s="101" t="s">
        <v>153</v>
      </c>
      <c r="C356" s="101">
        <v>4</v>
      </c>
      <c r="D356" s="102" t="s">
        <v>315</v>
      </c>
      <c r="E356" s="103"/>
      <c r="F356" s="103"/>
      <c r="G356" s="103"/>
      <c r="H356" s="103" t="s">
        <v>571</v>
      </c>
      <c r="I356" s="103"/>
      <c r="J356" s="103"/>
      <c r="K356" s="103"/>
      <c r="L356" s="103"/>
      <c r="M356" s="103"/>
      <c r="N356" s="103"/>
      <c r="O356" s="103" t="str">
        <f>H356</f>
        <v>2동 충방전 (Deck&amp;Accessory)</v>
      </c>
      <c r="P356" s="118"/>
      <c r="Q356" s="108">
        <v>45264</v>
      </c>
      <c r="R356" s="105">
        <v>45280</v>
      </c>
      <c r="S356" s="106"/>
      <c r="T356" s="107">
        <v>17</v>
      </c>
      <c r="U356" s="107">
        <v>0</v>
      </c>
      <c r="V356" s="107">
        <v>17</v>
      </c>
      <c r="W356" s="107">
        <v>0</v>
      </c>
      <c r="X356" s="108"/>
      <c r="Y356" s="108"/>
      <c r="Z356" s="109">
        <v>0</v>
      </c>
      <c r="AA356" s="110">
        <v>0</v>
      </c>
      <c r="AB356" s="107"/>
      <c r="AC356" s="119"/>
      <c r="AD356" s="180"/>
      <c r="AE356" s="111">
        <v>0</v>
      </c>
      <c r="AF356" s="122">
        <v>0</v>
      </c>
      <c r="AG356" s="113"/>
      <c r="AH356" s="114"/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  <c r="BI356" s="114"/>
      <c r="BJ356" s="114"/>
      <c r="BK356" s="114"/>
      <c r="BL356" s="114"/>
      <c r="BM356" s="114"/>
      <c r="BN356" s="114"/>
      <c r="BO356" s="114"/>
      <c r="BP356" s="114"/>
      <c r="BQ356" s="114"/>
      <c r="BR356" s="114"/>
      <c r="BS356" s="114"/>
      <c r="BT356" s="114"/>
      <c r="BU356" s="114"/>
      <c r="BV356" s="114"/>
      <c r="BW356" s="114"/>
      <c r="BX356" s="114"/>
      <c r="BY356" s="114" t="str">
        <f>" " &amp; TEXT(AF356,"#0.00%") &amp; " " &amp; "2동 충방전 (Deck&amp;Accessory)" &amp; " " &amp; IF(Q356="","",TEXT(Q356,"M/D-")) &amp; IF(R356="","",TEXT(R356,"M/D")) &amp; " "</f>
        <v xml:space="preserve"> 0.00% 2동 충방전 (Deck&amp;Accessory) 12/4-12/20 </v>
      </c>
      <c r="BZ356" s="114"/>
      <c r="CA356" s="114"/>
      <c r="CB356" s="114"/>
      <c r="CC356" s="114"/>
      <c r="CD356" s="114"/>
      <c r="CE356" s="114"/>
      <c r="CF356" s="114"/>
      <c r="CG356" s="114"/>
      <c r="CH356" s="114"/>
      <c r="CI356" s="114"/>
      <c r="CJ356" s="114"/>
      <c r="CK356" s="114"/>
      <c r="CL356" s="114"/>
      <c r="CM356" s="114"/>
      <c r="CN356" s="114"/>
      <c r="CO356" s="114"/>
      <c r="CP356" s="114"/>
      <c r="CQ356" s="114"/>
      <c r="CR356" s="114"/>
      <c r="CS356" s="114"/>
      <c r="CT356" s="114"/>
      <c r="CU356" s="114"/>
      <c r="CV356" s="114"/>
      <c r="CW356" s="114"/>
      <c r="CX356" s="114"/>
      <c r="CY356" s="114"/>
      <c r="CZ356" s="114"/>
      <c r="DA356" s="114"/>
      <c r="DB356" s="114"/>
      <c r="DC356" s="114"/>
      <c r="DD356" s="114"/>
      <c r="DE356" s="114"/>
      <c r="DF356" s="114"/>
      <c r="DG356" s="114"/>
      <c r="DH356" s="114"/>
      <c r="DI356" s="114"/>
      <c r="DJ356" s="114"/>
      <c r="DK356" s="114"/>
      <c r="DL356" s="114"/>
      <c r="DM356" s="114"/>
      <c r="DN356" s="114"/>
      <c r="DO356" s="114"/>
      <c r="DP356" s="114"/>
      <c r="DQ356" s="114"/>
    </row>
    <row r="357" spans="1:121" ht="15" customHeight="1" outlineLevel="4" x14ac:dyDescent="0.25">
      <c r="A357" s="101"/>
      <c r="B357" s="101"/>
      <c r="C357" s="101">
        <v>5</v>
      </c>
      <c r="D357" s="102" t="s">
        <v>316</v>
      </c>
      <c r="E357" s="103"/>
      <c r="F357" s="103"/>
      <c r="G357" s="103"/>
      <c r="H357" s="103"/>
      <c r="I357" s="120" t="s">
        <v>773</v>
      </c>
      <c r="J357" s="120"/>
      <c r="K357" s="120"/>
      <c r="L357" s="120"/>
      <c r="M357" s="120"/>
      <c r="N357" s="120"/>
      <c r="O357" s="120" t="str">
        <f>O356</f>
        <v>2동 충방전 (Deck&amp;Accessory)</v>
      </c>
      <c r="P357" s="184"/>
      <c r="Q357" s="105">
        <v>45264</v>
      </c>
      <c r="R357" s="105">
        <v>45279</v>
      </c>
      <c r="S357" s="106">
        <f>R357-Q357</f>
        <v>15</v>
      </c>
      <c r="T357" s="107">
        <v>16</v>
      </c>
      <c r="U357" s="107">
        <v>0</v>
      </c>
      <c r="V357" s="107">
        <v>16</v>
      </c>
      <c r="W357" s="107">
        <v>0</v>
      </c>
      <c r="X357" s="108"/>
      <c r="Y357" s="108"/>
      <c r="Z357" s="109"/>
      <c r="AA357" s="110">
        <v>0</v>
      </c>
      <c r="AB357" s="107">
        <v>1</v>
      </c>
      <c r="AC357" s="119"/>
      <c r="AD357" s="180"/>
      <c r="AE357" s="111">
        <v>0</v>
      </c>
      <c r="AF357" s="121">
        <v>0</v>
      </c>
      <c r="AG357" s="113"/>
      <c r="AH357" s="114"/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  <c r="BI357" s="114"/>
      <c r="BJ357" s="114"/>
      <c r="BK357" s="114"/>
      <c r="BL357" s="114"/>
      <c r="BM357" s="114"/>
      <c r="BN357" s="114"/>
      <c r="BO357" s="114"/>
      <c r="BP357" s="114"/>
      <c r="BQ357" s="114"/>
      <c r="BR357" s="114"/>
      <c r="BS357" s="114"/>
      <c r="BT357" s="114"/>
      <c r="BU357" s="114"/>
      <c r="BV357" s="114"/>
      <c r="BW357" s="114"/>
      <c r="BX357" s="114"/>
      <c r="BY357" s="114" t="str">
        <f>" " &amp; TEXT(AF357,"#0.00%") &amp; " " &amp; "Packing" &amp; " " &amp; IF(Q357="","",TEXT(Q357,"M/D-")) &amp; IF(R357="","",TEXT(R357,"M/D")) &amp; " "</f>
        <v xml:space="preserve"> 0.00% Packing 12/4-12/19 </v>
      </c>
      <c r="BZ357" s="114"/>
      <c r="CA357" s="114"/>
      <c r="CB357" s="114"/>
      <c r="CC357" s="114"/>
      <c r="CD357" s="114"/>
      <c r="CE357" s="114"/>
      <c r="CF357" s="114"/>
      <c r="CG357" s="114"/>
      <c r="CH357" s="114"/>
      <c r="CI357" s="114"/>
      <c r="CJ357" s="114"/>
      <c r="CK357" s="114"/>
      <c r="CL357" s="114"/>
      <c r="CM357" s="114"/>
      <c r="CN357" s="114"/>
      <c r="CO357" s="114"/>
      <c r="CP357" s="114"/>
      <c r="CQ357" s="114"/>
      <c r="CR357" s="114"/>
      <c r="CS357" s="114"/>
      <c r="CT357" s="114"/>
      <c r="CU357" s="114"/>
      <c r="CV357" s="114"/>
      <c r="CW357" s="114"/>
      <c r="CX357" s="114"/>
      <c r="CY357" s="114"/>
      <c r="CZ357" s="114"/>
      <c r="DA357" s="114"/>
      <c r="DB357" s="114"/>
      <c r="DC357" s="114"/>
      <c r="DD357" s="114"/>
      <c r="DE357" s="114"/>
      <c r="DF357" s="114"/>
      <c r="DG357" s="114"/>
      <c r="DH357" s="114"/>
      <c r="DI357" s="114"/>
      <c r="DJ357" s="114"/>
      <c r="DK357" s="114"/>
      <c r="DL357" s="114"/>
      <c r="DM357" s="114"/>
      <c r="DN357" s="114"/>
      <c r="DO357" s="114"/>
      <c r="DP357" s="114"/>
      <c r="DQ357" s="114"/>
    </row>
    <row r="358" spans="1:121" ht="15" customHeight="1" outlineLevel="4" x14ac:dyDescent="0.25">
      <c r="A358" s="101"/>
      <c r="B358" s="101"/>
      <c r="C358" s="101">
        <v>5</v>
      </c>
      <c r="D358" s="102" t="s">
        <v>317</v>
      </c>
      <c r="E358" s="103"/>
      <c r="F358" s="103"/>
      <c r="G358" s="103"/>
      <c r="H358" s="103"/>
      <c r="I358" s="120" t="s">
        <v>287</v>
      </c>
      <c r="J358" s="120"/>
      <c r="K358" s="120"/>
      <c r="L358" s="120"/>
      <c r="M358" s="120"/>
      <c r="N358" s="120"/>
      <c r="O358" s="120" t="str">
        <f>O357</f>
        <v>2동 충방전 (Deck&amp;Accessory)</v>
      </c>
      <c r="P358" s="184"/>
      <c r="Q358" s="105">
        <v>45280</v>
      </c>
      <c r="R358" s="105">
        <v>45280</v>
      </c>
      <c r="S358" s="106"/>
      <c r="T358" s="107">
        <v>1</v>
      </c>
      <c r="U358" s="107">
        <v>0</v>
      </c>
      <c r="V358" s="107">
        <v>1</v>
      </c>
      <c r="W358" s="107">
        <v>0</v>
      </c>
      <c r="X358" s="108"/>
      <c r="Y358" s="108"/>
      <c r="Z358" s="109"/>
      <c r="AA358" s="110">
        <v>0</v>
      </c>
      <c r="AB358" s="107">
        <v>1</v>
      </c>
      <c r="AC358" s="119"/>
      <c r="AD358" s="180"/>
      <c r="AE358" s="111">
        <v>0</v>
      </c>
      <c r="AF358" s="121">
        <v>0</v>
      </c>
      <c r="AG358" s="113"/>
      <c r="AH358" s="114"/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  <c r="BI358" s="114"/>
      <c r="BJ358" s="114"/>
      <c r="BK358" s="114"/>
      <c r="BL358" s="114"/>
      <c r="BM358" s="114"/>
      <c r="BN358" s="114"/>
      <c r="BO358" s="114"/>
      <c r="BP358" s="114"/>
      <c r="BQ358" s="114"/>
      <c r="BR358" s="114"/>
      <c r="BS358" s="114"/>
      <c r="BT358" s="114"/>
      <c r="BU358" s="114"/>
      <c r="BV358" s="114"/>
      <c r="BW358" s="114"/>
      <c r="BX358" s="114"/>
      <c r="BY358" s="114"/>
      <c r="BZ358" s="114"/>
      <c r="CA358" s="114" t="str">
        <f>"   " &amp; TEXT(AF358,"#0.00%") &amp; " " &amp; "FOB" &amp; " " &amp; IF(Q358="","",TEXT(Q358,"M/D-")) &amp; IF(R358="","",TEXT(R358,"M/D")) &amp; " "</f>
        <v xml:space="preserve">   0.00% FOB 12/20-12/20 </v>
      </c>
      <c r="CB358" s="114"/>
      <c r="CC358" s="114"/>
      <c r="CD358" s="114"/>
      <c r="CE358" s="114"/>
      <c r="CF358" s="114"/>
      <c r="CG358" s="114"/>
      <c r="CH358" s="114"/>
      <c r="CI358" s="114"/>
      <c r="CJ358" s="114"/>
      <c r="CK358" s="114"/>
      <c r="CL358" s="114"/>
      <c r="CM358" s="114"/>
      <c r="CN358" s="114"/>
      <c r="CO358" s="114"/>
      <c r="CP358" s="114"/>
      <c r="CQ358" s="114"/>
      <c r="CR358" s="114"/>
      <c r="CS358" s="114"/>
      <c r="CT358" s="114"/>
      <c r="CU358" s="114"/>
      <c r="CV358" s="114"/>
      <c r="CW358" s="114"/>
      <c r="CX358" s="114"/>
      <c r="CY358" s="114"/>
      <c r="CZ358" s="114"/>
      <c r="DA358" s="114"/>
      <c r="DB358" s="114"/>
      <c r="DC358" s="114"/>
      <c r="DD358" s="114"/>
      <c r="DE358" s="114"/>
      <c r="DF358" s="114"/>
      <c r="DG358" s="114"/>
      <c r="DH358" s="114"/>
      <c r="DI358" s="114"/>
      <c r="DJ358" s="114"/>
      <c r="DK358" s="114"/>
      <c r="DL358" s="114"/>
      <c r="DM358" s="114"/>
      <c r="DN358" s="114"/>
      <c r="DO358" s="114"/>
      <c r="DP358" s="114"/>
      <c r="DQ358" s="114"/>
    </row>
    <row r="359" spans="1:121" ht="15" customHeight="1" outlineLevel="3" x14ac:dyDescent="0.25">
      <c r="A359" s="101"/>
      <c r="B359" s="101" t="s">
        <v>153</v>
      </c>
      <c r="C359" s="101">
        <v>4</v>
      </c>
      <c r="D359" s="102" t="s">
        <v>318</v>
      </c>
      <c r="E359" s="103"/>
      <c r="F359" s="103"/>
      <c r="G359" s="103"/>
      <c r="H359" s="103" t="s">
        <v>572</v>
      </c>
      <c r="I359" s="103"/>
      <c r="J359" s="103"/>
      <c r="K359" s="103"/>
      <c r="L359" s="103"/>
      <c r="M359" s="103"/>
      <c r="N359" s="103"/>
      <c r="O359" s="103" t="str">
        <f>H359</f>
        <v>2동 고온#2 Aging (Deck&amp;Accessory)</v>
      </c>
      <c r="P359" s="118"/>
      <c r="Q359" s="108">
        <v>45280</v>
      </c>
      <c r="R359" s="105">
        <v>45320</v>
      </c>
      <c r="S359" s="106"/>
      <c r="T359" s="107">
        <v>41</v>
      </c>
      <c r="U359" s="107">
        <v>0</v>
      </c>
      <c r="V359" s="107">
        <v>41</v>
      </c>
      <c r="W359" s="107">
        <v>0</v>
      </c>
      <c r="X359" s="108"/>
      <c r="Y359" s="108"/>
      <c r="Z359" s="109">
        <v>0</v>
      </c>
      <c r="AA359" s="110">
        <v>0</v>
      </c>
      <c r="AB359" s="107"/>
      <c r="AC359" s="119"/>
      <c r="AD359" s="180"/>
      <c r="AE359" s="111">
        <v>0</v>
      </c>
      <c r="AF359" s="122">
        <v>0</v>
      </c>
      <c r="AG359" s="113"/>
      <c r="AH359" s="114"/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  <c r="BB359" s="114"/>
      <c r="BC359" s="114"/>
      <c r="BD359" s="114"/>
      <c r="BE359" s="114"/>
      <c r="BF359" s="114"/>
      <c r="BG359" s="114"/>
      <c r="BH359" s="114"/>
      <c r="BI359" s="114"/>
      <c r="BJ359" s="114"/>
      <c r="BK359" s="114"/>
      <c r="BL359" s="114"/>
      <c r="BM359" s="114"/>
      <c r="BN359" s="114"/>
      <c r="BO359" s="114"/>
      <c r="BP359" s="114"/>
      <c r="BQ359" s="114"/>
      <c r="BR359" s="114"/>
      <c r="BS359" s="114"/>
      <c r="BT359" s="114"/>
      <c r="BU359" s="114"/>
      <c r="BV359" s="114"/>
      <c r="BW359" s="114"/>
      <c r="BX359" s="114"/>
      <c r="BY359" s="114"/>
      <c r="BZ359" s="114"/>
      <c r="CA359" s="114" t="str">
        <f>"   " &amp; TEXT(AF359,"#0.00%") &amp; " "</f>
        <v xml:space="preserve">   0.00% </v>
      </c>
      <c r="CB359" s="114"/>
      <c r="CC359" s="114"/>
      <c r="CD359" s="114"/>
      <c r="CE359" s="114"/>
      <c r="CF359" s="114"/>
      <c r="CG359" s="114" t="str">
        <f>"  " &amp; "2동 고온#2 Aging (Deck&amp;Accessory)" &amp; " " &amp; IF(Q359="","",TEXT(Q359,"M/D-")) &amp; IF(R359="","",TEXT(R359,"M/D")) &amp; " "</f>
        <v xml:space="preserve">  2동 고온#2 Aging (Deck&amp;Accessory) 12/20-1/29 </v>
      </c>
      <c r="CH359" s="114"/>
      <c r="CI359" s="114"/>
      <c r="CJ359" s="114"/>
      <c r="CK359" s="114"/>
      <c r="CL359" s="114"/>
      <c r="CM359" s="114"/>
      <c r="CN359" s="114"/>
      <c r="CO359" s="114"/>
      <c r="CP359" s="114"/>
      <c r="CQ359" s="114"/>
      <c r="CR359" s="114"/>
      <c r="CS359" s="114"/>
      <c r="CT359" s="114"/>
      <c r="CU359" s="114"/>
      <c r="CV359" s="114"/>
      <c r="CW359" s="114"/>
      <c r="CX359" s="114"/>
      <c r="CY359" s="114"/>
      <c r="CZ359" s="114"/>
      <c r="DA359" s="114"/>
      <c r="DB359" s="114"/>
      <c r="DC359" s="114"/>
      <c r="DD359" s="114"/>
      <c r="DE359" s="114"/>
      <c r="DF359" s="114"/>
      <c r="DG359" s="114"/>
      <c r="DH359" s="114"/>
      <c r="DI359" s="114"/>
      <c r="DJ359" s="114"/>
      <c r="DK359" s="114"/>
      <c r="DL359" s="114"/>
      <c r="DM359" s="114"/>
      <c r="DN359" s="114"/>
      <c r="DO359" s="114"/>
      <c r="DP359" s="114"/>
      <c r="DQ359" s="114"/>
    </row>
    <row r="360" spans="1:121" ht="15" customHeight="1" outlineLevel="4" x14ac:dyDescent="0.25">
      <c r="A360" s="101"/>
      <c r="B360" s="101"/>
      <c r="C360" s="101">
        <v>5</v>
      </c>
      <c r="D360" s="102" t="s">
        <v>319</v>
      </c>
      <c r="E360" s="103"/>
      <c r="F360" s="103"/>
      <c r="G360" s="103"/>
      <c r="H360" s="103"/>
      <c r="I360" s="120" t="s">
        <v>773</v>
      </c>
      <c r="J360" s="120"/>
      <c r="K360" s="120"/>
      <c r="L360" s="120"/>
      <c r="M360" s="120"/>
      <c r="N360" s="120"/>
      <c r="O360" s="120" t="str">
        <f>O359</f>
        <v>2동 고온#2 Aging (Deck&amp;Accessory)</v>
      </c>
      <c r="P360" s="184"/>
      <c r="Q360" s="105">
        <v>45280</v>
      </c>
      <c r="R360" s="105">
        <v>45293</v>
      </c>
      <c r="S360" s="106">
        <f>R360-Q360</f>
        <v>13</v>
      </c>
      <c r="T360" s="107">
        <v>14</v>
      </c>
      <c r="U360" s="107">
        <v>0</v>
      </c>
      <c r="V360" s="107">
        <v>14</v>
      </c>
      <c r="W360" s="107">
        <v>0</v>
      </c>
      <c r="X360" s="108"/>
      <c r="Y360" s="108"/>
      <c r="Z360" s="109"/>
      <c r="AA360" s="110">
        <v>0</v>
      </c>
      <c r="AB360" s="107">
        <v>1</v>
      </c>
      <c r="AC360" s="119"/>
      <c r="AD360" s="180"/>
      <c r="AE360" s="111">
        <v>0</v>
      </c>
      <c r="AF360" s="121">
        <v>0</v>
      </c>
      <c r="AG360" s="113"/>
      <c r="AH360" s="114"/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  <c r="BI360" s="114"/>
      <c r="BJ360" s="114"/>
      <c r="BK360" s="114"/>
      <c r="BL360" s="114"/>
      <c r="BM360" s="114"/>
      <c r="BN360" s="114"/>
      <c r="BO360" s="114"/>
      <c r="BP360" s="114"/>
      <c r="BQ360" s="114"/>
      <c r="BR360" s="114"/>
      <c r="BS360" s="114"/>
      <c r="BT360" s="114"/>
      <c r="BU360" s="114"/>
      <c r="BV360" s="114"/>
      <c r="BW360" s="114"/>
      <c r="BX360" s="114"/>
      <c r="BY360" s="114"/>
      <c r="BZ360" s="114"/>
      <c r="CA360" s="114" t="str">
        <f>"   " &amp; TEXT(AF360,"#0.00%") &amp; " " &amp; "Packing" &amp; " " &amp; IF(Q360="","",TEXT(Q360,"M/D-")) &amp; IF(R360="","",TEXT(R360,"M/D")) &amp; " "</f>
        <v xml:space="preserve">   0.00% Packing 12/20-1/2 </v>
      </c>
      <c r="CB360" s="114"/>
      <c r="CC360" s="114"/>
      <c r="CD360" s="114"/>
      <c r="CE360" s="114"/>
      <c r="CF360" s="114"/>
      <c r="CG360" s="114"/>
      <c r="CH360" s="114"/>
      <c r="CI360" s="114"/>
      <c r="CJ360" s="114"/>
      <c r="CK360" s="114"/>
      <c r="CL360" s="114"/>
      <c r="CM360" s="114"/>
      <c r="CN360" s="114"/>
      <c r="CO360" s="114"/>
      <c r="CP360" s="114"/>
      <c r="CQ360" s="114"/>
      <c r="CR360" s="114"/>
      <c r="CS360" s="114"/>
      <c r="CT360" s="114"/>
      <c r="CU360" s="114"/>
      <c r="CV360" s="114"/>
      <c r="CW360" s="114"/>
      <c r="CX360" s="114"/>
      <c r="CY360" s="114"/>
      <c r="CZ360" s="114"/>
      <c r="DA360" s="114"/>
      <c r="DB360" s="114"/>
      <c r="DC360" s="114"/>
      <c r="DD360" s="114"/>
      <c r="DE360" s="114"/>
      <c r="DF360" s="114"/>
      <c r="DG360" s="114"/>
      <c r="DH360" s="114"/>
      <c r="DI360" s="114"/>
      <c r="DJ360" s="114"/>
      <c r="DK360" s="114"/>
      <c r="DL360" s="114"/>
      <c r="DM360" s="114"/>
      <c r="DN360" s="114"/>
      <c r="DO360" s="114"/>
      <c r="DP360" s="114"/>
      <c r="DQ360" s="114"/>
    </row>
    <row r="361" spans="1:121" ht="15" customHeight="1" outlineLevel="4" x14ac:dyDescent="0.25">
      <c r="A361" s="101"/>
      <c r="B361" s="101"/>
      <c r="C361" s="101">
        <v>5</v>
      </c>
      <c r="D361" s="102" t="s">
        <v>320</v>
      </c>
      <c r="E361" s="103"/>
      <c r="F361" s="103"/>
      <c r="G361" s="103"/>
      <c r="H361" s="103"/>
      <c r="I361" s="120" t="s">
        <v>287</v>
      </c>
      <c r="J361" s="120"/>
      <c r="K361" s="120"/>
      <c r="L361" s="120"/>
      <c r="M361" s="120"/>
      <c r="N361" s="120"/>
      <c r="O361" s="120" t="str">
        <f>O360</f>
        <v>2동 고온#2 Aging (Deck&amp;Accessory)</v>
      </c>
      <c r="P361" s="184"/>
      <c r="Q361" s="105">
        <v>45294</v>
      </c>
      <c r="R361" s="105">
        <v>45320</v>
      </c>
      <c r="S361" s="106"/>
      <c r="T361" s="107">
        <v>27</v>
      </c>
      <c r="U361" s="107">
        <v>0</v>
      </c>
      <c r="V361" s="107">
        <v>27</v>
      </c>
      <c r="W361" s="107">
        <v>0</v>
      </c>
      <c r="X361" s="108"/>
      <c r="Y361" s="108"/>
      <c r="Z361" s="109"/>
      <c r="AA361" s="110">
        <v>0</v>
      </c>
      <c r="AB361" s="107">
        <v>1</v>
      </c>
      <c r="AC361" s="119"/>
      <c r="AD361" s="180"/>
      <c r="AE361" s="111">
        <v>0</v>
      </c>
      <c r="AF361" s="121">
        <v>0</v>
      </c>
      <c r="AG361" s="113"/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  <c r="BI361" s="114"/>
      <c r="BJ361" s="114"/>
      <c r="BK361" s="114"/>
      <c r="BL361" s="114"/>
      <c r="BM361" s="114"/>
      <c r="BN361" s="114"/>
      <c r="BO361" s="114"/>
      <c r="BP361" s="114"/>
      <c r="BQ361" s="114"/>
      <c r="BR361" s="114"/>
      <c r="BS361" s="114"/>
      <c r="BT361" s="114"/>
      <c r="BU361" s="114"/>
      <c r="BV361" s="114"/>
      <c r="BW361" s="114"/>
      <c r="BX361" s="114"/>
      <c r="BY361" s="114"/>
      <c r="BZ361" s="114"/>
      <c r="CA361" s="114"/>
      <c r="CB361" s="114"/>
      <c r="CC361" s="114" t="str">
        <f>"   " &amp; TEXT(AF361,"#0.00%") &amp; " "</f>
        <v xml:space="preserve">   0.00% </v>
      </c>
      <c r="CD361" s="114"/>
      <c r="CE361" s="114"/>
      <c r="CF361" s="114"/>
      <c r="CG361" s="114" t="str">
        <f>"  " &amp; "FOB" &amp; " " &amp; IF(Q361="","",TEXT(Q361,"M/D-")) &amp; IF(R361="","",TEXT(R361,"M/D")) &amp; " "</f>
        <v xml:space="preserve">  FOB 1/3-1/29 </v>
      </c>
      <c r="CH361" s="114"/>
      <c r="CI361" s="114"/>
      <c r="CJ361" s="114"/>
      <c r="CK361" s="114"/>
      <c r="CL361" s="114"/>
      <c r="CM361" s="114"/>
      <c r="CN361" s="114"/>
      <c r="CO361" s="114"/>
      <c r="CP361" s="114"/>
      <c r="CQ361" s="114"/>
      <c r="CR361" s="114"/>
      <c r="CS361" s="114"/>
      <c r="CT361" s="114"/>
      <c r="CU361" s="114"/>
      <c r="CV361" s="114"/>
      <c r="CW361" s="114"/>
      <c r="CX361" s="114"/>
      <c r="CY361" s="114"/>
      <c r="CZ361" s="114"/>
      <c r="DA361" s="114"/>
      <c r="DB361" s="114"/>
      <c r="DC361" s="114"/>
      <c r="DD361" s="114"/>
      <c r="DE361" s="114"/>
      <c r="DF361" s="114"/>
      <c r="DG361" s="114"/>
      <c r="DH361" s="114"/>
      <c r="DI361" s="114"/>
      <c r="DJ361" s="114"/>
      <c r="DK361" s="114"/>
      <c r="DL361" s="114"/>
      <c r="DM361" s="114"/>
      <c r="DN361" s="114"/>
      <c r="DO361" s="114"/>
      <c r="DP361" s="114"/>
      <c r="DQ361" s="114"/>
    </row>
    <row r="362" spans="1:121" ht="15" customHeight="1" outlineLevel="3" x14ac:dyDescent="0.25">
      <c r="A362" s="101"/>
      <c r="B362" s="101" t="s">
        <v>153</v>
      </c>
      <c r="C362" s="101">
        <v>4</v>
      </c>
      <c r="D362" s="102" t="s">
        <v>321</v>
      </c>
      <c r="E362" s="103"/>
      <c r="F362" s="103"/>
      <c r="G362" s="103"/>
      <c r="H362" s="103" t="s">
        <v>573</v>
      </c>
      <c r="I362" s="103"/>
      <c r="J362" s="103"/>
      <c r="K362" s="103"/>
      <c r="L362" s="103"/>
      <c r="M362" s="103"/>
      <c r="N362" s="103"/>
      <c r="O362" s="103" t="str">
        <f>H362</f>
        <v>2동 상온#2,3 Aging (Deck&amp;Accessory)</v>
      </c>
      <c r="P362" s="118"/>
      <c r="Q362" s="108">
        <v>45304</v>
      </c>
      <c r="R362" s="105">
        <v>45320</v>
      </c>
      <c r="S362" s="106"/>
      <c r="T362" s="107">
        <v>17</v>
      </c>
      <c r="U362" s="107">
        <v>0</v>
      </c>
      <c r="V362" s="107">
        <v>17</v>
      </c>
      <c r="W362" s="107">
        <v>0</v>
      </c>
      <c r="X362" s="108"/>
      <c r="Y362" s="108"/>
      <c r="Z362" s="109">
        <v>0</v>
      </c>
      <c r="AA362" s="110">
        <v>0</v>
      </c>
      <c r="AB362" s="107"/>
      <c r="AC362" s="119"/>
      <c r="AD362" s="180"/>
      <c r="AE362" s="111">
        <v>0</v>
      </c>
      <c r="AF362" s="122">
        <v>0</v>
      </c>
      <c r="AG362" s="113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4"/>
      <c r="BP362" s="114"/>
      <c r="BQ362" s="114"/>
      <c r="BR362" s="114"/>
      <c r="BS362" s="114"/>
      <c r="BT362" s="114"/>
      <c r="BU362" s="114"/>
      <c r="BV362" s="114"/>
      <c r="BW362" s="114"/>
      <c r="BX362" s="114"/>
      <c r="BY362" s="114"/>
      <c r="BZ362" s="114"/>
      <c r="CA362" s="114"/>
      <c r="CB362" s="114"/>
      <c r="CC362" s="114"/>
      <c r="CD362" s="114" t="str">
        <f>"      " &amp; TEXT(AF362,"#0.00%") &amp; " " &amp; "2동 상온#2,3 Aging (Deck&amp;Accessory)" &amp; " " &amp; IF(Q362="","",TEXT(Q362,"M/D-")) &amp; IF(R362="","",TEXT(R362,"M/D")) &amp; " "</f>
        <v xml:space="preserve">      0.00% 2동 상온#2,3 Aging (Deck&amp;Accessory) 1/13-1/29 </v>
      </c>
      <c r="CE362" s="114"/>
      <c r="CF362" s="114"/>
      <c r="CG362" s="114"/>
      <c r="CH362" s="114"/>
      <c r="CI362" s="114"/>
      <c r="CJ362" s="114"/>
      <c r="CK362" s="114"/>
      <c r="CL362" s="114"/>
      <c r="CM362" s="114"/>
      <c r="CN362" s="114"/>
      <c r="CO362" s="114"/>
      <c r="CP362" s="114"/>
      <c r="CQ362" s="114"/>
      <c r="CR362" s="114"/>
      <c r="CS362" s="114"/>
      <c r="CT362" s="114"/>
      <c r="CU362" s="114"/>
      <c r="CV362" s="114"/>
      <c r="CW362" s="114"/>
      <c r="CX362" s="114"/>
      <c r="CY362" s="114"/>
      <c r="CZ362" s="114"/>
      <c r="DA362" s="114"/>
      <c r="DB362" s="114"/>
      <c r="DC362" s="114"/>
      <c r="DD362" s="114"/>
      <c r="DE362" s="114"/>
      <c r="DF362" s="114"/>
      <c r="DG362" s="114"/>
      <c r="DH362" s="114"/>
      <c r="DI362" s="114"/>
      <c r="DJ362" s="114"/>
      <c r="DK362" s="114"/>
      <c r="DL362" s="114"/>
      <c r="DM362" s="114"/>
      <c r="DN362" s="114"/>
      <c r="DO362" s="114"/>
      <c r="DP362" s="114"/>
      <c r="DQ362" s="114"/>
    </row>
    <row r="363" spans="1:121" ht="15" customHeight="1" outlineLevel="4" x14ac:dyDescent="0.25">
      <c r="A363" s="101"/>
      <c r="B363" s="101"/>
      <c r="C363" s="101">
        <v>5</v>
      </c>
      <c r="D363" s="102" t="s">
        <v>322</v>
      </c>
      <c r="E363" s="103"/>
      <c r="F363" s="103"/>
      <c r="G363" s="103"/>
      <c r="H363" s="103"/>
      <c r="I363" s="120" t="s">
        <v>773</v>
      </c>
      <c r="J363" s="120"/>
      <c r="K363" s="120"/>
      <c r="L363" s="120"/>
      <c r="M363" s="120"/>
      <c r="N363" s="120"/>
      <c r="O363" s="120" t="str">
        <f>O362</f>
        <v>2동 상온#2,3 Aging (Deck&amp;Accessory)</v>
      </c>
      <c r="P363" s="184"/>
      <c r="Q363" s="105">
        <v>45304</v>
      </c>
      <c r="R363" s="105">
        <v>45319</v>
      </c>
      <c r="S363" s="106">
        <f>R363-Q363</f>
        <v>15</v>
      </c>
      <c r="T363" s="107">
        <v>16</v>
      </c>
      <c r="U363" s="107">
        <v>0</v>
      </c>
      <c r="V363" s="107">
        <v>16</v>
      </c>
      <c r="W363" s="107">
        <v>0</v>
      </c>
      <c r="X363" s="108"/>
      <c r="Y363" s="108"/>
      <c r="Z363" s="109"/>
      <c r="AA363" s="110">
        <v>0</v>
      </c>
      <c r="AB363" s="107">
        <v>1</v>
      </c>
      <c r="AC363" s="119"/>
      <c r="AD363" s="180"/>
      <c r="AE363" s="111">
        <v>0</v>
      </c>
      <c r="AF363" s="121">
        <v>0</v>
      </c>
      <c r="AG363" s="113"/>
      <c r="AH363" s="114"/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  <c r="BI363" s="114"/>
      <c r="BJ363" s="114"/>
      <c r="BK363" s="114"/>
      <c r="BL363" s="114"/>
      <c r="BM363" s="114"/>
      <c r="BN363" s="114"/>
      <c r="BO363" s="114"/>
      <c r="BP363" s="114"/>
      <c r="BQ363" s="114"/>
      <c r="BR363" s="114"/>
      <c r="BS363" s="114"/>
      <c r="BT363" s="114"/>
      <c r="BU363" s="114"/>
      <c r="BV363" s="114"/>
      <c r="BW363" s="114"/>
      <c r="BX363" s="114"/>
      <c r="BY363" s="114"/>
      <c r="BZ363" s="114"/>
      <c r="CA363" s="114"/>
      <c r="CB363" s="114"/>
      <c r="CC363" s="114"/>
      <c r="CD363" s="114" t="str">
        <f>"      " &amp; TEXT(AF363,"#0.00%") &amp; " " &amp; "Packing" &amp; " " &amp; IF(Q363="","",TEXT(Q363,"M/D-")) &amp; IF(R363="","",TEXT(R363,"M/D")) &amp; " "</f>
        <v xml:space="preserve">      0.00% Packing 1/13-1/28 </v>
      </c>
      <c r="CE363" s="114"/>
      <c r="CF363" s="114"/>
      <c r="CG363" s="114"/>
      <c r="CH363" s="114"/>
      <c r="CI363" s="114"/>
      <c r="CJ363" s="114"/>
      <c r="CK363" s="114"/>
      <c r="CL363" s="114"/>
      <c r="CM363" s="114"/>
      <c r="CN363" s="114"/>
      <c r="CO363" s="114"/>
      <c r="CP363" s="114"/>
      <c r="CQ363" s="114"/>
      <c r="CR363" s="114"/>
      <c r="CS363" s="114"/>
      <c r="CT363" s="114"/>
      <c r="CU363" s="114"/>
      <c r="CV363" s="114"/>
      <c r="CW363" s="114"/>
      <c r="CX363" s="114"/>
      <c r="CY363" s="114"/>
      <c r="CZ363" s="114"/>
      <c r="DA363" s="114"/>
      <c r="DB363" s="114"/>
      <c r="DC363" s="114"/>
      <c r="DD363" s="114"/>
      <c r="DE363" s="114"/>
      <c r="DF363" s="114"/>
      <c r="DG363" s="114"/>
      <c r="DH363" s="114"/>
      <c r="DI363" s="114"/>
      <c r="DJ363" s="114"/>
      <c r="DK363" s="114"/>
      <c r="DL363" s="114"/>
      <c r="DM363" s="114"/>
      <c r="DN363" s="114"/>
      <c r="DO363" s="114"/>
      <c r="DP363" s="114"/>
      <c r="DQ363" s="114"/>
    </row>
    <row r="364" spans="1:121" ht="15" customHeight="1" outlineLevel="4" x14ac:dyDescent="0.25">
      <c r="A364" s="101"/>
      <c r="B364" s="101"/>
      <c r="C364" s="101">
        <v>5</v>
      </c>
      <c r="D364" s="102" t="s">
        <v>323</v>
      </c>
      <c r="E364" s="103"/>
      <c r="F364" s="103"/>
      <c r="G364" s="103"/>
      <c r="H364" s="103"/>
      <c r="I364" s="120" t="s">
        <v>287</v>
      </c>
      <c r="J364" s="120"/>
      <c r="K364" s="120"/>
      <c r="L364" s="120"/>
      <c r="M364" s="120"/>
      <c r="N364" s="120"/>
      <c r="O364" s="120" t="str">
        <f>O363</f>
        <v>2동 상온#2,3 Aging (Deck&amp;Accessory)</v>
      </c>
      <c r="P364" s="184"/>
      <c r="Q364" s="105">
        <v>45320</v>
      </c>
      <c r="R364" s="105">
        <v>45320</v>
      </c>
      <c r="S364" s="106"/>
      <c r="T364" s="107">
        <v>1</v>
      </c>
      <c r="U364" s="107">
        <v>0</v>
      </c>
      <c r="V364" s="107">
        <v>1</v>
      </c>
      <c r="W364" s="107">
        <v>0</v>
      </c>
      <c r="X364" s="108"/>
      <c r="Y364" s="108"/>
      <c r="Z364" s="109"/>
      <c r="AA364" s="110">
        <v>0</v>
      </c>
      <c r="AB364" s="107">
        <v>1</v>
      </c>
      <c r="AC364" s="119"/>
      <c r="AD364" s="180"/>
      <c r="AE364" s="111">
        <v>0</v>
      </c>
      <c r="AF364" s="121">
        <v>0</v>
      </c>
      <c r="AG364" s="113"/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  <c r="BI364" s="114"/>
      <c r="BJ364" s="114"/>
      <c r="BK364" s="114"/>
      <c r="BL364" s="114"/>
      <c r="BM364" s="114"/>
      <c r="BN364" s="114"/>
      <c r="BO364" s="114"/>
      <c r="BP364" s="114"/>
      <c r="BQ364" s="114"/>
      <c r="BR364" s="114"/>
      <c r="BS364" s="114"/>
      <c r="BT364" s="114"/>
      <c r="BU364" s="114"/>
      <c r="BV364" s="114"/>
      <c r="BW364" s="114"/>
      <c r="BX364" s="114"/>
      <c r="BY364" s="114"/>
      <c r="BZ364" s="114"/>
      <c r="CA364" s="114"/>
      <c r="CB364" s="114"/>
      <c r="CC364" s="114"/>
      <c r="CD364" s="114"/>
      <c r="CE364" s="114"/>
      <c r="CF364" s="114"/>
      <c r="CG364" s="114" t="str">
        <f>" " &amp; TEXT(AF364,"#0.00%") &amp; " " &amp; "FOB" &amp; " " &amp; IF(Q364="","",TEXT(Q364,"M/D-")) &amp; IF(R364="","",TEXT(R364,"M/D")) &amp; " "</f>
        <v xml:space="preserve"> 0.00% FOB 1/29-1/29 </v>
      </c>
      <c r="CH364" s="114"/>
      <c r="CI364" s="114"/>
      <c r="CJ364" s="114"/>
      <c r="CK364" s="114"/>
      <c r="CL364" s="114"/>
      <c r="CM364" s="114"/>
      <c r="CN364" s="114"/>
      <c r="CO364" s="114"/>
      <c r="CP364" s="114"/>
      <c r="CQ364" s="114"/>
      <c r="CR364" s="114"/>
      <c r="CS364" s="114"/>
      <c r="CT364" s="114"/>
      <c r="CU364" s="114"/>
      <c r="CV364" s="114"/>
      <c r="CW364" s="114"/>
      <c r="CX364" s="114"/>
      <c r="CY364" s="114"/>
      <c r="CZ364" s="114"/>
      <c r="DA364" s="114"/>
      <c r="DB364" s="114"/>
      <c r="DC364" s="114"/>
      <c r="DD364" s="114"/>
      <c r="DE364" s="114"/>
      <c r="DF364" s="114"/>
      <c r="DG364" s="114"/>
      <c r="DH364" s="114"/>
      <c r="DI364" s="114"/>
      <c r="DJ364" s="114"/>
      <c r="DK364" s="114"/>
      <c r="DL364" s="114"/>
      <c r="DM364" s="114"/>
      <c r="DN364" s="114"/>
      <c r="DO364" s="114"/>
      <c r="DP364" s="114"/>
      <c r="DQ364" s="114"/>
    </row>
    <row r="365" spans="1:121" ht="15" customHeight="1" outlineLevel="3" x14ac:dyDescent="0.25">
      <c r="A365" s="101"/>
      <c r="B365" s="101" t="s">
        <v>153</v>
      </c>
      <c r="C365" s="101">
        <v>4</v>
      </c>
      <c r="D365" s="102" t="s">
        <v>498</v>
      </c>
      <c r="E365" s="103"/>
      <c r="F365" s="103"/>
      <c r="G365" s="103"/>
      <c r="H365" s="103" t="s">
        <v>574</v>
      </c>
      <c r="I365" s="103"/>
      <c r="J365" s="103"/>
      <c r="K365" s="103"/>
      <c r="L365" s="103"/>
      <c r="M365" s="103"/>
      <c r="N365" s="103"/>
      <c r="O365" s="103" t="str">
        <f>H365</f>
        <v>2동 공 Tray Buffer</v>
      </c>
      <c r="P365" s="118"/>
      <c r="Q365" s="108">
        <v>45280</v>
      </c>
      <c r="R365" s="105">
        <v>45320</v>
      </c>
      <c r="S365" s="106"/>
      <c r="T365" s="107">
        <v>41</v>
      </c>
      <c r="U365" s="107">
        <v>0</v>
      </c>
      <c r="V365" s="107">
        <v>41</v>
      </c>
      <c r="W365" s="107">
        <v>0</v>
      </c>
      <c r="X365" s="108"/>
      <c r="Y365" s="108"/>
      <c r="Z365" s="109">
        <v>0</v>
      </c>
      <c r="AA365" s="110">
        <v>0</v>
      </c>
      <c r="AB365" s="107"/>
      <c r="AC365" s="119"/>
      <c r="AD365" s="180"/>
      <c r="AE365" s="111">
        <v>0</v>
      </c>
      <c r="AF365" s="122">
        <v>0</v>
      </c>
      <c r="AG365" s="113"/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  <c r="BI365" s="114"/>
      <c r="BJ365" s="114"/>
      <c r="BK365" s="114"/>
      <c r="BL365" s="114"/>
      <c r="BM365" s="114"/>
      <c r="BN365" s="114"/>
      <c r="BO365" s="114"/>
      <c r="BP365" s="114"/>
      <c r="BQ365" s="114"/>
      <c r="BR365" s="114"/>
      <c r="BS365" s="114"/>
      <c r="BT365" s="114"/>
      <c r="BU365" s="114"/>
      <c r="BV365" s="114"/>
      <c r="BW365" s="114"/>
      <c r="BX365" s="114"/>
      <c r="BY365" s="114"/>
      <c r="BZ365" s="114"/>
      <c r="CA365" s="114" t="str">
        <f>"   " &amp; TEXT(AF365,"#0.00%") &amp; " "</f>
        <v xml:space="preserve">   0.00% </v>
      </c>
      <c r="CB365" s="114"/>
      <c r="CC365" s="114"/>
      <c r="CD365" s="114"/>
      <c r="CE365" s="114"/>
      <c r="CF365" s="114"/>
      <c r="CG365" s="114" t="str">
        <f>"  " &amp; "2동 공 Tray Buffer" &amp; " " &amp; IF(Q365="","",TEXT(Q365,"M/D-")) &amp; IF(R365="","",TEXT(R365,"M/D")) &amp; " "</f>
        <v xml:space="preserve">  2동 공 Tray Buffer 12/20-1/29 </v>
      </c>
      <c r="CH365" s="114"/>
      <c r="CI365" s="114"/>
      <c r="CJ365" s="114"/>
      <c r="CK365" s="114"/>
      <c r="CL365" s="114"/>
      <c r="CM365" s="114"/>
      <c r="CN365" s="114"/>
      <c r="CO365" s="114"/>
      <c r="CP365" s="114"/>
      <c r="CQ365" s="114"/>
      <c r="CR365" s="114"/>
      <c r="CS365" s="114"/>
      <c r="CT365" s="114"/>
      <c r="CU365" s="114"/>
      <c r="CV365" s="114"/>
      <c r="CW365" s="114"/>
      <c r="CX365" s="114"/>
      <c r="CY365" s="114"/>
      <c r="CZ365" s="114"/>
      <c r="DA365" s="114"/>
      <c r="DB365" s="114"/>
      <c r="DC365" s="114"/>
      <c r="DD365" s="114"/>
      <c r="DE365" s="114"/>
      <c r="DF365" s="114"/>
      <c r="DG365" s="114"/>
      <c r="DH365" s="114"/>
      <c r="DI365" s="114"/>
      <c r="DJ365" s="114"/>
      <c r="DK365" s="114"/>
      <c r="DL365" s="114"/>
      <c r="DM365" s="114"/>
      <c r="DN365" s="114"/>
      <c r="DO365" s="114"/>
      <c r="DP365" s="114"/>
      <c r="DQ365" s="114"/>
    </row>
    <row r="366" spans="1:121" ht="15" customHeight="1" outlineLevel="4" x14ac:dyDescent="0.25">
      <c r="A366" s="101"/>
      <c r="B366" s="101"/>
      <c r="C366" s="101">
        <v>5</v>
      </c>
      <c r="D366" s="102" t="s">
        <v>499</v>
      </c>
      <c r="E366" s="103"/>
      <c r="F366" s="103"/>
      <c r="G366" s="103"/>
      <c r="H366" s="103"/>
      <c r="I366" s="120" t="s">
        <v>773</v>
      </c>
      <c r="J366" s="120"/>
      <c r="K366" s="120"/>
      <c r="L366" s="120"/>
      <c r="M366" s="120"/>
      <c r="N366" s="120"/>
      <c r="O366" s="120" t="str">
        <f>O365</f>
        <v>2동 공 Tray Buffer</v>
      </c>
      <c r="P366" s="184"/>
      <c r="Q366" s="105">
        <v>45280</v>
      </c>
      <c r="R366" s="105">
        <v>45293</v>
      </c>
      <c r="S366" s="106">
        <f>R366-Q366</f>
        <v>13</v>
      </c>
      <c r="T366" s="107">
        <v>14</v>
      </c>
      <c r="U366" s="107">
        <v>0</v>
      </c>
      <c r="V366" s="107">
        <v>14</v>
      </c>
      <c r="W366" s="107">
        <v>0</v>
      </c>
      <c r="X366" s="108"/>
      <c r="Y366" s="108"/>
      <c r="Z366" s="109"/>
      <c r="AA366" s="110">
        <v>0</v>
      </c>
      <c r="AB366" s="107">
        <v>1</v>
      </c>
      <c r="AC366" s="119"/>
      <c r="AD366" s="180"/>
      <c r="AE366" s="111">
        <v>0</v>
      </c>
      <c r="AF366" s="121">
        <v>0</v>
      </c>
      <c r="AG366" s="113"/>
      <c r="AH366" s="114"/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  <c r="BI366" s="114"/>
      <c r="BJ366" s="114"/>
      <c r="BK366" s="114"/>
      <c r="BL366" s="114"/>
      <c r="BM366" s="114"/>
      <c r="BN366" s="114"/>
      <c r="BO366" s="114"/>
      <c r="BP366" s="114"/>
      <c r="BQ366" s="114"/>
      <c r="BR366" s="114"/>
      <c r="BS366" s="114"/>
      <c r="BT366" s="114"/>
      <c r="BU366" s="114"/>
      <c r="BV366" s="114"/>
      <c r="BW366" s="114"/>
      <c r="BX366" s="114"/>
      <c r="BY366" s="114"/>
      <c r="BZ366" s="114"/>
      <c r="CA366" s="114" t="str">
        <f>"   " &amp; TEXT(AF366,"#0.00%") &amp; " " &amp; "Packing" &amp; " " &amp; IF(Q366="","",TEXT(Q366,"M/D-")) &amp; IF(R366="","",TEXT(R366,"M/D")) &amp; " "</f>
        <v xml:space="preserve">   0.00% Packing 12/20-1/2 </v>
      </c>
      <c r="CB366" s="114"/>
      <c r="CC366" s="114"/>
      <c r="CD366" s="114"/>
      <c r="CE366" s="114"/>
      <c r="CF366" s="114"/>
      <c r="CG366" s="114"/>
      <c r="CH366" s="114"/>
      <c r="CI366" s="114"/>
      <c r="CJ366" s="114"/>
      <c r="CK366" s="114"/>
      <c r="CL366" s="114"/>
      <c r="CM366" s="114"/>
      <c r="CN366" s="114"/>
      <c r="CO366" s="114"/>
      <c r="CP366" s="114"/>
      <c r="CQ366" s="114"/>
      <c r="CR366" s="114"/>
      <c r="CS366" s="114"/>
      <c r="CT366" s="114"/>
      <c r="CU366" s="114"/>
      <c r="CV366" s="114"/>
      <c r="CW366" s="114"/>
      <c r="CX366" s="114"/>
      <c r="CY366" s="114"/>
      <c r="CZ366" s="114"/>
      <c r="DA366" s="114"/>
      <c r="DB366" s="114"/>
      <c r="DC366" s="114"/>
      <c r="DD366" s="114"/>
      <c r="DE366" s="114"/>
      <c r="DF366" s="114"/>
      <c r="DG366" s="114"/>
      <c r="DH366" s="114"/>
      <c r="DI366" s="114"/>
      <c r="DJ366" s="114"/>
      <c r="DK366" s="114"/>
      <c r="DL366" s="114"/>
      <c r="DM366" s="114"/>
      <c r="DN366" s="114"/>
      <c r="DO366" s="114"/>
      <c r="DP366" s="114"/>
      <c r="DQ366" s="114"/>
    </row>
    <row r="367" spans="1:121" ht="15" customHeight="1" outlineLevel="4" x14ac:dyDescent="0.25">
      <c r="A367" s="101"/>
      <c r="B367" s="101"/>
      <c r="C367" s="101">
        <v>5</v>
      </c>
      <c r="D367" s="102" t="s">
        <v>500</v>
      </c>
      <c r="E367" s="103"/>
      <c r="F367" s="103"/>
      <c r="G367" s="103"/>
      <c r="H367" s="103"/>
      <c r="I367" s="120" t="s">
        <v>287</v>
      </c>
      <c r="J367" s="120"/>
      <c r="K367" s="120"/>
      <c r="L367" s="120"/>
      <c r="M367" s="120"/>
      <c r="N367" s="120"/>
      <c r="O367" s="120" t="str">
        <f>O366</f>
        <v>2동 공 Tray Buffer</v>
      </c>
      <c r="P367" s="184"/>
      <c r="Q367" s="105">
        <v>45294</v>
      </c>
      <c r="R367" s="105">
        <v>45320</v>
      </c>
      <c r="S367" s="106"/>
      <c r="T367" s="107">
        <v>27</v>
      </c>
      <c r="U367" s="107">
        <v>0</v>
      </c>
      <c r="V367" s="107">
        <v>27</v>
      </c>
      <c r="W367" s="107">
        <v>0</v>
      </c>
      <c r="X367" s="108"/>
      <c r="Y367" s="108"/>
      <c r="Z367" s="109"/>
      <c r="AA367" s="110">
        <v>0</v>
      </c>
      <c r="AB367" s="107">
        <v>1</v>
      </c>
      <c r="AC367" s="119"/>
      <c r="AD367" s="180"/>
      <c r="AE367" s="111">
        <v>0</v>
      </c>
      <c r="AF367" s="121">
        <v>0</v>
      </c>
      <c r="AG367" s="113"/>
      <c r="AH367" s="114"/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  <c r="BI367" s="114"/>
      <c r="BJ367" s="114"/>
      <c r="BK367" s="114"/>
      <c r="BL367" s="114"/>
      <c r="BM367" s="114"/>
      <c r="BN367" s="114"/>
      <c r="BO367" s="114"/>
      <c r="BP367" s="114"/>
      <c r="BQ367" s="114"/>
      <c r="BR367" s="114"/>
      <c r="BS367" s="114"/>
      <c r="BT367" s="114"/>
      <c r="BU367" s="114"/>
      <c r="BV367" s="114"/>
      <c r="BW367" s="114"/>
      <c r="BX367" s="114"/>
      <c r="BY367" s="114"/>
      <c r="BZ367" s="114"/>
      <c r="CA367" s="114"/>
      <c r="CB367" s="114"/>
      <c r="CC367" s="114" t="str">
        <f>"   " &amp; TEXT(AF367,"#0.00%") &amp; " "</f>
        <v xml:space="preserve">   0.00% </v>
      </c>
      <c r="CD367" s="114"/>
      <c r="CE367" s="114"/>
      <c r="CF367" s="114"/>
      <c r="CG367" s="114" t="str">
        <f>"  " &amp; "FOB" &amp; " " &amp; IF(Q367="","",TEXT(Q367,"M/D-")) &amp; IF(R367="","",TEXT(R367,"M/D")) &amp; " "</f>
        <v xml:space="preserve">  FOB 1/3-1/29 </v>
      </c>
      <c r="CH367" s="114"/>
      <c r="CI367" s="114"/>
      <c r="CJ367" s="114"/>
      <c r="CK367" s="114"/>
      <c r="CL367" s="114"/>
      <c r="CM367" s="114"/>
      <c r="CN367" s="114"/>
      <c r="CO367" s="114"/>
      <c r="CP367" s="114"/>
      <c r="CQ367" s="114"/>
      <c r="CR367" s="114"/>
      <c r="CS367" s="114"/>
      <c r="CT367" s="114"/>
      <c r="CU367" s="114"/>
      <c r="CV367" s="114"/>
      <c r="CW367" s="114"/>
      <c r="CX367" s="114"/>
      <c r="CY367" s="114"/>
      <c r="CZ367" s="114"/>
      <c r="DA367" s="114"/>
      <c r="DB367" s="114"/>
      <c r="DC367" s="114"/>
      <c r="DD367" s="114"/>
      <c r="DE367" s="114"/>
      <c r="DF367" s="114"/>
      <c r="DG367" s="114"/>
      <c r="DH367" s="114"/>
      <c r="DI367" s="114"/>
      <c r="DJ367" s="114"/>
      <c r="DK367" s="114"/>
      <c r="DL367" s="114"/>
      <c r="DM367" s="114"/>
      <c r="DN367" s="114"/>
      <c r="DO367" s="114"/>
      <c r="DP367" s="114"/>
      <c r="DQ367" s="114"/>
    </row>
    <row r="368" spans="1:121" ht="15" customHeight="1" outlineLevel="2" x14ac:dyDescent="0.25">
      <c r="A368" s="101"/>
      <c r="B368" s="101" t="s">
        <v>153</v>
      </c>
      <c r="C368" s="101">
        <v>3</v>
      </c>
      <c r="D368" s="102" t="s">
        <v>324</v>
      </c>
      <c r="E368" s="103"/>
      <c r="F368" s="103"/>
      <c r="G368" s="103" t="s">
        <v>575</v>
      </c>
      <c r="H368" s="103"/>
      <c r="I368" s="103"/>
      <c r="J368" s="103"/>
      <c r="K368" s="103"/>
      <c r="L368" s="103"/>
      <c r="M368" s="103"/>
      <c r="N368" s="103"/>
      <c r="O368" s="103" t="str">
        <f>G368</f>
        <v>1동 MSC Crane(FR)</v>
      </c>
      <c r="P368" s="118"/>
      <c r="Q368" s="108">
        <v>45214</v>
      </c>
      <c r="R368" s="105">
        <v>45270</v>
      </c>
      <c r="S368" s="106"/>
      <c r="T368" s="107">
        <v>115</v>
      </c>
      <c r="U368" s="107">
        <v>0</v>
      </c>
      <c r="V368" s="107">
        <v>57</v>
      </c>
      <c r="W368" s="107">
        <v>0</v>
      </c>
      <c r="X368" s="108"/>
      <c r="Y368" s="108"/>
      <c r="Z368" s="109">
        <v>0</v>
      </c>
      <c r="AA368" s="110">
        <v>0</v>
      </c>
      <c r="AB368" s="107"/>
      <c r="AC368" s="119"/>
      <c r="AD368" s="180"/>
      <c r="AE368" s="111">
        <v>0</v>
      </c>
      <c r="AF368" s="122">
        <v>0</v>
      </c>
      <c r="AG368" s="113"/>
      <c r="AH368" s="114"/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  <c r="BI368" s="114"/>
      <c r="BJ368" s="114"/>
      <c r="BK368" s="114"/>
      <c r="BL368" s="114"/>
      <c r="BM368" s="114"/>
      <c r="BN368" s="114"/>
      <c r="BO368" s="114"/>
      <c r="BP368" s="114"/>
      <c r="BQ368" s="114"/>
      <c r="BR368" s="114" t="str">
        <f>"" &amp; TEXT(AF368,"#0.00%") &amp; " "</f>
        <v xml:space="preserve">0.00% </v>
      </c>
      <c r="BS368" s="114"/>
      <c r="BT368" s="114"/>
      <c r="BU368" s="114"/>
      <c r="BV368" s="114"/>
      <c r="BW368" s="114"/>
      <c r="BX368" s="114"/>
      <c r="BY368" s="114"/>
      <c r="BZ368" s="114" t="str">
        <f>" " &amp; "1동 MSC Crane(FR)" &amp; " " &amp; IF(Q368="","",TEXT(Q368,"M/D-")) &amp; IF(R368="","",TEXT(R368,"M/D")) &amp; " "</f>
        <v xml:space="preserve"> 1동 MSC Crane(FR) 10/15-12/10 </v>
      </c>
      <c r="CA368" s="114"/>
      <c r="CB368" s="114"/>
      <c r="CC368" s="114"/>
      <c r="CD368" s="114"/>
      <c r="CE368" s="114"/>
      <c r="CF368" s="114"/>
      <c r="CG368" s="114"/>
      <c r="CH368" s="114"/>
      <c r="CI368" s="114"/>
      <c r="CJ368" s="114"/>
      <c r="CK368" s="114"/>
      <c r="CL368" s="114"/>
      <c r="CM368" s="114"/>
      <c r="CN368" s="114"/>
      <c r="CO368" s="114"/>
      <c r="CP368" s="114"/>
      <c r="CQ368" s="114"/>
      <c r="CR368" s="114"/>
      <c r="CS368" s="114"/>
      <c r="CT368" s="114"/>
      <c r="CU368" s="114"/>
      <c r="CV368" s="114"/>
      <c r="CW368" s="114"/>
      <c r="CX368" s="114"/>
      <c r="CY368" s="114"/>
      <c r="CZ368" s="114"/>
      <c r="DA368" s="114"/>
      <c r="DB368" s="114"/>
      <c r="DC368" s="114"/>
      <c r="DD368" s="114"/>
      <c r="DE368" s="114"/>
      <c r="DF368" s="114"/>
      <c r="DG368" s="114"/>
      <c r="DH368" s="114"/>
      <c r="DI368" s="114"/>
      <c r="DJ368" s="114"/>
      <c r="DK368" s="114"/>
      <c r="DL368" s="114"/>
      <c r="DM368" s="114"/>
      <c r="DN368" s="114"/>
      <c r="DO368" s="114"/>
      <c r="DP368" s="114"/>
      <c r="DQ368" s="114"/>
    </row>
    <row r="369" spans="1:121" ht="15" customHeight="1" outlineLevel="3" x14ac:dyDescent="0.25">
      <c r="A369" s="101"/>
      <c r="B369" s="101" t="s">
        <v>153</v>
      </c>
      <c r="C369" s="101">
        <v>4</v>
      </c>
      <c r="D369" s="102" t="s">
        <v>325</v>
      </c>
      <c r="E369" s="103"/>
      <c r="F369" s="103"/>
      <c r="G369" s="103"/>
      <c r="H369" s="103" t="s">
        <v>576</v>
      </c>
      <c r="I369" s="120"/>
      <c r="J369" s="120"/>
      <c r="K369" s="120"/>
      <c r="L369" s="120"/>
      <c r="M369" s="120"/>
      <c r="N369" s="120"/>
      <c r="O369" s="103" t="str">
        <f>H369</f>
        <v>1동 상온#1 Aging MSC</v>
      </c>
      <c r="P369" s="184"/>
      <c r="Q369" s="105">
        <v>45214</v>
      </c>
      <c r="R369" s="105">
        <v>45231</v>
      </c>
      <c r="S369" s="106"/>
      <c r="T369" s="107">
        <v>17</v>
      </c>
      <c r="U369" s="107">
        <v>0</v>
      </c>
      <c r="V369" s="107">
        <v>18</v>
      </c>
      <c r="W369" s="107">
        <v>0</v>
      </c>
      <c r="X369" s="108"/>
      <c r="Y369" s="108"/>
      <c r="Z369" s="109">
        <v>0</v>
      </c>
      <c r="AA369" s="110">
        <v>0</v>
      </c>
      <c r="AB369" s="107"/>
      <c r="AC369" s="119"/>
      <c r="AD369" s="180"/>
      <c r="AE369" s="111">
        <v>0</v>
      </c>
      <c r="AF369" s="122">
        <v>0</v>
      </c>
      <c r="AG369" s="113"/>
      <c r="AH369" s="114"/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  <c r="BI369" s="114"/>
      <c r="BJ369" s="114"/>
      <c r="BK369" s="114"/>
      <c r="BL369" s="114"/>
      <c r="BM369" s="114"/>
      <c r="BN369" s="114"/>
      <c r="BO369" s="114"/>
      <c r="BP369" s="114"/>
      <c r="BQ369" s="114"/>
      <c r="BR369" s="114" t="str">
        <f>"" &amp; TEXT(AF369,"#0.00%") &amp; " " &amp; "1동 상온#1 Aging MSC" &amp; " " &amp; IF(Q369="","",TEXT(Q369,"M/D-")) &amp; IF(R369="","",TEXT(R369,"M/D")) &amp; " "</f>
        <v xml:space="preserve">0.00% 1동 상온#1 Aging MSC 10/15-11/1 </v>
      </c>
      <c r="BS369" s="114"/>
      <c r="BT369" s="114"/>
      <c r="BU369" s="114"/>
      <c r="BV369" s="114"/>
      <c r="BW369" s="114"/>
      <c r="BX369" s="114"/>
      <c r="BY369" s="114"/>
      <c r="BZ369" s="114"/>
      <c r="CA369" s="114"/>
      <c r="CB369" s="114"/>
      <c r="CC369" s="114"/>
      <c r="CD369" s="114"/>
      <c r="CE369" s="114"/>
      <c r="CF369" s="114"/>
      <c r="CG369" s="114"/>
      <c r="CH369" s="114"/>
      <c r="CI369" s="114"/>
      <c r="CJ369" s="114"/>
      <c r="CK369" s="114"/>
      <c r="CL369" s="114"/>
      <c r="CM369" s="114"/>
      <c r="CN369" s="114"/>
      <c r="CO369" s="114"/>
      <c r="CP369" s="114"/>
      <c r="CQ369" s="114"/>
      <c r="CR369" s="114"/>
      <c r="CS369" s="114"/>
      <c r="CT369" s="114"/>
      <c r="CU369" s="114"/>
      <c r="CV369" s="114"/>
      <c r="CW369" s="114"/>
      <c r="CX369" s="114"/>
      <c r="CY369" s="114"/>
      <c r="CZ369" s="114"/>
      <c r="DA369" s="114"/>
      <c r="DB369" s="114"/>
      <c r="DC369" s="114"/>
      <c r="DD369" s="114"/>
      <c r="DE369" s="114"/>
      <c r="DF369" s="114"/>
      <c r="DG369" s="114"/>
      <c r="DH369" s="114"/>
      <c r="DI369" s="114"/>
      <c r="DJ369" s="114"/>
      <c r="DK369" s="114"/>
      <c r="DL369" s="114"/>
      <c r="DM369" s="114"/>
      <c r="DN369" s="114"/>
      <c r="DO369" s="114"/>
      <c r="DP369" s="114"/>
      <c r="DQ369" s="114"/>
    </row>
    <row r="370" spans="1:121" ht="15" customHeight="1" outlineLevel="4" x14ac:dyDescent="0.25">
      <c r="A370" s="101"/>
      <c r="B370" s="101"/>
      <c r="C370" s="101">
        <v>5</v>
      </c>
      <c r="D370" s="102" t="s">
        <v>326</v>
      </c>
      <c r="E370" s="103"/>
      <c r="F370" s="103"/>
      <c r="G370" s="103"/>
      <c r="H370" s="103"/>
      <c r="I370" s="120" t="s">
        <v>773</v>
      </c>
      <c r="J370" s="120"/>
      <c r="K370" s="120"/>
      <c r="L370" s="120"/>
      <c r="M370" s="120"/>
      <c r="N370" s="120"/>
      <c r="O370" s="120" t="str">
        <f>O369</f>
        <v>1동 상온#1 Aging MSC</v>
      </c>
      <c r="P370" s="184"/>
      <c r="Q370" s="105">
        <v>45214</v>
      </c>
      <c r="R370" s="105">
        <v>45229</v>
      </c>
      <c r="S370" s="106">
        <f>R370-Q370</f>
        <v>15</v>
      </c>
      <c r="T370" s="107">
        <v>16</v>
      </c>
      <c r="U370" s="107">
        <v>0</v>
      </c>
      <c r="V370" s="107">
        <v>16</v>
      </c>
      <c r="W370" s="107">
        <v>0</v>
      </c>
      <c r="X370" s="108"/>
      <c r="Y370" s="108"/>
      <c r="Z370" s="109"/>
      <c r="AA370" s="110">
        <v>0</v>
      </c>
      <c r="AB370" s="107">
        <v>1</v>
      </c>
      <c r="AC370" s="119"/>
      <c r="AD370" s="180"/>
      <c r="AE370" s="111">
        <v>0</v>
      </c>
      <c r="AF370" s="121">
        <v>0</v>
      </c>
      <c r="AG370" s="113"/>
      <c r="AH370" s="114"/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114"/>
      <c r="BC370" s="114"/>
      <c r="BD370" s="114"/>
      <c r="BE370" s="114"/>
      <c r="BF370" s="114"/>
      <c r="BG370" s="114"/>
      <c r="BH370" s="114"/>
      <c r="BI370" s="114"/>
      <c r="BJ370" s="114"/>
      <c r="BK370" s="114"/>
      <c r="BL370" s="114"/>
      <c r="BM370" s="114"/>
      <c r="BN370" s="114"/>
      <c r="BO370" s="114"/>
      <c r="BP370" s="114"/>
      <c r="BQ370" s="114"/>
      <c r="BR370" s="114" t="str">
        <f>"" &amp; TEXT(AF370,"#0.00%") &amp; " " &amp; "Packing" &amp; " " &amp; IF(Q370="","",TEXT(Q370,"M/D-")) &amp; IF(R370="","",TEXT(R370,"M/D")) &amp; " "</f>
        <v xml:space="preserve">0.00% Packing 10/15-10/30 </v>
      </c>
      <c r="BS370" s="114"/>
      <c r="BT370" s="114"/>
      <c r="BU370" s="114"/>
      <c r="BV370" s="114"/>
      <c r="BW370" s="114"/>
      <c r="BX370" s="114"/>
      <c r="BY370" s="114"/>
      <c r="BZ370" s="114"/>
      <c r="CA370" s="114"/>
      <c r="CB370" s="114"/>
      <c r="CC370" s="114"/>
      <c r="CD370" s="114"/>
      <c r="CE370" s="114"/>
      <c r="CF370" s="114"/>
      <c r="CG370" s="114"/>
      <c r="CH370" s="114"/>
      <c r="CI370" s="114"/>
      <c r="CJ370" s="114"/>
      <c r="CK370" s="114"/>
      <c r="CL370" s="114"/>
      <c r="CM370" s="114"/>
      <c r="CN370" s="114"/>
      <c r="CO370" s="114"/>
      <c r="CP370" s="114"/>
      <c r="CQ370" s="114"/>
      <c r="CR370" s="114"/>
      <c r="CS370" s="114"/>
      <c r="CT370" s="114"/>
      <c r="CU370" s="114"/>
      <c r="CV370" s="114"/>
      <c r="CW370" s="114"/>
      <c r="CX370" s="114"/>
      <c r="CY370" s="114"/>
      <c r="CZ370" s="114"/>
      <c r="DA370" s="114"/>
      <c r="DB370" s="114"/>
      <c r="DC370" s="114"/>
      <c r="DD370" s="114"/>
      <c r="DE370" s="114"/>
      <c r="DF370" s="114"/>
      <c r="DG370" s="114"/>
      <c r="DH370" s="114"/>
      <c r="DI370" s="114"/>
      <c r="DJ370" s="114"/>
      <c r="DK370" s="114"/>
      <c r="DL370" s="114"/>
      <c r="DM370" s="114"/>
      <c r="DN370" s="114"/>
      <c r="DO370" s="114"/>
      <c r="DP370" s="114"/>
      <c r="DQ370" s="114"/>
    </row>
    <row r="371" spans="1:121" ht="15" customHeight="1" outlineLevel="4" x14ac:dyDescent="0.25">
      <c r="A371" s="101"/>
      <c r="B371" s="101"/>
      <c r="C371" s="101">
        <v>5</v>
      </c>
      <c r="D371" s="102" t="s">
        <v>327</v>
      </c>
      <c r="E371" s="103"/>
      <c r="F371" s="103"/>
      <c r="G371" s="103"/>
      <c r="H371" s="103"/>
      <c r="I371" s="120" t="s">
        <v>287</v>
      </c>
      <c r="J371" s="120"/>
      <c r="K371" s="120"/>
      <c r="L371" s="120"/>
      <c r="M371" s="120"/>
      <c r="N371" s="120"/>
      <c r="O371" s="120" t="str">
        <f>O370</f>
        <v>1동 상온#1 Aging MSC</v>
      </c>
      <c r="P371" s="184"/>
      <c r="Q371" s="105">
        <v>45231</v>
      </c>
      <c r="R371" s="105">
        <v>45231</v>
      </c>
      <c r="S371" s="106">
        <f>R371-Q371</f>
        <v>0</v>
      </c>
      <c r="T371" s="107">
        <v>1</v>
      </c>
      <c r="U371" s="107">
        <v>0</v>
      </c>
      <c r="V371" s="107">
        <v>1</v>
      </c>
      <c r="W371" s="107">
        <v>0</v>
      </c>
      <c r="X371" s="108"/>
      <c r="Y371" s="108"/>
      <c r="Z371" s="109"/>
      <c r="AA371" s="110">
        <v>0</v>
      </c>
      <c r="AB371" s="107">
        <v>1</v>
      </c>
      <c r="AC371" s="119"/>
      <c r="AD371" s="180"/>
      <c r="AE371" s="111">
        <v>0</v>
      </c>
      <c r="AF371" s="121">
        <v>0</v>
      </c>
      <c r="AG371" s="113"/>
      <c r="AH371" s="114"/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/>
      <c r="BF371" s="114"/>
      <c r="BG371" s="114"/>
      <c r="BH371" s="114"/>
      <c r="BI371" s="114"/>
      <c r="BJ371" s="114"/>
      <c r="BK371" s="114"/>
      <c r="BL371" s="114"/>
      <c r="BM371" s="114"/>
      <c r="BN371" s="114"/>
      <c r="BO371" s="114"/>
      <c r="BP371" s="114"/>
      <c r="BQ371" s="114"/>
      <c r="BR371" s="114"/>
      <c r="BS371" s="114"/>
      <c r="BT371" s="114" t="str">
        <f>"   " &amp; TEXT(AF371,"#0.00%") &amp; " " &amp; "FOB" &amp; " " &amp; IF(Q371="","",TEXT(Q371,"M/D-")) &amp; IF(R371="","",TEXT(R371,"M/D")) &amp; " "</f>
        <v xml:space="preserve">   0.00% FOB 11/1-11/1 </v>
      </c>
      <c r="BU371" s="114"/>
      <c r="BV371" s="114"/>
      <c r="BW371" s="114"/>
      <c r="BX371" s="114"/>
      <c r="BY371" s="114"/>
      <c r="BZ371" s="114"/>
      <c r="CA371" s="114"/>
      <c r="CB371" s="114"/>
      <c r="CC371" s="114"/>
      <c r="CD371" s="114"/>
      <c r="CE371" s="114"/>
      <c r="CF371" s="114"/>
      <c r="CG371" s="114"/>
      <c r="CH371" s="114"/>
      <c r="CI371" s="114"/>
      <c r="CJ371" s="114"/>
      <c r="CK371" s="114"/>
      <c r="CL371" s="114"/>
      <c r="CM371" s="114"/>
      <c r="CN371" s="114"/>
      <c r="CO371" s="114"/>
      <c r="CP371" s="114"/>
      <c r="CQ371" s="114"/>
      <c r="CR371" s="114"/>
      <c r="CS371" s="114"/>
      <c r="CT371" s="114"/>
      <c r="CU371" s="114"/>
      <c r="CV371" s="114"/>
      <c r="CW371" s="114"/>
      <c r="CX371" s="114"/>
      <c r="CY371" s="114"/>
      <c r="CZ371" s="114"/>
      <c r="DA371" s="114"/>
      <c r="DB371" s="114"/>
      <c r="DC371" s="114"/>
      <c r="DD371" s="114"/>
      <c r="DE371" s="114"/>
      <c r="DF371" s="114"/>
      <c r="DG371" s="114"/>
      <c r="DH371" s="114"/>
      <c r="DI371" s="114"/>
      <c r="DJ371" s="114"/>
      <c r="DK371" s="114"/>
      <c r="DL371" s="114"/>
      <c r="DM371" s="114"/>
      <c r="DN371" s="114"/>
      <c r="DO371" s="114"/>
      <c r="DP371" s="114"/>
      <c r="DQ371" s="114"/>
    </row>
    <row r="372" spans="1:121" ht="15" customHeight="1" outlineLevel="3" x14ac:dyDescent="0.25">
      <c r="A372" s="101"/>
      <c r="B372" s="101" t="s">
        <v>153</v>
      </c>
      <c r="C372" s="101">
        <v>4</v>
      </c>
      <c r="D372" s="102" t="s">
        <v>501</v>
      </c>
      <c r="E372" s="103"/>
      <c r="F372" s="103"/>
      <c r="G372" s="103"/>
      <c r="H372" s="124" t="s">
        <v>577</v>
      </c>
      <c r="I372" s="120"/>
      <c r="J372" s="120"/>
      <c r="K372" s="120"/>
      <c r="L372" s="120"/>
      <c r="M372" s="120"/>
      <c r="N372" s="120"/>
      <c r="O372" s="103" t="str">
        <f>H372</f>
        <v>1동 고온#1 Aging MSC</v>
      </c>
      <c r="P372" s="184"/>
      <c r="Q372" s="105">
        <v>45245</v>
      </c>
      <c r="R372" s="105">
        <v>45257</v>
      </c>
      <c r="S372" s="106"/>
      <c r="T372" s="107">
        <v>13</v>
      </c>
      <c r="U372" s="107">
        <v>0</v>
      </c>
      <c r="V372" s="107">
        <v>13</v>
      </c>
      <c r="W372" s="107">
        <v>0</v>
      </c>
      <c r="X372" s="108"/>
      <c r="Y372" s="108"/>
      <c r="Z372" s="109">
        <v>0</v>
      </c>
      <c r="AA372" s="110">
        <v>0</v>
      </c>
      <c r="AB372" s="107"/>
      <c r="AC372" s="119"/>
      <c r="AD372" s="180"/>
      <c r="AE372" s="111">
        <v>0</v>
      </c>
      <c r="AF372" s="122">
        <v>0</v>
      </c>
      <c r="AG372" s="113"/>
      <c r="AH372" s="114"/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114"/>
      <c r="BC372" s="114"/>
      <c r="BD372" s="114"/>
      <c r="BE372" s="114"/>
      <c r="BF372" s="114"/>
      <c r="BG372" s="114"/>
      <c r="BH372" s="114"/>
      <c r="BI372" s="114"/>
      <c r="BJ372" s="114"/>
      <c r="BK372" s="114"/>
      <c r="BL372" s="114"/>
      <c r="BM372" s="114"/>
      <c r="BN372" s="114"/>
      <c r="BO372" s="114"/>
      <c r="BP372" s="114"/>
      <c r="BQ372" s="114"/>
      <c r="BR372" s="114"/>
      <c r="BS372" s="114"/>
      <c r="BT372" s="114"/>
      <c r="BU372" s="114"/>
      <c r="BV372" s="114" t="str">
        <f>"   " &amp; TEXT(AF372,"#0.00%") &amp; " " &amp; "1동 고온#1 Aging MSC" &amp; " " &amp; IF(Q372="","",TEXT(Q372,"M/D-")) &amp; IF(R372="","",TEXT(R372,"M/D")) &amp; " "</f>
        <v xml:space="preserve">   0.00% 1동 고온#1 Aging MSC 11/15-11/27 </v>
      </c>
      <c r="BW372" s="114"/>
      <c r="BX372" s="114"/>
      <c r="BY372" s="114"/>
      <c r="BZ372" s="114"/>
      <c r="CA372" s="114"/>
      <c r="CB372" s="114"/>
      <c r="CC372" s="114"/>
      <c r="CD372" s="114"/>
      <c r="CE372" s="114"/>
      <c r="CF372" s="114"/>
      <c r="CG372" s="114"/>
      <c r="CH372" s="114"/>
      <c r="CI372" s="114"/>
      <c r="CJ372" s="114"/>
      <c r="CK372" s="114"/>
      <c r="CL372" s="114"/>
      <c r="CM372" s="114"/>
      <c r="CN372" s="114"/>
      <c r="CO372" s="114"/>
      <c r="CP372" s="114"/>
      <c r="CQ372" s="114"/>
      <c r="CR372" s="114"/>
      <c r="CS372" s="114"/>
      <c r="CT372" s="114"/>
      <c r="CU372" s="114"/>
      <c r="CV372" s="114"/>
      <c r="CW372" s="114"/>
      <c r="CX372" s="114"/>
      <c r="CY372" s="114"/>
      <c r="CZ372" s="114"/>
      <c r="DA372" s="114"/>
      <c r="DB372" s="114"/>
      <c r="DC372" s="114"/>
      <c r="DD372" s="114"/>
      <c r="DE372" s="114"/>
      <c r="DF372" s="114"/>
      <c r="DG372" s="114"/>
      <c r="DH372" s="114"/>
      <c r="DI372" s="114"/>
      <c r="DJ372" s="114"/>
      <c r="DK372" s="114"/>
      <c r="DL372" s="114"/>
      <c r="DM372" s="114"/>
      <c r="DN372" s="114"/>
      <c r="DO372" s="114"/>
      <c r="DP372" s="114"/>
      <c r="DQ372" s="114"/>
    </row>
    <row r="373" spans="1:121" ht="15" customHeight="1" outlineLevel="4" x14ac:dyDescent="0.25">
      <c r="A373" s="101"/>
      <c r="B373" s="101"/>
      <c r="C373" s="101">
        <v>5</v>
      </c>
      <c r="D373" s="102" t="s">
        <v>502</v>
      </c>
      <c r="E373" s="103"/>
      <c r="F373" s="103"/>
      <c r="G373" s="103"/>
      <c r="H373" s="103"/>
      <c r="I373" s="120" t="s">
        <v>773</v>
      </c>
      <c r="J373" s="120"/>
      <c r="K373" s="120"/>
      <c r="L373" s="120"/>
      <c r="M373" s="120"/>
      <c r="N373" s="120"/>
      <c r="O373" s="120" t="str">
        <f>O372</f>
        <v>1동 고온#1 Aging MSC</v>
      </c>
      <c r="P373" s="184"/>
      <c r="Q373" s="105">
        <v>45245</v>
      </c>
      <c r="R373" s="105">
        <v>45256</v>
      </c>
      <c r="S373" s="106">
        <f>R373-Q373</f>
        <v>11</v>
      </c>
      <c r="T373" s="107">
        <v>12</v>
      </c>
      <c r="U373" s="107">
        <v>0</v>
      </c>
      <c r="V373" s="107">
        <v>12</v>
      </c>
      <c r="W373" s="107">
        <v>0</v>
      </c>
      <c r="X373" s="108"/>
      <c r="Y373" s="108"/>
      <c r="Z373" s="109"/>
      <c r="AA373" s="110">
        <v>0</v>
      </c>
      <c r="AB373" s="107">
        <v>1</v>
      </c>
      <c r="AC373" s="119"/>
      <c r="AD373" s="180"/>
      <c r="AE373" s="111">
        <v>0</v>
      </c>
      <c r="AF373" s="121">
        <v>0</v>
      </c>
      <c r="AG373" s="113"/>
      <c r="AH373" s="114"/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  <c r="BI373" s="114"/>
      <c r="BJ373" s="114"/>
      <c r="BK373" s="114"/>
      <c r="BL373" s="114"/>
      <c r="BM373" s="114"/>
      <c r="BN373" s="114"/>
      <c r="BO373" s="114"/>
      <c r="BP373" s="114"/>
      <c r="BQ373" s="114"/>
      <c r="BR373" s="114"/>
      <c r="BS373" s="114"/>
      <c r="BT373" s="114"/>
      <c r="BU373" s="114"/>
      <c r="BV373" s="114" t="str">
        <f>"   " &amp; TEXT(AF373,"#0.00%") &amp; " " &amp; "Packing" &amp; " " &amp; IF(Q373="","",TEXT(Q373,"M/D-")) &amp; IF(R373="","",TEXT(R373,"M/D")) &amp; " "</f>
        <v xml:space="preserve">   0.00% Packing 11/15-11/26 </v>
      </c>
      <c r="BW373" s="114"/>
      <c r="BX373" s="114"/>
      <c r="BY373" s="114"/>
      <c r="BZ373" s="114"/>
      <c r="CA373" s="114"/>
      <c r="CB373" s="114"/>
      <c r="CC373" s="114"/>
      <c r="CD373" s="114"/>
      <c r="CE373" s="114"/>
      <c r="CF373" s="114"/>
      <c r="CG373" s="114"/>
      <c r="CH373" s="114"/>
      <c r="CI373" s="114"/>
      <c r="CJ373" s="114"/>
      <c r="CK373" s="114"/>
      <c r="CL373" s="114"/>
      <c r="CM373" s="114"/>
      <c r="CN373" s="114"/>
      <c r="CO373" s="114"/>
      <c r="CP373" s="114"/>
      <c r="CQ373" s="114"/>
      <c r="CR373" s="114"/>
      <c r="CS373" s="114"/>
      <c r="CT373" s="114"/>
      <c r="CU373" s="114"/>
      <c r="CV373" s="114"/>
      <c r="CW373" s="114"/>
      <c r="CX373" s="114"/>
      <c r="CY373" s="114"/>
      <c r="CZ373" s="114"/>
      <c r="DA373" s="114"/>
      <c r="DB373" s="114"/>
      <c r="DC373" s="114"/>
      <c r="DD373" s="114"/>
      <c r="DE373" s="114"/>
      <c r="DF373" s="114"/>
      <c r="DG373" s="114"/>
      <c r="DH373" s="114"/>
      <c r="DI373" s="114"/>
      <c r="DJ373" s="114"/>
      <c r="DK373" s="114"/>
      <c r="DL373" s="114"/>
      <c r="DM373" s="114"/>
      <c r="DN373" s="114"/>
      <c r="DO373" s="114"/>
      <c r="DP373" s="114"/>
      <c r="DQ373" s="114"/>
    </row>
    <row r="374" spans="1:121" ht="15" customHeight="1" outlineLevel="4" x14ac:dyDescent="0.25">
      <c r="A374" s="101"/>
      <c r="B374" s="101"/>
      <c r="C374" s="101">
        <v>5</v>
      </c>
      <c r="D374" s="102" t="s">
        <v>503</v>
      </c>
      <c r="E374" s="103"/>
      <c r="F374" s="103"/>
      <c r="G374" s="103"/>
      <c r="H374" s="103"/>
      <c r="I374" s="120" t="s">
        <v>287</v>
      </c>
      <c r="J374" s="120"/>
      <c r="K374" s="120"/>
      <c r="L374" s="120"/>
      <c r="M374" s="120"/>
      <c r="N374" s="120"/>
      <c r="O374" s="120" t="str">
        <f>O373</f>
        <v>1동 고온#1 Aging MSC</v>
      </c>
      <c r="P374" s="184"/>
      <c r="Q374" s="105">
        <v>45257</v>
      </c>
      <c r="R374" s="105">
        <v>45257</v>
      </c>
      <c r="S374" s="106">
        <f>R374-Q374</f>
        <v>0</v>
      </c>
      <c r="T374" s="107">
        <v>1</v>
      </c>
      <c r="U374" s="107">
        <v>0</v>
      </c>
      <c r="V374" s="107">
        <v>1</v>
      </c>
      <c r="W374" s="107">
        <v>0</v>
      </c>
      <c r="X374" s="108"/>
      <c r="Y374" s="108"/>
      <c r="Z374" s="109"/>
      <c r="AA374" s="110">
        <v>0</v>
      </c>
      <c r="AB374" s="107">
        <v>1</v>
      </c>
      <c r="AC374" s="119"/>
      <c r="AD374" s="180"/>
      <c r="AE374" s="111">
        <v>0</v>
      </c>
      <c r="AF374" s="121">
        <v>0</v>
      </c>
      <c r="AG374" s="113"/>
      <c r="AH374" s="114"/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  <c r="BI374" s="114"/>
      <c r="BJ374" s="114"/>
      <c r="BK374" s="114"/>
      <c r="BL374" s="114"/>
      <c r="BM374" s="114"/>
      <c r="BN374" s="114"/>
      <c r="BO374" s="114"/>
      <c r="BP374" s="114"/>
      <c r="BQ374" s="114"/>
      <c r="BR374" s="114"/>
      <c r="BS374" s="114"/>
      <c r="BT374" s="114"/>
      <c r="BU374" s="114"/>
      <c r="BV374" s="114"/>
      <c r="BW374" s="114"/>
      <c r="BX374" s="114" t="str">
        <f>" " &amp; TEXT(AF374,"#0.00%") &amp; " " &amp; "FOB" &amp; " " &amp; IF(Q374="","",TEXT(Q374,"M/D-")) &amp; IF(R374="","",TEXT(R374,"M/D")) &amp; " "</f>
        <v xml:space="preserve"> 0.00% FOB 11/27-11/27 </v>
      </c>
      <c r="BY374" s="114"/>
      <c r="BZ374" s="114"/>
      <c r="CA374" s="114"/>
      <c r="CB374" s="114"/>
      <c r="CC374" s="114"/>
      <c r="CD374" s="114"/>
      <c r="CE374" s="114"/>
      <c r="CF374" s="114"/>
      <c r="CG374" s="114"/>
      <c r="CH374" s="114"/>
      <c r="CI374" s="114"/>
      <c r="CJ374" s="114"/>
      <c r="CK374" s="114"/>
      <c r="CL374" s="114"/>
      <c r="CM374" s="114"/>
      <c r="CN374" s="114"/>
      <c r="CO374" s="114"/>
      <c r="CP374" s="114"/>
      <c r="CQ374" s="114"/>
      <c r="CR374" s="114"/>
      <c r="CS374" s="114"/>
      <c r="CT374" s="114"/>
      <c r="CU374" s="114"/>
      <c r="CV374" s="114"/>
      <c r="CW374" s="114"/>
      <c r="CX374" s="114"/>
      <c r="CY374" s="114"/>
      <c r="CZ374" s="114"/>
      <c r="DA374" s="114"/>
      <c r="DB374" s="114"/>
      <c r="DC374" s="114"/>
      <c r="DD374" s="114"/>
      <c r="DE374" s="114"/>
      <c r="DF374" s="114"/>
      <c r="DG374" s="114"/>
      <c r="DH374" s="114"/>
      <c r="DI374" s="114"/>
      <c r="DJ374" s="114"/>
      <c r="DK374" s="114"/>
      <c r="DL374" s="114"/>
      <c r="DM374" s="114"/>
      <c r="DN374" s="114"/>
      <c r="DO374" s="114"/>
      <c r="DP374" s="114"/>
      <c r="DQ374" s="114"/>
    </row>
    <row r="375" spans="1:121" ht="15" customHeight="1" outlineLevel="3" x14ac:dyDescent="0.25">
      <c r="A375" s="101"/>
      <c r="B375" s="101" t="s">
        <v>153</v>
      </c>
      <c r="C375" s="101">
        <v>4</v>
      </c>
      <c r="D375" s="102" t="s">
        <v>504</v>
      </c>
      <c r="E375" s="103"/>
      <c r="F375" s="103"/>
      <c r="G375" s="103"/>
      <c r="H375" s="124" t="s">
        <v>578</v>
      </c>
      <c r="I375" s="120"/>
      <c r="J375" s="120"/>
      <c r="K375" s="120"/>
      <c r="L375" s="120"/>
      <c r="M375" s="120"/>
      <c r="N375" s="120"/>
      <c r="O375" s="103" t="str">
        <f>H375</f>
        <v>1동 PPC MSC</v>
      </c>
      <c r="P375" s="184"/>
      <c r="Q375" s="105">
        <v>45214</v>
      </c>
      <c r="R375" s="105">
        <v>45231</v>
      </c>
      <c r="S375" s="106"/>
      <c r="T375" s="107">
        <v>17</v>
      </c>
      <c r="U375" s="107">
        <v>0</v>
      </c>
      <c r="V375" s="107">
        <v>18</v>
      </c>
      <c r="W375" s="107">
        <v>0</v>
      </c>
      <c r="X375" s="108"/>
      <c r="Y375" s="108"/>
      <c r="Z375" s="109">
        <v>0</v>
      </c>
      <c r="AA375" s="110">
        <v>0</v>
      </c>
      <c r="AB375" s="107"/>
      <c r="AC375" s="119"/>
      <c r="AD375" s="180"/>
      <c r="AE375" s="111">
        <v>0</v>
      </c>
      <c r="AF375" s="122">
        <v>0</v>
      </c>
      <c r="AG375" s="113"/>
      <c r="AH375" s="114"/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  <c r="BI375" s="114"/>
      <c r="BJ375" s="114"/>
      <c r="BK375" s="114"/>
      <c r="BL375" s="114"/>
      <c r="BM375" s="114"/>
      <c r="BN375" s="114"/>
      <c r="BO375" s="114"/>
      <c r="BP375" s="114"/>
      <c r="BQ375" s="114"/>
      <c r="BR375" s="114" t="str">
        <f>"" &amp; TEXT(AF375,"#0.00%") &amp; " " &amp; "1동 PPC MSC" &amp; " " &amp; IF(Q375="","",TEXT(Q375,"M/D-")) &amp; IF(R375="","",TEXT(R375,"M/D")) &amp; " "</f>
        <v xml:space="preserve">0.00% 1동 PPC MSC 10/15-11/1 </v>
      </c>
      <c r="BS375" s="114"/>
      <c r="BT375" s="114"/>
      <c r="BU375" s="114"/>
      <c r="BV375" s="114"/>
      <c r="BW375" s="114"/>
      <c r="BX375" s="114"/>
      <c r="BY375" s="114"/>
      <c r="BZ375" s="114"/>
      <c r="CA375" s="114"/>
      <c r="CB375" s="114"/>
      <c r="CC375" s="114"/>
      <c r="CD375" s="114"/>
      <c r="CE375" s="114"/>
      <c r="CF375" s="114"/>
      <c r="CG375" s="114"/>
      <c r="CH375" s="114"/>
      <c r="CI375" s="114"/>
      <c r="CJ375" s="114"/>
      <c r="CK375" s="114"/>
      <c r="CL375" s="114"/>
      <c r="CM375" s="114"/>
      <c r="CN375" s="114"/>
      <c r="CO375" s="114"/>
      <c r="CP375" s="114"/>
      <c r="CQ375" s="114"/>
      <c r="CR375" s="114"/>
      <c r="CS375" s="114"/>
      <c r="CT375" s="114"/>
      <c r="CU375" s="114"/>
      <c r="CV375" s="114"/>
      <c r="CW375" s="114"/>
      <c r="CX375" s="114"/>
      <c r="CY375" s="114"/>
      <c r="CZ375" s="114"/>
      <c r="DA375" s="114"/>
      <c r="DB375" s="114"/>
      <c r="DC375" s="114"/>
      <c r="DD375" s="114"/>
      <c r="DE375" s="114"/>
      <c r="DF375" s="114"/>
      <c r="DG375" s="114"/>
      <c r="DH375" s="114"/>
      <c r="DI375" s="114"/>
      <c r="DJ375" s="114"/>
      <c r="DK375" s="114"/>
      <c r="DL375" s="114"/>
      <c r="DM375" s="114"/>
      <c r="DN375" s="114"/>
      <c r="DO375" s="114"/>
      <c r="DP375" s="114"/>
      <c r="DQ375" s="114"/>
    </row>
    <row r="376" spans="1:121" ht="15" customHeight="1" outlineLevel="4" x14ac:dyDescent="0.25">
      <c r="A376" s="101"/>
      <c r="B376" s="101"/>
      <c r="C376" s="101">
        <v>5</v>
      </c>
      <c r="D376" s="102" t="s">
        <v>505</v>
      </c>
      <c r="E376" s="103"/>
      <c r="F376" s="103"/>
      <c r="G376" s="103"/>
      <c r="H376" s="103"/>
      <c r="I376" s="120" t="s">
        <v>773</v>
      </c>
      <c r="J376" s="120"/>
      <c r="K376" s="120"/>
      <c r="L376" s="120"/>
      <c r="M376" s="120"/>
      <c r="N376" s="120"/>
      <c r="O376" s="120" t="str">
        <f>O375</f>
        <v>1동 PPC MSC</v>
      </c>
      <c r="P376" s="184"/>
      <c r="Q376" s="105">
        <v>45214</v>
      </c>
      <c r="R376" s="105">
        <v>45229</v>
      </c>
      <c r="S376" s="106">
        <f>R376-Q376</f>
        <v>15</v>
      </c>
      <c r="T376" s="107">
        <v>16</v>
      </c>
      <c r="U376" s="107">
        <v>0</v>
      </c>
      <c r="V376" s="107">
        <v>16</v>
      </c>
      <c r="W376" s="107">
        <v>0</v>
      </c>
      <c r="X376" s="108"/>
      <c r="Y376" s="108"/>
      <c r="Z376" s="109"/>
      <c r="AA376" s="110">
        <v>0</v>
      </c>
      <c r="AB376" s="107">
        <v>1</v>
      </c>
      <c r="AC376" s="119"/>
      <c r="AD376" s="180"/>
      <c r="AE376" s="111">
        <v>0</v>
      </c>
      <c r="AF376" s="121">
        <v>0</v>
      </c>
      <c r="AG376" s="113"/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  <c r="BI376" s="114"/>
      <c r="BJ376" s="114"/>
      <c r="BK376" s="114"/>
      <c r="BL376" s="114"/>
      <c r="BM376" s="114"/>
      <c r="BN376" s="114"/>
      <c r="BO376" s="114"/>
      <c r="BP376" s="114"/>
      <c r="BQ376" s="114"/>
      <c r="BR376" s="114" t="str">
        <f>"" &amp; TEXT(AF376,"#0.00%") &amp; " " &amp; "Packing" &amp; " " &amp; IF(Q376="","",TEXT(Q376,"M/D-")) &amp; IF(R376="","",TEXT(R376,"M/D")) &amp; " "</f>
        <v xml:space="preserve">0.00% Packing 10/15-10/30 </v>
      </c>
      <c r="BS376" s="114"/>
      <c r="BT376" s="114"/>
      <c r="BU376" s="114"/>
      <c r="BV376" s="114"/>
      <c r="BW376" s="114"/>
      <c r="BX376" s="114"/>
      <c r="BY376" s="114"/>
      <c r="BZ376" s="114"/>
      <c r="CA376" s="114"/>
      <c r="CB376" s="114"/>
      <c r="CC376" s="114"/>
      <c r="CD376" s="114"/>
      <c r="CE376" s="114"/>
      <c r="CF376" s="114"/>
      <c r="CG376" s="114"/>
      <c r="CH376" s="114"/>
      <c r="CI376" s="114"/>
      <c r="CJ376" s="114"/>
      <c r="CK376" s="114"/>
      <c r="CL376" s="114"/>
      <c r="CM376" s="114"/>
      <c r="CN376" s="114"/>
      <c r="CO376" s="114"/>
      <c r="CP376" s="114"/>
      <c r="CQ376" s="114"/>
      <c r="CR376" s="114"/>
      <c r="CS376" s="114"/>
      <c r="CT376" s="114"/>
      <c r="CU376" s="114"/>
      <c r="CV376" s="114"/>
      <c r="CW376" s="114"/>
      <c r="CX376" s="114"/>
      <c r="CY376" s="114"/>
      <c r="CZ376" s="114"/>
      <c r="DA376" s="114"/>
      <c r="DB376" s="114"/>
      <c r="DC376" s="114"/>
      <c r="DD376" s="114"/>
      <c r="DE376" s="114"/>
      <c r="DF376" s="114"/>
      <c r="DG376" s="114"/>
      <c r="DH376" s="114"/>
      <c r="DI376" s="114"/>
      <c r="DJ376" s="114"/>
      <c r="DK376" s="114"/>
      <c r="DL376" s="114"/>
      <c r="DM376" s="114"/>
      <c r="DN376" s="114"/>
      <c r="DO376" s="114"/>
      <c r="DP376" s="114"/>
      <c r="DQ376" s="114"/>
    </row>
    <row r="377" spans="1:121" ht="15" customHeight="1" outlineLevel="4" x14ac:dyDescent="0.25">
      <c r="A377" s="101"/>
      <c r="B377" s="101"/>
      <c r="C377" s="101">
        <v>5</v>
      </c>
      <c r="D377" s="102" t="s">
        <v>506</v>
      </c>
      <c r="E377" s="103"/>
      <c r="F377" s="103"/>
      <c r="G377" s="103"/>
      <c r="H377" s="103"/>
      <c r="I377" s="120" t="s">
        <v>287</v>
      </c>
      <c r="J377" s="120"/>
      <c r="K377" s="120"/>
      <c r="L377" s="120"/>
      <c r="M377" s="120"/>
      <c r="N377" s="120"/>
      <c r="O377" s="120" t="str">
        <f>O376</f>
        <v>1동 PPC MSC</v>
      </c>
      <c r="P377" s="184"/>
      <c r="Q377" s="105">
        <v>45231</v>
      </c>
      <c r="R377" s="105">
        <v>45231</v>
      </c>
      <c r="S377" s="106">
        <f>R377-Q377</f>
        <v>0</v>
      </c>
      <c r="T377" s="107">
        <v>1</v>
      </c>
      <c r="U377" s="107">
        <v>0</v>
      </c>
      <c r="V377" s="107">
        <v>1</v>
      </c>
      <c r="W377" s="107">
        <v>0</v>
      </c>
      <c r="X377" s="108"/>
      <c r="Y377" s="108"/>
      <c r="Z377" s="109"/>
      <c r="AA377" s="110">
        <v>0</v>
      </c>
      <c r="AB377" s="107">
        <v>1</v>
      </c>
      <c r="AC377" s="119"/>
      <c r="AD377" s="180"/>
      <c r="AE377" s="111">
        <v>0</v>
      </c>
      <c r="AF377" s="121">
        <v>0</v>
      </c>
      <c r="AG377" s="113"/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/>
      <c r="BE377" s="114"/>
      <c r="BF377" s="114"/>
      <c r="BG377" s="114"/>
      <c r="BH377" s="114"/>
      <c r="BI377" s="114"/>
      <c r="BJ377" s="114"/>
      <c r="BK377" s="114"/>
      <c r="BL377" s="114"/>
      <c r="BM377" s="114"/>
      <c r="BN377" s="114"/>
      <c r="BO377" s="114"/>
      <c r="BP377" s="114"/>
      <c r="BQ377" s="114"/>
      <c r="BR377" s="114"/>
      <c r="BS377" s="114"/>
      <c r="BT377" s="114" t="str">
        <f>"   " &amp; TEXT(AF377,"#0.00%") &amp; " " &amp; "FOB" &amp; " " &amp; IF(Q377="","",TEXT(Q377,"M/D-")) &amp; IF(R377="","",TEXT(R377,"M/D")) &amp; " "</f>
        <v xml:space="preserve">   0.00% FOB 11/1-11/1 </v>
      </c>
      <c r="BU377" s="114"/>
      <c r="BV377" s="114"/>
      <c r="BW377" s="114"/>
      <c r="BX377" s="114"/>
      <c r="BY377" s="114"/>
      <c r="BZ377" s="114"/>
      <c r="CA377" s="114"/>
      <c r="CB377" s="114"/>
      <c r="CC377" s="114"/>
      <c r="CD377" s="114"/>
      <c r="CE377" s="114"/>
      <c r="CF377" s="114"/>
      <c r="CG377" s="114"/>
      <c r="CH377" s="114"/>
      <c r="CI377" s="114"/>
      <c r="CJ377" s="114"/>
      <c r="CK377" s="114"/>
      <c r="CL377" s="114"/>
      <c r="CM377" s="114"/>
      <c r="CN377" s="114"/>
      <c r="CO377" s="114"/>
      <c r="CP377" s="114"/>
      <c r="CQ377" s="114"/>
      <c r="CR377" s="114"/>
      <c r="CS377" s="114"/>
      <c r="CT377" s="114"/>
      <c r="CU377" s="114"/>
      <c r="CV377" s="114"/>
      <c r="CW377" s="114"/>
      <c r="CX377" s="114"/>
      <c r="CY377" s="114"/>
      <c r="CZ377" s="114"/>
      <c r="DA377" s="114"/>
      <c r="DB377" s="114"/>
      <c r="DC377" s="114"/>
      <c r="DD377" s="114"/>
      <c r="DE377" s="114"/>
      <c r="DF377" s="114"/>
      <c r="DG377" s="114"/>
      <c r="DH377" s="114"/>
      <c r="DI377" s="114"/>
      <c r="DJ377" s="114"/>
      <c r="DK377" s="114"/>
      <c r="DL377" s="114"/>
      <c r="DM377" s="114"/>
      <c r="DN377" s="114"/>
      <c r="DO377" s="114"/>
      <c r="DP377" s="114"/>
      <c r="DQ377" s="114"/>
    </row>
    <row r="378" spans="1:121" ht="15" customHeight="1" outlineLevel="3" x14ac:dyDescent="0.25">
      <c r="A378" s="101"/>
      <c r="B378" s="101" t="s">
        <v>153</v>
      </c>
      <c r="C378" s="101">
        <v>4</v>
      </c>
      <c r="D378" s="102" t="s">
        <v>507</v>
      </c>
      <c r="E378" s="103"/>
      <c r="F378" s="103"/>
      <c r="G378" s="103"/>
      <c r="H378" s="103" t="s">
        <v>579</v>
      </c>
      <c r="I378" s="120"/>
      <c r="J378" s="120"/>
      <c r="K378" s="120"/>
      <c r="L378" s="120"/>
      <c r="M378" s="120"/>
      <c r="N378" s="120"/>
      <c r="O378" s="103" t="str">
        <f>H378</f>
        <v>1동 충방전 MSC</v>
      </c>
      <c r="P378" s="184"/>
      <c r="Q378" s="105">
        <v>45214</v>
      </c>
      <c r="R378" s="105">
        <v>45231</v>
      </c>
      <c r="S378" s="106"/>
      <c r="T378" s="107">
        <v>17</v>
      </c>
      <c r="U378" s="107">
        <v>0</v>
      </c>
      <c r="V378" s="107">
        <v>18</v>
      </c>
      <c r="W378" s="107">
        <v>0</v>
      </c>
      <c r="X378" s="108"/>
      <c r="Y378" s="108"/>
      <c r="Z378" s="109">
        <v>0</v>
      </c>
      <c r="AA378" s="110">
        <v>0</v>
      </c>
      <c r="AB378" s="107"/>
      <c r="AC378" s="119"/>
      <c r="AD378" s="180"/>
      <c r="AE378" s="111">
        <v>0</v>
      </c>
      <c r="AF378" s="122">
        <v>0</v>
      </c>
      <c r="AG378" s="113"/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4"/>
      <c r="BG378" s="114"/>
      <c r="BH378" s="114"/>
      <c r="BI378" s="114"/>
      <c r="BJ378" s="114"/>
      <c r="BK378" s="114"/>
      <c r="BL378" s="114"/>
      <c r="BM378" s="114"/>
      <c r="BN378" s="114"/>
      <c r="BO378" s="114"/>
      <c r="BP378" s="114"/>
      <c r="BQ378" s="114"/>
      <c r="BR378" s="114" t="str">
        <f>"" &amp; TEXT(AF378,"#0.00%") &amp; " " &amp; "1동 충방전 MSC" &amp; " " &amp; IF(Q378="","",TEXT(Q378,"M/D-")) &amp; IF(R378="","",TEXT(R378,"M/D")) &amp; " "</f>
        <v xml:space="preserve">0.00% 1동 충방전 MSC 10/15-11/1 </v>
      </c>
      <c r="BS378" s="114"/>
      <c r="BT378" s="114"/>
      <c r="BU378" s="114"/>
      <c r="BV378" s="114"/>
      <c r="BW378" s="114"/>
      <c r="BX378" s="114"/>
      <c r="BY378" s="114"/>
      <c r="BZ378" s="114"/>
      <c r="CA378" s="114"/>
      <c r="CB378" s="114"/>
      <c r="CC378" s="114"/>
      <c r="CD378" s="114"/>
      <c r="CE378" s="114"/>
      <c r="CF378" s="114"/>
      <c r="CG378" s="114"/>
      <c r="CH378" s="114"/>
      <c r="CI378" s="114"/>
      <c r="CJ378" s="114"/>
      <c r="CK378" s="114"/>
      <c r="CL378" s="114"/>
      <c r="CM378" s="114"/>
      <c r="CN378" s="114"/>
      <c r="CO378" s="114"/>
      <c r="CP378" s="114"/>
      <c r="CQ378" s="114"/>
      <c r="CR378" s="114"/>
      <c r="CS378" s="114"/>
      <c r="CT378" s="114"/>
      <c r="CU378" s="114"/>
      <c r="CV378" s="114"/>
      <c r="CW378" s="114"/>
      <c r="CX378" s="114"/>
      <c r="CY378" s="114"/>
      <c r="CZ378" s="114"/>
      <c r="DA378" s="114"/>
      <c r="DB378" s="114"/>
      <c r="DC378" s="114"/>
      <c r="DD378" s="114"/>
      <c r="DE378" s="114"/>
      <c r="DF378" s="114"/>
      <c r="DG378" s="114"/>
      <c r="DH378" s="114"/>
      <c r="DI378" s="114"/>
      <c r="DJ378" s="114"/>
      <c r="DK378" s="114"/>
      <c r="DL378" s="114"/>
      <c r="DM378" s="114"/>
      <c r="DN378" s="114"/>
      <c r="DO378" s="114"/>
      <c r="DP378" s="114"/>
      <c r="DQ378" s="114"/>
    </row>
    <row r="379" spans="1:121" ht="15" customHeight="1" outlineLevel="4" x14ac:dyDescent="0.25">
      <c r="A379" s="101"/>
      <c r="B379" s="101"/>
      <c r="C379" s="101">
        <v>5</v>
      </c>
      <c r="D379" s="102" t="s">
        <v>508</v>
      </c>
      <c r="E379" s="103"/>
      <c r="F379" s="103"/>
      <c r="G379" s="103"/>
      <c r="H379" s="103"/>
      <c r="I379" s="120" t="s">
        <v>773</v>
      </c>
      <c r="J379" s="120"/>
      <c r="K379" s="120"/>
      <c r="L379" s="120"/>
      <c r="M379" s="120"/>
      <c r="N379" s="120"/>
      <c r="O379" s="120" t="str">
        <f>O378</f>
        <v>1동 충방전 MSC</v>
      </c>
      <c r="P379" s="184"/>
      <c r="Q379" s="105">
        <v>45214</v>
      </c>
      <c r="R379" s="105">
        <v>45229</v>
      </c>
      <c r="S379" s="106">
        <f>R379-Q379</f>
        <v>15</v>
      </c>
      <c r="T379" s="107">
        <v>16</v>
      </c>
      <c r="U379" s="107">
        <v>0</v>
      </c>
      <c r="V379" s="107">
        <v>16</v>
      </c>
      <c r="W379" s="107">
        <v>0</v>
      </c>
      <c r="X379" s="108"/>
      <c r="Y379" s="108"/>
      <c r="Z379" s="109"/>
      <c r="AA379" s="110">
        <v>0</v>
      </c>
      <c r="AB379" s="107">
        <v>1</v>
      </c>
      <c r="AC379" s="119"/>
      <c r="AD379" s="180"/>
      <c r="AE379" s="111">
        <v>0</v>
      </c>
      <c r="AF379" s="121">
        <v>0</v>
      </c>
      <c r="AG379" s="113"/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/>
      <c r="BE379" s="114"/>
      <c r="BF379" s="114"/>
      <c r="BG379" s="114"/>
      <c r="BH379" s="114"/>
      <c r="BI379" s="114"/>
      <c r="BJ379" s="114"/>
      <c r="BK379" s="114"/>
      <c r="BL379" s="114"/>
      <c r="BM379" s="114"/>
      <c r="BN379" s="114"/>
      <c r="BO379" s="114"/>
      <c r="BP379" s="114"/>
      <c r="BQ379" s="114"/>
      <c r="BR379" s="114" t="str">
        <f>"" &amp; TEXT(AF379,"#0.00%") &amp; " " &amp; "Packing" &amp; " " &amp; IF(Q379="","",TEXT(Q379,"M/D-")) &amp; IF(R379="","",TEXT(R379,"M/D")) &amp; " "</f>
        <v xml:space="preserve">0.00% Packing 10/15-10/30 </v>
      </c>
      <c r="BS379" s="114"/>
      <c r="BT379" s="114"/>
      <c r="BU379" s="114"/>
      <c r="BV379" s="114"/>
      <c r="BW379" s="114"/>
      <c r="BX379" s="114"/>
      <c r="BY379" s="114"/>
      <c r="BZ379" s="114"/>
      <c r="CA379" s="114"/>
      <c r="CB379" s="114"/>
      <c r="CC379" s="114"/>
      <c r="CD379" s="114"/>
      <c r="CE379" s="114"/>
      <c r="CF379" s="114"/>
      <c r="CG379" s="114"/>
      <c r="CH379" s="114"/>
      <c r="CI379" s="114"/>
      <c r="CJ379" s="114"/>
      <c r="CK379" s="114"/>
      <c r="CL379" s="114"/>
      <c r="CM379" s="114"/>
      <c r="CN379" s="114"/>
      <c r="CO379" s="114"/>
      <c r="CP379" s="114"/>
      <c r="CQ379" s="114"/>
      <c r="CR379" s="114"/>
      <c r="CS379" s="114"/>
      <c r="CT379" s="114"/>
      <c r="CU379" s="114"/>
      <c r="CV379" s="114"/>
      <c r="CW379" s="114"/>
      <c r="CX379" s="114"/>
      <c r="CY379" s="114"/>
      <c r="CZ379" s="114"/>
      <c r="DA379" s="114"/>
      <c r="DB379" s="114"/>
      <c r="DC379" s="114"/>
      <c r="DD379" s="114"/>
      <c r="DE379" s="114"/>
      <c r="DF379" s="114"/>
      <c r="DG379" s="114"/>
      <c r="DH379" s="114"/>
      <c r="DI379" s="114"/>
      <c r="DJ379" s="114"/>
      <c r="DK379" s="114"/>
      <c r="DL379" s="114"/>
      <c r="DM379" s="114"/>
      <c r="DN379" s="114"/>
      <c r="DO379" s="114"/>
      <c r="DP379" s="114"/>
      <c r="DQ379" s="114"/>
    </row>
    <row r="380" spans="1:121" ht="15" customHeight="1" outlineLevel="4" x14ac:dyDescent="0.25">
      <c r="A380" s="101"/>
      <c r="B380" s="101"/>
      <c r="C380" s="101">
        <v>5</v>
      </c>
      <c r="D380" s="102" t="s">
        <v>509</v>
      </c>
      <c r="E380" s="103"/>
      <c r="F380" s="103"/>
      <c r="G380" s="103"/>
      <c r="H380" s="103"/>
      <c r="I380" s="120" t="s">
        <v>287</v>
      </c>
      <c r="J380" s="120"/>
      <c r="K380" s="120"/>
      <c r="L380" s="120"/>
      <c r="M380" s="120"/>
      <c r="N380" s="120"/>
      <c r="O380" s="120" t="str">
        <f>O379</f>
        <v>1동 충방전 MSC</v>
      </c>
      <c r="P380" s="184"/>
      <c r="Q380" s="105">
        <v>45231</v>
      </c>
      <c r="R380" s="105">
        <v>45231</v>
      </c>
      <c r="S380" s="106">
        <f>R380-Q380</f>
        <v>0</v>
      </c>
      <c r="T380" s="107">
        <v>1</v>
      </c>
      <c r="U380" s="107">
        <v>0</v>
      </c>
      <c r="V380" s="107">
        <v>1</v>
      </c>
      <c r="W380" s="107">
        <v>0</v>
      </c>
      <c r="X380" s="108"/>
      <c r="Y380" s="108"/>
      <c r="Z380" s="109"/>
      <c r="AA380" s="110">
        <v>0</v>
      </c>
      <c r="AB380" s="107">
        <v>1</v>
      </c>
      <c r="AC380" s="119"/>
      <c r="AD380" s="180"/>
      <c r="AE380" s="111">
        <v>0</v>
      </c>
      <c r="AF380" s="121">
        <v>0</v>
      </c>
      <c r="AG380" s="113"/>
      <c r="AH380" s="114"/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  <c r="BI380" s="114"/>
      <c r="BJ380" s="114"/>
      <c r="BK380" s="114"/>
      <c r="BL380" s="114"/>
      <c r="BM380" s="114"/>
      <c r="BN380" s="114"/>
      <c r="BO380" s="114"/>
      <c r="BP380" s="114"/>
      <c r="BQ380" s="114"/>
      <c r="BR380" s="114"/>
      <c r="BS380" s="114"/>
      <c r="BT380" s="114" t="str">
        <f>"   " &amp; TEXT(AF380,"#0.00%") &amp; " " &amp; "FOB" &amp; " " &amp; IF(Q380="","",TEXT(Q380,"M/D-")) &amp; IF(R380="","",TEXT(R380,"M/D")) &amp; " "</f>
        <v xml:space="preserve">   0.00% FOB 11/1-11/1 </v>
      </c>
      <c r="BU380" s="114"/>
      <c r="BV380" s="114"/>
      <c r="BW380" s="114"/>
      <c r="BX380" s="114"/>
      <c r="BY380" s="114"/>
      <c r="BZ380" s="114"/>
      <c r="CA380" s="114"/>
      <c r="CB380" s="114"/>
      <c r="CC380" s="114"/>
      <c r="CD380" s="114"/>
      <c r="CE380" s="114"/>
      <c r="CF380" s="114"/>
      <c r="CG380" s="114"/>
      <c r="CH380" s="114"/>
      <c r="CI380" s="114"/>
      <c r="CJ380" s="114"/>
      <c r="CK380" s="114"/>
      <c r="CL380" s="114"/>
      <c r="CM380" s="114"/>
      <c r="CN380" s="114"/>
      <c r="CO380" s="114"/>
      <c r="CP380" s="114"/>
      <c r="CQ380" s="114"/>
      <c r="CR380" s="114"/>
      <c r="CS380" s="114"/>
      <c r="CT380" s="114"/>
      <c r="CU380" s="114"/>
      <c r="CV380" s="114"/>
      <c r="CW380" s="114"/>
      <c r="CX380" s="114"/>
      <c r="CY380" s="114"/>
      <c r="CZ380" s="114"/>
      <c r="DA380" s="114"/>
      <c r="DB380" s="114"/>
      <c r="DC380" s="114"/>
      <c r="DD380" s="114"/>
      <c r="DE380" s="114"/>
      <c r="DF380" s="114"/>
      <c r="DG380" s="114"/>
      <c r="DH380" s="114"/>
      <c r="DI380" s="114"/>
      <c r="DJ380" s="114"/>
      <c r="DK380" s="114"/>
      <c r="DL380" s="114"/>
      <c r="DM380" s="114"/>
      <c r="DN380" s="114"/>
      <c r="DO380" s="114"/>
      <c r="DP380" s="114"/>
      <c r="DQ380" s="114"/>
    </row>
    <row r="381" spans="1:121" ht="15" customHeight="1" outlineLevel="3" x14ac:dyDescent="0.25">
      <c r="A381" s="101"/>
      <c r="B381" s="101" t="s">
        <v>153</v>
      </c>
      <c r="C381" s="101">
        <v>4</v>
      </c>
      <c r="D381" s="102" t="s">
        <v>510</v>
      </c>
      <c r="E381" s="103"/>
      <c r="F381" s="103"/>
      <c r="G381" s="103"/>
      <c r="H381" s="103" t="s">
        <v>580</v>
      </c>
      <c r="I381" s="120"/>
      <c r="J381" s="120"/>
      <c r="K381" s="120"/>
      <c r="L381" s="120"/>
      <c r="M381" s="120"/>
      <c r="N381" s="120"/>
      <c r="O381" s="103" t="str">
        <f>H381</f>
        <v>1동 고온#2 Aging MSC</v>
      </c>
      <c r="P381" s="184"/>
      <c r="Q381" s="105">
        <v>45231</v>
      </c>
      <c r="R381" s="105">
        <v>45245</v>
      </c>
      <c r="S381" s="106"/>
      <c r="T381" s="107">
        <v>15</v>
      </c>
      <c r="U381" s="107">
        <v>0</v>
      </c>
      <c r="V381" s="107">
        <v>15</v>
      </c>
      <c r="W381" s="107">
        <v>0</v>
      </c>
      <c r="X381" s="108"/>
      <c r="Y381" s="108"/>
      <c r="Z381" s="109">
        <v>0</v>
      </c>
      <c r="AA381" s="110">
        <v>0</v>
      </c>
      <c r="AB381" s="107"/>
      <c r="AC381" s="119"/>
      <c r="AD381" s="180"/>
      <c r="AE381" s="111">
        <v>0</v>
      </c>
      <c r="AF381" s="122">
        <v>0</v>
      </c>
      <c r="AG381" s="113"/>
      <c r="AH381" s="114"/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  <c r="BI381" s="114"/>
      <c r="BJ381" s="114"/>
      <c r="BK381" s="114"/>
      <c r="BL381" s="114"/>
      <c r="BM381" s="114"/>
      <c r="BN381" s="114"/>
      <c r="BO381" s="114"/>
      <c r="BP381" s="114"/>
      <c r="BQ381" s="114"/>
      <c r="BR381" s="114"/>
      <c r="BS381" s="114"/>
      <c r="BT381" s="114" t="str">
        <f>"   " &amp; TEXT(AF381,"#0.00%") &amp; " " &amp; "1동 고온#2 Aging MSC" &amp; " " &amp; IF(Q381="","",TEXT(Q381,"M/D-")) &amp; IF(R381="","",TEXT(R381,"M/D")) &amp; " "</f>
        <v xml:space="preserve">   0.00% 1동 고온#2 Aging MSC 11/1-11/15 </v>
      </c>
      <c r="BU381" s="114"/>
      <c r="BV381" s="114"/>
      <c r="BW381" s="114"/>
      <c r="BX381" s="114"/>
      <c r="BY381" s="114"/>
      <c r="BZ381" s="114"/>
      <c r="CA381" s="114"/>
      <c r="CB381" s="114"/>
      <c r="CC381" s="114"/>
      <c r="CD381" s="114"/>
      <c r="CE381" s="114"/>
      <c r="CF381" s="114"/>
      <c r="CG381" s="114"/>
      <c r="CH381" s="114"/>
      <c r="CI381" s="114"/>
      <c r="CJ381" s="114"/>
      <c r="CK381" s="114"/>
      <c r="CL381" s="114"/>
      <c r="CM381" s="114"/>
      <c r="CN381" s="114"/>
      <c r="CO381" s="114"/>
      <c r="CP381" s="114"/>
      <c r="CQ381" s="114"/>
      <c r="CR381" s="114"/>
      <c r="CS381" s="114"/>
      <c r="CT381" s="114"/>
      <c r="CU381" s="114"/>
      <c r="CV381" s="114"/>
      <c r="CW381" s="114"/>
      <c r="CX381" s="114"/>
      <c r="CY381" s="114"/>
      <c r="CZ381" s="114"/>
      <c r="DA381" s="114"/>
      <c r="DB381" s="114"/>
      <c r="DC381" s="114"/>
      <c r="DD381" s="114"/>
      <c r="DE381" s="114"/>
      <c r="DF381" s="114"/>
      <c r="DG381" s="114"/>
      <c r="DH381" s="114"/>
      <c r="DI381" s="114"/>
      <c r="DJ381" s="114"/>
      <c r="DK381" s="114"/>
      <c r="DL381" s="114"/>
      <c r="DM381" s="114"/>
      <c r="DN381" s="114"/>
      <c r="DO381" s="114"/>
      <c r="DP381" s="114"/>
      <c r="DQ381" s="114"/>
    </row>
    <row r="382" spans="1:121" ht="15" customHeight="1" outlineLevel="4" x14ac:dyDescent="0.25">
      <c r="A382" s="101"/>
      <c r="B382" s="101"/>
      <c r="C382" s="101">
        <v>5</v>
      </c>
      <c r="D382" s="102" t="s">
        <v>511</v>
      </c>
      <c r="E382" s="103"/>
      <c r="F382" s="103"/>
      <c r="G382" s="103"/>
      <c r="H382" s="103"/>
      <c r="I382" s="120" t="s">
        <v>773</v>
      </c>
      <c r="J382" s="120"/>
      <c r="K382" s="120"/>
      <c r="L382" s="120"/>
      <c r="M382" s="120"/>
      <c r="N382" s="120"/>
      <c r="O382" s="120" t="str">
        <f>O381</f>
        <v>1동 고온#2 Aging MSC</v>
      </c>
      <c r="P382" s="184"/>
      <c r="Q382" s="105">
        <v>45231</v>
      </c>
      <c r="R382" s="105">
        <v>45244</v>
      </c>
      <c r="S382" s="106">
        <f>R382-Q382</f>
        <v>13</v>
      </c>
      <c r="T382" s="107">
        <v>14</v>
      </c>
      <c r="U382" s="107">
        <v>0</v>
      </c>
      <c r="V382" s="107">
        <v>14</v>
      </c>
      <c r="W382" s="107">
        <v>0</v>
      </c>
      <c r="X382" s="108"/>
      <c r="Y382" s="108"/>
      <c r="Z382" s="109"/>
      <c r="AA382" s="110">
        <v>0</v>
      </c>
      <c r="AB382" s="107">
        <v>1</v>
      </c>
      <c r="AC382" s="119"/>
      <c r="AD382" s="180"/>
      <c r="AE382" s="111">
        <v>0</v>
      </c>
      <c r="AF382" s="121">
        <v>0</v>
      </c>
      <c r="AG382" s="113"/>
      <c r="AH382" s="114"/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  <c r="BI382" s="114"/>
      <c r="BJ382" s="114"/>
      <c r="BK382" s="114"/>
      <c r="BL382" s="114"/>
      <c r="BM382" s="114"/>
      <c r="BN382" s="114"/>
      <c r="BO382" s="114"/>
      <c r="BP382" s="114"/>
      <c r="BQ382" s="114"/>
      <c r="BR382" s="114"/>
      <c r="BS382" s="114"/>
      <c r="BT382" s="114" t="str">
        <f>"   " &amp; TEXT(AF382,"#0.00%") &amp; " " &amp; "Packing" &amp; " " &amp; IF(Q382="","",TEXT(Q382,"M/D-")) &amp; IF(R382="","",TEXT(R382,"M/D")) &amp; " "</f>
        <v xml:space="preserve">   0.00% Packing 11/1-11/14 </v>
      </c>
      <c r="BU382" s="114"/>
      <c r="BV382" s="114"/>
      <c r="BW382" s="114"/>
      <c r="BX382" s="114"/>
      <c r="BY382" s="114"/>
      <c r="BZ382" s="114"/>
      <c r="CA382" s="114"/>
      <c r="CB382" s="114"/>
      <c r="CC382" s="114"/>
      <c r="CD382" s="114"/>
      <c r="CE382" s="114"/>
      <c r="CF382" s="114"/>
      <c r="CG382" s="114"/>
      <c r="CH382" s="114"/>
      <c r="CI382" s="114"/>
      <c r="CJ382" s="114"/>
      <c r="CK382" s="114"/>
      <c r="CL382" s="114"/>
      <c r="CM382" s="114"/>
      <c r="CN382" s="114"/>
      <c r="CO382" s="114"/>
      <c r="CP382" s="114"/>
      <c r="CQ382" s="114"/>
      <c r="CR382" s="114"/>
      <c r="CS382" s="114"/>
      <c r="CT382" s="114"/>
      <c r="CU382" s="114"/>
      <c r="CV382" s="114"/>
      <c r="CW382" s="114"/>
      <c r="CX382" s="114"/>
      <c r="CY382" s="114"/>
      <c r="CZ382" s="114"/>
      <c r="DA382" s="114"/>
      <c r="DB382" s="114"/>
      <c r="DC382" s="114"/>
      <c r="DD382" s="114"/>
      <c r="DE382" s="114"/>
      <c r="DF382" s="114"/>
      <c r="DG382" s="114"/>
      <c r="DH382" s="114"/>
      <c r="DI382" s="114"/>
      <c r="DJ382" s="114"/>
      <c r="DK382" s="114"/>
      <c r="DL382" s="114"/>
      <c r="DM382" s="114"/>
      <c r="DN382" s="114"/>
      <c r="DO382" s="114"/>
      <c r="DP382" s="114"/>
      <c r="DQ382" s="114"/>
    </row>
    <row r="383" spans="1:121" ht="15" customHeight="1" outlineLevel="4" x14ac:dyDescent="0.25">
      <c r="A383" s="101"/>
      <c r="B383" s="101"/>
      <c r="C383" s="101">
        <v>5</v>
      </c>
      <c r="D383" s="102" t="s">
        <v>512</v>
      </c>
      <c r="E383" s="103"/>
      <c r="F383" s="103"/>
      <c r="G383" s="103"/>
      <c r="H383" s="103"/>
      <c r="I383" s="120" t="s">
        <v>287</v>
      </c>
      <c r="J383" s="120"/>
      <c r="K383" s="120"/>
      <c r="L383" s="120"/>
      <c r="M383" s="120"/>
      <c r="N383" s="120"/>
      <c r="O383" s="120" t="str">
        <f>O382</f>
        <v>1동 고온#2 Aging MSC</v>
      </c>
      <c r="P383" s="184"/>
      <c r="Q383" s="105">
        <v>45245</v>
      </c>
      <c r="R383" s="105">
        <v>45245</v>
      </c>
      <c r="S383" s="106">
        <f>R383-Q383</f>
        <v>0</v>
      </c>
      <c r="T383" s="107">
        <v>1</v>
      </c>
      <c r="U383" s="107">
        <v>0</v>
      </c>
      <c r="V383" s="107">
        <v>1</v>
      </c>
      <c r="W383" s="107">
        <v>0</v>
      </c>
      <c r="X383" s="108"/>
      <c r="Y383" s="108"/>
      <c r="Z383" s="109"/>
      <c r="AA383" s="110">
        <v>0</v>
      </c>
      <c r="AB383" s="107">
        <v>1</v>
      </c>
      <c r="AC383" s="119"/>
      <c r="AD383" s="180"/>
      <c r="AE383" s="111">
        <v>0</v>
      </c>
      <c r="AF383" s="121">
        <v>0</v>
      </c>
      <c r="AG383" s="113"/>
      <c r="AH383" s="114"/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  <c r="BI383" s="114"/>
      <c r="BJ383" s="114"/>
      <c r="BK383" s="114"/>
      <c r="BL383" s="114"/>
      <c r="BM383" s="114"/>
      <c r="BN383" s="114"/>
      <c r="BO383" s="114"/>
      <c r="BP383" s="114"/>
      <c r="BQ383" s="114"/>
      <c r="BR383" s="114"/>
      <c r="BS383" s="114"/>
      <c r="BT383" s="114"/>
      <c r="BU383" s="114"/>
      <c r="BV383" s="114" t="str">
        <f>"   " &amp; TEXT(AF383,"#0.00%") &amp; " " &amp; "FOB" &amp; " " &amp; IF(Q383="","",TEXT(Q383,"M/D-")) &amp; IF(R383="","",TEXT(R383,"M/D")) &amp; " "</f>
        <v xml:space="preserve">   0.00% FOB 11/15-11/15 </v>
      </c>
      <c r="BW383" s="114"/>
      <c r="BX383" s="114"/>
      <c r="BY383" s="114"/>
      <c r="BZ383" s="114"/>
      <c r="CA383" s="114"/>
      <c r="CB383" s="114"/>
      <c r="CC383" s="114"/>
      <c r="CD383" s="114"/>
      <c r="CE383" s="114"/>
      <c r="CF383" s="114"/>
      <c r="CG383" s="114"/>
      <c r="CH383" s="114"/>
      <c r="CI383" s="114"/>
      <c r="CJ383" s="114"/>
      <c r="CK383" s="114"/>
      <c r="CL383" s="114"/>
      <c r="CM383" s="114"/>
      <c r="CN383" s="114"/>
      <c r="CO383" s="114"/>
      <c r="CP383" s="114"/>
      <c r="CQ383" s="114"/>
      <c r="CR383" s="114"/>
      <c r="CS383" s="114"/>
      <c r="CT383" s="114"/>
      <c r="CU383" s="114"/>
      <c r="CV383" s="114"/>
      <c r="CW383" s="114"/>
      <c r="CX383" s="114"/>
      <c r="CY383" s="114"/>
      <c r="CZ383" s="114"/>
      <c r="DA383" s="114"/>
      <c r="DB383" s="114"/>
      <c r="DC383" s="114"/>
      <c r="DD383" s="114"/>
      <c r="DE383" s="114"/>
      <c r="DF383" s="114"/>
      <c r="DG383" s="114"/>
      <c r="DH383" s="114"/>
      <c r="DI383" s="114"/>
      <c r="DJ383" s="114"/>
      <c r="DK383" s="114"/>
      <c r="DL383" s="114"/>
      <c r="DM383" s="114"/>
      <c r="DN383" s="114"/>
      <c r="DO383" s="114"/>
      <c r="DP383" s="114"/>
      <c r="DQ383" s="114"/>
    </row>
    <row r="384" spans="1:121" ht="15" customHeight="1" outlineLevel="3" x14ac:dyDescent="0.25">
      <c r="A384" s="101"/>
      <c r="B384" s="101" t="s">
        <v>153</v>
      </c>
      <c r="C384" s="101">
        <v>4</v>
      </c>
      <c r="D384" s="102" t="s">
        <v>513</v>
      </c>
      <c r="E384" s="103"/>
      <c r="F384" s="103"/>
      <c r="G384" s="103"/>
      <c r="H384" s="103" t="s">
        <v>581</v>
      </c>
      <c r="I384" s="120"/>
      <c r="J384" s="120"/>
      <c r="K384" s="120"/>
      <c r="L384" s="120"/>
      <c r="M384" s="120"/>
      <c r="N384" s="120"/>
      <c r="O384" s="103" t="str">
        <f>H384</f>
        <v>1동 상온#2,3 Aging MSC</v>
      </c>
      <c r="P384" s="184"/>
      <c r="Q384" s="105">
        <v>45250</v>
      </c>
      <c r="R384" s="105">
        <v>45270</v>
      </c>
      <c r="S384" s="106"/>
      <c r="T384" s="107">
        <v>21</v>
      </c>
      <c r="U384" s="107">
        <v>0</v>
      </c>
      <c r="V384" s="107">
        <v>21</v>
      </c>
      <c r="W384" s="107">
        <v>0</v>
      </c>
      <c r="X384" s="108"/>
      <c r="Y384" s="108"/>
      <c r="Z384" s="109">
        <v>0</v>
      </c>
      <c r="AA384" s="110">
        <v>0</v>
      </c>
      <c r="AB384" s="107"/>
      <c r="AC384" s="119"/>
      <c r="AD384" s="180"/>
      <c r="AE384" s="111">
        <v>0</v>
      </c>
      <c r="AF384" s="122">
        <v>0</v>
      </c>
      <c r="AG384" s="113"/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/>
      <c r="BE384" s="114"/>
      <c r="BF384" s="114"/>
      <c r="BG384" s="114"/>
      <c r="BH384" s="114"/>
      <c r="BI384" s="114"/>
      <c r="BJ384" s="114"/>
      <c r="BK384" s="114"/>
      <c r="BL384" s="114"/>
      <c r="BM384" s="114"/>
      <c r="BN384" s="114"/>
      <c r="BO384" s="114"/>
      <c r="BP384" s="114"/>
      <c r="BQ384" s="114"/>
      <c r="BR384" s="114"/>
      <c r="BS384" s="114"/>
      <c r="BT384" s="114"/>
      <c r="BU384" s="114"/>
      <c r="BV384" s="114"/>
      <c r="BW384" s="114" t="str">
        <f>" " &amp; TEXT(AF384,"#0.00%") &amp; " "</f>
        <v xml:space="preserve"> 0.00% </v>
      </c>
      <c r="BX384" s="114"/>
      <c r="BY384" s="114"/>
      <c r="BZ384" s="114" t="str">
        <f>" " &amp; "1동 상온#2,3 Aging MSC" &amp; " " &amp; IF(Q384="","",TEXT(Q384,"M/D-")) &amp; IF(R384="","",TEXT(R384,"M/D")) &amp; " "</f>
        <v xml:space="preserve"> 1동 상온#2,3 Aging MSC 11/20-12/10 </v>
      </c>
      <c r="CA384" s="114"/>
      <c r="CB384" s="114"/>
      <c r="CC384" s="114"/>
      <c r="CD384" s="114"/>
      <c r="CE384" s="114"/>
      <c r="CF384" s="114"/>
      <c r="CG384" s="114"/>
      <c r="CH384" s="114"/>
      <c r="CI384" s="114"/>
      <c r="CJ384" s="114"/>
      <c r="CK384" s="114"/>
      <c r="CL384" s="114"/>
      <c r="CM384" s="114"/>
      <c r="CN384" s="114"/>
      <c r="CO384" s="114"/>
      <c r="CP384" s="114"/>
      <c r="CQ384" s="114"/>
      <c r="CR384" s="114"/>
      <c r="CS384" s="114"/>
      <c r="CT384" s="114"/>
      <c r="CU384" s="114"/>
      <c r="CV384" s="114"/>
      <c r="CW384" s="114"/>
      <c r="CX384" s="114"/>
      <c r="CY384" s="114"/>
      <c r="CZ384" s="114"/>
      <c r="DA384" s="114"/>
      <c r="DB384" s="114"/>
      <c r="DC384" s="114"/>
      <c r="DD384" s="114"/>
      <c r="DE384" s="114"/>
      <c r="DF384" s="114"/>
      <c r="DG384" s="114"/>
      <c r="DH384" s="114"/>
      <c r="DI384" s="114"/>
      <c r="DJ384" s="114"/>
      <c r="DK384" s="114"/>
      <c r="DL384" s="114"/>
      <c r="DM384" s="114"/>
      <c r="DN384" s="114"/>
      <c r="DO384" s="114"/>
      <c r="DP384" s="114"/>
      <c r="DQ384" s="114"/>
    </row>
    <row r="385" spans="1:121" ht="15" customHeight="1" outlineLevel="4" x14ac:dyDescent="0.25">
      <c r="A385" s="101"/>
      <c r="B385" s="101"/>
      <c r="C385" s="101">
        <v>5</v>
      </c>
      <c r="D385" s="102" t="s">
        <v>514</v>
      </c>
      <c r="E385" s="103"/>
      <c r="F385" s="103"/>
      <c r="G385" s="103"/>
      <c r="H385" s="103"/>
      <c r="I385" s="120" t="s">
        <v>773</v>
      </c>
      <c r="J385" s="120"/>
      <c r="K385" s="120"/>
      <c r="L385" s="120"/>
      <c r="M385" s="120"/>
      <c r="N385" s="120"/>
      <c r="O385" s="120" t="str">
        <f>O384</f>
        <v>1동 상온#2,3 Aging MSC</v>
      </c>
      <c r="P385" s="184"/>
      <c r="Q385" s="105">
        <v>45250</v>
      </c>
      <c r="R385" s="105">
        <v>45269</v>
      </c>
      <c r="S385" s="106">
        <f>R385-Q385</f>
        <v>19</v>
      </c>
      <c r="T385" s="107">
        <v>20</v>
      </c>
      <c r="U385" s="107">
        <v>0</v>
      </c>
      <c r="V385" s="107">
        <v>20</v>
      </c>
      <c r="W385" s="107">
        <v>0</v>
      </c>
      <c r="X385" s="108"/>
      <c r="Y385" s="108"/>
      <c r="Z385" s="109"/>
      <c r="AA385" s="110">
        <v>0</v>
      </c>
      <c r="AB385" s="107">
        <v>1</v>
      </c>
      <c r="AC385" s="119"/>
      <c r="AD385" s="180"/>
      <c r="AE385" s="111">
        <v>0</v>
      </c>
      <c r="AF385" s="121">
        <v>0</v>
      </c>
      <c r="AG385" s="113"/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4"/>
      <c r="BG385" s="114"/>
      <c r="BH385" s="114"/>
      <c r="BI385" s="114"/>
      <c r="BJ385" s="114"/>
      <c r="BK385" s="114"/>
      <c r="BL385" s="114"/>
      <c r="BM385" s="114"/>
      <c r="BN385" s="114"/>
      <c r="BO385" s="114"/>
      <c r="BP385" s="114"/>
      <c r="BQ385" s="114"/>
      <c r="BR385" s="114"/>
      <c r="BS385" s="114"/>
      <c r="BT385" s="114"/>
      <c r="BU385" s="114"/>
      <c r="BV385" s="114"/>
      <c r="BW385" s="114" t="str">
        <f>" " &amp; TEXT(AF385,"#0.00%") &amp; " "</f>
        <v xml:space="preserve"> 0.00% </v>
      </c>
      <c r="BX385" s="114"/>
      <c r="BY385" s="114"/>
      <c r="BZ385" s="114" t="str">
        <f>"" &amp; "Packing" &amp; " " &amp; IF(Q385="","",TEXT(Q385,"M/D-")) &amp; IF(R385="","",TEXT(R385,"M/D")) &amp; " "</f>
        <v xml:space="preserve">Packing 11/20-12/9 </v>
      </c>
      <c r="CA385" s="114"/>
      <c r="CB385" s="114"/>
      <c r="CC385" s="114"/>
      <c r="CD385" s="114"/>
      <c r="CE385" s="114"/>
      <c r="CF385" s="114"/>
      <c r="CG385" s="114"/>
      <c r="CH385" s="114"/>
      <c r="CI385" s="114"/>
      <c r="CJ385" s="114"/>
      <c r="CK385" s="114"/>
      <c r="CL385" s="114"/>
      <c r="CM385" s="114"/>
      <c r="CN385" s="114"/>
      <c r="CO385" s="114"/>
      <c r="CP385" s="114"/>
      <c r="CQ385" s="114"/>
      <c r="CR385" s="114"/>
      <c r="CS385" s="114"/>
      <c r="CT385" s="114"/>
      <c r="CU385" s="114"/>
      <c r="CV385" s="114"/>
      <c r="CW385" s="114"/>
      <c r="CX385" s="114"/>
      <c r="CY385" s="114"/>
      <c r="CZ385" s="114"/>
      <c r="DA385" s="114"/>
      <c r="DB385" s="114"/>
      <c r="DC385" s="114"/>
      <c r="DD385" s="114"/>
      <c r="DE385" s="114"/>
      <c r="DF385" s="114"/>
      <c r="DG385" s="114"/>
      <c r="DH385" s="114"/>
      <c r="DI385" s="114"/>
      <c r="DJ385" s="114"/>
      <c r="DK385" s="114"/>
      <c r="DL385" s="114"/>
      <c r="DM385" s="114"/>
      <c r="DN385" s="114"/>
      <c r="DO385" s="114"/>
      <c r="DP385" s="114"/>
      <c r="DQ385" s="114"/>
    </row>
    <row r="386" spans="1:121" ht="15" customHeight="1" outlineLevel="4" x14ac:dyDescent="0.25">
      <c r="A386" s="101"/>
      <c r="B386" s="101"/>
      <c r="C386" s="101">
        <v>5</v>
      </c>
      <c r="D386" s="102" t="s">
        <v>515</v>
      </c>
      <c r="E386" s="103"/>
      <c r="F386" s="103"/>
      <c r="G386" s="103"/>
      <c r="H386" s="103"/>
      <c r="I386" s="120" t="s">
        <v>287</v>
      </c>
      <c r="J386" s="120"/>
      <c r="K386" s="120"/>
      <c r="L386" s="120"/>
      <c r="M386" s="120"/>
      <c r="N386" s="120"/>
      <c r="O386" s="120" t="str">
        <f>O385</f>
        <v>1동 상온#2,3 Aging MSC</v>
      </c>
      <c r="P386" s="184"/>
      <c r="Q386" s="105">
        <v>45270</v>
      </c>
      <c r="R386" s="105">
        <v>45270</v>
      </c>
      <c r="S386" s="106">
        <f>R386-Q386</f>
        <v>0</v>
      </c>
      <c r="T386" s="107">
        <v>1</v>
      </c>
      <c r="U386" s="107">
        <v>0</v>
      </c>
      <c r="V386" s="107">
        <v>1</v>
      </c>
      <c r="W386" s="107">
        <v>0</v>
      </c>
      <c r="X386" s="108"/>
      <c r="Y386" s="108"/>
      <c r="Z386" s="109"/>
      <c r="AA386" s="110">
        <v>0</v>
      </c>
      <c r="AB386" s="107">
        <v>1</v>
      </c>
      <c r="AC386" s="119"/>
      <c r="AD386" s="180"/>
      <c r="AE386" s="111">
        <v>0</v>
      </c>
      <c r="AF386" s="121">
        <v>0</v>
      </c>
      <c r="AG386" s="113"/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/>
      <c r="BF386" s="114"/>
      <c r="BG386" s="114"/>
      <c r="BH386" s="114"/>
      <c r="BI386" s="114"/>
      <c r="BJ386" s="114"/>
      <c r="BK386" s="114"/>
      <c r="BL386" s="114"/>
      <c r="BM386" s="114"/>
      <c r="BN386" s="114"/>
      <c r="BO386" s="114"/>
      <c r="BP386" s="114"/>
      <c r="BQ386" s="114"/>
      <c r="BR386" s="114"/>
      <c r="BS386" s="114"/>
      <c r="BT386" s="114"/>
      <c r="BU386" s="114"/>
      <c r="BV386" s="114"/>
      <c r="BW386" s="114"/>
      <c r="BX386" s="114"/>
      <c r="BY386" s="114"/>
      <c r="BZ386" s="114" t="str">
        <f>"" &amp; TEXT(AF386,"#0.00%") &amp; " " &amp; "FOB" &amp; " " &amp; IF(Q386="","",TEXT(Q386,"M/D-")) &amp; IF(R386="","",TEXT(R386,"M/D")) &amp; " "</f>
        <v xml:space="preserve">0.00% FOB 12/10-12/10 </v>
      </c>
      <c r="CA386" s="114"/>
      <c r="CB386" s="114"/>
      <c r="CC386" s="114"/>
      <c r="CD386" s="114"/>
      <c r="CE386" s="114"/>
      <c r="CF386" s="114"/>
      <c r="CG386" s="114"/>
      <c r="CH386" s="114"/>
      <c r="CI386" s="114"/>
      <c r="CJ386" s="114"/>
      <c r="CK386" s="114"/>
      <c r="CL386" s="114"/>
      <c r="CM386" s="114"/>
      <c r="CN386" s="114"/>
      <c r="CO386" s="114"/>
      <c r="CP386" s="114"/>
      <c r="CQ386" s="114"/>
      <c r="CR386" s="114"/>
      <c r="CS386" s="114"/>
      <c r="CT386" s="114"/>
      <c r="CU386" s="114"/>
      <c r="CV386" s="114"/>
      <c r="CW386" s="114"/>
      <c r="CX386" s="114"/>
      <c r="CY386" s="114"/>
      <c r="CZ386" s="114"/>
      <c r="DA386" s="114"/>
      <c r="DB386" s="114"/>
      <c r="DC386" s="114"/>
      <c r="DD386" s="114"/>
      <c r="DE386" s="114"/>
      <c r="DF386" s="114"/>
      <c r="DG386" s="114"/>
      <c r="DH386" s="114"/>
      <c r="DI386" s="114"/>
      <c r="DJ386" s="114"/>
      <c r="DK386" s="114"/>
      <c r="DL386" s="114"/>
      <c r="DM386" s="114"/>
      <c r="DN386" s="114"/>
      <c r="DO386" s="114"/>
      <c r="DP386" s="114"/>
      <c r="DQ386" s="114"/>
    </row>
    <row r="387" spans="1:121" ht="15" customHeight="1" outlineLevel="3" x14ac:dyDescent="0.25">
      <c r="A387" s="101"/>
      <c r="B387" s="101" t="s">
        <v>153</v>
      </c>
      <c r="C387" s="101">
        <v>4</v>
      </c>
      <c r="D387" s="102" t="s">
        <v>516</v>
      </c>
      <c r="E387" s="103"/>
      <c r="F387" s="103"/>
      <c r="G387" s="103"/>
      <c r="H387" s="103" t="s">
        <v>582</v>
      </c>
      <c r="I387" s="120"/>
      <c r="J387" s="120"/>
      <c r="K387" s="120"/>
      <c r="L387" s="120"/>
      <c r="M387" s="120"/>
      <c r="N387" s="120"/>
      <c r="O387" s="103" t="str">
        <f>H387</f>
        <v>1동 공 Tray Buffer MSC</v>
      </c>
      <c r="P387" s="184"/>
      <c r="Q387" s="105">
        <v>45231</v>
      </c>
      <c r="R387" s="105">
        <v>45245</v>
      </c>
      <c r="S387" s="106"/>
      <c r="T387" s="107">
        <v>15</v>
      </c>
      <c r="U387" s="107">
        <v>0</v>
      </c>
      <c r="V387" s="107">
        <v>15</v>
      </c>
      <c r="W387" s="107">
        <v>0</v>
      </c>
      <c r="X387" s="108"/>
      <c r="Y387" s="108"/>
      <c r="Z387" s="109">
        <v>0</v>
      </c>
      <c r="AA387" s="110">
        <v>0</v>
      </c>
      <c r="AB387" s="107"/>
      <c r="AC387" s="119"/>
      <c r="AD387" s="180"/>
      <c r="AE387" s="111">
        <v>0</v>
      </c>
      <c r="AF387" s="122">
        <v>0</v>
      </c>
      <c r="AG387" s="113"/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  <c r="BI387" s="114"/>
      <c r="BJ387" s="114"/>
      <c r="BK387" s="114"/>
      <c r="BL387" s="114"/>
      <c r="BM387" s="114"/>
      <c r="BN387" s="114"/>
      <c r="BO387" s="114"/>
      <c r="BP387" s="114"/>
      <c r="BQ387" s="114"/>
      <c r="BR387" s="114"/>
      <c r="BS387" s="114"/>
      <c r="BT387" s="114" t="str">
        <f>"   " &amp; TEXT(AF387,"#0.00%") &amp; " " &amp; "1동 공 Tray Buffer MSC" &amp; " " &amp; IF(Q387="","",TEXT(Q387,"M/D-")) &amp; IF(R387="","",TEXT(R387,"M/D")) &amp; " "</f>
        <v xml:space="preserve">   0.00% 1동 공 Tray Buffer MSC 11/1-11/15 </v>
      </c>
      <c r="BU387" s="114"/>
      <c r="BV387" s="114"/>
      <c r="BW387" s="114"/>
      <c r="BX387" s="114"/>
      <c r="BY387" s="114"/>
      <c r="BZ387" s="114"/>
      <c r="CA387" s="114"/>
      <c r="CB387" s="114"/>
      <c r="CC387" s="114"/>
      <c r="CD387" s="114"/>
      <c r="CE387" s="114"/>
      <c r="CF387" s="114"/>
      <c r="CG387" s="114"/>
      <c r="CH387" s="114"/>
      <c r="CI387" s="114"/>
      <c r="CJ387" s="114"/>
      <c r="CK387" s="114"/>
      <c r="CL387" s="114"/>
      <c r="CM387" s="114"/>
      <c r="CN387" s="114"/>
      <c r="CO387" s="114"/>
      <c r="CP387" s="114"/>
      <c r="CQ387" s="114"/>
      <c r="CR387" s="114"/>
      <c r="CS387" s="114"/>
      <c r="CT387" s="114"/>
      <c r="CU387" s="114"/>
      <c r="CV387" s="114"/>
      <c r="CW387" s="114"/>
      <c r="CX387" s="114"/>
      <c r="CY387" s="114"/>
      <c r="CZ387" s="114"/>
      <c r="DA387" s="114"/>
      <c r="DB387" s="114"/>
      <c r="DC387" s="114"/>
      <c r="DD387" s="114"/>
      <c r="DE387" s="114"/>
      <c r="DF387" s="114"/>
      <c r="DG387" s="114"/>
      <c r="DH387" s="114"/>
      <c r="DI387" s="114"/>
      <c r="DJ387" s="114"/>
      <c r="DK387" s="114"/>
      <c r="DL387" s="114"/>
      <c r="DM387" s="114"/>
      <c r="DN387" s="114"/>
      <c r="DO387" s="114"/>
      <c r="DP387" s="114"/>
      <c r="DQ387" s="114"/>
    </row>
    <row r="388" spans="1:121" ht="15" customHeight="1" outlineLevel="4" x14ac:dyDescent="0.25">
      <c r="A388" s="101"/>
      <c r="B388" s="101"/>
      <c r="C388" s="101">
        <v>5</v>
      </c>
      <c r="D388" s="102" t="s">
        <v>517</v>
      </c>
      <c r="E388" s="103"/>
      <c r="F388" s="103"/>
      <c r="G388" s="103"/>
      <c r="H388" s="103"/>
      <c r="I388" s="120" t="s">
        <v>773</v>
      </c>
      <c r="J388" s="120"/>
      <c r="K388" s="120"/>
      <c r="L388" s="120"/>
      <c r="M388" s="120"/>
      <c r="N388" s="120"/>
      <c r="O388" s="120" t="str">
        <f>O387</f>
        <v>1동 공 Tray Buffer MSC</v>
      </c>
      <c r="P388" s="184"/>
      <c r="Q388" s="105">
        <v>45231</v>
      </c>
      <c r="R388" s="105">
        <v>45244</v>
      </c>
      <c r="S388" s="106">
        <f>R388-Q388</f>
        <v>13</v>
      </c>
      <c r="T388" s="107">
        <v>14</v>
      </c>
      <c r="U388" s="107">
        <v>0</v>
      </c>
      <c r="V388" s="107">
        <v>14</v>
      </c>
      <c r="W388" s="107">
        <v>0</v>
      </c>
      <c r="X388" s="108"/>
      <c r="Y388" s="108"/>
      <c r="Z388" s="109"/>
      <c r="AA388" s="110">
        <v>0</v>
      </c>
      <c r="AB388" s="107">
        <v>1</v>
      </c>
      <c r="AC388" s="119"/>
      <c r="AD388" s="180"/>
      <c r="AE388" s="111">
        <v>0</v>
      </c>
      <c r="AF388" s="121">
        <v>0</v>
      </c>
      <c r="AG388" s="113"/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  <c r="BI388" s="114"/>
      <c r="BJ388" s="114"/>
      <c r="BK388" s="114"/>
      <c r="BL388" s="114"/>
      <c r="BM388" s="114"/>
      <c r="BN388" s="114"/>
      <c r="BO388" s="114"/>
      <c r="BP388" s="114"/>
      <c r="BQ388" s="114"/>
      <c r="BR388" s="114"/>
      <c r="BS388" s="114"/>
      <c r="BT388" s="114" t="str">
        <f>"   " &amp; TEXT(AF388,"#0.00%") &amp; " " &amp; "Packing" &amp; " " &amp; IF(Q388="","",TEXT(Q388,"M/D-")) &amp; IF(R388="","",TEXT(R388,"M/D")) &amp; " "</f>
        <v xml:space="preserve">   0.00% Packing 11/1-11/14 </v>
      </c>
      <c r="BU388" s="114"/>
      <c r="BV388" s="114"/>
      <c r="BW388" s="114"/>
      <c r="BX388" s="114"/>
      <c r="BY388" s="114"/>
      <c r="BZ388" s="114"/>
      <c r="CA388" s="114"/>
      <c r="CB388" s="114"/>
      <c r="CC388" s="114"/>
      <c r="CD388" s="114"/>
      <c r="CE388" s="114"/>
      <c r="CF388" s="114"/>
      <c r="CG388" s="114"/>
      <c r="CH388" s="114"/>
      <c r="CI388" s="114"/>
      <c r="CJ388" s="114"/>
      <c r="CK388" s="114"/>
      <c r="CL388" s="114"/>
      <c r="CM388" s="114"/>
      <c r="CN388" s="114"/>
      <c r="CO388" s="114"/>
      <c r="CP388" s="114"/>
      <c r="CQ388" s="114"/>
      <c r="CR388" s="114"/>
      <c r="CS388" s="114"/>
      <c r="CT388" s="114"/>
      <c r="CU388" s="114"/>
      <c r="CV388" s="114"/>
      <c r="CW388" s="114"/>
      <c r="CX388" s="114"/>
      <c r="CY388" s="114"/>
      <c r="CZ388" s="114"/>
      <c r="DA388" s="114"/>
      <c r="DB388" s="114"/>
      <c r="DC388" s="114"/>
      <c r="DD388" s="114"/>
      <c r="DE388" s="114"/>
      <c r="DF388" s="114"/>
      <c r="DG388" s="114"/>
      <c r="DH388" s="114"/>
      <c r="DI388" s="114"/>
      <c r="DJ388" s="114"/>
      <c r="DK388" s="114"/>
      <c r="DL388" s="114"/>
      <c r="DM388" s="114"/>
      <c r="DN388" s="114"/>
      <c r="DO388" s="114"/>
      <c r="DP388" s="114"/>
      <c r="DQ388" s="114"/>
    </row>
    <row r="389" spans="1:121" ht="15" customHeight="1" outlineLevel="4" x14ac:dyDescent="0.25">
      <c r="A389" s="101"/>
      <c r="B389" s="101"/>
      <c r="C389" s="101">
        <v>5</v>
      </c>
      <c r="D389" s="102" t="s">
        <v>518</v>
      </c>
      <c r="E389" s="103"/>
      <c r="F389" s="103"/>
      <c r="G389" s="103"/>
      <c r="H389" s="103"/>
      <c r="I389" s="120" t="s">
        <v>287</v>
      </c>
      <c r="J389" s="120"/>
      <c r="K389" s="120"/>
      <c r="L389" s="120"/>
      <c r="M389" s="120"/>
      <c r="N389" s="120"/>
      <c r="O389" s="120" t="str">
        <f>O388</f>
        <v>1동 공 Tray Buffer MSC</v>
      </c>
      <c r="P389" s="184"/>
      <c r="Q389" s="105">
        <v>45245</v>
      </c>
      <c r="R389" s="105">
        <v>45245</v>
      </c>
      <c r="S389" s="106">
        <f>R389-Q389</f>
        <v>0</v>
      </c>
      <c r="T389" s="107">
        <v>1</v>
      </c>
      <c r="U389" s="107">
        <v>0</v>
      </c>
      <c r="V389" s="107">
        <v>1</v>
      </c>
      <c r="W389" s="107">
        <v>0</v>
      </c>
      <c r="X389" s="108"/>
      <c r="Y389" s="108"/>
      <c r="Z389" s="109"/>
      <c r="AA389" s="110">
        <v>0</v>
      </c>
      <c r="AB389" s="107">
        <v>1</v>
      </c>
      <c r="AC389" s="119"/>
      <c r="AD389" s="180"/>
      <c r="AE389" s="111">
        <v>0</v>
      </c>
      <c r="AF389" s="121">
        <v>0</v>
      </c>
      <c r="AG389" s="113"/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  <c r="BI389" s="114"/>
      <c r="BJ389" s="114"/>
      <c r="BK389" s="114"/>
      <c r="BL389" s="114"/>
      <c r="BM389" s="114"/>
      <c r="BN389" s="114"/>
      <c r="BO389" s="114"/>
      <c r="BP389" s="114"/>
      <c r="BQ389" s="114"/>
      <c r="BR389" s="114"/>
      <c r="BS389" s="114"/>
      <c r="BT389" s="114"/>
      <c r="BU389" s="114"/>
      <c r="BV389" s="114" t="str">
        <f>"   " &amp; TEXT(AF389,"#0.00%") &amp; " " &amp; "FOB" &amp; " " &amp; IF(Q389="","",TEXT(Q389,"M/D-")) &amp; IF(R389="","",TEXT(R389,"M/D")) &amp; " "</f>
        <v xml:space="preserve">   0.00% FOB 11/15-11/15 </v>
      </c>
      <c r="BW389" s="114"/>
      <c r="BX389" s="114"/>
      <c r="BY389" s="114"/>
      <c r="BZ389" s="114"/>
      <c r="CA389" s="114"/>
      <c r="CB389" s="114"/>
      <c r="CC389" s="114"/>
      <c r="CD389" s="114"/>
      <c r="CE389" s="114"/>
      <c r="CF389" s="114"/>
      <c r="CG389" s="114"/>
      <c r="CH389" s="114"/>
      <c r="CI389" s="114"/>
      <c r="CJ389" s="114"/>
      <c r="CK389" s="114"/>
      <c r="CL389" s="114"/>
      <c r="CM389" s="114"/>
      <c r="CN389" s="114"/>
      <c r="CO389" s="114"/>
      <c r="CP389" s="114"/>
      <c r="CQ389" s="114"/>
      <c r="CR389" s="114"/>
      <c r="CS389" s="114"/>
      <c r="CT389" s="114"/>
      <c r="CU389" s="114"/>
      <c r="CV389" s="114"/>
      <c r="CW389" s="114"/>
      <c r="CX389" s="114"/>
      <c r="CY389" s="114"/>
      <c r="CZ389" s="114"/>
      <c r="DA389" s="114"/>
      <c r="DB389" s="114"/>
      <c r="DC389" s="114"/>
      <c r="DD389" s="114"/>
      <c r="DE389" s="114"/>
      <c r="DF389" s="114"/>
      <c r="DG389" s="114"/>
      <c r="DH389" s="114"/>
      <c r="DI389" s="114"/>
      <c r="DJ389" s="114"/>
      <c r="DK389" s="114"/>
      <c r="DL389" s="114"/>
      <c r="DM389" s="114"/>
      <c r="DN389" s="114"/>
      <c r="DO389" s="114"/>
      <c r="DP389" s="114"/>
      <c r="DQ389" s="114"/>
    </row>
    <row r="390" spans="1:121" ht="15" customHeight="1" outlineLevel="2" x14ac:dyDescent="0.25">
      <c r="A390" s="101"/>
      <c r="B390" s="101" t="s">
        <v>153</v>
      </c>
      <c r="C390" s="101">
        <v>3</v>
      </c>
      <c r="D390" s="102" t="s">
        <v>328</v>
      </c>
      <c r="E390" s="103"/>
      <c r="F390" s="103"/>
      <c r="G390" s="103" t="s">
        <v>583</v>
      </c>
      <c r="H390" s="103"/>
      <c r="I390" s="103"/>
      <c r="J390" s="103"/>
      <c r="K390" s="103"/>
      <c r="L390" s="103"/>
      <c r="M390" s="103"/>
      <c r="N390" s="103"/>
      <c r="O390" s="103" t="str">
        <f>G390</f>
        <v>2동 MSC Crane(FR)</v>
      </c>
      <c r="P390" s="118"/>
      <c r="Q390" s="108">
        <v>45294</v>
      </c>
      <c r="R390" s="105">
        <v>45350</v>
      </c>
      <c r="S390" s="106"/>
      <c r="T390" s="107">
        <v>115</v>
      </c>
      <c r="U390" s="107">
        <v>0</v>
      </c>
      <c r="V390" s="107">
        <v>57</v>
      </c>
      <c r="W390" s="107">
        <v>0</v>
      </c>
      <c r="X390" s="108"/>
      <c r="Y390" s="108"/>
      <c r="Z390" s="109">
        <v>0</v>
      </c>
      <c r="AA390" s="110">
        <v>0</v>
      </c>
      <c r="AB390" s="107"/>
      <c r="AC390" s="119"/>
      <c r="AD390" s="180"/>
      <c r="AE390" s="111">
        <v>0</v>
      </c>
      <c r="AF390" s="122">
        <v>0</v>
      </c>
      <c r="AG390" s="113"/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  <c r="BI390" s="114"/>
      <c r="BJ390" s="114"/>
      <c r="BK390" s="114"/>
      <c r="BL390" s="114"/>
      <c r="BM390" s="114"/>
      <c r="BN390" s="114"/>
      <c r="BO390" s="114"/>
      <c r="BP390" s="114"/>
      <c r="BQ390" s="114"/>
      <c r="BR390" s="114"/>
      <c r="BS390" s="114"/>
      <c r="BT390" s="114"/>
      <c r="BU390" s="114"/>
      <c r="BV390" s="114"/>
      <c r="BW390" s="114"/>
      <c r="BX390" s="114"/>
      <c r="BY390" s="114"/>
      <c r="BZ390" s="114"/>
      <c r="CA390" s="114"/>
      <c r="CB390" s="114"/>
      <c r="CC390" s="114" t="str">
        <f>"   " &amp; TEXT(AF390,"#0.00%") &amp; " "</f>
        <v xml:space="preserve">   0.00% </v>
      </c>
      <c r="CD390" s="114"/>
      <c r="CE390" s="114"/>
      <c r="CF390" s="114"/>
      <c r="CG390" s="114"/>
      <c r="CH390" s="114"/>
      <c r="CI390" s="114"/>
      <c r="CJ390" s="114"/>
      <c r="CK390" s="114" t="str">
        <f>"    " &amp; "2동 MSC Crane(FR)" &amp; " " &amp; IF(Q390="","",TEXT(Q390,"M/D-")) &amp; IF(R390="","",TEXT(R390,"M/D")) &amp; " "</f>
        <v xml:space="preserve">    2동 MSC Crane(FR) 1/3-2/28 </v>
      </c>
      <c r="CL390" s="114"/>
      <c r="CM390" s="114"/>
      <c r="CN390" s="114"/>
      <c r="CO390" s="114"/>
      <c r="CP390" s="114"/>
      <c r="CQ390" s="114"/>
      <c r="CR390" s="114"/>
      <c r="CS390" s="114"/>
      <c r="CT390" s="114"/>
      <c r="CU390" s="114"/>
      <c r="CV390" s="114"/>
      <c r="CW390" s="114"/>
      <c r="CX390" s="114"/>
      <c r="CY390" s="114"/>
      <c r="CZ390" s="114"/>
      <c r="DA390" s="114"/>
      <c r="DB390" s="114"/>
      <c r="DC390" s="114"/>
      <c r="DD390" s="114"/>
      <c r="DE390" s="114"/>
      <c r="DF390" s="114"/>
      <c r="DG390" s="114"/>
      <c r="DH390" s="114"/>
      <c r="DI390" s="114"/>
      <c r="DJ390" s="114"/>
      <c r="DK390" s="114"/>
      <c r="DL390" s="114"/>
      <c r="DM390" s="114"/>
      <c r="DN390" s="114"/>
      <c r="DO390" s="114"/>
      <c r="DP390" s="114"/>
      <c r="DQ390" s="114"/>
    </row>
    <row r="391" spans="1:121" ht="15" customHeight="1" outlineLevel="3" x14ac:dyDescent="0.25">
      <c r="A391" s="101"/>
      <c r="B391" s="101" t="s">
        <v>153</v>
      </c>
      <c r="C391" s="101">
        <v>4</v>
      </c>
      <c r="D391" s="102" t="s">
        <v>329</v>
      </c>
      <c r="E391" s="103"/>
      <c r="F391" s="103"/>
      <c r="G391" s="103"/>
      <c r="H391" s="103" t="s">
        <v>584</v>
      </c>
      <c r="I391" s="120"/>
      <c r="J391" s="120"/>
      <c r="K391" s="120"/>
      <c r="L391" s="120"/>
      <c r="M391" s="120"/>
      <c r="N391" s="120"/>
      <c r="O391" s="103" t="str">
        <f>H391</f>
        <v>2동 상온#1 Aging MSC</v>
      </c>
      <c r="P391" s="184"/>
      <c r="Q391" s="105">
        <v>45294</v>
      </c>
      <c r="R391" s="105">
        <v>45311</v>
      </c>
      <c r="S391" s="106"/>
      <c r="T391" s="107">
        <v>17</v>
      </c>
      <c r="U391" s="107">
        <v>0</v>
      </c>
      <c r="V391" s="107">
        <v>18</v>
      </c>
      <c r="W391" s="107">
        <v>0</v>
      </c>
      <c r="X391" s="108"/>
      <c r="Y391" s="108"/>
      <c r="Z391" s="109">
        <v>0</v>
      </c>
      <c r="AA391" s="110">
        <v>0</v>
      </c>
      <c r="AB391" s="107"/>
      <c r="AC391" s="119"/>
      <c r="AD391" s="180"/>
      <c r="AE391" s="111">
        <v>0</v>
      </c>
      <c r="AF391" s="122">
        <v>0</v>
      </c>
      <c r="AG391" s="113"/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4"/>
      <c r="BG391" s="114"/>
      <c r="BH391" s="114"/>
      <c r="BI391" s="114"/>
      <c r="BJ391" s="114"/>
      <c r="BK391" s="114"/>
      <c r="BL391" s="114"/>
      <c r="BM391" s="114"/>
      <c r="BN391" s="114"/>
      <c r="BO391" s="114"/>
      <c r="BP391" s="114"/>
      <c r="BQ391" s="114"/>
      <c r="BR391" s="114"/>
      <c r="BS391" s="114"/>
      <c r="BT391" s="114"/>
      <c r="BU391" s="114"/>
      <c r="BV391" s="114"/>
      <c r="BW391" s="114"/>
      <c r="BX391" s="114"/>
      <c r="BY391" s="114"/>
      <c r="BZ391" s="114"/>
      <c r="CA391" s="114"/>
      <c r="CB391" s="114"/>
      <c r="CC391" s="114" t="str">
        <f>"   " &amp; TEXT(AF391,"#0.00%") &amp; " "</f>
        <v xml:space="preserve">   0.00% </v>
      </c>
      <c r="CD391" s="114"/>
      <c r="CE391" s="114"/>
      <c r="CF391" s="114" t="str">
        <f>"" &amp; "2동 상온#1 Aging MSC" &amp; " " &amp; IF(Q391="","",TEXT(Q391,"M/D-")) &amp; IF(R391="","",TEXT(R391,"M/D")) &amp; " "</f>
        <v xml:space="preserve">2동 상온#1 Aging MSC 1/3-1/20 </v>
      </c>
      <c r="CG391" s="114"/>
      <c r="CH391" s="114"/>
      <c r="CI391" s="114"/>
      <c r="CJ391" s="114"/>
      <c r="CK391" s="114"/>
      <c r="CL391" s="114"/>
      <c r="CM391" s="114"/>
      <c r="CN391" s="114"/>
      <c r="CO391" s="114"/>
      <c r="CP391" s="114"/>
      <c r="CQ391" s="114"/>
      <c r="CR391" s="114"/>
      <c r="CS391" s="114"/>
      <c r="CT391" s="114"/>
      <c r="CU391" s="114"/>
      <c r="CV391" s="114"/>
      <c r="CW391" s="114"/>
      <c r="CX391" s="114"/>
      <c r="CY391" s="114"/>
      <c r="CZ391" s="114"/>
      <c r="DA391" s="114"/>
      <c r="DB391" s="114"/>
      <c r="DC391" s="114"/>
      <c r="DD391" s="114"/>
      <c r="DE391" s="114"/>
      <c r="DF391" s="114"/>
      <c r="DG391" s="114"/>
      <c r="DH391" s="114"/>
      <c r="DI391" s="114"/>
      <c r="DJ391" s="114"/>
      <c r="DK391" s="114"/>
      <c r="DL391" s="114"/>
      <c r="DM391" s="114"/>
      <c r="DN391" s="114"/>
      <c r="DO391" s="114"/>
      <c r="DP391" s="114"/>
      <c r="DQ391" s="114"/>
    </row>
    <row r="392" spans="1:121" ht="15" customHeight="1" outlineLevel="4" x14ac:dyDescent="0.25">
      <c r="A392" s="101"/>
      <c r="B392" s="101"/>
      <c r="C392" s="101">
        <v>5</v>
      </c>
      <c r="D392" s="102" t="s">
        <v>330</v>
      </c>
      <c r="E392" s="103"/>
      <c r="F392" s="103"/>
      <c r="G392" s="103"/>
      <c r="H392" s="103"/>
      <c r="I392" s="120" t="s">
        <v>773</v>
      </c>
      <c r="J392" s="120"/>
      <c r="K392" s="120"/>
      <c r="L392" s="120"/>
      <c r="M392" s="120"/>
      <c r="N392" s="120"/>
      <c r="O392" s="120" t="str">
        <f>O391</f>
        <v>2동 상온#1 Aging MSC</v>
      </c>
      <c r="P392" s="184"/>
      <c r="Q392" s="105">
        <v>45294</v>
      </c>
      <c r="R392" s="105">
        <v>45309</v>
      </c>
      <c r="S392" s="106">
        <f>R392-Q392</f>
        <v>15</v>
      </c>
      <c r="T392" s="107">
        <v>16</v>
      </c>
      <c r="U392" s="107">
        <v>0</v>
      </c>
      <c r="V392" s="107">
        <v>16</v>
      </c>
      <c r="W392" s="107">
        <v>0</v>
      </c>
      <c r="X392" s="108"/>
      <c r="Y392" s="108"/>
      <c r="Z392" s="109"/>
      <c r="AA392" s="110">
        <v>0</v>
      </c>
      <c r="AB392" s="107">
        <v>1</v>
      </c>
      <c r="AC392" s="119"/>
      <c r="AD392" s="180"/>
      <c r="AE392" s="111">
        <v>0</v>
      </c>
      <c r="AF392" s="121">
        <v>0</v>
      </c>
      <c r="AG392" s="113"/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/>
      <c r="BG392" s="114"/>
      <c r="BH392" s="114"/>
      <c r="BI392" s="114"/>
      <c r="BJ392" s="114"/>
      <c r="BK392" s="114"/>
      <c r="BL392" s="114"/>
      <c r="BM392" s="114"/>
      <c r="BN392" s="114"/>
      <c r="BO392" s="114"/>
      <c r="BP392" s="114"/>
      <c r="BQ392" s="114"/>
      <c r="BR392" s="114"/>
      <c r="BS392" s="114"/>
      <c r="BT392" s="114"/>
      <c r="BU392" s="114"/>
      <c r="BV392" s="114"/>
      <c r="BW392" s="114"/>
      <c r="BX392" s="114"/>
      <c r="BY392" s="114"/>
      <c r="BZ392" s="114"/>
      <c r="CA392" s="114"/>
      <c r="CB392" s="114"/>
      <c r="CC392" s="114" t="str">
        <f>"   " &amp; TEXT(AF392,"#0.00%") &amp; " " &amp; "Packing" &amp; " " &amp; IF(Q392="","",TEXT(Q392,"M/D-")) &amp; IF(R392="","",TEXT(R392,"M/D")) &amp; " "</f>
        <v xml:space="preserve">   0.00% Packing 1/3-1/18 </v>
      </c>
      <c r="CD392" s="114"/>
      <c r="CE392" s="114"/>
      <c r="CF392" s="114"/>
      <c r="CG392" s="114"/>
      <c r="CH392" s="114"/>
      <c r="CI392" s="114"/>
      <c r="CJ392" s="114"/>
      <c r="CK392" s="114"/>
      <c r="CL392" s="114"/>
      <c r="CM392" s="114"/>
      <c r="CN392" s="114"/>
      <c r="CO392" s="114"/>
      <c r="CP392" s="114"/>
      <c r="CQ392" s="114"/>
      <c r="CR392" s="114"/>
      <c r="CS392" s="114"/>
      <c r="CT392" s="114"/>
      <c r="CU392" s="114"/>
      <c r="CV392" s="114"/>
      <c r="CW392" s="114"/>
      <c r="CX392" s="114"/>
      <c r="CY392" s="114"/>
      <c r="CZ392" s="114"/>
      <c r="DA392" s="114"/>
      <c r="DB392" s="114"/>
      <c r="DC392" s="114"/>
      <c r="DD392" s="114"/>
      <c r="DE392" s="114"/>
      <c r="DF392" s="114"/>
      <c r="DG392" s="114"/>
      <c r="DH392" s="114"/>
      <c r="DI392" s="114"/>
      <c r="DJ392" s="114"/>
      <c r="DK392" s="114"/>
      <c r="DL392" s="114"/>
      <c r="DM392" s="114"/>
      <c r="DN392" s="114"/>
      <c r="DO392" s="114"/>
      <c r="DP392" s="114"/>
      <c r="DQ392" s="114"/>
    </row>
    <row r="393" spans="1:121" ht="15" customHeight="1" outlineLevel="4" x14ac:dyDescent="0.25">
      <c r="A393" s="101"/>
      <c r="B393" s="101"/>
      <c r="C393" s="101">
        <v>5</v>
      </c>
      <c r="D393" s="102" t="s">
        <v>331</v>
      </c>
      <c r="E393" s="103"/>
      <c r="F393" s="103"/>
      <c r="G393" s="103"/>
      <c r="H393" s="103"/>
      <c r="I393" s="120" t="s">
        <v>287</v>
      </c>
      <c r="J393" s="120"/>
      <c r="K393" s="120"/>
      <c r="L393" s="120"/>
      <c r="M393" s="120"/>
      <c r="N393" s="120"/>
      <c r="O393" s="120" t="str">
        <f>O392</f>
        <v>2동 상온#1 Aging MSC</v>
      </c>
      <c r="P393" s="184"/>
      <c r="Q393" s="105">
        <v>45311</v>
      </c>
      <c r="R393" s="105">
        <v>45311</v>
      </c>
      <c r="S393" s="106">
        <f>R393-Q393</f>
        <v>0</v>
      </c>
      <c r="T393" s="107">
        <v>1</v>
      </c>
      <c r="U393" s="107">
        <v>0</v>
      </c>
      <c r="V393" s="107">
        <v>1</v>
      </c>
      <c r="W393" s="107">
        <v>0</v>
      </c>
      <c r="X393" s="108"/>
      <c r="Y393" s="108"/>
      <c r="Z393" s="109"/>
      <c r="AA393" s="110">
        <v>0</v>
      </c>
      <c r="AB393" s="107">
        <v>1</v>
      </c>
      <c r="AC393" s="119"/>
      <c r="AD393" s="180"/>
      <c r="AE393" s="111">
        <v>0</v>
      </c>
      <c r="AF393" s="121">
        <v>0</v>
      </c>
      <c r="AG393" s="113"/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114"/>
      <c r="BC393" s="114"/>
      <c r="BD393" s="114"/>
      <c r="BE393" s="114"/>
      <c r="BF393" s="114"/>
      <c r="BG393" s="114"/>
      <c r="BH393" s="114"/>
      <c r="BI393" s="114"/>
      <c r="BJ393" s="114"/>
      <c r="BK393" s="114"/>
      <c r="BL393" s="114"/>
      <c r="BM393" s="114"/>
      <c r="BN393" s="114"/>
      <c r="BO393" s="114"/>
      <c r="BP393" s="114"/>
      <c r="BQ393" s="114"/>
      <c r="BR393" s="114"/>
      <c r="BS393" s="114"/>
      <c r="BT393" s="114"/>
      <c r="BU393" s="114"/>
      <c r="BV393" s="114"/>
      <c r="BW393" s="114"/>
      <c r="BX393" s="114"/>
      <c r="BY393" s="114"/>
      <c r="BZ393" s="114"/>
      <c r="CA393" s="114"/>
      <c r="CB393" s="114"/>
      <c r="CC393" s="114"/>
      <c r="CD393" s="114"/>
      <c r="CE393" s="114" t="str">
        <f>"      " &amp; TEXT(AF393,"#0.00%") &amp; " " &amp; "FOB" &amp; " " &amp; IF(Q393="","",TEXT(Q393,"M/D-")) &amp; IF(R393="","",TEXT(R393,"M/D")) &amp; " "</f>
        <v xml:space="preserve">      0.00% FOB 1/20-1/20 </v>
      </c>
      <c r="CF393" s="114"/>
      <c r="CG393" s="114"/>
      <c r="CH393" s="114"/>
      <c r="CI393" s="114"/>
      <c r="CJ393" s="114"/>
      <c r="CK393" s="114"/>
      <c r="CL393" s="114"/>
      <c r="CM393" s="114"/>
      <c r="CN393" s="114"/>
      <c r="CO393" s="114"/>
      <c r="CP393" s="114"/>
      <c r="CQ393" s="114"/>
      <c r="CR393" s="114"/>
      <c r="CS393" s="114"/>
      <c r="CT393" s="114"/>
      <c r="CU393" s="114"/>
      <c r="CV393" s="114"/>
      <c r="CW393" s="114"/>
      <c r="CX393" s="114"/>
      <c r="CY393" s="114"/>
      <c r="CZ393" s="114"/>
      <c r="DA393" s="114"/>
      <c r="DB393" s="114"/>
      <c r="DC393" s="114"/>
      <c r="DD393" s="114"/>
      <c r="DE393" s="114"/>
      <c r="DF393" s="114"/>
      <c r="DG393" s="114"/>
      <c r="DH393" s="114"/>
      <c r="DI393" s="114"/>
      <c r="DJ393" s="114"/>
      <c r="DK393" s="114"/>
      <c r="DL393" s="114"/>
      <c r="DM393" s="114"/>
      <c r="DN393" s="114"/>
      <c r="DO393" s="114"/>
      <c r="DP393" s="114"/>
      <c r="DQ393" s="114"/>
    </row>
    <row r="394" spans="1:121" ht="15" customHeight="1" outlineLevel="3" x14ac:dyDescent="0.25">
      <c r="A394" s="101"/>
      <c r="B394" s="101" t="s">
        <v>153</v>
      </c>
      <c r="C394" s="101">
        <v>4</v>
      </c>
      <c r="D394" s="102" t="s">
        <v>332</v>
      </c>
      <c r="E394" s="103"/>
      <c r="F394" s="103"/>
      <c r="G394" s="103"/>
      <c r="H394" s="124" t="s">
        <v>586</v>
      </c>
      <c r="I394" s="120"/>
      <c r="J394" s="120"/>
      <c r="K394" s="120"/>
      <c r="L394" s="120"/>
      <c r="M394" s="120"/>
      <c r="N394" s="120"/>
      <c r="O394" s="103" t="str">
        <f>H394</f>
        <v>2동 고온#1 Aging MSC</v>
      </c>
      <c r="P394" s="184"/>
      <c r="Q394" s="105">
        <v>45325</v>
      </c>
      <c r="R394" s="105">
        <v>45337</v>
      </c>
      <c r="S394" s="106"/>
      <c r="T394" s="107">
        <v>13</v>
      </c>
      <c r="U394" s="107">
        <v>0</v>
      </c>
      <c r="V394" s="107">
        <v>13</v>
      </c>
      <c r="W394" s="107">
        <v>0</v>
      </c>
      <c r="X394" s="108"/>
      <c r="Y394" s="108"/>
      <c r="Z394" s="109">
        <v>0</v>
      </c>
      <c r="AA394" s="110">
        <v>0</v>
      </c>
      <c r="AB394" s="107"/>
      <c r="AC394" s="119"/>
      <c r="AD394" s="180"/>
      <c r="AE394" s="111">
        <v>0</v>
      </c>
      <c r="AF394" s="122">
        <v>0</v>
      </c>
      <c r="AG394" s="113"/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/>
      <c r="BF394" s="114"/>
      <c r="BG394" s="114"/>
      <c r="BH394" s="114"/>
      <c r="BI394" s="114"/>
      <c r="BJ394" s="114"/>
      <c r="BK394" s="114"/>
      <c r="BL394" s="114"/>
      <c r="BM394" s="114"/>
      <c r="BN394" s="114"/>
      <c r="BO394" s="114"/>
      <c r="BP394" s="114"/>
      <c r="BQ394" s="114"/>
      <c r="BR394" s="114"/>
      <c r="BS394" s="114"/>
      <c r="BT394" s="114"/>
      <c r="BU394" s="114"/>
      <c r="BV394" s="114"/>
      <c r="BW394" s="114"/>
      <c r="BX394" s="114"/>
      <c r="BY394" s="114"/>
      <c r="BZ394" s="114"/>
      <c r="CA394" s="114"/>
      <c r="CB394" s="114"/>
      <c r="CC394" s="114"/>
      <c r="CD394" s="114"/>
      <c r="CE394" s="114"/>
      <c r="CF394" s="114"/>
      <c r="CG394" s="114" t="str">
        <f>"      " &amp; TEXT(AF394,"#0.00%") &amp; " " &amp; "2동 고온#1 Aging MSC" &amp; " " &amp; IF(Q394="","",TEXT(Q394,"M/D-")) &amp; IF(R394="","",TEXT(R394,"M/D")) &amp; " "</f>
        <v xml:space="preserve">      0.00% 2동 고온#1 Aging MSC 2/3-2/15 </v>
      </c>
      <c r="CH394" s="114"/>
      <c r="CI394" s="114"/>
      <c r="CJ394" s="114"/>
      <c r="CK394" s="114"/>
      <c r="CL394" s="114"/>
      <c r="CM394" s="114"/>
      <c r="CN394" s="114"/>
      <c r="CO394" s="114"/>
      <c r="CP394" s="114"/>
      <c r="CQ394" s="114"/>
      <c r="CR394" s="114"/>
      <c r="CS394" s="114"/>
      <c r="CT394" s="114"/>
      <c r="CU394" s="114"/>
      <c r="CV394" s="114"/>
      <c r="CW394" s="114"/>
      <c r="CX394" s="114"/>
      <c r="CY394" s="114"/>
      <c r="CZ394" s="114"/>
      <c r="DA394" s="114"/>
      <c r="DB394" s="114"/>
      <c r="DC394" s="114"/>
      <c r="DD394" s="114"/>
      <c r="DE394" s="114"/>
      <c r="DF394" s="114"/>
      <c r="DG394" s="114"/>
      <c r="DH394" s="114"/>
      <c r="DI394" s="114"/>
      <c r="DJ394" s="114"/>
      <c r="DK394" s="114"/>
      <c r="DL394" s="114"/>
      <c r="DM394" s="114"/>
      <c r="DN394" s="114"/>
      <c r="DO394" s="114"/>
      <c r="DP394" s="114"/>
      <c r="DQ394" s="114"/>
    </row>
    <row r="395" spans="1:121" ht="15" customHeight="1" outlineLevel="4" x14ac:dyDescent="0.25">
      <c r="A395" s="101"/>
      <c r="B395" s="101"/>
      <c r="C395" s="101">
        <v>5</v>
      </c>
      <c r="D395" s="102" t="s">
        <v>333</v>
      </c>
      <c r="E395" s="103"/>
      <c r="F395" s="103"/>
      <c r="G395" s="103"/>
      <c r="H395" s="103"/>
      <c r="I395" s="120" t="s">
        <v>773</v>
      </c>
      <c r="J395" s="120"/>
      <c r="K395" s="120"/>
      <c r="L395" s="120"/>
      <c r="M395" s="120"/>
      <c r="N395" s="120"/>
      <c r="O395" s="120" t="str">
        <f>O394</f>
        <v>2동 고온#1 Aging MSC</v>
      </c>
      <c r="P395" s="184"/>
      <c r="Q395" s="105">
        <v>45325</v>
      </c>
      <c r="R395" s="105">
        <v>45336</v>
      </c>
      <c r="S395" s="106">
        <f>R395-Q395</f>
        <v>11</v>
      </c>
      <c r="T395" s="107">
        <v>12</v>
      </c>
      <c r="U395" s="107">
        <v>0</v>
      </c>
      <c r="V395" s="107">
        <v>12</v>
      </c>
      <c r="W395" s="107">
        <v>0</v>
      </c>
      <c r="X395" s="108"/>
      <c r="Y395" s="108"/>
      <c r="Z395" s="109"/>
      <c r="AA395" s="110">
        <v>0</v>
      </c>
      <c r="AB395" s="107">
        <v>1</v>
      </c>
      <c r="AC395" s="119"/>
      <c r="AD395" s="180"/>
      <c r="AE395" s="111">
        <v>0</v>
      </c>
      <c r="AF395" s="121">
        <v>0</v>
      </c>
      <c r="AG395" s="113"/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/>
      <c r="BE395" s="114"/>
      <c r="BF395" s="114"/>
      <c r="BG395" s="114"/>
      <c r="BH395" s="114"/>
      <c r="BI395" s="114"/>
      <c r="BJ395" s="114"/>
      <c r="BK395" s="114"/>
      <c r="BL395" s="114"/>
      <c r="BM395" s="114"/>
      <c r="BN395" s="114"/>
      <c r="BO395" s="114"/>
      <c r="BP395" s="114"/>
      <c r="BQ395" s="114"/>
      <c r="BR395" s="114"/>
      <c r="BS395" s="114"/>
      <c r="BT395" s="114"/>
      <c r="BU395" s="114"/>
      <c r="BV395" s="114"/>
      <c r="BW395" s="114"/>
      <c r="BX395" s="114"/>
      <c r="BY395" s="114"/>
      <c r="BZ395" s="114"/>
      <c r="CA395" s="114"/>
      <c r="CB395" s="114"/>
      <c r="CC395" s="114"/>
      <c r="CD395" s="114"/>
      <c r="CE395" s="114"/>
      <c r="CF395" s="114"/>
      <c r="CG395" s="114" t="str">
        <f>"      " &amp; TEXT(AF395,"#0.00%") &amp; " " &amp; "Packing" &amp; " " &amp; IF(Q395="","",TEXT(Q395,"M/D-")) &amp; IF(R395="","",TEXT(R395,"M/D")) &amp; " "</f>
        <v xml:space="preserve">      0.00% Packing 2/3-2/14 </v>
      </c>
      <c r="CH395" s="114"/>
      <c r="CI395" s="114"/>
      <c r="CJ395" s="114"/>
      <c r="CK395" s="114"/>
      <c r="CL395" s="114"/>
      <c r="CM395" s="114"/>
      <c r="CN395" s="114"/>
      <c r="CO395" s="114"/>
      <c r="CP395" s="114"/>
      <c r="CQ395" s="114"/>
      <c r="CR395" s="114"/>
      <c r="CS395" s="114"/>
      <c r="CT395" s="114"/>
      <c r="CU395" s="114"/>
      <c r="CV395" s="114"/>
      <c r="CW395" s="114"/>
      <c r="CX395" s="114"/>
      <c r="CY395" s="114"/>
      <c r="CZ395" s="114"/>
      <c r="DA395" s="114"/>
      <c r="DB395" s="114"/>
      <c r="DC395" s="114"/>
      <c r="DD395" s="114"/>
      <c r="DE395" s="114"/>
      <c r="DF395" s="114"/>
      <c r="DG395" s="114"/>
      <c r="DH395" s="114"/>
      <c r="DI395" s="114"/>
      <c r="DJ395" s="114"/>
      <c r="DK395" s="114"/>
      <c r="DL395" s="114"/>
      <c r="DM395" s="114"/>
      <c r="DN395" s="114"/>
      <c r="DO395" s="114"/>
      <c r="DP395" s="114"/>
      <c r="DQ395" s="114"/>
    </row>
    <row r="396" spans="1:121" ht="15" customHeight="1" outlineLevel="4" x14ac:dyDescent="0.25">
      <c r="A396" s="101"/>
      <c r="B396" s="101"/>
      <c r="C396" s="101">
        <v>5</v>
      </c>
      <c r="D396" s="102" t="s">
        <v>334</v>
      </c>
      <c r="E396" s="103"/>
      <c r="F396" s="103"/>
      <c r="G396" s="103"/>
      <c r="H396" s="103"/>
      <c r="I396" s="120" t="s">
        <v>287</v>
      </c>
      <c r="J396" s="120"/>
      <c r="K396" s="120"/>
      <c r="L396" s="120"/>
      <c r="M396" s="120"/>
      <c r="N396" s="120"/>
      <c r="O396" s="120" t="str">
        <f>O395</f>
        <v>2동 고온#1 Aging MSC</v>
      </c>
      <c r="P396" s="184"/>
      <c r="Q396" s="105">
        <v>45337</v>
      </c>
      <c r="R396" s="105">
        <v>45337</v>
      </c>
      <c r="S396" s="106">
        <f>R396-Q396</f>
        <v>0</v>
      </c>
      <c r="T396" s="107">
        <v>1</v>
      </c>
      <c r="U396" s="107">
        <v>0</v>
      </c>
      <c r="V396" s="107">
        <v>1</v>
      </c>
      <c r="W396" s="107">
        <v>0</v>
      </c>
      <c r="X396" s="108"/>
      <c r="Y396" s="108"/>
      <c r="Z396" s="109"/>
      <c r="AA396" s="110">
        <v>0</v>
      </c>
      <c r="AB396" s="107">
        <v>1</v>
      </c>
      <c r="AC396" s="119"/>
      <c r="AD396" s="180"/>
      <c r="AE396" s="111">
        <v>0</v>
      </c>
      <c r="AF396" s="121">
        <v>0</v>
      </c>
      <c r="AG396" s="113"/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114"/>
      <c r="BC396" s="114"/>
      <c r="BD396" s="114"/>
      <c r="BE396" s="114"/>
      <c r="BF396" s="114"/>
      <c r="BG396" s="114"/>
      <c r="BH396" s="114"/>
      <c r="BI396" s="114"/>
      <c r="BJ396" s="114"/>
      <c r="BK396" s="114"/>
      <c r="BL396" s="114"/>
      <c r="BM396" s="114"/>
      <c r="BN396" s="114"/>
      <c r="BO396" s="114"/>
      <c r="BP396" s="114"/>
      <c r="BQ396" s="114"/>
      <c r="BR396" s="114"/>
      <c r="BS396" s="114"/>
      <c r="BT396" s="114"/>
      <c r="BU396" s="114"/>
      <c r="BV396" s="114"/>
      <c r="BW396" s="114"/>
      <c r="BX396" s="114"/>
      <c r="BY396" s="114"/>
      <c r="BZ396" s="114"/>
      <c r="CA396" s="114"/>
      <c r="CB396" s="114"/>
      <c r="CC396" s="114"/>
      <c r="CD396" s="114"/>
      <c r="CE396" s="114"/>
      <c r="CF396" s="114"/>
      <c r="CG396" s="114"/>
      <c r="CH396" s="114"/>
      <c r="CI396" s="114" t="str">
        <f>"    " &amp; TEXT(AF396,"#0.00%") &amp; " " &amp; "FOB" &amp; " " &amp; IF(Q396="","",TEXT(Q396,"M/D-")) &amp; IF(R396="","",TEXT(R396,"M/D")) &amp; " "</f>
        <v xml:space="preserve">    0.00% FOB 2/15-2/15 </v>
      </c>
      <c r="CJ396" s="114"/>
      <c r="CK396" s="114"/>
      <c r="CL396" s="114"/>
      <c r="CM396" s="114"/>
      <c r="CN396" s="114"/>
      <c r="CO396" s="114"/>
      <c r="CP396" s="114"/>
      <c r="CQ396" s="114"/>
      <c r="CR396" s="114"/>
      <c r="CS396" s="114"/>
      <c r="CT396" s="114"/>
      <c r="CU396" s="114"/>
      <c r="CV396" s="114"/>
      <c r="CW396" s="114"/>
      <c r="CX396" s="114"/>
      <c r="CY396" s="114"/>
      <c r="CZ396" s="114"/>
      <c r="DA396" s="114"/>
      <c r="DB396" s="114"/>
      <c r="DC396" s="114"/>
      <c r="DD396" s="114"/>
      <c r="DE396" s="114"/>
      <c r="DF396" s="114"/>
      <c r="DG396" s="114"/>
      <c r="DH396" s="114"/>
      <c r="DI396" s="114"/>
      <c r="DJ396" s="114"/>
      <c r="DK396" s="114"/>
      <c r="DL396" s="114"/>
      <c r="DM396" s="114"/>
      <c r="DN396" s="114"/>
      <c r="DO396" s="114"/>
      <c r="DP396" s="114"/>
      <c r="DQ396" s="114"/>
    </row>
    <row r="397" spans="1:121" ht="15" customHeight="1" outlineLevel="3" x14ac:dyDescent="0.25">
      <c r="A397" s="101"/>
      <c r="B397" s="101" t="s">
        <v>153</v>
      </c>
      <c r="C397" s="101">
        <v>4</v>
      </c>
      <c r="D397" s="102" t="s">
        <v>335</v>
      </c>
      <c r="E397" s="103"/>
      <c r="F397" s="103"/>
      <c r="G397" s="103"/>
      <c r="H397" s="124" t="s">
        <v>588</v>
      </c>
      <c r="I397" s="120"/>
      <c r="J397" s="120"/>
      <c r="K397" s="120"/>
      <c r="L397" s="120"/>
      <c r="M397" s="120"/>
      <c r="N397" s="120"/>
      <c r="O397" s="103" t="str">
        <f>H397</f>
        <v>2동 PPC MSC</v>
      </c>
      <c r="P397" s="184"/>
      <c r="Q397" s="105">
        <v>45294</v>
      </c>
      <c r="R397" s="105">
        <v>45311</v>
      </c>
      <c r="S397" s="106"/>
      <c r="T397" s="107">
        <v>17</v>
      </c>
      <c r="U397" s="107">
        <v>0</v>
      </c>
      <c r="V397" s="107">
        <v>18</v>
      </c>
      <c r="W397" s="107">
        <v>0</v>
      </c>
      <c r="X397" s="108"/>
      <c r="Y397" s="108"/>
      <c r="Z397" s="109">
        <v>0</v>
      </c>
      <c r="AA397" s="110">
        <v>0</v>
      </c>
      <c r="AB397" s="107"/>
      <c r="AC397" s="119"/>
      <c r="AD397" s="180"/>
      <c r="AE397" s="111">
        <v>0</v>
      </c>
      <c r="AF397" s="122">
        <v>0</v>
      </c>
      <c r="AG397" s="113"/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/>
      <c r="BF397" s="114"/>
      <c r="BG397" s="114"/>
      <c r="BH397" s="114"/>
      <c r="BI397" s="114"/>
      <c r="BJ397" s="114"/>
      <c r="BK397" s="114"/>
      <c r="BL397" s="114"/>
      <c r="BM397" s="114"/>
      <c r="BN397" s="114"/>
      <c r="BO397" s="114"/>
      <c r="BP397" s="114"/>
      <c r="BQ397" s="114"/>
      <c r="BR397" s="114"/>
      <c r="BS397" s="114"/>
      <c r="BT397" s="114"/>
      <c r="BU397" s="114"/>
      <c r="BV397" s="114"/>
      <c r="BW397" s="114"/>
      <c r="BX397" s="114"/>
      <c r="BY397" s="114"/>
      <c r="BZ397" s="114"/>
      <c r="CA397" s="114"/>
      <c r="CB397" s="114"/>
      <c r="CC397" s="114" t="str">
        <f>"   " &amp; TEXT(AF397,"#0.00%") &amp; " "</f>
        <v xml:space="preserve">   0.00% </v>
      </c>
      <c r="CD397" s="114"/>
      <c r="CE397" s="114"/>
      <c r="CF397" s="114" t="str">
        <f>"" &amp; "2동 PPC MSC" &amp; " " &amp; IF(Q397="","",TEXT(Q397,"M/D-")) &amp; IF(R397="","",TEXT(R397,"M/D")) &amp; " "</f>
        <v xml:space="preserve">2동 PPC MSC 1/3-1/20 </v>
      </c>
      <c r="CG397" s="114"/>
      <c r="CH397" s="114"/>
      <c r="CI397" s="114"/>
      <c r="CJ397" s="114"/>
      <c r="CK397" s="114"/>
      <c r="CL397" s="114"/>
      <c r="CM397" s="114"/>
      <c r="CN397" s="114"/>
      <c r="CO397" s="114"/>
      <c r="CP397" s="114"/>
      <c r="CQ397" s="114"/>
      <c r="CR397" s="114"/>
      <c r="CS397" s="114"/>
      <c r="CT397" s="114"/>
      <c r="CU397" s="114"/>
      <c r="CV397" s="114"/>
      <c r="CW397" s="114"/>
      <c r="CX397" s="114"/>
      <c r="CY397" s="114"/>
      <c r="CZ397" s="114"/>
      <c r="DA397" s="114"/>
      <c r="DB397" s="114"/>
      <c r="DC397" s="114"/>
      <c r="DD397" s="114"/>
      <c r="DE397" s="114"/>
      <c r="DF397" s="114"/>
      <c r="DG397" s="114"/>
      <c r="DH397" s="114"/>
      <c r="DI397" s="114"/>
      <c r="DJ397" s="114"/>
      <c r="DK397" s="114"/>
      <c r="DL397" s="114"/>
      <c r="DM397" s="114"/>
      <c r="DN397" s="114"/>
      <c r="DO397" s="114"/>
      <c r="DP397" s="114"/>
      <c r="DQ397" s="114"/>
    </row>
    <row r="398" spans="1:121" ht="15" customHeight="1" outlineLevel="4" x14ac:dyDescent="0.25">
      <c r="A398" s="101"/>
      <c r="B398" s="101"/>
      <c r="C398" s="101">
        <v>5</v>
      </c>
      <c r="D398" s="102" t="s">
        <v>336</v>
      </c>
      <c r="E398" s="103"/>
      <c r="F398" s="103"/>
      <c r="G398" s="103"/>
      <c r="H398" s="103"/>
      <c r="I398" s="120" t="s">
        <v>773</v>
      </c>
      <c r="J398" s="120"/>
      <c r="K398" s="120"/>
      <c r="L398" s="120"/>
      <c r="M398" s="120"/>
      <c r="N398" s="120"/>
      <c r="O398" s="120" t="str">
        <f>O397</f>
        <v>2동 PPC MSC</v>
      </c>
      <c r="P398" s="184"/>
      <c r="Q398" s="105">
        <v>45294</v>
      </c>
      <c r="R398" s="105">
        <v>45309</v>
      </c>
      <c r="S398" s="106">
        <f>R398-Q398</f>
        <v>15</v>
      </c>
      <c r="T398" s="107">
        <v>16</v>
      </c>
      <c r="U398" s="107">
        <v>0</v>
      </c>
      <c r="V398" s="107">
        <v>16</v>
      </c>
      <c r="W398" s="107">
        <v>0</v>
      </c>
      <c r="X398" s="108"/>
      <c r="Y398" s="108"/>
      <c r="Z398" s="109"/>
      <c r="AA398" s="110">
        <v>0</v>
      </c>
      <c r="AB398" s="107">
        <v>1</v>
      </c>
      <c r="AC398" s="119"/>
      <c r="AD398" s="180"/>
      <c r="AE398" s="111">
        <v>0</v>
      </c>
      <c r="AF398" s="121">
        <v>0</v>
      </c>
      <c r="AG398" s="113"/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  <c r="BB398" s="114"/>
      <c r="BC398" s="114"/>
      <c r="BD398" s="114"/>
      <c r="BE398" s="114"/>
      <c r="BF398" s="114"/>
      <c r="BG398" s="114"/>
      <c r="BH398" s="114"/>
      <c r="BI398" s="114"/>
      <c r="BJ398" s="114"/>
      <c r="BK398" s="114"/>
      <c r="BL398" s="114"/>
      <c r="BM398" s="114"/>
      <c r="BN398" s="114"/>
      <c r="BO398" s="114"/>
      <c r="BP398" s="114"/>
      <c r="BQ398" s="114"/>
      <c r="BR398" s="114"/>
      <c r="BS398" s="114"/>
      <c r="BT398" s="114"/>
      <c r="BU398" s="114"/>
      <c r="BV398" s="114"/>
      <c r="BW398" s="114"/>
      <c r="BX398" s="114"/>
      <c r="BY398" s="114"/>
      <c r="BZ398" s="114"/>
      <c r="CA398" s="114"/>
      <c r="CB398" s="114"/>
      <c r="CC398" s="114" t="str">
        <f>"   " &amp; TEXT(AF398,"#0.00%") &amp; " " &amp; "Packing" &amp; " " &amp; IF(Q398="","",TEXT(Q398,"M/D-")) &amp; IF(R398="","",TEXT(R398,"M/D")) &amp; " "</f>
        <v xml:space="preserve">   0.00% Packing 1/3-1/18 </v>
      </c>
      <c r="CD398" s="114"/>
      <c r="CE398" s="114"/>
      <c r="CF398" s="114"/>
      <c r="CG398" s="114"/>
      <c r="CH398" s="114"/>
      <c r="CI398" s="114"/>
      <c r="CJ398" s="114"/>
      <c r="CK398" s="114"/>
      <c r="CL398" s="114"/>
      <c r="CM398" s="114"/>
      <c r="CN398" s="114"/>
      <c r="CO398" s="114"/>
      <c r="CP398" s="114"/>
      <c r="CQ398" s="114"/>
      <c r="CR398" s="114"/>
      <c r="CS398" s="114"/>
      <c r="CT398" s="114"/>
      <c r="CU398" s="114"/>
      <c r="CV398" s="114"/>
      <c r="CW398" s="114"/>
      <c r="CX398" s="114"/>
      <c r="CY398" s="114"/>
      <c r="CZ398" s="114"/>
      <c r="DA398" s="114"/>
      <c r="DB398" s="114"/>
      <c r="DC398" s="114"/>
      <c r="DD398" s="114"/>
      <c r="DE398" s="114"/>
      <c r="DF398" s="114"/>
      <c r="DG398" s="114"/>
      <c r="DH398" s="114"/>
      <c r="DI398" s="114"/>
      <c r="DJ398" s="114"/>
      <c r="DK398" s="114"/>
      <c r="DL398" s="114"/>
      <c r="DM398" s="114"/>
      <c r="DN398" s="114"/>
      <c r="DO398" s="114"/>
      <c r="DP398" s="114"/>
      <c r="DQ398" s="114"/>
    </row>
    <row r="399" spans="1:121" ht="15" customHeight="1" outlineLevel="4" x14ac:dyDescent="0.25">
      <c r="A399" s="101"/>
      <c r="B399" s="101"/>
      <c r="C399" s="101">
        <v>5</v>
      </c>
      <c r="D399" s="102" t="s">
        <v>337</v>
      </c>
      <c r="E399" s="103"/>
      <c r="F399" s="103"/>
      <c r="G399" s="103"/>
      <c r="H399" s="103"/>
      <c r="I399" s="120" t="s">
        <v>287</v>
      </c>
      <c r="J399" s="120"/>
      <c r="K399" s="120"/>
      <c r="L399" s="120"/>
      <c r="M399" s="120"/>
      <c r="N399" s="120"/>
      <c r="O399" s="120" t="str">
        <f>O398</f>
        <v>2동 PPC MSC</v>
      </c>
      <c r="P399" s="184"/>
      <c r="Q399" s="105">
        <v>45311</v>
      </c>
      <c r="R399" s="105">
        <v>45311</v>
      </c>
      <c r="S399" s="106">
        <f>R399-Q399</f>
        <v>0</v>
      </c>
      <c r="T399" s="107">
        <v>1</v>
      </c>
      <c r="U399" s="107">
        <v>0</v>
      </c>
      <c r="V399" s="107">
        <v>1</v>
      </c>
      <c r="W399" s="107">
        <v>0</v>
      </c>
      <c r="X399" s="108"/>
      <c r="Y399" s="108"/>
      <c r="Z399" s="109"/>
      <c r="AA399" s="110">
        <v>0</v>
      </c>
      <c r="AB399" s="107">
        <v>1</v>
      </c>
      <c r="AC399" s="119"/>
      <c r="AD399" s="180"/>
      <c r="AE399" s="111">
        <v>0</v>
      </c>
      <c r="AF399" s="121">
        <v>0</v>
      </c>
      <c r="AG399" s="113"/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  <c r="BB399" s="114"/>
      <c r="BC399" s="114"/>
      <c r="BD399" s="114"/>
      <c r="BE399" s="114"/>
      <c r="BF399" s="114"/>
      <c r="BG399" s="114"/>
      <c r="BH399" s="114"/>
      <c r="BI399" s="114"/>
      <c r="BJ399" s="114"/>
      <c r="BK399" s="114"/>
      <c r="BL399" s="114"/>
      <c r="BM399" s="114"/>
      <c r="BN399" s="114"/>
      <c r="BO399" s="114"/>
      <c r="BP399" s="114"/>
      <c r="BQ399" s="114"/>
      <c r="BR399" s="114"/>
      <c r="BS399" s="114"/>
      <c r="BT399" s="114"/>
      <c r="BU399" s="114"/>
      <c r="BV399" s="114"/>
      <c r="BW399" s="114"/>
      <c r="BX399" s="114"/>
      <c r="BY399" s="114"/>
      <c r="BZ399" s="114"/>
      <c r="CA399" s="114"/>
      <c r="CB399" s="114"/>
      <c r="CC399" s="114"/>
      <c r="CD399" s="114"/>
      <c r="CE399" s="114" t="str">
        <f>"      " &amp; TEXT(AF399,"#0.00%") &amp; " " &amp; "FOB" &amp; " " &amp; IF(Q399="","",TEXT(Q399,"M/D-")) &amp; IF(R399="","",TEXT(R399,"M/D")) &amp; " "</f>
        <v xml:space="preserve">      0.00% FOB 1/20-1/20 </v>
      </c>
      <c r="CF399" s="114"/>
      <c r="CG399" s="114"/>
      <c r="CH399" s="114"/>
      <c r="CI399" s="114"/>
      <c r="CJ399" s="114"/>
      <c r="CK399" s="114"/>
      <c r="CL399" s="114"/>
      <c r="CM399" s="114"/>
      <c r="CN399" s="114"/>
      <c r="CO399" s="114"/>
      <c r="CP399" s="114"/>
      <c r="CQ399" s="114"/>
      <c r="CR399" s="114"/>
      <c r="CS399" s="114"/>
      <c r="CT399" s="114"/>
      <c r="CU399" s="114"/>
      <c r="CV399" s="114"/>
      <c r="CW399" s="114"/>
      <c r="CX399" s="114"/>
      <c r="CY399" s="114"/>
      <c r="CZ399" s="114"/>
      <c r="DA399" s="114"/>
      <c r="DB399" s="114"/>
      <c r="DC399" s="114"/>
      <c r="DD399" s="114"/>
      <c r="DE399" s="114"/>
      <c r="DF399" s="114"/>
      <c r="DG399" s="114"/>
      <c r="DH399" s="114"/>
      <c r="DI399" s="114"/>
      <c r="DJ399" s="114"/>
      <c r="DK399" s="114"/>
      <c r="DL399" s="114"/>
      <c r="DM399" s="114"/>
      <c r="DN399" s="114"/>
      <c r="DO399" s="114"/>
      <c r="DP399" s="114"/>
      <c r="DQ399" s="114"/>
    </row>
    <row r="400" spans="1:121" ht="15" customHeight="1" outlineLevel="3" x14ac:dyDescent="0.25">
      <c r="A400" s="101"/>
      <c r="B400" s="101" t="s">
        <v>153</v>
      </c>
      <c r="C400" s="101">
        <v>4</v>
      </c>
      <c r="D400" s="102" t="s">
        <v>338</v>
      </c>
      <c r="E400" s="103"/>
      <c r="F400" s="103"/>
      <c r="G400" s="103"/>
      <c r="H400" s="103" t="s">
        <v>590</v>
      </c>
      <c r="I400" s="120"/>
      <c r="J400" s="120"/>
      <c r="K400" s="120"/>
      <c r="L400" s="120"/>
      <c r="M400" s="120"/>
      <c r="N400" s="120"/>
      <c r="O400" s="103" t="str">
        <f>H400</f>
        <v>2동 충방전 MSC</v>
      </c>
      <c r="P400" s="184"/>
      <c r="Q400" s="105">
        <v>45294</v>
      </c>
      <c r="R400" s="105">
        <v>45311</v>
      </c>
      <c r="S400" s="106"/>
      <c r="T400" s="107">
        <v>17</v>
      </c>
      <c r="U400" s="107">
        <v>0</v>
      </c>
      <c r="V400" s="107">
        <v>18</v>
      </c>
      <c r="W400" s="107">
        <v>0</v>
      </c>
      <c r="X400" s="108"/>
      <c r="Y400" s="108"/>
      <c r="Z400" s="109">
        <v>0</v>
      </c>
      <c r="AA400" s="110">
        <v>0</v>
      </c>
      <c r="AB400" s="107"/>
      <c r="AC400" s="119"/>
      <c r="AD400" s="180"/>
      <c r="AE400" s="111">
        <v>0</v>
      </c>
      <c r="AF400" s="122">
        <v>0</v>
      </c>
      <c r="AG400" s="113"/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  <c r="BB400" s="114"/>
      <c r="BC400" s="114"/>
      <c r="BD400" s="114"/>
      <c r="BE400" s="114"/>
      <c r="BF400" s="114"/>
      <c r="BG400" s="114"/>
      <c r="BH400" s="114"/>
      <c r="BI400" s="114"/>
      <c r="BJ400" s="114"/>
      <c r="BK400" s="114"/>
      <c r="BL400" s="114"/>
      <c r="BM400" s="114"/>
      <c r="BN400" s="114"/>
      <c r="BO400" s="114"/>
      <c r="BP400" s="114"/>
      <c r="BQ400" s="114"/>
      <c r="BR400" s="114"/>
      <c r="BS400" s="114"/>
      <c r="BT400" s="114"/>
      <c r="BU400" s="114"/>
      <c r="BV400" s="114"/>
      <c r="BW400" s="114"/>
      <c r="BX400" s="114"/>
      <c r="BY400" s="114"/>
      <c r="BZ400" s="114"/>
      <c r="CA400" s="114"/>
      <c r="CB400" s="114"/>
      <c r="CC400" s="114" t="str">
        <f>"   " &amp; TEXT(AF400,"#0.00%") &amp; " "</f>
        <v xml:space="preserve">   0.00% </v>
      </c>
      <c r="CD400" s="114"/>
      <c r="CE400" s="114"/>
      <c r="CF400" s="114" t="str">
        <f>"" &amp; "2동 충방전 MSC" &amp; " " &amp; IF(Q400="","",TEXT(Q400,"M/D-")) &amp; IF(R400="","",TEXT(R400,"M/D")) &amp; " "</f>
        <v xml:space="preserve">2동 충방전 MSC 1/3-1/20 </v>
      </c>
      <c r="CG400" s="114"/>
      <c r="CH400" s="114"/>
      <c r="CI400" s="114"/>
      <c r="CJ400" s="114"/>
      <c r="CK400" s="114"/>
      <c r="CL400" s="114"/>
      <c r="CM400" s="114"/>
      <c r="CN400" s="114"/>
      <c r="CO400" s="114"/>
      <c r="CP400" s="114"/>
      <c r="CQ400" s="114"/>
      <c r="CR400" s="114"/>
      <c r="CS400" s="114"/>
      <c r="CT400" s="114"/>
      <c r="CU400" s="114"/>
      <c r="CV400" s="114"/>
      <c r="CW400" s="114"/>
      <c r="CX400" s="114"/>
      <c r="CY400" s="114"/>
      <c r="CZ400" s="114"/>
      <c r="DA400" s="114"/>
      <c r="DB400" s="114"/>
      <c r="DC400" s="114"/>
      <c r="DD400" s="114"/>
      <c r="DE400" s="114"/>
      <c r="DF400" s="114"/>
      <c r="DG400" s="114"/>
      <c r="DH400" s="114"/>
      <c r="DI400" s="114"/>
      <c r="DJ400" s="114"/>
      <c r="DK400" s="114"/>
      <c r="DL400" s="114"/>
      <c r="DM400" s="114"/>
      <c r="DN400" s="114"/>
      <c r="DO400" s="114"/>
      <c r="DP400" s="114"/>
      <c r="DQ400" s="114"/>
    </row>
    <row r="401" spans="1:121" ht="15" customHeight="1" outlineLevel="4" x14ac:dyDescent="0.25">
      <c r="A401" s="101"/>
      <c r="B401" s="101"/>
      <c r="C401" s="101">
        <v>5</v>
      </c>
      <c r="D401" s="102" t="s">
        <v>339</v>
      </c>
      <c r="E401" s="103"/>
      <c r="F401" s="103"/>
      <c r="G401" s="103"/>
      <c r="H401" s="103"/>
      <c r="I401" s="120" t="s">
        <v>773</v>
      </c>
      <c r="J401" s="120"/>
      <c r="K401" s="120"/>
      <c r="L401" s="120"/>
      <c r="M401" s="120"/>
      <c r="N401" s="120"/>
      <c r="O401" s="120" t="str">
        <f>O400</f>
        <v>2동 충방전 MSC</v>
      </c>
      <c r="P401" s="184"/>
      <c r="Q401" s="105">
        <v>45294</v>
      </c>
      <c r="R401" s="105">
        <v>45309</v>
      </c>
      <c r="S401" s="106">
        <f>R401-Q401</f>
        <v>15</v>
      </c>
      <c r="T401" s="107">
        <v>16</v>
      </c>
      <c r="U401" s="107">
        <v>0</v>
      </c>
      <c r="V401" s="107">
        <v>16</v>
      </c>
      <c r="W401" s="107">
        <v>0</v>
      </c>
      <c r="X401" s="108"/>
      <c r="Y401" s="108"/>
      <c r="Z401" s="109"/>
      <c r="AA401" s="110">
        <v>0</v>
      </c>
      <c r="AB401" s="107">
        <v>1</v>
      </c>
      <c r="AC401" s="119"/>
      <c r="AD401" s="180"/>
      <c r="AE401" s="111">
        <v>0</v>
      </c>
      <c r="AF401" s="121">
        <v>0</v>
      </c>
      <c r="AG401" s="113"/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  <c r="BB401" s="114"/>
      <c r="BC401" s="114"/>
      <c r="BD401" s="114"/>
      <c r="BE401" s="114"/>
      <c r="BF401" s="114"/>
      <c r="BG401" s="114"/>
      <c r="BH401" s="114"/>
      <c r="BI401" s="114"/>
      <c r="BJ401" s="114"/>
      <c r="BK401" s="114"/>
      <c r="BL401" s="114"/>
      <c r="BM401" s="114"/>
      <c r="BN401" s="114"/>
      <c r="BO401" s="114"/>
      <c r="BP401" s="114"/>
      <c r="BQ401" s="114"/>
      <c r="BR401" s="114"/>
      <c r="BS401" s="114"/>
      <c r="BT401" s="114"/>
      <c r="BU401" s="114"/>
      <c r="BV401" s="114"/>
      <c r="BW401" s="114"/>
      <c r="BX401" s="114"/>
      <c r="BY401" s="114"/>
      <c r="BZ401" s="114"/>
      <c r="CA401" s="114"/>
      <c r="CB401" s="114"/>
      <c r="CC401" s="114" t="str">
        <f>"   " &amp; TEXT(AF401,"#0.00%") &amp; " " &amp; "Packing" &amp; " " &amp; IF(Q401="","",TEXT(Q401,"M/D-")) &amp; IF(R401="","",TEXT(R401,"M/D")) &amp; " "</f>
        <v xml:space="preserve">   0.00% Packing 1/3-1/18 </v>
      </c>
      <c r="CD401" s="114"/>
      <c r="CE401" s="114"/>
      <c r="CF401" s="114"/>
      <c r="CG401" s="114"/>
      <c r="CH401" s="114"/>
      <c r="CI401" s="114"/>
      <c r="CJ401" s="114"/>
      <c r="CK401" s="114"/>
      <c r="CL401" s="114"/>
      <c r="CM401" s="114"/>
      <c r="CN401" s="114"/>
      <c r="CO401" s="114"/>
      <c r="CP401" s="114"/>
      <c r="CQ401" s="114"/>
      <c r="CR401" s="114"/>
      <c r="CS401" s="114"/>
      <c r="CT401" s="114"/>
      <c r="CU401" s="114"/>
      <c r="CV401" s="114"/>
      <c r="CW401" s="114"/>
      <c r="CX401" s="114"/>
      <c r="CY401" s="114"/>
      <c r="CZ401" s="114"/>
      <c r="DA401" s="114"/>
      <c r="DB401" s="114"/>
      <c r="DC401" s="114"/>
      <c r="DD401" s="114"/>
      <c r="DE401" s="114"/>
      <c r="DF401" s="114"/>
      <c r="DG401" s="114"/>
      <c r="DH401" s="114"/>
      <c r="DI401" s="114"/>
      <c r="DJ401" s="114"/>
      <c r="DK401" s="114"/>
      <c r="DL401" s="114"/>
      <c r="DM401" s="114"/>
      <c r="DN401" s="114"/>
      <c r="DO401" s="114"/>
      <c r="DP401" s="114"/>
      <c r="DQ401" s="114"/>
    </row>
    <row r="402" spans="1:121" ht="15" customHeight="1" outlineLevel="4" x14ac:dyDescent="0.25">
      <c r="A402" s="101"/>
      <c r="B402" s="101"/>
      <c r="C402" s="101">
        <v>5</v>
      </c>
      <c r="D402" s="102" t="s">
        <v>340</v>
      </c>
      <c r="E402" s="103"/>
      <c r="F402" s="103"/>
      <c r="G402" s="103"/>
      <c r="H402" s="103"/>
      <c r="I402" s="120" t="s">
        <v>287</v>
      </c>
      <c r="J402" s="120"/>
      <c r="K402" s="120"/>
      <c r="L402" s="120"/>
      <c r="M402" s="120"/>
      <c r="N402" s="120"/>
      <c r="O402" s="120" t="str">
        <f>O401</f>
        <v>2동 충방전 MSC</v>
      </c>
      <c r="P402" s="184"/>
      <c r="Q402" s="105">
        <v>45311</v>
      </c>
      <c r="R402" s="105">
        <v>45311</v>
      </c>
      <c r="S402" s="106">
        <f>R402-Q402</f>
        <v>0</v>
      </c>
      <c r="T402" s="107">
        <v>1</v>
      </c>
      <c r="U402" s="107">
        <v>0</v>
      </c>
      <c r="V402" s="107">
        <v>1</v>
      </c>
      <c r="W402" s="107">
        <v>0</v>
      </c>
      <c r="X402" s="108"/>
      <c r="Y402" s="108"/>
      <c r="Z402" s="109"/>
      <c r="AA402" s="110">
        <v>0</v>
      </c>
      <c r="AB402" s="107">
        <v>1</v>
      </c>
      <c r="AC402" s="119"/>
      <c r="AD402" s="180"/>
      <c r="AE402" s="111">
        <v>0</v>
      </c>
      <c r="AF402" s="121">
        <v>0</v>
      </c>
      <c r="AG402" s="113"/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14"/>
      <c r="AU402" s="114"/>
      <c r="AV402" s="114"/>
      <c r="AW402" s="114"/>
      <c r="AX402" s="114"/>
      <c r="AY402" s="114"/>
      <c r="AZ402" s="114"/>
      <c r="BA402" s="114"/>
      <c r="BB402" s="114"/>
      <c r="BC402" s="114"/>
      <c r="BD402" s="114"/>
      <c r="BE402" s="114"/>
      <c r="BF402" s="114"/>
      <c r="BG402" s="114"/>
      <c r="BH402" s="114"/>
      <c r="BI402" s="114"/>
      <c r="BJ402" s="114"/>
      <c r="BK402" s="114"/>
      <c r="BL402" s="114"/>
      <c r="BM402" s="114"/>
      <c r="BN402" s="114"/>
      <c r="BO402" s="114"/>
      <c r="BP402" s="114"/>
      <c r="BQ402" s="114"/>
      <c r="BR402" s="114"/>
      <c r="BS402" s="114"/>
      <c r="BT402" s="114"/>
      <c r="BU402" s="114"/>
      <c r="BV402" s="114"/>
      <c r="BW402" s="114"/>
      <c r="BX402" s="114"/>
      <c r="BY402" s="114"/>
      <c r="BZ402" s="114"/>
      <c r="CA402" s="114"/>
      <c r="CB402" s="114"/>
      <c r="CC402" s="114"/>
      <c r="CD402" s="114"/>
      <c r="CE402" s="114" t="str">
        <f>"      " &amp; TEXT(AF402,"#0.00%") &amp; " " &amp; "FOB" &amp; " " &amp; IF(Q402="","",TEXT(Q402,"M/D-")) &amp; IF(R402="","",TEXT(R402,"M/D")) &amp; " "</f>
        <v xml:space="preserve">      0.00% FOB 1/20-1/20 </v>
      </c>
      <c r="CF402" s="114"/>
      <c r="CG402" s="114"/>
      <c r="CH402" s="114"/>
      <c r="CI402" s="114"/>
      <c r="CJ402" s="114"/>
      <c r="CK402" s="114"/>
      <c r="CL402" s="114"/>
      <c r="CM402" s="114"/>
      <c r="CN402" s="114"/>
      <c r="CO402" s="114"/>
      <c r="CP402" s="114"/>
      <c r="CQ402" s="114"/>
      <c r="CR402" s="114"/>
      <c r="CS402" s="114"/>
      <c r="CT402" s="114"/>
      <c r="CU402" s="114"/>
      <c r="CV402" s="114"/>
      <c r="CW402" s="114"/>
      <c r="CX402" s="114"/>
      <c r="CY402" s="114"/>
      <c r="CZ402" s="114"/>
      <c r="DA402" s="114"/>
      <c r="DB402" s="114"/>
      <c r="DC402" s="114"/>
      <c r="DD402" s="114"/>
      <c r="DE402" s="114"/>
      <c r="DF402" s="114"/>
      <c r="DG402" s="114"/>
      <c r="DH402" s="114"/>
      <c r="DI402" s="114"/>
      <c r="DJ402" s="114"/>
      <c r="DK402" s="114"/>
      <c r="DL402" s="114"/>
      <c r="DM402" s="114"/>
      <c r="DN402" s="114"/>
      <c r="DO402" s="114"/>
      <c r="DP402" s="114"/>
      <c r="DQ402" s="114"/>
    </row>
    <row r="403" spans="1:121" ht="15" customHeight="1" outlineLevel="3" x14ac:dyDescent="0.25">
      <c r="A403" s="101"/>
      <c r="B403" s="101" t="s">
        <v>153</v>
      </c>
      <c r="C403" s="101">
        <v>4</v>
      </c>
      <c r="D403" s="102" t="s">
        <v>341</v>
      </c>
      <c r="E403" s="103"/>
      <c r="F403" s="103"/>
      <c r="G403" s="103"/>
      <c r="H403" s="103" t="s">
        <v>592</v>
      </c>
      <c r="I403" s="120"/>
      <c r="J403" s="120"/>
      <c r="K403" s="120"/>
      <c r="L403" s="120"/>
      <c r="M403" s="120"/>
      <c r="N403" s="120"/>
      <c r="O403" s="103" t="str">
        <f>H403</f>
        <v>2동 고온#2 Aging MSC</v>
      </c>
      <c r="P403" s="184"/>
      <c r="Q403" s="105">
        <v>45311</v>
      </c>
      <c r="R403" s="105">
        <v>45325</v>
      </c>
      <c r="S403" s="106"/>
      <c r="T403" s="107">
        <v>15</v>
      </c>
      <c r="U403" s="107">
        <v>0</v>
      </c>
      <c r="V403" s="107">
        <v>15</v>
      </c>
      <c r="W403" s="107">
        <v>0</v>
      </c>
      <c r="X403" s="108"/>
      <c r="Y403" s="108"/>
      <c r="Z403" s="109">
        <v>0</v>
      </c>
      <c r="AA403" s="110">
        <v>0</v>
      </c>
      <c r="AB403" s="107"/>
      <c r="AC403" s="119"/>
      <c r="AD403" s="180"/>
      <c r="AE403" s="111">
        <v>0</v>
      </c>
      <c r="AF403" s="122">
        <v>0</v>
      </c>
      <c r="AG403" s="113"/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114"/>
      <c r="BA403" s="114"/>
      <c r="BB403" s="114"/>
      <c r="BC403" s="114"/>
      <c r="BD403" s="114"/>
      <c r="BE403" s="114"/>
      <c r="BF403" s="114"/>
      <c r="BG403" s="114"/>
      <c r="BH403" s="114"/>
      <c r="BI403" s="114"/>
      <c r="BJ403" s="114"/>
      <c r="BK403" s="114"/>
      <c r="BL403" s="114"/>
      <c r="BM403" s="114"/>
      <c r="BN403" s="114"/>
      <c r="BO403" s="114"/>
      <c r="BP403" s="114"/>
      <c r="BQ403" s="114"/>
      <c r="BR403" s="114"/>
      <c r="BS403" s="114"/>
      <c r="BT403" s="114"/>
      <c r="BU403" s="114"/>
      <c r="BV403" s="114"/>
      <c r="BW403" s="114"/>
      <c r="BX403" s="114"/>
      <c r="BY403" s="114"/>
      <c r="BZ403" s="114"/>
      <c r="CA403" s="114"/>
      <c r="CB403" s="114"/>
      <c r="CC403" s="114"/>
      <c r="CD403" s="114"/>
      <c r="CE403" s="114" t="str">
        <f>"      " &amp; TEXT(AF403,"#0.00%") &amp; " " &amp; "2동 고온#2 Aging MSC" &amp; " " &amp; IF(Q403="","",TEXT(Q403,"M/D-")) &amp; IF(R403="","",TEXT(R403,"M/D")) &amp; " "</f>
        <v xml:space="preserve">      0.00% 2동 고온#2 Aging MSC 1/20-2/3 </v>
      </c>
      <c r="CF403" s="114"/>
      <c r="CG403" s="114"/>
      <c r="CH403" s="114"/>
      <c r="CI403" s="114"/>
      <c r="CJ403" s="114"/>
      <c r="CK403" s="114"/>
      <c r="CL403" s="114"/>
      <c r="CM403" s="114"/>
      <c r="CN403" s="114"/>
      <c r="CO403" s="114"/>
      <c r="CP403" s="114"/>
      <c r="CQ403" s="114"/>
      <c r="CR403" s="114"/>
      <c r="CS403" s="114"/>
      <c r="CT403" s="114"/>
      <c r="CU403" s="114"/>
      <c r="CV403" s="114"/>
      <c r="CW403" s="114"/>
      <c r="CX403" s="114"/>
      <c r="CY403" s="114"/>
      <c r="CZ403" s="114"/>
      <c r="DA403" s="114"/>
      <c r="DB403" s="114"/>
      <c r="DC403" s="114"/>
      <c r="DD403" s="114"/>
      <c r="DE403" s="114"/>
      <c r="DF403" s="114"/>
      <c r="DG403" s="114"/>
      <c r="DH403" s="114"/>
      <c r="DI403" s="114"/>
      <c r="DJ403" s="114"/>
      <c r="DK403" s="114"/>
      <c r="DL403" s="114"/>
      <c r="DM403" s="114"/>
      <c r="DN403" s="114"/>
      <c r="DO403" s="114"/>
      <c r="DP403" s="114"/>
      <c r="DQ403" s="114"/>
    </row>
    <row r="404" spans="1:121" ht="15" customHeight="1" outlineLevel="4" x14ac:dyDescent="0.25">
      <c r="A404" s="101"/>
      <c r="B404" s="101"/>
      <c r="C404" s="101">
        <v>5</v>
      </c>
      <c r="D404" s="102" t="s">
        <v>342</v>
      </c>
      <c r="E404" s="103"/>
      <c r="F404" s="103"/>
      <c r="G404" s="103"/>
      <c r="H404" s="103"/>
      <c r="I404" s="120" t="s">
        <v>773</v>
      </c>
      <c r="J404" s="120"/>
      <c r="K404" s="120"/>
      <c r="L404" s="120"/>
      <c r="M404" s="120"/>
      <c r="N404" s="120"/>
      <c r="O404" s="120" t="str">
        <f>O403</f>
        <v>2동 고온#2 Aging MSC</v>
      </c>
      <c r="P404" s="184"/>
      <c r="Q404" s="105">
        <v>45311</v>
      </c>
      <c r="R404" s="105">
        <v>45324</v>
      </c>
      <c r="S404" s="106">
        <f>R404-Q404</f>
        <v>13</v>
      </c>
      <c r="T404" s="107">
        <v>14</v>
      </c>
      <c r="U404" s="107">
        <v>0</v>
      </c>
      <c r="V404" s="107">
        <v>14</v>
      </c>
      <c r="W404" s="107">
        <v>0</v>
      </c>
      <c r="X404" s="108"/>
      <c r="Y404" s="108"/>
      <c r="Z404" s="109"/>
      <c r="AA404" s="110">
        <v>0</v>
      </c>
      <c r="AB404" s="107">
        <v>1</v>
      </c>
      <c r="AC404" s="119"/>
      <c r="AD404" s="180"/>
      <c r="AE404" s="111">
        <v>0</v>
      </c>
      <c r="AF404" s="121">
        <v>0</v>
      </c>
      <c r="AG404" s="113"/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114"/>
      <c r="BA404" s="114"/>
      <c r="BB404" s="114"/>
      <c r="BC404" s="114"/>
      <c r="BD404" s="114"/>
      <c r="BE404" s="114"/>
      <c r="BF404" s="114"/>
      <c r="BG404" s="114"/>
      <c r="BH404" s="114"/>
      <c r="BI404" s="114"/>
      <c r="BJ404" s="114"/>
      <c r="BK404" s="114"/>
      <c r="BL404" s="114"/>
      <c r="BM404" s="114"/>
      <c r="BN404" s="114"/>
      <c r="BO404" s="114"/>
      <c r="BP404" s="114"/>
      <c r="BQ404" s="114"/>
      <c r="BR404" s="114"/>
      <c r="BS404" s="114"/>
      <c r="BT404" s="114"/>
      <c r="BU404" s="114"/>
      <c r="BV404" s="114"/>
      <c r="BW404" s="114"/>
      <c r="BX404" s="114"/>
      <c r="BY404" s="114"/>
      <c r="BZ404" s="114"/>
      <c r="CA404" s="114"/>
      <c r="CB404" s="114"/>
      <c r="CC404" s="114"/>
      <c r="CD404" s="114"/>
      <c r="CE404" s="114" t="str">
        <f>"      " &amp; TEXT(AF404,"#0.00%") &amp; " " &amp; "Packing" &amp; " " &amp; IF(Q404="","",TEXT(Q404,"M/D-")) &amp; IF(R404="","",TEXT(R404,"M/D")) &amp; " "</f>
        <v xml:space="preserve">      0.00% Packing 1/20-2/2 </v>
      </c>
      <c r="CF404" s="114"/>
      <c r="CG404" s="114"/>
      <c r="CH404" s="114"/>
      <c r="CI404" s="114"/>
      <c r="CJ404" s="114"/>
      <c r="CK404" s="114"/>
      <c r="CL404" s="114"/>
      <c r="CM404" s="114"/>
      <c r="CN404" s="114"/>
      <c r="CO404" s="114"/>
      <c r="CP404" s="114"/>
      <c r="CQ404" s="114"/>
      <c r="CR404" s="114"/>
      <c r="CS404" s="114"/>
      <c r="CT404" s="114"/>
      <c r="CU404" s="114"/>
      <c r="CV404" s="114"/>
      <c r="CW404" s="114"/>
      <c r="CX404" s="114"/>
      <c r="CY404" s="114"/>
      <c r="CZ404" s="114"/>
      <c r="DA404" s="114"/>
      <c r="DB404" s="114"/>
      <c r="DC404" s="114"/>
      <c r="DD404" s="114"/>
      <c r="DE404" s="114"/>
      <c r="DF404" s="114"/>
      <c r="DG404" s="114"/>
      <c r="DH404" s="114"/>
      <c r="DI404" s="114"/>
      <c r="DJ404" s="114"/>
      <c r="DK404" s="114"/>
      <c r="DL404" s="114"/>
      <c r="DM404" s="114"/>
      <c r="DN404" s="114"/>
      <c r="DO404" s="114"/>
      <c r="DP404" s="114"/>
      <c r="DQ404" s="114"/>
    </row>
    <row r="405" spans="1:121" ht="15" customHeight="1" outlineLevel="4" x14ac:dyDescent="0.25">
      <c r="A405" s="101"/>
      <c r="B405" s="101"/>
      <c r="C405" s="101">
        <v>5</v>
      </c>
      <c r="D405" s="102" t="s">
        <v>343</v>
      </c>
      <c r="E405" s="103"/>
      <c r="F405" s="103"/>
      <c r="G405" s="103"/>
      <c r="H405" s="103"/>
      <c r="I405" s="120" t="s">
        <v>287</v>
      </c>
      <c r="J405" s="120"/>
      <c r="K405" s="120"/>
      <c r="L405" s="120"/>
      <c r="M405" s="120"/>
      <c r="N405" s="120"/>
      <c r="O405" s="120" t="str">
        <f>O404</f>
        <v>2동 고온#2 Aging MSC</v>
      </c>
      <c r="P405" s="184"/>
      <c r="Q405" s="105">
        <v>45325</v>
      </c>
      <c r="R405" s="105">
        <v>45325</v>
      </c>
      <c r="S405" s="106">
        <f>R405-Q405</f>
        <v>0</v>
      </c>
      <c r="T405" s="107">
        <v>1</v>
      </c>
      <c r="U405" s="107">
        <v>0</v>
      </c>
      <c r="V405" s="107">
        <v>1</v>
      </c>
      <c r="W405" s="107">
        <v>0</v>
      </c>
      <c r="X405" s="108"/>
      <c r="Y405" s="108"/>
      <c r="Z405" s="109"/>
      <c r="AA405" s="110">
        <v>0</v>
      </c>
      <c r="AB405" s="107">
        <v>1</v>
      </c>
      <c r="AC405" s="119"/>
      <c r="AD405" s="180"/>
      <c r="AE405" s="111">
        <v>0</v>
      </c>
      <c r="AF405" s="121">
        <v>0</v>
      </c>
      <c r="AG405" s="113"/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114"/>
      <c r="BC405" s="114"/>
      <c r="BD405" s="114"/>
      <c r="BE405" s="114"/>
      <c r="BF405" s="114"/>
      <c r="BG405" s="114"/>
      <c r="BH405" s="114"/>
      <c r="BI405" s="114"/>
      <c r="BJ405" s="114"/>
      <c r="BK405" s="114"/>
      <c r="BL405" s="114"/>
      <c r="BM405" s="114"/>
      <c r="BN405" s="114"/>
      <c r="BO405" s="114"/>
      <c r="BP405" s="114"/>
      <c r="BQ405" s="114"/>
      <c r="BR405" s="114"/>
      <c r="BS405" s="114"/>
      <c r="BT405" s="114"/>
      <c r="BU405" s="114"/>
      <c r="BV405" s="114"/>
      <c r="BW405" s="114"/>
      <c r="BX405" s="114"/>
      <c r="BY405" s="114"/>
      <c r="BZ405" s="114"/>
      <c r="CA405" s="114"/>
      <c r="CB405" s="114"/>
      <c r="CC405" s="114"/>
      <c r="CD405" s="114"/>
      <c r="CE405" s="114"/>
      <c r="CF405" s="114"/>
      <c r="CG405" s="114" t="str">
        <f>"      " &amp; TEXT(AF405,"#0.00%") &amp; " " &amp; "FOB" &amp; " " &amp; IF(Q405="","",TEXT(Q405,"M/D-")) &amp; IF(R405="","",TEXT(R405,"M/D")) &amp; " "</f>
        <v xml:space="preserve">      0.00% FOB 2/3-2/3 </v>
      </c>
      <c r="CH405" s="114"/>
      <c r="CI405" s="114"/>
      <c r="CJ405" s="114"/>
      <c r="CK405" s="114"/>
      <c r="CL405" s="114"/>
      <c r="CM405" s="114"/>
      <c r="CN405" s="114"/>
      <c r="CO405" s="114"/>
      <c r="CP405" s="114"/>
      <c r="CQ405" s="114"/>
      <c r="CR405" s="114"/>
      <c r="CS405" s="114"/>
      <c r="CT405" s="114"/>
      <c r="CU405" s="114"/>
      <c r="CV405" s="114"/>
      <c r="CW405" s="114"/>
      <c r="CX405" s="114"/>
      <c r="CY405" s="114"/>
      <c r="CZ405" s="114"/>
      <c r="DA405" s="114"/>
      <c r="DB405" s="114"/>
      <c r="DC405" s="114"/>
      <c r="DD405" s="114"/>
      <c r="DE405" s="114"/>
      <c r="DF405" s="114"/>
      <c r="DG405" s="114"/>
      <c r="DH405" s="114"/>
      <c r="DI405" s="114"/>
      <c r="DJ405" s="114"/>
      <c r="DK405" s="114"/>
      <c r="DL405" s="114"/>
      <c r="DM405" s="114"/>
      <c r="DN405" s="114"/>
      <c r="DO405" s="114"/>
      <c r="DP405" s="114"/>
      <c r="DQ405" s="114"/>
    </row>
    <row r="406" spans="1:121" ht="15" customHeight="1" outlineLevel="3" x14ac:dyDescent="0.25">
      <c r="A406" s="101"/>
      <c r="B406" s="101" t="s">
        <v>153</v>
      </c>
      <c r="C406" s="101">
        <v>4</v>
      </c>
      <c r="D406" s="102" t="s">
        <v>344</v>
      </c>
      <c r="E406" s="103"/>
      <c r="F406" s="103"/>
      <c r="G406" s="103"/>
      <c r="H406" s="103" t="s">
        <v>594</v>
      </c>
      <c r="I406" s="120"/>
      <c r="J406" s="120"/>
      <c r="K406" s="120"/>
      <c r="L406" s="120"/>
      <c r="M406" s="120"/>
      <c r="N406" s="120"/>
      <c r="O406" s="103" t="str">
        <f>H406</f>
        <v>2동 상온#2,3 Aging MSC</v>
      </c>
      <c r="P406" s="184"/>
      <c r="Q406" s="105">
        <v>45330</v>
      </c>
      <c r="R406" s="105">
        <v>45350</v>
      </c>
      <c r="S406" s="106"/>
      <c r="T406" s="107">
        <v>21</v>
      </c>
      <c r="U406" s="107">
        <v>0</v>
      </c>
      <c r="V406" s="107">
        <v>21</v>
      </c>
      <c r="W406" s="107">
        <v>0</v>
      </c>
      <c r="X406" s="108"/>
      <c r="Y406" s="108"/>
      <c r="Z406" s="109">
        <v>0</v>
      </c>
      <c r="AA406" s="110">
        <v>0</v>
      </c>
      <c r="AB406" s="107"/>
      <c r="AC406" s="119"/>
      <c r="AD406" s="180"/>
      <c r="AE406" s="111">
        <v>0</v>
      </c>
      <c r="AF406" s="122">
        <v>0</v>
      </c>
      <c r="AG406" s="113"/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114"/>
      <c r="BC406" s="114"/>
      <c r="BD406" s="114"/>
      <c r="BE406" s="114"/>
      <c r="BF406" s="114"/>
      <c r="BG406" s="114"/>
      <c r="BH406" s="114"/>
      <c r="BI406" s="114"/>
      <c r="BJ406" s="114"/>
      <c r="BK406" s="114"/>
      <c r="BL406" s="114"/>
      <c r="BM406" s="114"/>
      <c r="BN406" s="114"/>
      <c r="BO406" s="114"/>
      <c r="BP406" s="114"/>
      <c r="BQ406" s="114"/>
      <c r="BR406" s="114"/>
      <c r="BS406" s="114"/>
      <c r="BT406" s="114"/>
      <c r="BU406" s="114"/>
      <c r="BV406" s="114"/>
      <c r="BW406" s="114"/>
      <c r="BX406" s="114"/>
      <c r="BY406" s="114"/>
      <c r="BZ406" s="114"/>
      <c r="CA406" s="114"/>
      <c r="CB406" s="114"/>
      <c r="CC406" s="114"/>
      <c r="CD406" s="114"/>
      <c r="CE406" s="114"/>
      <c r="CF406" s="114"/>
      <c r="CG406" s="114"/>
      <c r="CH406" s="114" t="str">
        <f>"    " &amp; TEXT(AF406,"#0.00%") &amp; " " &amp; "2동 상온#2,3 Aging MSC" &amp; " " &amp; IF(Q406="","",TEXT(Q406,"M/D-")) &amp; IF(R406="","",TEXT(R406,"M/D")) &amp; " "</f>
        <v xml:space="preserve">    0.00% 2동 상온#2,3 Aging MSC 2/8-2/28 </v>
      </c>
      <c r="CI406" s="114"/>
      <c r="CJ406" s="114"/>
      <c r="CK406" s="114"/>
      <c r="CL406" s="114"/>
      <c r="CM406" s="114"/>
      <c r="CN406" s="114"/>
      <c r="CO406" s="114"/>
      <c r="CP406" s="114"/>
      <c r="CQ406" s="114"/>
      <c r="CR406" s="114"/>
      <c r="CS406" s="114"/>
      <c r="CT406" s="114"/>
      <c r="CU406" s="114"/>
      <c r="CV406" s="114"/>
      <c r="CW406" s="114"/>
      <c r="CX406" s="114"/>
      <c r="CY406" s="114"/>
      <c r="CZ406" s="114"/>
      <c r="DA406" s="114"/>
      <c r="DB406" s="114"/>
      <c r="DC406" s="114"/>
      <c r="DD406" s="114"/>
      <c r="DE406" s="114"/>
      <c r="DF406" s="114"/>
      <c r="DG406" s="114"/>
      <c r="DH406" s="114"/>
      <c r="DI406" s="114"/>
      <c r="DJ406" s="114"/>
      <c r="DK406" s="114"/>
      <c r="DL406" s="114"/>
      <c r="DM406" s="114"/>
      <c r="DN406" s="114"/>
      <c r="DO406" s="114"/>
      <c r="DP406" s="114"/>
      <c r="DQ406" s="114"/>
    </row>
    <row r="407" spans="1:121" ht="15" customHeight="1" outlineLevel="4" x14ac:dyDescent="0.25">
      <c r="A407" s="101"/>
      <c r="B407" s="101"/>
      <c r="C407" s="101">
        <v>5</v>
      </c>
      <c r="D407" s="102" t="s">
        <v>345</v>
      </c>
      <c r="E407" s="103"/>
      <c r="F407" s="103"/>
      <c r="G407" s="103"/>
      <c r="H407" s="103"/>
      <c r="I407" s="120" t="s">
        <v>773</v>
      </c>
      <c r="J407" s="120"/>
      <c r="K407" s="120"/>
      <c r="L407" s="120"/>
      <c r="M407" s="120"/>
      <c r="N407" s="120"/>
      <c r="O407" s="120" t="str">
        <f>O406</f>
        <v>2동 상온#2,3 Aging MSC</v>
      </c>
      <c r="P407" s="184"/>
      <c r="Q407" s="105">
        <v>45330</v>
      </c>
      <c r="R407" s="105">
        <v>45349</v>
      </c>
      <c r="S407" s="106">
        <f>R407-Q407</f>
        <v>19</v>
      </c>
      <c r="T407" s="107">
        <v>20</v>
      </c>
      <c r="U407" s="107">
        <v>0</v>
      </c>
      <c r="V407" s="107">
        <v>20</v>
      </c>
      <c r="W407" s="107">
        <v>0</v>
      </c>
      <c r="X407" s="108"/>
      <c r="Y407" s="108"/>
      <c r="Z407" s="109"/>
      <c r="AA407" s="110">
        <v>0</v>
      </c>
      <c r="AB407" s="107">
        <v>1</v>
      </c>
      <c r="AC407" s="119"/>
      <c r="AD407" s="180"/>
      <c r="AE407" s="111">
        <v>0</v>
      </c>
      <c r="AF407" s="121">
        <v>0</v>
      </c>
      <c r="AG407" s="113"/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114"/>
      <c r="BA407" s="114"/>
      <c r="BB407" s="114"/>
      <c r="BC407" s="114"/>
      <c r="BD407" s="114"/>
      <c r="BE407" s="114"/>
      <c r="BF407" s="114"/>
      <c r="BG407" s="114"/>
      <c r="BH407" s="114"/>
      <c r="BI407" s="114"/>
      <c r="BJ407" s="114"/>
      <c r="BK407" s="114"/>
      <c r="BL407" s="114"/>
      <c r="BM407" s="114"/>
      <c r="BN407" s="114"/>
      <c r="BO407" s="114"/>
      <c r="BP407" s="114"/>
      <c r="BQ407" s="114"/>
      <c r="BR407" s="114"/>
      <c r="BS407" s="114"/>
      <c r="BT407" s="114"/>
      <c r="BU407" s="114"/>
      <c r="BV407" s="114"/>
      <c r="BW407" s="114"/>
      <c r="BX407" s="114"/>
      <c r="BY407" s="114"/>
      <c r="BZ407" s="114"/>
      <c r="CA407" s="114"/>
      <c r="CB407" s="114"/>
      <c r="CC407" s="114"/>
      <c r="CD407" s="114"/>
      <c r="CE407" s="114"/>
      <c r="CF407" s="114"/>
      <c r="CG407" s="114"/>
      <c r="CH407" s="114" t="str">
        <f>"    " &amp; TEXT(AF407,"#0.00%") &amp; " " &amp; "Packing" &amp; " " &amp; IF(Q407="","",TEXT(Q407,"M/D-")) &amp; IF(R407="","",TEXT(R407,"M/D")) &amp; " "</f>
        <v xml:space="preserve">    0.00% Packing 2/8-2/27 </v>
      </c>
      <c r="CI407" s="114"/>
      <c r="CJ407" s="114"/>
      <c r="CK407" s="114"/>
      <c r="CL407" s="114"/>
      <c r="CM407" s="114"/>
      <c r="CN407" s="114"/>
      <c r="CO407" s="114"/>
      <c r="CP407" s="114"/>
      <c r="CQ407" s="114"/>
      <c r="CR407" s="114"/>
      <c r="CS407" s="114"/>
      <c r="CT407" s="114"/>
      <c r="CU407" s="114"/>
      <c r="CV407" s="114"/>
      <c r="CW407" s="114"/>
      <c r="CX407" s="114"/>
      <c r="CY407" s="114"/>
      <c r="CZ407" s="114"/>
      <c r="DA407" s="114"/>
      <c r="DB407" s="114"/>
      <c r="DC407" s="114"/>
      <c r="DD407" s="114"/>
      <c r="DE407" s="114"/>
      <c r="DF407" s="114"/>
      <c r="DG407" s="114"/>
      <c r="DH407" s="114"/>
      <c r="DI407" s="114"/>
      <c r="DJ407" s="114"/>
      <c r="DK407" s="114"/>
      <c r="DL407" s="114"/>
      <c r="DM407" s="114"/>
      <c r="DN407" s="114"/>
      <c r="DO407" s="114"/>
      <c r="DP407" s="114"/>
      <c r="DQ407" s="114"/>
    </row>
    <row r="408" spans="1:121" ht="15" customHeight="1" outlineLevel="4" x14ac:dyDescent="0.25">
      <c r="A408" s="101"/>
      <c r="B408" s="101"/>
      <c r="C408" s="101">
        <v>5</v>
      </c>
      <c r="D408" s="102" t="s">
        <v>346</v>
      </c>
      <c r="E408" s="103"/>
      <c r="F408" s="103"/>
      <c r="G408" s="103"/>
      <c r="H408" s="103"/>
      <c r="I408" s="120" t="s">
        <v>287</v>
      </c>
      <c r="J408" s="120"/>
      <c r="K408" s="120"/>
      <c r="L408" s="120"/>
      <c r="M408" s="120"/>
      <c r="N408" s="120"/>
      <c r="O408" s="120" t="str">
        <f>O407</f>
        <v>2동 상온#2,3 Aging MSC</v>
      </c>
      <c r="P408" s="184"/>
      <c r="Q408" s="105">
        <v>45350</v>
      </c>
      <c r="R408" s="105">
        <v>45350</v>
      </c>
      <c r="S408" s="106">
        <f>R408-Q408</f>
        <v>0</v>
      </c>
      <c r="T408" s="107">
        <v>1</v>
      </c>
      <c r="U408" s="107">
        <v>0</v>
      </c>
      <c r="V408" s="107">
        <v>1</v>
      </c>
      <c r="W408" s="107">
        <v>0</v>
      </c>
      <c r="X408" s="108"/>
      <c r="Y408" s="108"/>
      <c r="Z408" s="109"/>
      <c r="AA408" s="110">
        <v>0</v>
      </c>
      <c r="AB408" s="107">
        <v>1</v>
      </c>
      <c r="AC408" s="119"/>
      <c r="AD408" s="180"/>
      <c r="AE408" s="111">
        <v>0</v>
      </c>
      <c r="AF408" s="121">
        <v>0</v>
      </c>
      <c r="AG408" s="113"/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114"/>
      <c r="BA408" s="114"/>
      <c r="BB408" s="114"/>
      <c r="BC408" s="114"/>
      <c r="BD408" s="114"/>
      <c r="BE408" s="114"/>
      <c r="BF408" s="114"/>
      <c r="BG408" s="114"/>
      <c r="BH408" s="114"/>
      <c r="BI408" s="114"/>
      <c r="BJ408" s="114"/>
      <c r="BK408" s="114"/>
      <c r="BL408" s="114"/>
      <c r="BM408" s="114"/>
      <c r="BN408" s="114"/>
      <c r="BO408" s="114"/>
      <c r="BP408" s="114"/>
      <c r="BQ408" s="114"/>
      <c r="BR408" s="114"/>
      <c r="BS408" s="114"/>
      <c r="BT408" s="114"/>
      <c r="BU408" s="114"/>
      <c r="BV408" s="114"/>
      <c r="BW408" s="114"/>
      <c r="BX408" s="114"/>
      <c r="BY408" s="114"/>
      <c r="BZ408" s="114"/>
      <c r="CA408" s="114"/>
      <c r="CB408" s="114"/>
      <c r="CC408" s="114"/>
      <c r="CD408" s="114"/>
      <c r="CE408" s="114"/>
      <c r="CF408" s="114"/>
      <c r="CG408" s="114"/>
      <c r="CH408" s="114"/>
      <c r="CI408" s="114"/>
      <c r="CJ408" s="114"/>
      <c r="CK408" s="114" t="str">
        <f>"   " &amp; TEXT(AF408,"#0.00%") &amp; " " &amp; "FOB" &amp; " " &amp; IF(Q408="","",TEXT(Q408,"M/D-")) &amp; IF(R408="","",TEXT(R408,"M/D")) &amp; " "</f>
        <v xml:space="preserve">   0.00% FOB 2/28-2/28 </v>
      </c>
      <c r="CL408" s="114"/>
      <c r="CM408" s="114"/>
      <c r="CN408" s="114"/>
      <c r="CO408" s="114"/>
      <c r="CP408" s="114"/>
      <c r="CQ408" s="114"/>
      <c r="CR408" s="114"/>
      <c r="CS408" s="114"/>
      <c r="CT408" s="114"/>
      <c r="CU408" s="114"/>
      <c r="CV408" s="114"/>
      <c r="CW408" s="114"/>
      <c r="CX408" s="114"/>
      <c r="CY408" s="114"/>
      <c r="CZ408" s="114"/>
      <c r="DA408" s="114"/>
      <c r="DB408" s="114"/>
      <c r="DC408" s="114"/>
      <c r="DD408" s="114"/>
      <c r="DE408" s="114"/>
      <c r="DF408" s="114"/>
      <c r="DG408" s="114"/>
      <c r="DH408" s="114"/>
      <c r="DI408" s="114"/>
      <c r="DJ408" s="114"/>
      <c r="DK408" s="114"/>
      <c r="DL408" s="114"/>
      <c r="DM408" s="114"/>
      <c r="DN408" s="114"/>
      <c r="DO408" s="114"/>
      <c r="DP408" s="114"/>
      <c r="DQ408" s="114"/>
    </row>
    <row r="409" spans="1:121" ht="15" customHeight="1" outlineLevel="3" x14ac:dyDescent="0.25">
      <c r="A409" s="101"/>
      <c r="B409" s="101" t="s">
        <v>153</v>
      </c>
      <c r="C409" s="101">
        <v>4</v>
      </c>
      <c r="D409" s="102" t="s">
        <v>519</v>
      </c>
      <c r="E409" s="103"/>
      <c r="F409" s="103"/>
      <c r="G409" s="103"/>
      <c r="H409" s="103" t="s">
        <v>596</v>
      </c>
      <c r="I409" s="120"/>
      <c r="J409" s="120"/>
      <c r="K409" s="120"/>
      <c r="L409" s="120"/>
      <c r="M409" s="120"/>
      <c r="N409" s="120"/>
      <c r="O409" s="103" t="str">
        <f>H409</f>
        <v>2동 공 Tray Buffer MSC</v>
      </c>
      <c r="P409" s="184"/>
      <c r="Q409" s="105">
        <v>45311</v>
      </c>
      <c r="R409" s="105">
        <v>45325</v>
      </c>
      <c r="S409" s="106"/>
      <c r="T409" s="107">
        <v>15</v>
      </c>
      <c r="U409" s="107">
        <v>0</v>
      </c>
      <c r="V409" s="107">
        <v>15</v>
      </c>
      <c r="W409" s="107">
        <v>0</v>
      </c>
      <c r="X409" s="108"/>
      <c r="Y409" s="108"/>
      <c r="Z409" s="109">
        <v>0</v>
      </c>
      <c r="AA409" s="110">
        <v>0</v>
      </c>
      <c r="AB409" s="107"/>
      <c r="AC409" s="119"/>
      <c r="AD409" s="180"/>
      <c r="AE409" s="111">
        <v>0</v>
      </c>
      <c r="AF409" s="122">
        <v>0</v>
      </c>
      <c r="AG409" s="113"/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114"/>
      <c r="BA409" s="114"/>
      <c r="BB409" s="114"/>
      <c r="BC409" s="114"/>
      <c r="BD409" s="114"/>
      <c r="BE409" s="114"/>
      <c r="BF409" s="114"/>
      <c r="BG409" s="114"/>
      <c r="BH409" s="114"/>
      <c r="BI409" s="114"/>
      <c r="BJ409" s="114"/>
      <c r="BK409" s="114"/>
      <c r="BL409" s="114"/>
      <c r="BM409" s="114"/>
      <c r="BN409" s="114"/>
      <c r="BO409" s="114"/>
      <c r="BP409" s="114"/>
      <c r="BQ409" s="114"/>
      <c r="BR409" s="114"/>
      <c r="BS409" s="114"/>
      <c r="BT409" s="114"/>
      <c r="BU409" s="114"/>
      <c r="BV409" s="114"/>
      <c r="BW409" s="114"/>
      <c r="BX409" s="114"/>
      <c r="BY409" s="114"/>
      <c r="BZ409" s="114"/>
      <c r="CA409" s="114"/>
      <c r="CB409" s="114"/>
      <c r="CC409" s="114"/>
      <c r="CD409" s="114"/>
      <c r="CE409" s="114" t="str">
        <f>"      " &amp; TEXT(AF409,"#0.00%") &amp; " " &amp; "2동 공 Tray Buffer MSC" &amp; " " &amp; IF(Q409="","",TEXT(Q409,"M/D-")) &amp; IF(R409="","",TEXT(R409,"M/D")) &amp; " "</f>
        <v xml:space="preserve">      0.00% 2동 공 Tray Buffer MSC 1/20-2/3 </v>
      </c>
      <c r="CF409" s="114"/>
      <c r="CG409" s="114"/>
      <c r="CH409" s="114"/>
      <c r="CI409" s="114"/>
      <c r="CJ409" s="114"/>
      <c r="CK409" s="114"/>
      <c r="CL409" s="114"/>
      <c r="CM409" s="114"/>
      <c r="CN409" s="114"/>
      <c r="CO409" s="114"/>
      <c r="CP409" s="114"/>
      <c r="CQ409" s="114"/>
      <c r="CR409" s="114"/>
      <c r="CS409" s="114"/>
      <c r="CT409" s="114"/>
      <c r="CU409" s="114"/>
      <c r="CV409" s="114"/>
      <c r="CW409" s="114"/>
      <c r="CX409" s="114"/>
      <c r="CY409" s="114"/>
      <c r="CZ409" s="114"/>
      <c r="DA409" s="114"/>
      <c r="DB409" s="114"/>
      <c r="DC409" s="114"/>
      <c r="DD409" s="114"/>
      <c r="DE409" s="114"/>
      <c r="DF409" s="114"/>
      <c r="DG409" s="114"/>
      <c r="DH409" s="114"/>
      <c r="DI409" s="114"/>
      <c r="DJ409" s="114"/>
      <c r="DK409" s="114"/>
      <c r="DL409" s="114"/>
      <c r="DM409" s="114"/>
      <c r="DN409" s="114"/>
      <c r="DO409" s="114"/>
      <c r="DP409" s="114"/>
      <c r="DQ409" s="114"/>
    </row>
    <row r="410" spans="1:121" ht="15" customHeight="1" outlineLevel="4" x14ac:dyDescent="0.25">
      <c r="A410" s="101"/>
      <c r="B410" s="101"/>
      <c r="C410" s="101">
        <v>5</v>
      </c>
      <c r="D410" s="102" t="s">
        <v>520</v>
      </c>
      <c r="E410" s="103"/>
      <c r="F410" s="103"/>
      <c r="G410" s="103"/>
      <c r="H410" s="103"/>
      <c r="I410" s="120" t="s">
        <v>773</v>
      </c>
      <c r="J410" s="120"/>
      <c r="K410" s="120"/>
      <c r="L410" s="120"/>
      <c r="M410" s="120"/>
      <c r="N410" s="120"/>
      <c r="O410" s="120" t="str">
        <f>O409</f>
        <v>2동 공 Tray Buffer MSC</v>
      </c>
      <c r="P410" s="184"/>
      <c r="Q410" s="105">
        <v>45311</v>
      </c>
      <c r="R410" s="105">
        <v>45324</v>
      </c>
      <c r="S410" s="106">
        <f>R410-Q410</f>
        <v>13</v>
      </c>
      <c r="T410" s="107">
        <v>14</v>
      </c>
      <c r="U410" s="107">
        <v>0</v>
      </c>
      <c r="V410" s="107">
        <v>14</v>
      </c>
      <c r="W410" s="107">
        <v>0</v>
      </c>
      <c r="X410" s="108"/>
      <c r="Y410" s="108"/>
      <c r="Z410" s="109"/>
      <c r="AA410" s="110">
        <v>0</v>
      </c>
      <c r="AB410" s="107">
        <v>1</v>
      </c>
      <c r="AC410" s="119"/>
      <c r="AD410" s="180"/>
      <c r="AE410" s="111">
        <v>0</v>
      </c>
      <c r="AF410" s="121">
        <v>0</v>
      </c>
      <c r="AG410" s="113"/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  <c r="AV410" s="114"/>
      <c r="AW410" s="114"/>
      <c r="AX410" s="114"/>
      <c r="AY410" s="114"/>
      <c r="AZ410" s="114"/>
      <c r="BA410" s="114"/>
      <c r="BB410" s="114"/>
      <c r="BC410" s="114"/>
      <c r="BD410" s="114"/>
      <c r="BE410" s="114"/>
      <c r="BF410" s="114"/>
      <c r="BG410" s="114"/>
      <c r="BH410" s="114"/>
      <c r="BI410" s="114"/>
      <c r="BJ410" s="114"/>
      <c r="BK410" s="114"/>
      <c r="BL410" s="114"/>
      <c r="BM410" s="114"/>
      <c r="BN410" s="114"/>
      <c r="BO410" s="114"/>
      <c r="BP410" s="114"/>
      <c r="BQ410" s="114"/>
      <c r="BR410" s="114"/>
      <c r="BS410" s="114"/>
      <c r="BT410" s="114"/>
      <c r="BU410" s="114"/>
      <c r="BV410" s="114"/>
      <c r="BW410" s="114"/>
      <c r="BX410" s="114"/>
      <c r="BY410" s="114"/>
      <c r="BZ410" s="114"/>
      <c r="CA410" s="114"/>
      <c r="CB410" s="114"/>
      <c r="CC410" s="114"/>
      <c r="CD410" s="114"/>
      <c r="CE410" s="114" t="str">
        <f>"      " &amp; TEXT(AF410,"#0.00%") &amp; " " &amp; "Packing" &amp; " " &amp; IF(Q410="","",TEXT(Q410,"M/D-")) &amp; IF(R410="","",TEXT(R410,"M/D")) &amp; " "</f>
        <v xml:space="preserve">      0.00% Packing 1/20-2/2 </v>
      </c>
      <c r="CF410" s="114"/>
      <c r="CG410" s="114"/>
      <c r="CH410" s="114"/>
      <c r="CI410" s="114"/>
      <c r="CJ410" s="114"/>
      <c r="CK410" s="114"/>
      <c r="CL410" s="114"/>
      <c r="CM410" s="114"/>
      <c r="CN410" s="114"/>
      <c r="CO410" s="114"/>
      <c r="CP410" s="114"/>
      <c r="CQ410" s="114"/>
      <c r="CR410" s="114"/>
      <c r="CS410" s="114"/>
      <c r="CT410" s="114"/>
      <c r="CU410" s="114"/>
      <c r="CV410" s="114"/>
      <c r="CW410" s="114"/>
      <c r="CX410" s="114"/>
      <c r="CY410" s="114"/>
      <c r="CZ410" s="114"/>
      <c r="DA410" s="114"/>
      <c r="DB410" s="114"/>
      <c r="DC410" s="114"/>
      <c r="DD410" s="114"/>
      <c r="DE410" s="114"/>
      <c r="DF410" s="114"/>
      <c r="DG410" s="114"/>
      <c r="DH410" s="114"/>
      <c r="DI410" s="114"/>
      <c r="DJ410" s="114"/>
      <c r="DK410" s="114"/>
      <c r="DL410" s="114"/>
      <c r="DM410" s="114"/>
      <c r="DN410" s="114"/>
      <c r="DO410" s="114"/>
      <c r="DP410" s="114"/>
      <c r="DQ410" s="114"/>
    </row>
    <row r="411" spans="1:121" ht="15" customHeight="1" outlineLevel="4" x14ac:dyDescent="0.25">
      <c r="A411" s="101"/>
      <c r="B411" s="101"/>
      <c r="C411" s="101">
        <v>5</v>
      </c>
      <c r="D411" s="102" t="s">
        <v>521</v>
      </c>
      <c r="E411" s="103"/>
      <c r="F411" s="103"/>
      <c r="G411" s="103"/>
      <c r="H411" s="103"/>
      <c r="I411" s="120" t="s">
        <v>287</v>
      </c>
      <c r="J411" s="120"/>
      <c r="K411" s="120"/>
      <c r="L411" s="120"/>
      <c r="M411" s="120"/>
      <c r="N411" s="120"/>
      <c r="O411" s="120" t="str">
        <f>O410</f>
        <v>2동 공 Tray Buffer MSC</v>
      </c>
      <c r="P411" s="184"/>
      <c r="Q411" s="105">
        <v>45325</v>
      </c>
      <c r="R411" s="105">
        <v>45325</v>
      </c>
      <c r="S411" s="106">
        <f>R411-Q411</f>
        <v>0</v>
      </c>
      <c r="T411" s="107">
        <v>1</v>
      </c>
      <c r="U411" s="107">
        <v>0</v>
      </c>
      <c r="V411" s="107">
        <v>1</v>
      </c>
      <c r="W411" s="107">
        <v>0</v>
      </c>
      <c r="X411" s="108"/>
      <c r="Y411" s="108"/>
      <c r="Z411" s="109"/>
      <c r="AA411" s="110">
        <v>0</v>
      </c>
      <c r="AB411" s="107">
        <v>1</v>
      </c>
      <c r="AC411" s="119"/>
      <c r="AD411" s="180"/>
      <c r="AE411" s="111">
        <v>0</v>
      </c>
      <c r="AF411" s="121">
        <v>0</v>
      </c>
      <c r="AG411" s="113"/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/>
      <c r="AW411" s="114"/>
      <c r="AX411" s="114"/>
      <c r="AY411" s="114"/>
      <c r="AZ411" s="114"/>
      <c r="BA411" s="114"/>
      <c r="BB411" s="114"/>
      <c r="BC411" s="114"/>
      <c r="BD411" s="114"/>
      <c r="BE411" s="114"/>
      <c r="BF411" s="114"/>
      <c r="BG411" s="114"/>
      <c r="BH411" s="114"/>
      <c r="BI411" s="114"/>
      <c r="BJ411" s="114"/>
      <c r="BK411" s="114"/>
      <c r="BL411" s="114"/>
      <c r="BM411" s="114"/>
      <c r="BN411" s="114"/>
      <c r="BO411" s="114"/>
      <c r="BP411" s="114"/>
      <c r="BQ411" s="114"/>
      <c r="BR411" s="114"/>
      <c r="BS411" s="114"/>
      <c r="BT411" s="114"/>
      <c r="BU411" s="114"/>
      <c r="BV411" s="114"/>
      <c r="BW411" s="114"/>
      <c r="BX411" s="114"/>
      <c r="BY411" s="114"/>
      <c r="BZ411" s="114"/>
      <c r="CA411" s="114"/>
      <c r="CB411" s="114"/>
      <c r="CC411" s="114"/>
      <c r="CD411" s="114"/>
      <c r="CE411" s="114"/>
      <c r="CF411" s="114"/>
      <c r="CG411" s="114" t="str">
        <f>"      " &amp; TEXT(AF411,"#0.00%") &amp; " " &amp; "FOB" &amp; " " &amp; IF(Q411="","",TEXT(Q411,"M/D-")) &amp; IF(R411="","",TEXT(R411,"M/D")) &amp; " "</f>
        <v xml:space="preserve">      0.00% FOB 2/3-2/3 </v>
      </c>
      <c r="CH411" s="114"/>
      <c r="CI411" s="114"/>
      <c r="CJ411" s="114"/>
      <c r="CK411" s="114"/>
      <c r="CL411" s="114"/>
      <c r="CM411" s="114"/>
      <c r="CN411" s="114"/>
      <c r="CO411" s="114"/>
      <c r="CP411" s="114"/>
      <c r="CQ411" s="114"/>
      <c r="CR411" s="114"/>
      <c r="CS411" s="114"/>
      <c r="CT411" s="114"/>
      <c r="CU411" s="114"/>
      <c r="CV411" s="114"/>
      <c r="CW411" s="114"/>
      <c r="CX411" s="114"/>
      <c r="CY411" s="114"/>
      <c r="CZ411" s="114"/>
      <c r="DA411" s="114"/>
      <c r="DB411" s="114"/>
      <c r="DC411" s="114"/>
      <c r="DD411" s="114"/>
      <c r="DE411" s="114"/>
      <c r="DF411" s="114"/>
      <c r="DG411" s="114"/>
      <c r="DH411" s="114"/>
      <c r="DI411" s="114"/>
      <c r="DJ411" s="114"/>
      <c r="DK411" s="114"/>
      <c r="DL411" s="114"/>
      <c r="DM411" s="114"/>
      <c r="DN411" s="114"/>
      <c r="DO411" s="114"/>
      <c r="DP411" s="114"/>
      <c r="DQ411" s="114"/>
    </row>
    <row r="412" spans="1:121" ht="15" customHeight="1" outlineLevel="2" x14ac:dyDescent="0.25">
      <c r="A412" s="101"/>
      <c r="B412" s="101" t="s">
        <v>153</v>
      </c>
      <c r="C412" s="101">
        <v>3</v>
      </c>
      <c r="D412" s="102" t="s">
        <v>774</v>
      </c>
      <c r="E412" s="103"/>
      <c r="F412" s="103"/>
      <c r="G412" s="103" t="s">
        <v>599</v>
      </c>
      <c r="H412" s="103"/>
      <c r="I412" s="120"/>
      <c r="J412" s="120"/>
      <c r="K412" s="120"/>
      <c r="L412" s="120"/>
      <c r="M412" s="120"/>
      <c r="N412" s="120"/>
      <c r="O412" s="194" t="str">
        <f>G412</f>
        <v>1동 Conveyor &amp; Deck</v>
      </c>
      <c r="P412" s="185"/>
      <c r="Q412" s="105">
        <v>45184</v>
      </c>
      <c r="R412" s="105">
        <v>45250</v>
      </c>
      <c r="S412" s="106"/>
      <c r="T412" s="107">
        <v>157</v>
      </c>
      <c r="U412" s="107">
        <v>0</v>
      </c>
      <c r="V412" s="107">
        <v>67</v>
      </c>
      <c r="W412" s="107">
        <v>0</v>
      </c>
      <c r="X412" s="108"/>
      <c r="Y412" s="108"/>
      <c r="Z412" s="109">
        <v>0</v>
      </c>
      <c r="AA412" s="110">
        <v>0</v>
      </c>
      <c r="AB412" s="107"/>
      <c r="AC412" s="106"/>
      <c r="AD412" s="180"/>
      <c r="AE412" s="111">
        <v>0</v>
      </c>
      <c r="AF412" s="122">
        <v>0</v>
      </c>
      <c r="AG412" s="113"/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4"/>
      <c r="BC412" s="114"/>
      <c r="BD412" s="114"/>
      <c r="BE412" s="114"/>
      <c r="BF412" s="114"/>
      <c r="BG412" s="114"/>
      <c r="BH412" s="114"/>
      <c r="BI412" s="114"/>
      <c r="BJ412" s="114"/>
      <c r="BK412" s="114"/>
      <c r="BL412" s="114"/>
      <c r="BM412" s="114" t="str">
        <f>"     " &amp; TEXT(AF412,"#0.00%") &amp; " "</f>
        <v xml:space="preserve">     0.00% </v>
      </c>
      <c r="BN412" s="114"/>
      <c r="BO412" s="114"/>
      <c r="BP412" s="114"/>
      <c r="BQ412" s="114"/>
      <c r="BR412" s="114"/>
      <c r="BS412" s="114"/>
      <c r="BT412" s="114"/>
      <c r="BU412" s="114"/>
      <c r="BV412" s="114"/>
      <c r="BW412" s="114" t="str">
        <f>"  " &amp; "1동 Conveyor &amp; Deck" &amp; " " &amp; IF(Q412="","",TEXT(Q412,"M/D-")) &amp; IF(R412="","",TEXT(R412,"M/D")) &amp; " "</f>
        <v xml:space="preserve">  1동 Conveyor &amp; Deck 9/15-11/20 </v>
      </c>
      <c r="BX412" s="114"/>
      <c r="BY412" s="114"/>
      <c r="BZ412" s="114"/>
      <c r="CA412" s="114"/>
      <c r="CB412" s="114"/>
      <c r="CC412" s="114"/>
      <c r="CD412" s="114"/>
      <c r="CE412" s="114"/>
      <c r="CF412" s="114"/>
      <c r="CG412" s="114"/>
      <c r="CH412" s="114"/>
      <c r="CI412" s="114"/>
      <c r="CJ412" s="114"/>
      <c r="CK412" s="114"/>
      <c r="CL412" s="114"/>
      <c r="CM412" s="114"/>
      <c r="CN412" s="114"/>
      <c r="CO412" s="114"/>
      <c r="CP412" s="114"/>
      <c r="CQ412" s="114"/>
      <c r="CR412" s="114"/>
      <c r="CS412" s="114"/>
      <c r="CT412" s="114"/>
      <c r="CU412" s="114"/>
      <c r="CV412" s="114"/>
      <c r="CW412" s="114"/>
      <c r="CX412" s="114"/>
      <c r="CY412" s="114"/>
      <c r="CZ412" s="114"/>
      <c r="DA412" s="114"/>
      <c r="DB412" s="114"/>
      <c r="DC412" s="114"/>
      <c r="DD412" s="114"/>
      <c r="DE412" s="114"/>
      <c r="DF412" s="114"/>
      <c r="DG412" s="114"/>
      <c r="DH412" s="114"/>
      <c r="DI412" s="114"/>
      <c r="DJ412" s="114"/>
      <c r="DK412" s="114"/>
      <c r="DL412" s="114"/>
      <c r="DM412" s="114"/>
      <c r="DN412" s="114"/>
      <c r="DO412" s="114"/>
      <c r="DP412" s="114"/>
      <c r="DQ412" s="114"/>
    </row>
    <row r="413" spans="1:121" ht="15" customHeight="1" outlineLevel="3" x14ac:dyDescent="0.25">
      <c r="A413" s="101"/>
      <c r="B413" s="101" t="s">
        <v>153</v>
      </c>
      <c r="C413" s="101">
        <v>4</v>
      </c>
      <c r="D413" s="102" t="s">
        <v>775</v>
      </c>
      <c r="E413" s="103"/>
      <c r="F413" s="103"/>
      <c r="G413" s="103"/>
      <c r="H413" s="103" t="s">
        <v>601</v>
      </c>
      <c r="I413" s="120"/>
      <c r="J413" s="120"/>
      <c r="K413" s="120"/>
      <c r="L413" s="120"/>
      <c r="M413" s="120"/>
      <c r="N413" s="120"/>
      <c r="O413" s="194" t="str">
        <f>H413</f>
        <v>1동 조립동 CV</v>
      </c>
      <c r="P413" s="185"/>
      <c r="Q413" s="105">
        <v>45200</v>
      </c>
      <c r="R413" s="105">
        <v>45240</v>
      </c>
      <c r="S413" s="106"/>
      <c r="T413" s="107">
        <v>57</v>
      </c>
      <c r="U413" s="107">
        <v>0</v>
      </c>
      <c r="V413" s="107">
        <v>41</v>
      </c>
      <c r="W413" s="107">
        <v>0</v>
      </c>
      <c r="X413" s="108"/>
      <c r="Y413" s="108"/>
      <c r="Z413" s="109">
        <v>0</v>
      </c>
      <c r="AA413" s="110">
        <v>0</v>
      </c>
      <c r="AB413" s="107"/>
      <c r="AC413" s="106"/>
      <c r="AD413" s="180"/>
      <c r="AE413" s="111">
        <v>0</v>
      </c>
      <c r="AF413" s="122">
        <v>0</v>
      </c>
      <c r="AG413" s="113"/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114"/>
      <c r="BA413" s="114"/>
      <c r="BB413" s="114"/>
      <c r="BC413" s="114"/>
      <c r="BD413" s="114"/>
      <c r="BE413" s="114"/>
      <c r="BF413" s="114"/>
      <c r="BG413" s="114"/>
      <c r="BH413" s="114"/>
      <c r="BI413" s="114"/>
      <c r="BJ413" s="114"/>
      <c r="BK413" s="114"/>
      <c r="BL413" s="114"/>
      <c r="BM413" s="114"/>
      <c r="BN413" s="114"/>
      <c r="BO413" s="114"/>
      <c r="BP413" s="114" t="str">
        <f>"" &amp; TEXT(AF413,"#0.00%") &amp; " "</f>
        <v xml:space="preserve">0.00% </v>
      </c>
      <c r="BQ413" s="114"/>
      <c r="BR413" s="114"/>
      <c r="BS413" s="114"/>
      <c r="BT413" s="114"/>
      <c r="BU413" s="114" t="str">
        <f>"      " &amp; "1동 조립동 CV" &amp; " " &amp; IF(Q413="","",TEXT(Q413,"M/D-")) &amp; IF(R413="","",TEXT(R413,"M/D")) &amp; " "</f>
        <v xml:space="preserve">      1동 조립동 CV 10/1-11/10 </v>
      </c>
      <c r="BV413" s="114"/>
      <c r="BW413" s="114"/>
      <c r="BX413" s="114"/>
      <c r="BY413" s="114"/>
      <c r="BZ413" s="114"/>
      <c r="CA413" s="114"/>
      <c r="CB413" s="114"/>
      <c r="CC413" s="114"/>
      <c r="CD413" s="114"/>
      <c r="CE413" s="114"/>
      <c r="CF413" s="114"/>
      <c r="CG413" s="114"/>
      <c r="CH413" s="114"/>
      <c r="CI413" s="114"/>
      <c r="CJ413" s="114"/>
      <c r="CK413" s="114"/>
      <c r="CL413" s="114"/>
      <c r="CM413" s="114"/>
      <c r="CN413" s="114"/>
      <c r="CO413" s="114"/>
      <c r="CP413" s="114"/>
      <c r="CQ413" s="114"/>
      <c r="CR413" s="114"/>
      <c r="CS413" s="114"/>
      <c r="CT413" s="114"/>
      <c r="CU413" s="114"/>
      <c r="CV413" s="114"/>
      <c r="CW413" s="114"/>
      <c r="CX413" s="114"/>
      <c r="CY413" s="114"/>
      <c r="CZ413" s="114"/>
      <c r="DA413" s="114"/>
      <c r="DB413" s="114"/>
      <c r="DC413" s="114"/>
      <c r="DD413" s="114"/>
      <c r="DE413" s="114"/>
      <c r="DF413" s="114"/>
      <c r="DG413" s="114"/>
      <c r="DH413" s="114"/>
      <c r="DI413" s="114"/>
      <c r="DJ413" s="114"/>
      <c r="DK413" s="114"/>
      <c r="DL413" s="114"/>
      <c r="DM413" s="114"/>
      <c r="DN413" s="114"/>
      <c r="DO413" s="114"/>
      <c r="DP413" s="114"/>
      <c r="DQ413" s="114"/>
    </row>
    <row r="414" spans="1:121" ht="15" customHeight="1" outlineLevel="4" x14ac:dyDescent="0.25">
      <c r="A414" s="101"/>
      <c r="B414" s="101"/>
      <c r="C414" s="101">
        <v>5</v>
      </c>
      <c r="D414" s="102" t="s">
        <v>776</v>
      </c>
      <c r="E414" s="103"/>
      <c r="F414" s="103"/>
      <c r="G414" s="103"/>
      <c r="H414" s="103"/>
      <c r="I414" s="120" t="s">
        <v>773</v>
      </c>
      <c r="J414" s="120"/>
      <c r="K414" s="120"/>
      <c r="L414" s="120"/>
      <c r="M414" s="120"/>
      <c r="N414" s="120"/>
      <c r="O414" s="120" t="str">
        <f>O413</f>
        <v>1동 조립동 CV</v>
      </c>
      <c r="P414" s="185"/>
      <c r="Q414" s="105">
        <v>45200</v>
      </c>
      <c r="R414" s="105">
        <v>45229</v>
      </c>
      <c r="S414" s="106">
        <f>R414-Q414</f>
        <v>29</v>
      </c>
      <c r="T414" s="107">
        <v>30</v>
      </c>
      <c r="U414" s="107">
        <v>0</v>
      </c>
      <c r="V414" s="107">
        <v>30</v>
      </c>
      <c r="W414" s="107">
        <v>0</v>
      </c>
      <c r="X414" s="108"/>
      <c r="Y414" s="108"/>
      <c r="Z414" s="109"/>
      <c r="AA414" s="110">
        <v>0</v>
      </c>
      <c r="AB414" s="107">
        <v>1</v>
      </c>
      <c r="AC414" s="106"/>
      <c r="AD414" s="180"/>
      <c r="AE414" s="111">
        <v>0</v>
      </c>
      <c r="AF414" s="121">
        <v>0</v>
      </c>
      <c r="AG414" s="113"/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114"/>
      <c r="BA414" s="114"/>
      <c r="BB414" s="114"/>
      <c r="BC414" s="114"/>
      <c r="BD414" s="114"/>
      <c r="BE414" s="114"/>
      <c r="BF414" s="114"/>
      <c r="BG414" s="114"/>
      <c r="BH414" s="114"/>
      <c r="BI414" s="114"/>
      <c r="BJ414" s="114"/>
      <c r="BK414" s="114"/>
      <c r="BL414" s="114"/>
      <c r="BM414" s="114"/>
      <c r="BN414" s="114"/>
      <c r="BO414" s="114"/>
      <c r="BP414" s="114" t="str">
        <f>"" &amp; TEXT(AF414,"#0.00%") &amp; " "</f>
        <v xml:space="preserve">0.00% </v>
      </c>
      <c r="BQ414" s="114"/>
      <c r="BR414" s="114"/>
      <c r="BS414" s="114"/>
      <c r="BT414" s="114" t="str">
        <f>"  " &amp; "Packing" &amp; " " &amp; IF(Q414="","",TEXT(Q414,"M/D-")) &amp; IF(R414="","",TEXT(R414,"M/D")) &amp; " "</f>
        <v xml:space="preserve">  Packing 10/1-10/30 </v>
      </c>
      <c r="BU414" s="114"/>
      <c r="BV414" s="114"/>
      <c r="BW414" s="114"/>
      <c r="BX414" s="114"/>
      <c r="BY414" s="114"/>
      <c r="BZ414" s="114"/>
      <c r="CA414" s="114"/>
      <c r="CB414" s="114"/>
      <c r="CC414" s="114"/>
      <c r="CD414" s="114"/>
      <c r="CE414" s="114"/>
      <c r="CF414" s="114"/>
      <c r="CG414" s="114"/>
      <c r="CH414" s="114"/>
      <c r="CI414" s="114"/>
      <c r="CJ414" s="114"/>
      <c r="CK414" s="114"/>
      <c r="CL414" s="114"/>
      <c r="CM414" s="114"/>
      <c r="CN414" s="114"/>
      <c r="CO414" s="114"/>
      <c r="CP414" s="114"/>
      <c r="CQ414" s="114"/>
      <c r="CR414" s="114"/>
      <c r="CS414" s="114"/>
      <c r="CT414" s="114"/>
      <c r="CU414" s="114"/>
      <c r="CV414" s="114"/>
      <c r="CW414" s="114"/>
      <c r="CX414" s="114"/>
      <c r="CY414" s="114"/>
      <c r="CZ414" s="114"/>
      <c r="DA414" s="114"/>
      <c r="DB414" s="114"/>
      <c r="DC414" s="114"/>
      <c r="DD414" s="114"/>
      <c r="DE414" s="114"/>
      <c r="DF414" s="114"/>
      <c r="DG414" s="114"/>
      <c r="DH414" s="114"/>
      <c r="DI414" s="114"/>
      <c r="DJ414" s="114"/>
      <c r="DK414" s="114"/>
      <c r="DL414" s="114"/>
      <c r="DM414" s="114"/>
      <c r="DN414" s="114"/>
      <c r="DO414" s="114"/>
      <c r="DP414" s="114"/>
      <c r="DQ414" s="114"/>
    </row>
    <row r="415" spans="1:121" ht="15" customHeight="1" outlineLevel="4" x14ac:dyDescent="0.25">
      <c r="A415" s="101"/>
      <c r="B415" s="101"/>
      <c r="C415" s="101">
        <v>5</v>
      </c>
      <c r="D415" s="102" t="s">
        <v>777</v>
      </c>
      <c r="E415" s="103"/>
      <c r="F415" s="103"/>
      <c r="G415" s="103"/>
      <c r="H415" s="103"/>
      <c r="I415" s="120" t="s">
        <v>287</v>
      </c>
      <c r="J415" s="120"/>
      <c r="K415" s="120"/>
      <c r="L415" s="120"/>
      <c r="M415" s="120"/>
      <c r="N415" s="120"/>
      <c r="O415" s="120" t="str">
        <f>O414</f>
        <v>1동 조립동 CV</v>
      </c>
      <c r="P415" s="185"/>
      <c r="Q415" s="105">
        <v>45214</v>
      </c>
      <c r="R415" s="105">
        <v>45240</v>
      </c>
      <c r="S415" s="106">
        <f>R415-Q415</f>
        <v>26</v>
      </c>
      <c r="T415" s="107">
        <v>27</v>
      </c>
      <c r="U415" s="107">
        <v>0</v>
      </c>
      <c r="V415" s="107">
        <v>27</v>
      </c>
      <c r="W415" s="107">
        <v>0</v>
      </c>
      <c r="X415" s="108"/>
      <c r="Y415" s="108"/>
      <c r="Z415" s="109"/>
      <c r="AA415" s="110">
        <v>0</v>
      </c>
      <c r="AB415" s="107">
        <v>1</v>
      </c>
      <c r="AC415" s="106"/>
      <c r="AD415" s="180"/>
      <c r="AE415" s="111">
        <v>0</v>
      </c>
      <c r="AF415" s="121">
        <v>0</v>
      </c>
      <c r="AG415" s="113"/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  <c r="AV415" s="114"/>
      <c r="AW415" s="114"/>
      <c r="AX415" s="114"/>
      <c r="AY415" s="114"/>
      <c r="AZ415" s="114"/>
      <c r="BA415" s="114"/>
      <c r="BB415" s="114"/>
      <c r="BC415" s="114"/>
      <c r="BD415" s="114"/>
      <c r="BE415" s="114"/>
      <c r="BF415" s="114"/>
      <c r="BG415" s="114"/>
      <c r="BH415" s="114"/>
      <c r="BI415" s="114"/>
      <c r="BJ415" s="114"/>
      <c r="BK415" s="114"/>
      <c r="BL415" s="114"/>
      <c r="BM415" s="114"/>
      <c r="BN415" s="114"/>
      <c r="BO415" s="114"/>
      <c r="BP415" s="114"/>
      <c r="BQ415" s="114"/>
      <c r="BR415" s="114" t="str">
        <f>"" &amp; TEXT(AF415,"#0.00%") &amp; " "</f>
        <v xml:space="preserve">0.00% </v>
      </c>
      <c r="BS415" s="114"/>
      <c r="BT415" s="114"/>
      <c r="BU415" s="114" t="str">
        <f>"      " &amp; "FOB" &amp; " " &amp; IF(Q415="","",TEXT(Q415,"M/D-")) &amp; IF(R415="","",TEXT(R415,"M/D")) &amp; " "</f>
        <v xml:space="preserve">      FOB 10/15-11/10 </v>
      </c>
      <c r="BV415" s="114"/>
      <c r="BW415" s="114"/>
      <c r="BX415" s="114"/>
      <c r="BY415" s="114"/>
      <c r="BZ415" s="114"/>
      <c r="CA415" s="114"/>
      <c r="CB415" s="114"/>
      <c r="CC415" s="114"/>
      <c r="CD415" s="114"/>
      <c r="CE415" s="114"/>
      <c r="CF415" s="114"/>
      <c r="CG415" s="114"/>
      <c r="CH415" s="114"/>
      <c r="CI415" s="114"/>
      <c r="CJ415" s="114"/>
      <c r="CK415" s="114"/>
      <c r="CL415" s="114"/>
      <c r="CM415" s="114"/>
      <c r="CN415" s="114"/>
      <c r="CO415" s="114"/>
      <c r="CP415" s="114"/>
      <c r="CQ415" s="114"/>
      <c r="CR415" s="114"/>
      <c r="CS415" s="114"/>
      <c r="CT415" s="114"/>
      <c r="CU415" s="114"/>
      <c r="CV415" s="114"/>
      <c r="CW415" s="114"/>
      <c r="CX415" s="114"/>
      <c r="CY415" s="114"/>
      <c r="CZ415" s="114"/>
      <c r="DA415" s="114"/>
      <c r="DB415" s="114"/>
      <c r="DC415" s="114"/>
      <c r="DD415" s="114"/>
      <c r="DE415" s="114"/>
      <c r="DF415" s="114"/>
      <c r="DG415" s="114"/>
      <c r="DH415" s="114"/>
      <c r="DI415" s="114"/>
      <c r="DJ415" s="114"/>
      <c r="DK415" s="114"/>
      <c r="DL415" s="114"/>
      <c r="DM415" s="114"/>
      <c r="DN415" s="114"/>
      <c r="DO415" s="114"/>
      <c r="DP415" s="114"/>
      <c r="DQ415" s="114"/>
    </row>
    <row r="416" spans="1:121" ht="15" customHeight="1" outlineLevel="3" x14ac:dyDescent="0.25">
      <c r="A416" s="101"/>
      <c r="B416" s="101" t="s">
        <v>153</v>
      </c>
      <c r="C416" s="101">
        <v>4</v>
      </c>
      <c r="D416" s="102" t="s">
        <v>778</v>
      </c>
      <c r="E416" s="103"/>
      <c r="F416" s="103"/>
      <c r="G416" s="103"/>
      <c r="H416" s="103" t="s">
        <v>607</v>
      </c>
      <c r="I416" s="120"/>
      <c r="J416" s="120"/>
      <c r="K416" s="120"/>
      <c r="L416" s="120"/>
      <c r="M416" s="120"/>
      <c r="N416" s="120"/>
      <c r="O416" s="194" t="str">
        <f>H416</f>
        <v>1동 1F PPC CV</v>
      </c>
      <c r="P416" s="185"/>
      <c r="Q416" s="105">
        <v>45184</v>
      </c>
      <c r="R416" s="105">
        <v>45200</v>
      </c>
      <c r="S416" s="106"/>
      <c r="T416" s="107">
        <v>17</v>
      </c>
      <c r="U416" s="107">
        <v>0</v>
      </c>
      <c r="V416" s="107">
        <v>17</v>
      </c>
      <c r="W416" s="107">
        <v>0</v>
      </c>
      <c r="X416" s="108"/>
      <c r="Y416" s="108"/>
      <c r="Z416" s="109">
        <v>0</v>
      </c>
      <c r="AA416" s="110">
        <v>0</v>
      </c>
      <c r="AB416" s="107"/>
      <c r="AC416" s="106"/>
      <c r="AD416" s="180"/>
      <c r="AE416" s="111">
        <v>0</v>
      </c>
      <c r="AF416" s="122">
        <v>0</v>
      </c>
      <c r="AG416" s="113"/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114"/>
      <c r="BA416" s="114"/>
      <c r="BB416" s="114"/>
      <c r="BC416" s="114"/>
      <c r="BD416" s="114"/>
      <c r="BE416" s="114"/>
      <c r="BF416" s="114"/>
      <c r="BG416" s="114"/>
      <c r="BH416" s="114"/>
      <c r="BI416" s="114"/>
      <c r="BJ416" s="114"/>
      <c r="BK416" s="114"/>
      <c r="BL416" s="114"/>
      <c r="BM416" s="114" t="str">
        <f>"     " &amp; TEXT(AF416,"#0.00%") &amp; " " &amp; "1동 1F PPC CV" &amp; " " &amp; IF(Q416="","",TEXT(Q416,"M/D-")) &amp; IF(R416="","",TEXT(R416,"M/D")) &amp; " "</f>
        <v xml:space="preserve">     0.00% 1동 1F PPC CV 9/15-10/1 </v>
      </c>
      <c r="BN416" s="114"/>
      <c r="BO416" s="114"/>
      <c r="BP416" s="114"/>
      <c r="BQ416" s="114"/>
      <c r="BR416" s="114"/>
      <c r="BS416" s="114"/>
      <c r="BT416" s="114"/>
      <c r="BU416" s="114"/>
      <c r="BV416" s="114"/>
      <c r="BW416" s="114"/>
      <c r="BX416" s="114"/>
      <c r="BY416" s="114"/>
      <c r="BZ416" s="114"/>
      <c r="CA416" s="114"/>
      <c r="CB416" s="114"/>
      <c r="CC416" s="114"/>
      <c r="CD416" s="114"/>
      <c r="CE416" s="114"/>
      <c r="CF416" s="114"/>
      <c r="CG416" s="114"/>
      <c r="CH416" s="114"/>
      <c r="CI416" s="114"/>
      <c r="CJ416" s="114"/>
      <c r="CK416" s="114"/>
      <c r="CL416" s="114"/>
      <c r="CM416" s="114"/>
      <c r="CN416" s="114"/>
      <c r="CO416" s="114"/>
      <c r="CP416" s="114"/>
      <c r="CQ416" s="114"/>
      <c r="CR416" s="114"/>
      <c r="CS416" s="114"/>
      <c r="CT416" s="114"/>
      <c r="CU416" s="114"/>
      <c r="CV416" s="114"/>
      <c r="CW416" s="114"/>
      <c r="CX416" s="114"/>
      <c r="CY416" s="114"/>
      <c r="CZ416" s="114"/>
      <c r="DA416" s="114"/>
      <c r="DB416" s="114"/>
      <c r="DC416" s="114"/>
      <c r="DD416" s="114"/>
      <c r="DE416" s="114"/>
      <c r="DF416" s="114"/>
      <c r="DG416" s="114"/>
      <c r="DH416" s="114"/>
      <c r="DI416" s="114"/>
      <c r="DJ416" s="114"/>
      <c r="DK416" s="114"/>
      <c r="DL416" s="114"/>
      <c r="DM416" s="114"/>
      <c r="DN416" s="114"/>
      <c r="DO416" s="114"/>
      <c r="DP416" s="114"/>
      <c r="DQ416" s="114"/>
    </row>
    <row r="417" spans="1:121" ht="15" customHeight="1" outlineLevel="4" x14ac:dyDescent="0.25">
      <c r="A417" s="101"/>
      <c r="B417" s="101"/>
      <c r="C417" s="101">
        <v>5</v>
      </c>
      <c r="D417" s="102" t="s">
        <v>779</v>
      </c>
      <c r="E417" s="103"/>
      <c r="F417" s="103"/>
      <c r="G417" s="103"/>
      <c r="H417" s="103"/>
      <c r="I417" s="120" t="s">
        <v>773</v>
      </c>
      <c r="J417" s="120"/>
      <c r="K417" s="120"/>
      <c r="L417" s="120"/>
      <c r="M417" s="120"/>
      <c r="N417" s="120"/>
      <c r="O417" s="120" t="str">
        <f>O416</f>
        <v>1동 1F PPC CV</v>
      </c>
      <c r="P417" s="185"/>
      <c r="Q417" s="105">
        <v>45184</v>
      </c>
      <c r="R417" s="105">
        <v>45199</v>
      </c>
      <c r="S417" s="106">
        <f>R417-Q417</f>
        <v>15</v>
      </c>
      <c r="T417" s="107">
        <v>16</v>
      </c>
      <c r="U417" s="107">
        <v>0</v>
      </c>
      <c r="V417" s="107">
        <v>16</v>
      </c>
      <c r="W417" s="107">
        <v>0</v>
      </c>
      <c r="X417" s="108"/>
      <c r="Y417" s="108"/>
      <c r="Z417" s="109"/>
      <c r="AA417" s="110">
        <v>0</v>
      </c>
      <c r="AB417" s="107">
        <v>1</v>
      </c>
      <c r="AC417" s="106"/>
      <c r="AD417" s="180"/>
      <c r="AE417" s="111">
        <v>0</v>
      </c>
      <c r="AF417" s="121">
        <v>0</v>
      </c>
      <c r="AG417" s="113"/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  <c r="AV417" s="114"/>
      <c r="AW417" s="114"/>
      <c r="AX417" s="114"/>
      <c r="AY417" s="114"/>
      <c r="AZ417" s="114"/>
      <c r="BA417" s="114"/>
      <c r="BB417" s="114"/>
      <c r="BC417" s="114"/>
      <c r="BD417" s="114"/>
      <c r="BE417" s="114"/>
      <c r="BF417" s="114"/>
      <c r="BG417" s="114"/>
      <c r="BH417" s="114"/>
      <c r="BI417" s="114"/>
      <c r="BJ417" s="114"/>
      <c r="BK417" s="114"/>
      <c r="BL417" s="114"/>
      <c r="BM417" s="114" t="str">
        <f>"     " &amp; TEXT(AF417,"#0.00%") &amp; " " &amp; "Packing" &amp; " " &amp; IF(Q417="","",TEXT(Q417,"M/D-")) &amp; IF(R417="","",TEXT(R417,"M/D")) &amp; " "</f>
        <v xml:space="preserve">     0.00% Packing 9/15-9/30 </v>
      </c>
      <c r="BN417" s="114"/>
      <c r="BO417" s="114"/>
      <c r="BP417" s="114"/>
      <c r="BQ417" s="114"/>
      <c r="BR417" s="114"/>
      <c r="BS417" s="114"/>
      <c r="BT417" s="114"/>
      <c r="BU417" s="114"/>
      <c r="BV417" s="114"/>
      <c r="BW417" s="114"/>
      <c r="BX417" s="114"/>
      <c r="BY417" s="114"/>
      <c r="BZ417" s="114"/>
      <c r="CA417" s="114"/>
      <c r="CB417" s="114"/>
      <c r="CC417" s="114"/>
      <c r="CD417" s="114"/>
      <c r="CE417" s="114"/>
      <c r="CF417" s="114"/>
      <c r="CG417" s="114"/>
      <c r="CH417" s="114"/>
      <c r="CI417" s="114"/>
      <c r="CJ417" s="114"/>
      <c r="CK417" s="114"/>
      <c r="CL417" s="114"/>
      <c r="CM417" s="114"/>
      <c r="CN417" s="114"/>
      <c r="CO417" s="114"/>
      <c r="CP417" s="114"/>
      <c r="CQ417" s="114"/>
      <c r="CR417" s="114"/>
      <c r="CS417" s="114"/>
      <c r="CT417" s="114"/>
      <c r="CU417" s="114"/>
      <c r="CV417" s="114"/>
      <c r="CW417" s="114"/>
      <c r="CX417" s="114"/>
      <c r="CY417" s="114"/>
      <c r="CZ417" s="114"/>
      <c r="DA417" s="114"/>
      <c r="DB417" s="114"/>
      <c r="DC417" s="114"/>
      <c r="DD417" s="114"/>
      <c r="DE417" s="114"/>
      <c r="DF417" s="114"/>
      <c r="DG417" s="114"/>
      <c r="DH417" s="114"/>
      <c r="DI417" s="114"/>
      <c r="DJ417" s="114"/>
      <c r="DK417" s="114"/>
      <c r="DL417" s="114"/>
      <c r="DM417" s="114"/>
      <c r="DN417" s="114"/>
      <c r="DO417" s="114"/>
      <c r="DP417" s="114"/>
      <c r="DQ417" s="114"/>
    </row>
    <row r="418" spans="1:121" ht="15" customHeight="1" outlineLevel="4" x14ac:dyDescent="0.25">
      <c r="A418" s="101"/>
      <c r="B418" s="101"/>
      <c r="C418" s="101">
        <v>5</v>
      </c>
      <c r="D418" s="102" t="s">
        <v>780</v>
      </c>
      <c r="E418" s="103"/>
      <c r="F418" s="103"/>
      <c r="G418" s="103"/>
      <c r="H418" s="103"/>
      <c r="I418" s="120" t="s">
        <v>287</v>
      </c>
      <c r="J418" s="120"/>
      <c r="K418" s="120"/>
      <c r="L418" s="120"/>
      <c r="M418" s="120"/>
      <c r="N418" s="120"/>
      <c r="O418" s="120" t="str">
        <f>O417</f>
        <v>1동 1F PPC CV</v>
      </c>
      <c r="P418" s="185"/>
      <c r="Q418" s="105">
        <v>45200</v>
      </c>
      <c r="R418" s="105">
        <v>45200</v>
      </c>
      <c r="S418" s="106">
        <f>R418-Q418</f>
        <v>0</v>
      </c>
      <c r="T418" s="107">
        <v>1</v>
      </c>
      <c r="U418" s="107">
        <v>0</v>
      </c>
      <c r="V418" s="107">
        <v>1</v>
      </c>
      <c r="W418" s="107">
        <v>0</v>
      </c>
      <c r="X418" s="108"/>
      <c r="Y418" s="108"/>
      <c r="Z418" s="109"/>
      <c r="AA418" s="110">
        <v>0</v>
      </c>
      <c r="AB418" s="107">
        <v>1</v>
      </c>
      <c r="AC418" s="106"/>
      <c r="AD418" s="180"/>
      <c r="AE418" s="111">
        <v>0</v>
      </c>
      <c r="AF418" s="121">
        <v>0</v>
      </c>
      <c r="AG418" s="113"/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  <c r="AV418" s="114"/>
      <c r="AW418" s="114"/>
      <c r="AX418" s="114"/>
      <c r="AY418" s="114"/>
      <c r="AZ418" s="114"/>
      <c r="BA418" s="114"/>
      <c r="BB418" s="114"/>
      <c r="BC418" s="114"/>
      <c r="BD418" s="114"/>
      <c r="BE418" s="114"/>
      <c r="BF418" s="114"/>
      <c r="BG418" s="114"/>
      <c r="BH418" s="114"/>
      <c r="BI418" s="114"/>
      <c r="BJ418" s="114"/>
      <c r="BK418" s="114"/>
      <c r="BL418" s="114"/>
      <c r="BM418" s="114"/>
      <c r="BN418" s="114"/>
      <c r="BO418" s="114"/>
      <c r="BP418" s="114" t="str">
        <f>"" &amp; TEXT(AF418,"#0.00%") &amp; " " &amp; "FOB" &amp; " " &amp; IF(Q418="","",TEXT(Q418,"M/D-")) &amp; IF(R418="","",TEXT(R418,"M/D")) &amp; " "</f>
        <v xml:space="preserve">0.00% FOB 10/1-10/1 </v>
      </c>
      <c r="BQ418" s="114"/>
      <c r="BR418" s="114"/>
      <c r="BS418" s="114"/>
      <c r="BT418" s="114"/>
      <c r="BU418" s="114"/>
      <c r="BV418" s="114"/>
      <c r="BW418" s="114"/>
      <c r="BX418" s="114"/>
      <c r="BY418" s="114"/>
      <c r="BZ418" s="114"/>
      <c r="CA418" s="114"/>
      <c r="CB418" s="114"/>
      <c r="CC418" s="114"/>
      <c r="CD418" s="114"/>
      <c r="CE418" s="114"/>
      <c r="CF418" s="114"/>
      <c r="CG418" s="114"/>
      <c r="CH418" s="114"/>
      <c r="CI418" s="114"/>
      <c r="CJ418" s="114"/>
      <c r="CK418" s="114"/>
      <c r="CL418" s="114"/>
      <c r="CM418" s="114"/>
      <c r="CN418" s="114"/>
      <c r="CO418" s="114"/>
      <c r="CP418" s="114"/>
      <c r="CQ418" s="114"/>
      <c r="CR418" s="114"/>
      <c r="CS418" s="114"/>
      <c r="CT418" s="114"/>
      <c r="CU418" s="114"/>
      <c r="CV418" s="114"/>
      <c r="CW418" s="114"/>
      <c r="CX418" s="114"/>
      <c r="CY418" s="114"/>
      <c r="CZ418" s="114"/>
      <c r="DA418" s="114"/>
      <c r="DB418" s="114"/>
      <c r="DC418" s="114"/>
      <c r="DD418" s="114"/>
      <c r="DE418" s="114"/>
      <c r="DF418" s="114"/>
      <c r="DG418" s="114"/>
      <c r="DH418" s="114"/>
      <c r="DI418" s="114"/>
      <c r="DJ418" s="114"/>
      <c r="DK418" s="114"/>
      <c r="DL418" s="114"/>
      <c r="DM418" s="114"/>
      <c r="DN418" s="114"/>
      <c r="DO418" s="114"/>
      <c r="DP418" s="114"/>
      <c r="DQ418" s="114"/>
    </row>
    <row r="419" spans="1:121" ht="15" customHeight="1" outlineLevel="3" x14ac:dyDescent="0.25">
      <c r="A419" s="101"/>
      <c r="B419" s="101" t="s">
        <v>153</v>
      </c>
      <c r="C419" s="101">
        <v>4</v>
      </c>
      <c r="D419" s="102" t="s">
        <v>781</v>
      </c>
      <c r="E419" s="103"/>
      <c r="F419" s="103"/>
      <c r="G419" s="103"/>
      <c r="H419" s="103" t="s">
        <v>613</v>
      </c>
      <c r="I419" s="120"/>
      <c r="J419" s="120"/>
      <c r="K419" s="120"/>
      <c r="L419" s="120"/>
      <c r="M419" s="120"/>
      <c r="N419" s="120"/>
      <c r="O419" s="194" t="str">
        <f>H419</f>
        <v>1동 1F 충방전 CV</v>
      </c>
      <c r="P419" s="185"/>
      <c r="Q419" s="105">
        <v>45184</v>
      </c>
      <c r="R419" s="105">
        <v>45200</v>
      </c>
      <c r="S419" s="106"/>
      <c r="T419" s="107">
        <v>17</v>
      </c>
      <c r="U419" s="107">
        <v>0</v>
      </c>
      <c r="V419" s="107">
        <v>17</v>
      </c>
      <c r="W419" s="107">
        <v>0</v>
      </c>
      <c r="X419" s="108"/>
      <c r="Y419" s="108"/>
      <c r="Z419" s="109">
        <v>0</v>
      </c>
      <c r="AA419" s="110">
        <v>0</v>
      </c>
      <c r="AB419" s="107"/>
      <c r="AC419" s="106"/>
      <c r="AD419" s="180"/>
      <c r="AE419" s="111">
        <v>0</v>
      </c>
      <c r="AF419" s="122">
        <v>0</v>
      </c>
      <c r="AG419" s="113"/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4"/>
      <c r="AZ419" s="114"/>
      <c r="BA419" s="114"/>
      <c r="BB419" s="114"/>
      <c r="BC419" s="114"/>
      <c r="BD419" s="114"/>
      <c r="BE419" s="114"/>
      <c r="BF419" s="114"/>
      <c r="BG419" s="114"/>
      <c r="BH419" s="114"/>
      <c r="BI419" s="114"/>
      <c r="BJ419" s="114"/>
      <c r="BK419" s="114"/>
      <c r="BL419" s="114"/>
      <c r="BM419" s="114" t="str">
        <f>"     " &amp; TEXT(AF419,"#0.00%") &amp; " " &amp; "1동 1F 충방전 CV" &amp; " " &amp; IF(Q419="","",TEXT(Q419,"M/D-")) &amp; IF(R419="","",TEXT(R419,"M/D")) &amp; " "</f>
        <v xml:space="preserve">     0.00% 1동 1F 충방전 CV 9/15-10/1 </v>
      </c>
      <c r="BN419" s="114"/>
      <c r="BO419" s="114"/>
      <c r="BP419" s="114"/>
      <c r="BQ419" s="114"/>
      <c r="BR419" s="114"/>
      <c r="BS419" s="114"/>
      <c r="BT419" s="114"/>
      <c r="BU419" s="114"/>
      <c r="BV419" s="114"/>
      <c r="BW419" s="114"/>
      <c r="BX419" s="114"/>
      <c r="BY419" s="114"/>
      <c r="BZ419" s="114"/>
      <c r="CA419" s="114"/>
      <c r="CB419" s="114"/>
      <c r="CC419" s="114"/>
      <c r="CD419" s="114"/>
      <c r="CE419" s="114"/>
      <c r="CF419" s="114"/>
      <c r="CG419" s="114"/>
      <c r="CH419" s="114"/>
      <c r="CI419" s="114"/>
      <c r="CJ419" s="114"/>
      <c r="CK419" s="114"/>
      <c r="CL419" s="114"/>
      <c r="CM419" s="114"/>
      <c r="CN419" s="114"/>
      <c r="CO419" s="114"/>
      <c r="CP419" s="114"/>
      <c r="CQ419" s="114"/>
      <c r="CR419" s="114"/>
      <c r="CS419" s="114"/>
      <c r="CT419" s="114"/>
      <c r="CU419" s="114"/>
      <c r="CV419" s="114"/>
      <c r="CW419" s="114"/>
      <c r="CX419" s="114"/>
      <c r="CY419" s="114"/>
      <c r="CZ419" s="114"/>
      <c r="DA419" s="114"/>
      <c r="DB419" s="114"/>
      <c r="DC419" s="114"/>
      <c r="DD419" s="114"/>
      <c r="DE419" s="114"/>
      <c r="DF419" s="114"/>
      <c r="DG419" s="114"/>
      <c r="DH419" s="114"/>
      <c r="DI419" s="114"/>
      <c r="DJ419" s="114"/>
      <c r="DK419" s="114"/>
      <c r="DL419" s="114"/>
      <c r="DM419" s="114"/>
      <c r="DN419" s="114"/>
      <c r="DO419" s="114"/>
      <c r="DP419" s="114"/>
      <c r="DQ419" s="114"/>
    </row>
    <row r="420" spans="1:121" ht="15" customHeight="1" outlineLevel="4" x14ac:dyDescent="0.25">
      <c r="A420" s="101"/>
      <c r="B420" s="101"/>
      <c r="C420" s="101">
        <v>5</v>
      </c>
      <c r="D420" s="102" t="s">
        <v>782</v>
      </c>
      <c r="E420" s="103"/>
      <c r="F420" s="103"/>
      <c r="G420" s="103"/>
      <c r="H420" s="103"/>
      <c r="I420" s="120" t="s">
        <v>773</v>
      </c>
      <c r="J420" s="120"/>
      <c r="K420" s="120"/>
      <c r="L420" s="120"/>
      <c r="M420" s="120"/>
      <c r="N420" s="120"/>
      <c r="O420" s="120" t="str">
        <f>O419</f>
        <v>1동 1F 충방전 CV</v>
      </c>
      <c r="P420" s="185"/>
      <c r="Q420" s="105">
        <v>45184</v>
      </c>
      <c r="R420" s="105">
        <v>45199</v>
      </c>
      <c r="S420" s="106">
        <f>R420-Q420</f>
        <v>15</v>
      </c>
      <c r="T420" s="107">
        <v>16</v>
      </c>
      <c r="U420" s="107">
        <v>0</v>
      </c>
      <c r="V420" s="107">
        <v>16</v>
      </c>
      <c r="W420" s="107">
        <v>0</v>
      </c>
      <c r="X420" s="108"/>
      <c r="Y420" s="108"/>
      <c r="Z420" s="109"/>
      <c r="AA420" s="110">
        <v>0</v>
      </c>
      <c r="AB420" s="107">
        <v>1</v>
      </c>
      <c r="AC420" s="106"/>
      <c r="AD420" s="180"/>
      <c r="AE420" s="111">
        <v>0</v>
      </c>
      <c r="AF420" s="121">
        <v>0</v>
      </c>
      <c r="AG420" s="113"/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  <c r="AV420" s="114"/>
      <c r="AW420" s="114"/>
      <c r="AX420" s="114"/>
      <c r="AY420" s="114"/>
      <c r="AZ420" s="114"/>
      <c r="BA420" s="114"/>
      <c r="BB420" s="114"/>
      <c r="BC420" s="114"/>
      <c r="BD420" s="114"/>
      <c r="BE420" s="114"/>
      <c r="BF420" s="114"/>
      <c r="BG420" s="114"/>
      <c r="BH420" s="114"/>
      <c r="BI420" s="114"/>
      <c r="BJ420" s="114"/>
      <c r="BK420" s="114"/>
      <c r="BL420" s="114"/>
      <c r="BM420" s="114" t="str">
        <f>"     " &amp; TEXT(AF420,"#0.00%") &amp; " " &amp; "Packing" &amp; " " &amp; IF(Q420="","",TEXT(Q420,"M/D-")) &amp; IF(R420="","",TEXT(R420,"M/D")) &amp; " "</f>
        <v xml:space="preserve">     0.00% Packing 9/15-9/30 </v>
      </c>
      <c r="BN420" s="114"/>
      <c r="BO420" s="114"/>
      <c r="BP420" s="114"/>
      <c r="BQ420" s="114"/>
      <c r="BR420" s="114"/>
      <c r="BS420" s="114"/>
      <c r="BT420" s="114"/>
      <c r="BU420" s="114"/>
      <c r="BV420" s="114"/>
      <c r="BW420" s="114"/>
      <c r="BX420" s="114"/>
      <c r="BY420" s="114"/>
      <c r="BZ420" s="114"/>
      <c r="CA420" s="114"/>
      <c r="CB420" s="114"/>
      <c r="CC420" s="114"/>
      <c r="CD420" s="114"/>
      <c r="CE420" s="114"/>
      <c r="CF420" s="114"/>
      <c r="CG420" s="114"/>
      <c r="CH420" s="114"/>
      <c r="CI420" s="114"/>
      <c r="CJ420" s="114"/>
      <c r="CK420" s="114"/>
      <c r="CL420" s="114"/>
      <c r="CM420" s="114"/>
      <c r="CN420" s="114"/>
      <c r="CO420" s="114"/>
      <c r="CP420" s="114"/>
      <c r="CQ420" s="114"/>
      <c r="CR420" s="114"/>
      <c r="CS420" s="114"/>
      <c r="CT420" s="114"/>
      <c r="CU420" s="114"/>
      <c r="CV420" s="114"/>
      <c r="CW420" s="114"/>
      <c r="CX420" s="114"/>
      <c r="CY420" s="114"/>
      <c r="CZ420" s="114"/>
      <c r="DA420" s="114"/>
      <c r="DB420" s="114"/>
      <c r="DC420" s="114"/>
      <c r="DD420" s="114"/>
      <c r="DE420" s="114"/>
      <c r="DF420" s="114"/>
      <c r="DG420" s="114"/>
      <c r="DH420" s="114"/>
      <c r="DI420" s="114"/>
      <c r="DJ420" s="114"/>
      <c r="DK420" s="114"/>
      <c r="DL420" s="114"/>
      <c r="DM420" s="114"/>
      <c r="DN420" s="114"/>
      <c r="DO420" s="114"/>
      <c r="DP420" s="114"/>
      <c r="DQ420" s="114"/>
    </row>
    <row r="421" spans="1:121" ht="15" customHeight="1" outlineLevel="4" x14ac:dyDescent="0.25">
      <c r="A421" s="101"/>
      <c r="B421" s="101"/>
      <c r="C421" s="101">
        <v>5</v>
      </c>
      <c r="D421" s="102" t="s">
        <v>783</v>
      </c>
      <c r="E421" s="103"/>
      <c r="F421" s="103"/>
      <c r="G421" s="103"/>
      <c r="H421" s="103"/>
      <c r="I421" s="120" t="s">
        <v>287</v>
      </c>
      <c r="J421" s="120"/>
      <c r="K421" s="120"/>
      <c r="L421" s="120"/>
      <c r="M421" s="120"/>
      <c r="N421" s="120"/>
      <c r="O421" s="120" t="str">
        <f>O420</f>
        <v>1동 1F 충방전 CV</v>
      </c>
      <c r="P421" s="185"/>
      <c r="Q421" s="105">
        <v>45200</v>
      </c>
      <c r="R421" s="105">
        <v>45200</v>
      </c>
      <c r="S421" s="106">
        <f>R421-Q421</f>
        <v>0</v>
      </c>
      <c r="T421" s="107">
        <v>1</v>
      </c>
      <c r="U421" s="107">
        <v>0</v>
      </c>
      <c r="V421" s="107">
        <v>1</v>
      </c>
      <c r="W421" s="107">
        <v>0</v>
      </c>
      <c r="X421" s="108"/>
      <c r="Y421" s="108"/>
      <c r="Z421" s="109"/>
      <c r="AA421" s="110">
        <v>0</v>
      </c>
      <c r="AB421" s="107">
        <v>1</v>
      </c>
      <c r="AC421" s="106"/>
      <c r="AD421" s="180"/>
      <c r="AE421" s="111">
        <v>0</v>
      </c>
      <c r="AF421" s="121">
        <v>0</v>
      </c>
      <c r="AG421" s="113"/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  <c r="AV421" s="114"/>
      <c r="AW421" s="114"/>
      <c r="AX421" s="114"/>
      <c r="AY421" s="114"/>
      <c r="AZ421" s="114"/>
      <c r="BA421" s="114"/>
      <c r="BB421" s="114"/>
      <c r="BC421" s="114"/>
      <c r="BD421" s="114"/>
      <c r="BE421" s="114"/>
      <c r="BF421" s="114"/>
      <c r="BG421" s="114"/>
      <c r="BH421" s="114"/>
      <c r="BI421" s="114"/>
      <c r="BJ421" s="114"/>
      <c r="BK421" s="114"/>
      <c r="BL421" s="114"/>
      <c r="BM421" s="114"/>
      <c r="BN421" s="114"/>
      <c r="BO421" s="114"/>
      <c r="BP421" s="114" t="str">
        <f>"" &amp; TEXT(AF421,"#0.00%") &amp; " " &amp; "FOB" &amp; " " &amp; IF(Q421="","",TEXT(Q421,"M/D-")) &amp; IF(R421="","",TEXT(R421,"M/D")) &amp; " "</f>
        <v xml:space="preserve">0.00% FOB 10/1-10/1 </v>
      </c>
      <c r="BQ421" s="114"/>
      <c r="BR421" s="114"/>
      <c r="BS421" s="114"/>
      <c r="BT421" s="114"/>
      <c r="BU421" s="114"/>
      <c r="BV421" s="114"/>
      <c r="BW421" s="114"/>
      <c r="BX421" s="114"/>
      <c r="BY421" s="114"/>
      <c r="BZ421" s="114"/>
      <c r="CA421" s="114"/>
      <c r="CB421" s="114"/>
      <c r="CC421" s="114"/>
      <c r="CD421" s="114"/>
      <c r="CE421" s="114"/>
      <c r="CF421" s="114"/>
      <c r="CG421" s="114"/>
      <c r="CH421" s="114"/>
      <c r="CI421" s="114"/>
      <c r="CJ421" s="114"/>
      <c r="CK421" s="114"/>
      <c r="CL421" s="114"/>
      <c r="CM421" s="114"/>
      <c r="CN421" s="114"/>
      <c r="CO421" s="114"/>
      <c r="CP421" s="114"/>
      <c r="CQ421" s="114"/>
      <c r="CR421" s="114"/>
      <c r="CS421" s="114"/>
      <c r="CT421" s="114"/>
      <c r="CU421" s="114"/>
      <c r="CV421" s="114"/>
      <c r="CW421" s="114"/>
      <c r="CX421" s="114"/>
      <c r="CY421" s="114"/>
      <c r="CZ421" s="114"/>
      <c r="DA421" s="114"/>
      <c r="DB421" s="114"/>
      <c r="DC421" s="114"/>
      <c r="DD421" s="114"/>
      <c r="DE421" s="114"/>
      <c r="DF421" s="114"/>
      <c r="DG421" s="114"/>
      <c r="DH421" s="114"/>
      <c r="DI421" s="114"/>
      <c r="DJ421" s="114"/>
      <c r="DK421" s="114"/>
      <c r="DL421" s="114"/>
      <c r="DM421" s="114"/>
      <c r="DN421" s="114"/>
      <c r="DO421" s="114"/>
      <c r="DP421" s="114"/>
      <c r="DQ421" s="114"/>
    </row>
    <row r="422" spans="1:121" ht="15" customHeight="1" outlineLevel="3" x14ac:dyDescent="0.25">
      <c r="A422" s="101"/>
      <c r="B422" s="101" t="s">
        <v>153</v>
      </c>
      <c r="C422" s="101">
        <v>4</v>
      </c>
      <c r="D422" s="102" t="s">
        <v>784</v>
      </c>
      <c r="E422" s="103"/>
      <c r="F422" s="103"/>
      <c r="G422" s="103"/>
      <c r="H422" s="103" t="s">
        <v>619</v>
      </c>
      <c r="I422" s="120"/>
      <c r="J422" s="120"/>
      <c r="K422" s="120"/>
      <c r="L422" s="120"/>
      <c r="M422" s="120"/>
      <c r="N422" s="120"/>
      <c r="O422" s="194" t="str">
        <f>H422</f>
        <v>1동 1F Folding CV</v>
      </c>
      <c r="P422" s="185"/>
      <c r="Q422" s="105">
        <v>45235</v>
      </c>
      <c r="R422" s="105">
        <v>45250</v>
      </c>
      <c r="S422" s="106"/>
      <c r="T422" s="107">
        <v>16</v>
      </c>
      <c r="U422" s="107">
        <v>0</v>
      </c>
      <c r="V422" s="107">
        <v>16</v>
      </c>
      <c r="W422" s="107">
        <v>0</v>
      </c>
      <c r="X422" s="108"/>
      <c r="Y422" s="108"/>
      <c r="Z422" s="109">
        <v>0</v>
      </c>
      <c r="AA422" s="110">
        <v>0</v>
      </c>
      <c r="AB422" s="107"/>
      <c r="AC422" s="106"/>
      <c r="AD422" s="180"/>
      <c r="AE422" s="111">
        <v>0</v>
      </c>
      <c r="AF422" s="122">
        <v>0</v>
      </c>
      <c r="AG422" s="113"/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  <c r="AV422" s="114"/>
      <c r="AW422" s="114"/>
      <c r="AX422" s="114"/>
      <c r="AY422" s="114"/>
      <c r="AZ422" s="114"/>
      <c r="BA422" s="114"/>
      <c r="BB422" s="114"/>
      <c r="BC422" s="114"/>
      <c r="BD422" s="114"/>
      <c r="BE422" s="114"/>
      <c r="BF422" s="114"/>
      <c r="BG422" s="114"/>
      <c r="BH422" s="114"/>
      <c r="BI422" s="114"/>
      <c r="BJ422" s="114"/>
      <c r="BK422" s="114"/>
      <c r="BL422" s="114"/>
      <c r="BM422" s="114"/>
      <c r="BN422" s="114"/>
      <c r="BO422" s="114"/>
      <c r="BP422" s="114"/>
      <c r="BQ422" s="114"/>
      <c r="BR422" s="114"/>
      <c r="BS422" s="114"/>
      <c r="BT422" s="114"/>
      <c r="BU422" s="114" t="str">
        <f>"" &amp; TEXT(AF422,"#0.00%") &amp; " " &amp; "1동 1F Folding CV" &amp; " " &amp; IF(Q422="","",TEXT(Q422,"M/D-")) &amp; IF(R422="","",TEXT(R422,"M/D")) &amp; " "</f>
        <v xml:space="preserve">0.00% 1동 1F Folding CV 11/5-11/20 </v>
      </c>
      <c r="BV422" s="114"/>
      <c r="BW422" s="114"/>
      <c r="BX422" s="114"/>
      <c r="BY422" s="114"/>
      <c r="BZ422" s="114"/>
      <c r="CA422" s="114"/>
      <c r="CB422" s="114"/>
      <c r="CC422" s="114"/>
      <c r="CD422" s="114"/>
      <c r="CE422" s="114"/>
      <c r="CF422" s="114"/>
      <c r="CG422" s="114"/>
      <c r="CH422" s="114"/>
      <c r="CI422" s="114"/>
      <c r="CJ422" s="114"/>
      <c r="CK422" s="114"/>
      <c r="CL422" s="114"/>
      <c r="CM422" s="114"/>
      <c r="CN422" s="114"/>
      <c r="CO422" s="114"/>
      <c r="CP422" s="114"/>
      <c r="CQ422" s="114"/>
      <c r="CR422" s="114"/>
      <c r="CS422" s="114"/>
      <c r="CT422" s="114"/>
      <c r="CU422" s="114"/>
      <c r="CV422" s="114"/>
      <c r="CW422" s="114"/>
      <c r="CX422" s="114"/>
      <c r="CY422" s="114"/>
      <c r="CZ422" s="114"/>
      <c r="DA422" s="114"/>
      <c r="DB422" s="114"/>
      <c r="DC422" s="114"/>
      <c r="DD422" s="114"/>
      <c r="DE422" s="114"/>
      <c r="DF422" s="114"/>
      <c r="DG422" s="114"/>
      <c r="DH422" s="114"/>
      <c r="DI422" s="114"/>
      <c r="DJ422" s="114"/>
      <c r="DK422" s="114"/>
      <c r="DL422" s="114"/>
      <c r="DM422" s="114"/>
      <c r="DN422" s="114"/>
      <c r="DO422" s="114"/>
      <c r="DP422" s="114"/>
      <c r="DQ422" s="114"/>
    </row>
    <row r="423" spans="1:121" ht="15" customHeight="1" outlineLevel="4" x14ac:dyDescent="0.25">
      <c r="A423" s="101"/>
      <c r="B423" s="101"/>
      <c r="C423" s="101">
        <v>5</v>
      </c>
      <c r="D423" s="102" t="s">
        <v>785</v>
      </c>
      <c r="E423" s="103"/>
      <c r="F423" s="103"/>
      <c r="G423" s="103"/>
      <c r="H423" s="103"/>
      <c r="I423" s="120" t="s">
        <v>773</v>
      </c>
      <c r="J423" s="120"/>
      <c r="K423" s="120"/>
      <c r="L423" s="120"/>
      <c r="M423" s="120"/>
      <c r="N423" s="120"/>
      <c r="O423" s="120" t="str">
        <f>O422</f>
        <v>1동 1F Folding CV</v>
      </c>
      <c r="P423" s="185"/>
      <c r="Q423" s="105">
        <v>45235</v>
      </c>
      <c r="R423" s="105">
        <v>45249</v>
      </c>
      <c r="S423" s="106">
        <f>R423-Q423</f>
        <v>14</v>
      </c>
      <c r="T423" s="107">
        <v>15</v>
      </c>
      <c r="U423" s="107">
        <v>0</v>
      </c>
      <c r="V423" s="107">
        <v>15</v>
      </c>
      <c r="W423" s="107">
        <v>0</v>
      </c>
      <c r="X423" s="108"/>
      <c r="Y423" s="108"/>
      <c r="Z423" s="109"/>
      <c r="AA423" s="110">
        <v>0</v>
      </c>
      <c r="AB423" s="107">
        <v>1</v>
      </c>
      <c r="AC423" s="106"/>
      <c r="AD423" s="180"/>
      <c r="AE423" s="111">
        <v>0</v>
      </c>
      <c r="AF423" s="121">
        <v>0</v>
      </c>
      <c r="AG423" s="113"/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  <c r="AV423" s="114"/>
      <c r="AW423" s="114"/>
      <c r="AX423" s="114"/>
      <c r="AY423" s="114"/>
      <c r="AZ423" s="114"/>
      <c r="BA423" s="114"/>
      <c r="BB423" s="114"/>
      <c r="BC423" s="114"/>
      <c r="BD423" s="114"/>
      <c r="BE423" s="114"/>
      <c r="BF423" s="114"/>
      <c r="BG423" s="114"/>
      <c r="BH423" s="114"/>
      <c r="BI423" s="114"/>
      <c r="BJ423" s="114"/>
      <c r="BK423" s="114"/>
      <c r="BL423" s="114"/>
      <c r="BM423" s="114"/>
      <c r="BN423" s="114"/>
      <c r="BO423" s="114"/>
      <c r="BP423" s="114"/>
      <c r="BQ423" s="114"/>
      <c r="BR423" s="114"/>
      <c r="BS423" s="114"/>
      <c r="BT423" s="114"/>
      <c r="BU423" s="114" t="str">
        <f>"" &amp; TEXT(AF423,"#0.00%") &amp; " " &amp; "Packing" &amp; " " &amp; IF(Q423="","",TEXT(Q423,"M/D-")) &amp; IF(R423="","",TEXT(R423,"M/D")) &amp; " "</f>
        <v xml:space="preserve">0.00% Packing 11/5-11/19 </v>
      </c>
      <c r="BV423" s="114"/>
      <c r="BW423" s="114"/>
      <c r="BX423" s="114"/>
      <c r="BY423" s="114"/>
      <c r="BZ423" s="114"/>
      <c r="CA423" s="114"/>
      <c r="CB423" s="114"/>
      <c r="CC423" s="114"/>
      <c r="CD423" s="114"/>
      <c r="CE423" s="114"/>
      <c r="CF423" s="114"/>
      <c r="CG423" s="114"/>
      <c r="CH423" s="114"/>
      <c r="CI423" s="114"/>
      <c r="CJ423" s="114"/>
      <c r="CK423" s="114"/>
      <c r="CL423" s="114"/>
      <c r="CM423" s="114"/>
      <c r="CN423" s="114"/>
      <c r="CO423" s="114"/>
      <c r="CP423" s="114"/>
      <c r="CQ423" s="114"/>
      <c r="CR423" s="114"/>
      <c r="CS423" s="114"/>
      <c r="CT423" s="114"/>
      <c r="CU423" s="114"/>
      <c r="CV423" s="114"/>
      <c r="CW423" s="114"/>
      <c r="CX423" s="114"/>
      <c r="CY423" s="114"/>
      <c r="CZ423" s="114"/>
      <c r="DA423" s="114"/>
      <c r="DB423" s="114"/>
      <c r="DC423" s="114"/>
      <c r="DD423" s="114"/>
      <c r="DE423" s="114"/>
      <c r="DF423" s="114"/>
      <c r="DG423" s="114"/>
      <c r="DH423" s="114"/>
      <c r="DI423" s="114"/>
      <c r="DJ423" s="114"/>
      <c r="DK423" s="114"/>
      <c r="DL423" s="114"/>
      <c r="DM423" s="114"/>
      <c r="DN423" s="114"/>
      <c r="DO423" s="114"/>
      <c r="DP423" s="114"/>
      <c r="DQ423" s="114"/>
    </row>
    <row r="424" spans="1:121" ht="15" customHeight="1" outlineLevel="4" x14ac:dyDescent="0.25">
      <c r="A424" s="101"/>
      <c r="B424" s="101"/>
      <c r="C424" s="101">
        <v>5</v>
      </c>
      <c r="D424" s="102" t="s">
        <v>786</v>
      </c>
      <c r="E424" s="103"/>
      <c r="F424" s="103"/>
      <c r="G424" s="103"/>
      <c r="H424" s="103"/>
      <c r="I424" s="120" t="s">
        <v>287</v>
      </c>
      <c r="J424" s="120"/>
      <c r="K424" s="120"/>
      <c r="L424" s="120"/>
      <c r="M424" s="120"/>
      <c r="N424" s="120"/>
      <c r="O424" s="120" t="str">
        <f>O423</f>
        <v>1동 1F Folding CV</v>
      </c>
      <c r="P424" s="185"/>
      <c r="Q424" s="105">
        <v>45250</v>
      </c>
      <c r="R424" s="105">
        <v>45250</v>
      </c>
      <c r="S424" s="106">
        <f>R424-Q424</f>
        <v>0</v>
      </c>
      <c r="T424" s="107">
        <v>1</v>
      </c>
      <c r="U424" s="107">
        <v>0</v>
      </c>
      <c r="V424" s="107">
        <v>1</v>
      </c>
      <c r="W424" s="107">
        <v>0</v>
      </c>
      <c r="X424" s="108"/>
      <c r="Y424" s="108"/>
      <c r="Z424" s="109"/>
      <c r="AA424" s="110">
        <v>0</v>
      </c>
      <c r="AB424" s="107">
        <v>1</v>
      </c>
      <c r="AC424" s="106"/>
      <c r="AD424" s="180"/>
      <c r="AE424" s="111">
        <v>0</v>
      </c>
      <c r="AF424" s="121">
        <v>0</v>
      </c>
      <c r="AG424" s="113"/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  <c r="AV424" s="114"/>
      <c r="AW424" s="114"/>
      <c r="AX424" s="114"/>
      <c r="AY424" s="114"/>
      <c r="AZ424" s="114"/>
      <c r="BA424" s="114"/>
      <c r="BB424" s="114"/>
      <c r="BC424" s="114"/>
      <c r="BD424" s="114"/>
      <c r="BE424" s="114"/>
      <c r="BF424" s="114"/>
      <c r="BG424" s="114"/>
      <c r="BH424" s="114"/>
      <c r="BI424" s="114"/>
      <c r="BJ424" s="114"/>
      <c r="BK424" s="114"/>
      <c r="BL424" s="114"/>
      <c r="BM424" s="114"/>
      <c r="BN424" s="114"/>
      <c r="BO424" s="114"/>
      <c r="BP424" s="114"/>
      <c r="BQ424" s="114"/>
      <c r="BR424" s="114"/>
      <c r="BS424" s="114"/>
      <c r="BT424" s="114"/>
      <c r="BU424" s="114"/>
      <c r="BV424" s="114"/>
      <c r="BW424" s="114" t="str">
        <f>" " &amp; TEXT(AF424,"#0.00%") &amp; " " &amp; "FOB" &amp; " " &amp; IF(Q424="","",TEXT(Q424,"M/D-")) &amp; IF(R424="","",TEXT(R424,"M/D")) &amp; " "</f>
        <v xml:space="preserve"> 0.00% FOB 11/20-11/20 </v>
      </c>
      <c r="BX424" s="114"/>
      <c r="BY424" s="114"/>
      <c r="BZ424" s="114"/>
      <c r="CA424" s="114"/>
      <c r="CB424" s="114"/>
      <c r="CC424" s="114"/>
      <c r="CD424" s="114"/>
      <c r="CE424" s="114"/>
      <c r="CF424" s="114"/>
      <c r="CG424" s="114"/>
      <c r="CH424" s="114"/>
      <c r="CI424" s="114"/>
      <c r="CJ424" s="114"/>
      <c r="CK424" s="114"/>
      <c r="CL424" s="114"/>
      <c r="CM424" s="114"/>
      <c r="CN424" s="114"/>
      <c r="CO424" s="114"/>
      <c r="CP424" s="114"/>
      <c r="CQ424" s="114"/>
      <c r="CR424" s="114"/>
      <c r="CS424" s="114"/>
      <c r="CT424" s="114"/>
      <c r="CU424" s="114"/>
      <c r="CV424" s="114"/>
      <c r="CW424" s="114"/>
      <c r="CX424" s="114"/>
      <c r="CY424" s="114"/>
      <c r="CZ424" s="114"/>
      <c r="DA424" s="114"/>
      <c r="DB424" s="114"/>
      <c r="DC424" s="114"/>
      <c r="DD424" s="114"/>
      <c r="DE424" s="114"/>
      <c r="DF424" s="114"/>
      <c r="DG424" s="114"/>
      <c r="DH424" s="114"/>
      <c r="DI424" s="114"/>
      <c r="DJ424" s="114"/>
      <c r="DK424" s="114"/>
      <c r="DL424" s="114"/>
      <c r="DM424" s="114"/>
      <c r="DN424" s="114"/>
      <c r="DO424" s="114"/>
      <c r="DP424" s="114"/>
      <c r="DQ424" s="114"/>
    </row>
    <row r="425" spans="1:121" ht="15" customHeight="1" outlineLevel="3" x14ac:dyDescent="0.25">
      <c r="A425" s="101"/>
      <c r="B425" s="101" t="s">
        <v>153</v>
      </c>
      <c r="C425" s="101">
        <v>4</v>
      </c>
      <c r="D425" s="102" t="s">
        <v>787</v>
      </c>
      <c r="E425" s="103"/>
      <c r="F425" s="103"/>
      <c r="G425" s="103"/>
      <c r="H425" s="124" t="s">
        <v>625</v>
      </c>
      <c r="I425" s="120"/>
      <c r="J425" s="120"/>
      <c r="K425" s="120"/>
      <c r="L425" s="120"/>
      <c r="M425" s="120"/>
      <c r="N425" s="120"/>
      <c r="O425" s="194" t="str">
        <f>H425</f>
        <v>1동 2F Degasssing전 CV</v>
      </c>
      <c r="P425" s="185"/>
      <c r="Q425" s="105">
        <v>45200</v>
      </c>
      <c r="R425" s="105">
        <v>45226</v>
      </c>
      <c r="S425" s="106"/>
      <c r="T425" s="107">
        <v>33</v>
      </c>
      <c r="U425" s="107">
        <v>0</v>
      </c>
      <c r="V425" s="107">
        <v>27</v>
      </c>
      <c r="W425" s="107">
        <v>0</v>
      </c>
      <c r="X425" s="108"/>
      <c r="Y425" s="108"/>
      <c r="Z425" s="109">
        <v>0</v>
      </c>
      <c r="AA425" s="110">
        <v>0</v>
      </c>
      <c r="AB425" s="107"/>
      <c r="AC425" s="106"/>
      <c r="AD425" s="180"/>
      <c r="AE425" s="111">
        <v>0</v>
      </c>
      <c r="AF425" s="122">
        <v>0</v>
      </c>
      <c r="AG425" s="113"/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  <c r="AV425" s="114"/>
      <c r="AW425" s="114"/>
      <c r="AX425" s="114"/>
      <c r="AY425" s="114"/>
      <c r="AZ425" s="114"/>
      <c r="BA425" s="114"/>
      <c r="BB425" s="114"/>
      <c r="BC425" s="114"/>
      <c r="BD425" s="114"/>
      <c r="BE425" s="114"/>
      <c r="BF425" s="114"/>
      <c r="BG425" s="114"/>
      <c r="BH425" s="114"/>
      <c r="BI425" s="114"/>
      <c r="BJ425" s="114"/>
      <c r="BK425" s="114"/>
      <c r="BL425" s="114"/>
      <c r="BM425" s="114"/>
      <c r="BN425" s="114"/>
      <c r="BO425" s="114"/>
      <c r="BP425" s="114" t="str">
        <f>"" &amp; TEXT(AF425,"#0.00%") &amp; " "</f>
        <v xml:space="preserve">0.00% </v>
      </c>
      <c r="BQ425" s="114"/>
      <c r="BR425" s="114"/>
      <c r="BS425" s="114" t="str">
        <f>"      " &amp; "1동 2F Degasssing전 CV" &amp; " " &amp; IF(Q425="","",TEXT(Q425,"M/D-")) &amp; IF(R425="","",TEXT(R425,"M/D")) &amp; " "</f>
        <v xml:space="preserve">      1동 2F Degasssing전 CV 10/1-10/27 </v>
      </c>
      <c r="BT425" s="114"/>
      <c r="BU425" s="114"/>
      <c r="BV425" s="114"/>
      <c r="BW425" s="114"/>
      <c r="BX425" s="114"/>
      <c r="BY425" s="114"/>
      <c r="BZ425" s="114"/>
      <c r="CA425" s="114"/>
      <c r="CB425" s="114"/>
      <c r="CC425" s="114"/>
      <c r="CD425" s="114"/>
      <c r="CE425" s="114"/>
      <c r="CF425" s="114"/>
      <c r="CG425" s="114"/>
      <c r="CH425" s="114"/>
      <c r="CI425" s="114"/>
      <c r="CJ425" s="114"/>
      <c r="CK425" s="114"/>
      <c r="CL425" s="114"/>
      <c r="CM425" s="114"/>
      <c r="CN425" s="114"/>
      <c r="CO425" s="114"/>
      <c r="CP425" s="114"/>
      <c r="CQ425" s="114"/>
      <c r="CR425" s="114"/>
      <c r="CS425" s="114"/>
      <c r="CT425" s="114"/>
      <c r="CU425" s="114"/>
      <c r="CV425" s="114"/>
      <c r="CW425" s="114"/>
      <c r="CX425" s="114"/>
      <c r="CY425" s="114"/>
      <c r="CZ425" s="114"/>
      <c r="DA425" s="114"/>
      <c r="DB425" s="114"/>
      <c r="DC425" s="114"/>
      <c r="DD425" s="114"/>
      <c r="DE425" s="114"/>
      <c r="DF425" s="114"/>
      <c r="DG425" s="114"/>
      <c r="DH425" s="114"/>
      <c r="DI425" s="114"/>
      <c r="DJ425" s="114"/>
      <c r="DK425" s="114"/>
      <c r="DL425" s="114"/>
      <c r="DM425" s="114"/>
      <c r="DN425" s="114"/>
      <c r="DO425" s="114"/>
      <c r="DP425" s="114"/>
      <c r="DQ425" s="114"/>
    </row>
    <row r="426" spans="1:121" ht="15" customHeight="1" outlineLevel="4" x14ac:dyDescent="0.25">
      <c r="A426" s="101"/>
      <c r="B426" s="101"/>
      <c r="C426" s="101">
        <v>5</v>
      </c>
      <c r="D426" s="102" t="s">
        <v>788</v>
      </c>
      <c r="E426" s="103"/>
      <c r="F426" s="103"/>
      <c r="G426" s="103"/>
      <c r="H426" s="103"/>
      <c r="I426" s="120" t="s">
        <v>773</v>
      </c>
      <c r="J426" s="120"/>
      <c r="K426" s="120"/>
      <c r="L426" s="120"/>
      <c r="M426" s="120"/>
      <c r="N426" s="120"/>
      <c r="O426" s="120" t="str">
        <f>O425</f>
        <v>1동 2F Degasssing전 CV</v>
      </c>
      <c r="P426" s="185"/>
      <c r="Q426" s="105">
        <v>45200</v>
      </c>
      <c r="R426" s="105">
        <v>45219</v>
      </c>
      <c r="S426" s="106">
        <f>R426-Q426</f>
        <v>19</v>
      </c>
      <c r="T426" s="107">
        <v>20</v>
      </c>
      <c r="U426" s="107">
        <v>0</v>
      </c>
      <c r="V426" s="107">
        <v>20</v>
      </c>
      <c r="W426" s="107">
        <v>0</v>
      </c>
      <c r="X426" s="108"/>
      <c r="Y426" s="108"/>
      <c r="Z426" s="109"/>
      <c r="AA426" s="110">
        <v>0</v>
      </c>
      <c r="AB426" s="107">
        <v>1</v>
      </c>
      <c r="AC426" s="106"/>
      <c r="AD426" s="180"/>
      <c r="AE426" s="111">
        <v>0</v>
      </c>
      <c r="AF426" s="121">
        <v>0</v>
      </c>
      <c r="AG426" s="113"/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  <c r="AV426" s="114"/>
      <c r="AW426" s="114"/>
      <c r="AX426" s="114"/>
      <c r="AY426" s="114"/>
      <c r="AZ426" s="114"/>
      <c r="BA426" s="114"/>
      <c r="BB426" s="114"/>
      <c r="BC426" s="114"/>
      <c r="BD426" s="114"/>
      <c r="BE426" s="114"/>
      <c r="BF426" s="114"/>
      <c r="BG426" s="114"/>
      <c r="BH426" s="114"/>
      <c r="BI426" s="114"/>
      <c r="BJ426" s="114"/>
      <c r="BK426" s="114"/>
      <c r="BL426" s="114"/>
      <c r="BM426" s="114"/>
      <c r="BN426" s="114"/>
      <c r="BO426" s="114"/>
      <c r="BP426" s="114" t="str">
        <f>"" &amp; TEXT(AF426,"#0.00%") &amp; " " &amp; "Packing" &amp; " " &amp; IF(Q426="","",TEXT(Q426,"M/D-")) &amp; IF(R426="","",TEXT(R426,"M/D")) &amp; " "</f>
        <v xml:space="preserve">0.00% Packing 10/1-10/20 </v>
      </c>
      <c r="BQ426" s="114"/>
      <c r="BR426" s="114"/>
      <c r="BS426" s="114"/>
      <c r="BT426" s="114"/>
      <c r="BU426" s="114"/>
      <c r="BV426" s="114"/>
      <c r="BW426" s="114"/>
      <c r="BX426" s="114"/>
      <c r="BY426" s="114"/>
      <c r="BZ426" s="114"/>
      <c r="CA426" s="114"/>
      <c r="CB426" s="114"/>
      <c r="CC426" s="114"/>
      <c r="CD426" s="114"/>
      <c r="CE426" s="114"/>
      <c r="CF426" s="114"/>
      <c r="CG426" s="114"/>
      <c r="CH426" s="114"/>
      <c r="CI426" s="114"/>
      <c r="CJ426" s="114"/>
      <c r="CK426" s="114"/>
      <c r="CL426" s="114"/>
      <c r="CM426" s="114"/>
      <c r="CN426" s="114"/>
      <c r="CO426" s="114"/>
      <c r="CP426" s="114"/>
      <c r="CQ426" s="114"/>
      <c r="CR426" s="114"/>
      <c r="CS426" s="114"/>
      <c r="CT426" s="114"/>
      <c r="CU426" s="114"/>
      <c r="CV426" s="114"/>
      <c r="CW426" s="114"/>
      <c r="CX426" s="114"/>
      <c r="CY426" s="114"/>
      <c r="CZ426" s="114"/>
      <c r="DA426" s="114"/>
      <c r="DB426" s="114"/>
      <c r="DC426" s="114"/>
      <c r="DD426" s="114"/>
      <c r="DE426" s="114"/>
      <c r="DF426" s="114"/>
      <c r="DG426" s="114"/>
      <c r="DH426" s="114"/>
      <c r="DI426" s="114"/>
      <c r="DJ426" s="114"/>
      <c r="DK426" s="114"/>
      <c r="DL426" s="114"/>
      <c r="DM426" s="114"/>
      <c r="DN426" s="114"/>
      <c r="DO426" s="114"/>
      <c r="DP426" s="114"/>
      <c r="DQ426" s="114"/>
    </row>
    <row r="427" spans="1:121" ht="15" customHeight="1" outlineLevel="4" x14ac:dyDescent="0.25">
      <c r="A427" s="101"/>
      <c r="B427" s="101"/>
      <c r="C427" s="101">
        <v>5</v>
      </c>
      <c r="D427" s="102" t="s">
        <v>789</v>
      </c>
      <c r="E427" s="103"/>
      <c r="F427" s="103"/>
      <c r="G427" s="103"/>
      <c r="H427" s="103"/>
      <c r="I427" s="120" t="s">
        <v>287</v>
      </c>
      <c r="J427" s="120"/>
      <c r="K427" s="120"/>
      <c r="L427" s="120"/>
      <c r="M427" s="120"/>
      <c r="N427" s="120"/>
      <c r="O427" s="120" t="str">
        <f>O426</f>
        <v>1동 2F Degasssing전 CV</v>
      </c>
      <c r="P427" s="185"/>
      <c r="Q427" s="105">
        <v>45214</v>
      </c>
      <c r="R427" s="105">
        <v>45226</v>
      </c>
      <c r="S427" s="106">
        <f>R427-Q427</f>
        <v>12</v>
      </c>
      <c r="T427" s="107">
        <v>13</v>
      </c>
      <c r="U427" s="107">
        <v>0</v>
      </c>
      <c r="V427" s="107">
        <v>13</v>
      </c>
      <c r="W427" s="107">
        <v>0</v>
      </c>
      <c r="X427" s="108"/>
      <c r="Y427" s="108"/>
      <c r="Z427" s="109"/>
      <c r="AA427" s="110">
        <v>0</v>
      </c>
      <c r="AB427" s="107">
        <v>1</v>
      </c>
      <c r="AC427" s="106"/>
      <c r="AD427" s="180"/>
      <c r="AE427" s="111">
        <v>0</v>
      </c>
      <c r="AF427" s="121">
        <v>0</v>
      </c>
      <c r="AG427" s="113"/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  <c r="AV427" s="114"/>
      <c r="AW427" s="114"/>
      <c r="AX427" s="114"/>
      <c r="AY427" s="114"/>
      <c r="AZ427" s="114"/>
      <c r="BA427" s="114"/>
      <c r="BB427" s="114"/>
      <c r="BC427" s="114"/>
      <c r="BD427" s="114"/>
      <c r="BE427" s="114"/>
      <c r="BF427" s="114"/>
      <c r="BG427" s="114"/>
      <c r="BH427" s="114"/>
      <c r="BI427" s="114"/>
      <c r="BJ427" s="114"/>
      <c r="BK427" s="114"/>
      <c r="BL427" s="114"/>
      <c r="BM427" s="114"/>
      <c r="BN427" s="114"/>
      <c r="BO427" s="114"/>
      <c r="BP427" s="114"/>
      <c r="BQ427" s="114"/>
      <c r="BR427" s="114" t="str">
        <f>"" &amp; TEXT(AF427,"#0.00%") &amp; " " &amp; "FOB" &amp; " " &amp; IF(Q427="","",TEXT(Q427,"M/D-")) &amp; IF(R427="","",TEXT(R427,"M/D")) &amp; " "</f>
        <v xml:space="preserve">0.00% FOB 10/15-10/27 </v>
      </c>
      <c r="BS427" s="114"/>
      <c r="BT427" s="114"/>
      <c r="BU427" s="114"/>
      <c r="BV427" s="114"/>
      <c r="BW427" s="114"/>
      <c r="BX427" s="114"/>
      <c r="BY427" s="114"/>
      <c r="BZ427" s="114"/>
      <c r="CA427" s="114"/>
      <c r="CB427" s="114"/>
      <c r="CC427" s="114"/>
      <c r="CD427" s="114"/>
      <c r="CE427" s="114"/>
      <c r="CF427" s="114"/>
      <c r="CG427" s="114"/>
      <c r="CH427" s="114"/>
      <c r="CI427" s="114"/>
      <c r="CJ427" s="114"/>
      <c r="CK427" s="114"/>
      <c r="CL427" s="114"/>
      <c r="CM427" s="114"/>
      <c r="CN427" s="114"/>
      <c r="CO427" s="114"/>
      <c r="CP427" s="114"/>
      <c r="CQ427" s="114"/>
      <c r="CR427" s="114"/>
      <c r="CS427" s="114"/>
      <c r="CT427" s="114"/>
      <c r="CU427" s="114"/>
      <c r="CV427" s="114"/>
      <c r="CW427" s="114"/>
      <c r="CX427" s="114"/>
      <c r="CY427" s="114"/>
      <c r="CZ427" s="114"/>
      <c r="DA427" s="114"/>
      <c r="DB427" s="114"/>
      <c r="DC427" s="114"/>
      <c r="DD427" s="114"/>
      <c r="DE427" s="114"/>
      <c r="DF427" s="114"/>
      <c r="DG427" s="114"/>
      <c r="DH427" s="114"/>
      <c r="DI427" s="114"/>
      <c r="DJ427" s="114"/>
      <c r="DK427" s="114"/>
      <c r="DL427" s="114"/>
      <c r="DM427" s="114"/>
      <c r="DN427" s="114"/>
      <c r="DO427" s="114"/>
      <c r="DP427" s="114"/>
      <c r="DQ427" s="114"/>
    </row>
    <row r="428" spans="1:121" ht="15" customHeight="1" outlineLevel="3" x14ac:dyDescent="0.25">
      <c r="A428" s="101"/>
      <c r="B428" s="101" t="s">
        <v>153</v>
      </c>
      <c r="C428" s="101">
        <v>4</v>
      </c>
      <c r="D428" s="102" t="s">
        <v>790</v>
      </c>
      <c r="E428" s="103"/>
      <c r="F428" s="103"/>
      <c r="G428" s="103"/>
      <c r="H428" s="124" t="s">
        <v>631</v>
      </c>
      <c r="I428" s="120"/>
      <c r="J428" s="120"/>
      <c r="K428" s="120"/>
      <c r="L428" s="120"/>
      <c r="M428" s="120"/>
      <c r="N428" s="120"/>
      <c r="O428" s="194" t="str">
        <f>H428</f>
        <v>1동 2F Degasssing후 CV</v>
      </c>
      <c r="P428" s="185"/>
      <c r="Q428" s="105">
        <v>45224</v>
      </c>
      <c r="R428" s="105">
        <v>45240</v>
      </c>
      <c r="S428" s="106"/>
      <c r="T428" s="107">
        <v>17</v>
      </c>
      <c r="U428" s="107">
        <v>0</v>
      </c>
      <c r="V428" s="107">
        <v>17</v>
      </c>
      <c r="W428" s="107">
        <v>0</v>
      </c>
      <c r="X428" s="108"/>
      <c r="Y428" s="108"/>
      <c r="Z428" s="109">
        <v>0</v>
      </c>
      <c r="AA428" s="110">
        <v>0</v>
      </c>
      <c r="AB428" s="107"/>
      <c r="AC428" s="106"/>
      <c r="AD428" s="180"/>
      <c r="AE428" s="111">
        <v>0</v>
      </c>
      <c r="AF428" s="122">
        <v>0</v>
      </c>
      <c r="AG428" s="113"/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  <c r="AV428" s="114"/>
      <c r="AW428" s="114"/>
      <c r="AX428" s="114"/>
      <c r="AY428" s="114"/>
      <c r="AZ428" s="114"/>
      <c r="BA428" s="114"/>
      <c r="BB428" s="114"/>
      <c r="BC428" s="114"/>
      <c r="BD428" s="114"/>
      <c r="BE428" s="114"/>
      <c r="BF428" s="114"/>
      <c r="BG428" s="114"/>
      <c r="BH428" s="114"/>
      <c r="BI428" s="114"/>
      <c r="BJ428" s="114"/>
      <c r="BK428" s="114"/>
      <c r="BL428" s="114"/>
      <c r="BM428" s="114"/>
      <c r="BN428" s="114"/>
      <c r="BO428" s="114"/>
      <c r="BP428" s="114"/>
      <c r="BQ428" s="114"/>
      <c r="BR428" s="114"/>
      <c r="BS428" s="114" t="str">
        <f>"   " &amp; TEXT(AF428,"#0.00%") &amp; " " &amp; "1동 2F Degasssing후 CV" &amp; " " &amp; IF(Q428="","",TEXT(Q428,"M/D-")) &amp; IF(R428="","",TEXT(R428,"M/D")) &amp; " "</f>
        <v xml:space="preserve">   0.00% 1동 2F Degasssing후 CV 10/25-11/10 </v>
      </c>
      <c r="BT428" s="114"/>
      <c r="BU428" s="114"/>
      <c r="BV428" s="114"/>
      <c r="BW428" s="114"/>
      <c r="BX428" s="114"/>
      <c r="BY428" s="114"/>
      <c r="BZ428" s="114"/>
      <c r="CA428" s="114"/>
      <c r="CB428" s="114"/>
      <c r="CC428" s="114"/>
      <c r="CD428" s="114"/>
      <c r="CE428" s="114"/>
      <c r="CF428" s="114"/>
      <c r="CG428" s="114"/>
      <c r="CH428" s="114"/>
      <c r="CI428" s="114"/>
      <c r="CJ428" s="114"/>
      <c r="CK428" s="114"/>
      <c r="CL428" s="114"/>
      <c r="CM428" s="114"/>
      <c r="CN428" s="114"/>
      <c r="CO428" s="114"/>
      <c r="CP428" s="114"/>
      <c r="CQ428" s="114"/>
      <c r="CR428" s="114"/>
      <c r="CS428" s="114"/>
      <c r="CT428" s="114"/>
      <c r="CU428" s="114"/>
      <c r="CV428" s="114"/>
      <c r="CW428" s="114"/>
      <c r="CX428" s="114"/>
      <c r="CY428" s="114"/>
      <c r="CZ428" s="114"/>
      <c r="DA428" s="114"/>
      <c r="DB428" s="114"/>
      <c r="DC428" s="114"/>
      <c r="DD428" s="114"/>
      <c r="DE428" s="114"/>
      <c r="DF428" s="114"/>
      <c r="DG428" s="114"/>
      <c r="DH428" s="114"/>
      <c r="DI428" s="114"/>
      <c r="DJ428" s="114"/>
      <c r="DK428" s="114"/>
      <c r="DL428" s="114"/>
      <c r="DM428" s="114"/>
      <c r="DN428" s="114"/>
      <c r="DO428" s="114"/>
      <c r="DP428" s="114"/>
      <c r="DQ428" s="114"/>
    </row>
    <row r="429" spans="1:121" ht="15" customHeight="1" outlineLevel="4" x14ac:dyDescent="0.25">
      <c r="A429" s="101"/>
      <c r="B429" s="101"/>
      <c r="C429" s="101">
        <v>5</v>
      </c>
      <c r="D429" s="102" t="s">
        <v>791</v>
      </c>
      <c r="E429" s="103"/>
      <c r="F429" s="103"/>
      <c r="G429" s="103"/>
      <c r="H429" s="103"/>
      <c r="I429" s="120" t="s">
        <v>773</v>
      </c>
      <c r="J429" s="120"/>
      <c r="K429" s="120"/>
      <c r="L429" s="120"/>
      <c r="M429" s="120"/>
      <c r="N429" s="120"/>
      <c r="O429" s="120" t="str">
        <f>O428</f>
        <v>1동 2F Degasssing후 CV</v>
      </c>
      <c r="P429" s="185"/>
      <c r="Q429" s="105">
        <v>45224</v>
      </c>
      <c r="R429" s="105">
        <v>45239</v>
      </c>
      <c r="S429" s="106">
        <f>R429-Q429</f>
        <v>15</v>
      </c>
      <c r="T429" s="107">
        <v>16</v>
      </c>
      <c r="U429" s="107">
        <v>0</v>
      </c>
      <c r="V429" s="107">
        <v>16</v>
      </c>
      <c r="W429" s="107">
        <v>0</v>
      </c>
      <c r="X429" s="108"/>
      <c r="Y429" s="108"/>
      <c r="Z429" s="109"/>
      <c r="AA429" s="110">
        <v>0</v>
      </c>
      <c r="AB429" s="107">
        <v>1</v>
      </c>
      <c r="AC429" s="106"/>
      <c r="AD429" s="180"/>
      <c r="AE429" s="111">
        <v>0</v>
      </c>
      <c r="AF429" s="121">
        <v>0</v>
      </c>
      <c r="AG429" s="113"/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  <c r="AV429" s="114"/>
      <c r="AW429" s="114"/>
      <c r="AX429" s="114"/>
      <c r="AY429" s="114"/>
      <c r="AZ429" s="114"/>
      <c r="BA429" s="114"/>
      <c r="BB429" s="114"/>
      <c r="BC429" s="114"/>
      <c r="BD429" s="114"/>
      <c r="BE429" s="114"/>
      <c r="BF429" s="114"/>
      <c r="BG429" s="114"/>
      <c r="BH429" s="114"/>
      <c r="BI429" s="114"/>
      <c r="BJ429" s="114"/>
      <c r="BK429" s="114"/>
      <c r="BL429" s="114"/>
      <c r="BM429" s="114"/>
      <c r="BN429" s="114"/>
      <c r="BO429" s="114"/>
      <c r="BP429" s="114"/>
      <c r="BQ429" s="114"/>
      <c r="BR429" s="114"/>
      <c r="BS429" s="114" t="str">
        <f>"   " &amp; TEXT(AF429,"#0.00%") &amp; " " &amp; "Packing" &amp; " " &amp; IF(Q429="","",TEXT(Q429,"M/D-")) &amp; IF(R429="","",TEXT(R429,"M/D")) &amp; " "</f>
        <v xml:space="preserve">   0.00% Packing 10/25-11/9 </v>
      </c>
      <c r="BT429" s="114"/>
      <c r="BU429" s="114"/>
      <c r="BV429" s="114"/>
      <c r="BW429" s="114"/>
      <c r="BX429" s="114"/>
      <c r="BY429" s="114"/>
      <c r="BZ429" s="114"/>
      <c r="CA429" s="114"/>
      <c r="CB429" s="114"/>
      <c r="CC429" s="114"/>
      <c r="CD429" s="114"/>
      <c r="CE429" s="114"/>
      <c r="CF429" s="114"/>
      <c r="CG429" s="114"/>
      <c r="CH429" s="114"/>
      <c r="CI429" s="114"/>
      <c r="CJ429" s="114"/>
      <c r="CK429" s="114"/>
      <c r="CL429" s="114"/>
      <c r="CM429" s="114"/>
      <c r="CN429" s="114"/>
      <c r="CO429" s="114"/>
      <c r="CP429" s="114"/>
      <c r="CQ429" s="114"/>
      <c r="CR429" s="114"/>
      <c r="CS429" s="114"/>
      <c r="CT429" s="114"/>
      <c r="CU429" s="114"/>
      <c r="CV429" s="114"/>
      <c r="CW429" s="114"/>
      <c r="CX429" s="114"/>
      <c r="CY429" s="114"/>
      <c r="CZ429" s="114"/>
      <c r="DA429" s="114"/>
      <c r="DB429" s="114"/>
      <c r="DC429" s="114"/>
      <c r="DD429" s="114"/>
      <c r="DE429" s="114"/>
      <c r="DF429" s="114"/>
      <c r="DG429" s="114"/>
      <c r="DH429" s="114"/>
      <c r="DI429" s="114"/>
      <c r="DJ429" s="114"/>
      <c r="DK429" s="114"/>
      <c r="DL429" s="114"/>
      <c r="DM429" s="114"/>
      <c r="DN429" s="114"/>
      <c r="DO429" s="114"/>
      <c r="DP429" s="114"/>
      <c r="DQ429" s="114"/>
    </row>
    <row r="430" spans="1:121" ht="15" customHeight="1" outlineLevel="4" x14ac:dyDescent="0.25">
      <c r="A430" s="101"/>
      <c r="B430" s="101"/>
      <c r="C430" s="101">
        <v>5</v>
      </c>
      <c r="D430" s="102" t="s">
        <v>792</v>
      </c>
      <c r="E430" s="103"/>
      <c r="F430" s="103"/>
      <c r="G430" s="103"/>
      <c r="H430" s="103"/>
      <c r="I430" s="120" t="s">
        <v>287</v>
      </c>
      <c r="J430" s="120"/>
      <c r="K430" s="120"/>
      <c r="L430" s="120"/>
      <c r="M430" s="120"/>
      <c r="N430" s="120"/>
      <c r="O430" s="120" t="str">
        <f>O429</f>
        <v>1동 2F Degasssing후 CV</v>
      </c>
      <c r="P430" s="185"/>
      <c r="Q430" s="105">
        <v>45240</v>
      </c>
      <c r="R430" s="105">
        <v>45240</v>
      </c>
      <c r="S430" s="106">
        <f>R430-Q430</f>
        <v>0</v>
      </c>
      <c r="T430" s="107">
        <v>1</v>
      </c>
      <c r="U430" s="107">
        <v>0</v>
      </c>
      <c r="V430" s="107">
        <v>1</v>
      </c>
      <c r="W430" s="107">
        <v>0</v>
      </c>
      <c r="X430" s="108"/>
      <c r="Y430" s="108"/>
      <c r="Z430" s="109"/>
      <c r="AA430" s="110">
        <v>0</v>
      </c>
      <c r="AB430" s="107">
        <v>1</v>
      </c>
      <c r="AC430" s="106"/>
      <c r="AD430" s="180"/>
      <c r="AE430" s="111">
        <v>0</v>
      </c>
      <c r="AF430" s="121">
        <v>0</v>
      </c>
      <c r="AG430" s="113"/>
      <c r="AH430" s="114"/>
      <c r="AI430" s="114"/>
      <c r="AJ430" s="114"/>
      <c r="AK430" s="114"/>
      <c r="AL430" s="114"/>
      <c r="AM430" s="114"/>
      <c r="AN430" s="114"/>
      <c r="AO430" s="114"/>
      <c r="AP430" s="114"/>
      <c r="AQ430" s="114"/>
      <c r="AR430" s="114"/>
      <c r="AS430" s="114"/>
      <c r="AT430" s="114"/>
      <c r="AU430" s="114"/>
      <c r="AV430" s="114"/>
      <c r="AW430" s="114"/>
      <c r="AX430" s="114"/>
      <c r="AY430" s="114"/>
      <c r="AZ430" s="114"/>
      <c r="BA430" s="114"/>
      <c r="BB430" s="114"/>
      <c r="BC430" s="114"/>
      <c r="BD430" s="114"/>
      <c r="BE430" s="114"/>
      <c r="BF430" s="114"/>
      <c r="BG430" s="114"/>
      <c r="BH430" s="114"/>
      <c r="BI430" s="114"/>
      <c r="BJ430" s="114"/>
      <c r="BK430" s="114"/>
      <c r="BL430" s="114"/>
      <c r="BM430" s="114"/>
      <c r="BN430" s="114"/>
      <c r="BO430" s="114"/>
      <c r="BP430" s="114"/>
      <c r="BQ430" s="114"/>
      <c r="BR430" s="114"/>
      <c r="BS430" s="114"/>
      <c r="BT430" s="114"/>
      <c r="BU430" s="114" t="str">
        <f>"     " &amp; TEXT(AF430,"#0.00%") &amp; " " &amp; "FOB" &amp; " " &amp; IF(Q430="","",TEXT(Q430,"M/D-")) &amp; IF(R430="","",TEXT(R430,"M/D")) &amp; " "</f>
        <v xml:space="preserve">     0.00% FOB 11/10-11/10 </v>
      </c>
      <c r="BV430" s="114"/>
      <c r="BW430" s="114"/>
      <c r="BX430" s="114"/>
      <c r="BY430" s="114"/>
      <c r="BZ430" s="114"/>
      <c r="CA430" s="114"/>
      <c r="CB430" s="114"/>
      <c r="CC430" s="114"/>
      <c r="CD430" s="114"/>
      <c r="CE430" s="114"/>
      <c r="CF430" s="114"/>
      <c r="CG430" s="114"/>
      <c r="CH430" s="114"/>
      <c r="CI430" s="114"/>
      <c r="CJ430" s="114"/>
      <c r="CK430" s="114"/>
      <c r="CL430" s="114"/>
      <c r="CM430" s="114"/>
      <c r="CN430" s="114"/>
      <c r="CO430" s="114"/>
      <c r="CP430" s="114"/>
      <c r="CQ430" s="114"/>
      <c r="CR430" s="114"/>
      <c r="CS430" s="114"/>
      <c r="CT430" s="114"/>
      <c r="CU430" s="114"/>
      <c r="CV430" s="114"/>
      <c r="CW430" s="114"/>
      <c r="CX430" s="114"/>
      <c r="CY430" s="114"/>
      <c r="CZ430" s="114"/>
      <c r="DA430" s="114"/>
      <c r="DB430" s="114"/>
      <c r="DC430" s="114"/>
      <c r="DD430" s="114"/>
      <c r="DE430" s="114"/>
      <c r="DF430" s="114"/>
      <c r="DG430" s="114"/>
      <c r="DH430" s="114"/>
      <c r="DI430" s="114"/>
      <c r="DJ430" s="114"/>
      <c r="DK430" s="114"/>
      <c r="DL430" s="114"/>
      <c r="DM430" s="114"/>
      <c r="DN430" s="114"/>
      <c r="DO430" s="114"/>
      <c r="DP430" s="114"/>
      <c r="DQ430" s="114"/>
    </row>
    <row r="431" spans="1:121" ht="15" customHeight="1" outlineLevel="2" x14ac:dyDescent="0.25">
      <c r="A431" s="101"/>
      <c r="B431" s="101" t="s">
        <v>153</v>
      </c>
      <c r="C431" s="101">
        <v>3</v>
      </c>
      <c r="D431" s="102" t="s">
        <v>793</v>
      </c>
      <c r="E431" s="103"/>
      <c r="F431" s="103"/>
      <c r="G431" s="103" t="s">
        <v>637</v>
      </c>
      <c r="H431" s="103"/>
      <c r="I431" s="120"/>
      <c r="J431" s="120"/>
      <c r="K431" s="120"/>
      <c r="L431" s="120"/>
      <c r="M431" s="120"/>
      <c r="N431" s="120"/>
      <c r="O431" s="194" t="str">
        <f>G431</f>
        <v>2동 Conveyor &amp; Deck</v>
      </c>
      <c r="P431" s="185"/>
      <c r="Q431" s="105">
        <v>45264</v>
      </c>
      <c r="R431" s="105">
        <v>45330</v>
      </c>
      <c r="S431" s="106"/>
      <c r="T431" s="107">
        <v>135</v>
      </c>
      <c r="U431" s="107">
        <v>0</v>
      </c>
      <c r="V431" s="107">
        <v>67</v>
      </c>
      <c r="W431" s="107">
        <v>0</v>
      </c>
      <c r="X431" s="108"/>
      <c r="Y431" s="108"/>
      <c r="Z431" s="109">
        <v>0</v>
      </c>
      <c r="AA431" s="110">
        <v>0</v>
      </c>
      <c r="AB431" s="107"/>
      <c r="AC431" s="106"/>
      <c r="AD431" s="180"/>
      <c r="AE431" s="111">
        <v>0</v>
      </c>
      <c r="AF431" s="122">
        <v>0</v>
      </c>
      <c r="AG431" s="113"/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  <c r="AV431" s="114"/>
      <c r="AW431" s="114"/>
      <c r="AX431" s="114"/>
      <c r="AY431" s="114"/>
      <c r="AZ431" s="114"/>
      <c r="BA431" s="114"/>
      <c r="BB431" s="114"/>
      <c r="BC431" s="114"/>
      <c r="BD431" s="114"/>
      <c r="BE431" s="114"/>
      <c r="BF431" s="114"/>
      <c r="BG431" s="114"/>
      <c r="BH431" s="114"/>
      <c r="BI431" s="114"/>
      <c r="BJ431" s="114"/>
      <c r="BK431" s="114"/>
      <c r="BL431" s="114"/>
      <c r="BM431" s="114"/>
      <c r="BN431" s="114"/>
      <c r="BO431" s="114"/>
      <c r="BP431" s="114"/>
      <c r="BQ431" s="114"/>
      <c r="BR431" s="114"/>
      <c r="BS431" s="114"/>
      <c r="BT431" s="114"/>
      <c r="BU431" s="114"/>
      <c r="BV431" s="114"/>
      <c r="BW431" s="114"/>
      <c r="BX431" s="114"/>
      <c r="BY431" s="114" t="str">
        <f>" " &amp; TEXT(AF431,"#0.00%") &amp; " "</f>
        <v xml:space="preserve"> 0.00% </v>
      </c>
      <c r="BZ431" s="114"/>
      <c r="CA431" s="114"/>
      <c r="CB431" s="114"/>
      <c r="CC431" s="114"/>
      <c r="CD431" s="114"/>
      <c r="CE431" s="114"/>
      <c r="CF431" s="114"/>
      <c r="CG431" s="114"/>
      <c r="CH431" s="114" t="str">
        <f>"     " &amp; "2동 Conveyor &amp; Deck" &amp; " " &amp; IF(Q431="","",TEXT(Q431,"M/D-")) &amp; IF(R431="","",TEXT(R431,"M/D")) &amp; " "</f>
        <v xml:space="preserve">     2동 Conveyor &amp; Deck 12/4-2/8 </v>
      </c>
      <c r="CI431" s="114"/>
      <c r="CJ431" s="114"/>
      <c r="CK431" s="114"/>
      <c r="CL431" s="114"/>
      <c r="CM431" s="114"/>
      <c r="CN431" s="114"/>
      <c r="CO431" s="114"/>
      <c r="CP431" s="114"/>
      <c r="CQ431" s="114"/>
      <c r="CR431" s="114"/>
      <c r="CS431" s="114"/>
      <c r="CT431" s="114"/>
      <c r="CU431" s="114"/>
      <c r="CV431" s="114"/>
      <c r="CW431" s="114"/>
      <c r="CX431" s="114"/>
      <c r="CY431" s="114"/>
      <c r="CZ431" s="114"/>
      <c r="DA431" s="114"/>
      <c r="DB431" s="114"/>
      <c r="DC431" s="114"/>
      <c r="DD431" s="114"/>
      <c r="DE431" s="114"/>
      <c r="DF431" s="114"/>
      <c r="DG431" s="114"/>
      <c r="DH431" s="114"/>
      <c r="DI431" s="114"/>
      <c r="DJ431" s="114"/>
      <c r="DK431" s="114"/>
      <c r="DL431" s="114"/>
      <c r="DM431" s="114"/>
      <c r="DN431" s="114"/>
      <c r="DO431" s="114"/>
      <c r="DP431" s="114"/>
      <c r="DQ431" s="114"/>
    </row>
    <row r="432" spans="1:121" ht="15" customHeight="1" outlineLevel="3" x14ac:dyDescent="0.25">
      <c r="A432" s="101"/>
      <c r="B432" s="101" t="s">
        <v>153</v>
      </c>
      <c r="C432" s="101">
        <v>4</v>
      </c>
      <c r="D432" s="102" t="s">
        <v>794</v>
      </c>
      <c r="E432" s="103"/>
      <c r="F432" s="103"/>
      <c r="G432" s="103"/>
      <c r="H432" s="103" t="s">
        <v>639</v>
      </c>
      <c r="I432" s="120"/>
      <c r="J432" s="120"/>
      <c r="K432" s="120"/>
      <c r="L432" s="120"/>
      <c r="M432" s="120"/>
      <c r="N432" s="120"/>
      <c r="O432" s="194" t="str">
        <f>H432</f>
        <v>2동 조립동 CV</v>
      </c>
      <c r="P432" s="185"/>
      <c r="Q432" s="105">
        <v>45280</v>
      </c>
      <c r="R432" s="105">
        <v>45320</v>
      </c>
      <c r="S432" s="106"/>
      <c r="T432" s="107">
        <v>42</v>
      </c>
      <c r="U432" s="107">
        <v>0</v>
      </c>
      <c r="V432" s="107">
        <v>41</v>
      </c>
      <c r="W432" s="107">
        <v>0</v>
      </c>
      <c r="X432" s="108"/>
      <c r="Y432" s="108"/>
      <c r="Z432" s="109">
        <v>0</v>
      </c>
      <c r="AA432" s="110">
        <v>0</v>
      </c>
      <c r="AB432" s="107"/>
      <c r="AC432" s="106"/>
      <c r="AD432" s="180"/>
      <c r="AE432" s="111">
        <v>0</v>
      </c>
      <c r="AF432" s="122">
        <v>0</v>
      </c>
      <c r="AG432" s="113"/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  <c r="AV432" s="114"/>
      <c r="AW432" s="114"/>
      <c r="AX432" s="114"/>
      <c r="AY432" s="114"/>
      <c r="AZ432" s="114"/>
      <c r="BA432" s="114"/>
      <c r="BB432" s="114"/>
      <c r="BC432" s="114"/>
      <c r="BD432" s="114"/>
      <c r="BE432" s="114"/>
      <c r="BF432" s="114"/>
      <c r="BG432" s="114"/>
      <c r="BH432" s="114"/>
      <c r="BI432" s="114"/>
      <c r="BJ432" s="114"/>
      <c r="BK432" s="114"/>
      <c r="BL432" s="114"/>
      <c r="BM432" s="114"/>
      <c r="BN432" s="114"/>
      <c r="BO432" s="114"/>
      <c r="BP432" s="114"/>
      <c r="BQ432" s="114"/>
      <c r="BR432" s="114"/>
      <c r="BS432" s="114"/>
      <c r="BT432" s="114"/>
      <c r="BU432" s="114"/>
      <c r="BV432" s="114"/>
      <c r="BW432" s="114"/>
      <c r="BX432" s="114"/>
      <c r="BY432" s="114"/>
      <c r="BZ432" s="114"/>
      <c r="CA432" s="114" t="str">
        <f>"   " &amp; TEXT(AF432,"#0.00%") &amp; " "</f>
        <v xml:space="preserve">   0.00% </v>
      </c>
      <c r="CB432" s="114"/>
      <c r="CC432" s="114"/>
      <c r="CD432" s="114"/>
      <c r="CE432" s="114"/>
      <c r="CF432" s="114"/>
      <c r="CG432" s="114" t="str">
        <f>"  " &amp; "2동 조립동 CV" &amp; " " &amp; IF(Q432="","",TEXT(Q432,"M/D-")) &amp; IF(R432="","",TEXT(R432,"M/D")) &amp; " "</f>
        <v xml:space="preserve">  2동 조립동 CV 12/20-1/29 </v>
      </c>
      <c r="CH432" s="114"/>
      <c r="CI432" s="114"/>
      <c r="CJ432" s="114"/>
      <c r="CK432" s="114"/>
      <c r="CL432" s="114"/>
      <c r="CM432" s="114"/>
      <c r="CN432" s="114"/>
      <c r="CO432" s="114"/>
      <c r="CP432" s="114"/>
      <c r="CQ432" s="114"/>
      <c r="CR432" s="114"/>
      <c r="CS432" s="114"/>
      <c r="CT432" s="114"/>
      <c r="CU432" s="114"/>
      <c r="CV432" s="114"/>
      <c r="CW432" s="114"/>
      <c r="CX432" s="114"/>
      <c r="CY432" s="114"/>
      <c r="CZ432" s="114"/>
      <c r="DA432" s="114"/>
      <c r="DB432" s="114"/>
      <c r="DC432" s="114"/>
      <c r="DD432" s="114"/>
      <c r="DE432" s="114"/>
      <c r="DF432" s="114"/>
      <c r="DG432" s="114"/>
      <c r="DH432" s="114"/>
      <c r="DI432" s="114"/>
      <c r="DJ432" s="114"/>
      <c r="DK432" s="114"/>
      <c r="DL432" s="114"/>
      <c r="DM432" s="114"/>
      <c r="DN432" s="114"/>
      <c r="DO432" s="114"/>
      <c r="DP432" s="114"/>
      <c r="DQ432" s="114"/>
    </row>
    <row r="433" spans="1:121" ht="15" customHeight="1" outlineLevel="4" x14ac:dyDescent="0.25">
      <c r="A433" s="101"/>
      <c r="B433" s="101"/>
      <c r="C433" s="101">
        <v>5</v>
      </c>
      <c r="D433" s="102" t="s">
        <v>795</v>
      </c>
      <c r="E433" s="103"/>
      <c r="F433" s="103"/>
      <c r="G433" s="103"/>
      <c r="H433" s="103"/>
      <c r="I433" s="120" t="s">
        <v>773</v>
      </c>
      <c r="J433" s="120"/>
      <c r="K433" s="120"/>
      <c r="L433" s="120"/>
      <c r="M433" s="120"/>
      <c r="N433" s="120"/>
      <c r="O433" s="120" t="str">
        <f>O432</f>
        <v>2동 조립동 CV</v>
      </c>
      <c r="P433" s="185"/>
      <c r="Q433" s="105">
        <v>45280</v>
      </c>
      <c r="R433" s="105">
        <v>45294</v>
      </c>
      <c r="S433" s="106">
        <f>R433-Q433</f>
        <v>14</v>
      </c>
      <c r="T433" s="107">
        <v>15</v>
      </c>
      <c r="U433" s="107">
        <v>0</v>
      </c>
      <c r="V433" s="107">
        <v>15</v>
      </c>
      <c r="W433" s="107">
        <v>0</v>
      </c>
      <c r="X433" s="108"/>
      <c r="Y433" s="108"/>
      <c r="Z433" s="109"/>
      <c r="AA433" s="110">
        <v>0</v>
      </c>
      <c r="AB433" s="107">
        <v>1</v>
      </c>
      <c r="AC433" s="106"/>
      <c r="AD433" s="180"/>
      <c r="AE433" s="111">
        <v>0</v>
      </c>
      <c r="AF433" s="121">
        <v>0</v>
      </c>
      <c r="AG433" s="113"/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  <c r="AV433" s="114"/>
      <c r="AW433" s="114"/>
      <c r="AX433" s="114"/>
      <c r="AY433" s="114"/>
      <c r="AZ433" s="114"/>
      <c r="BA433" s="114"/>
      <c r="BB433" s="114"/>
      <c r="BC433" s="114"/>
      <c r="BD433" s="114"/>
      <c r="BE433" s="114"/>
      <c r="BF433" s="114"/>
      <c r="BG433" s="114"/>
      <c r="BH433" s="114"/>
      <c r="BI433" s="114"/>
      <c r="BJ433" s="114"/>
      <c r="BK433" s="114"/>
      <c r="BL433" s="114"/>
      <c r="BM433" s="114"/>
      <c r="BN433" s="114"/>
      <c r="BO433" s="114"/>
      <c r="BP433" s="114"/>
      <c r="BQ433" s="114"/>
      <c r="BR433" s="114"/>
      <c r="BS433" s="114"/>
      <c r="BT433" s="114"/>
      <c r="BU433" s="114"/>
      <c r="BV433" s="114"/>
      <c r="BW433" s="114"/>
      <c r="BX433" s="114"/>
      <c r="BY433" s="114"/>
      <c r="BZ433" s="114"/>
      <c r="CA433" s="114" t="str">
        <f>"   " &amp; TEXT(AF433,"#0.00%") &amp; " " &amp; "Packing" &amp; " " &amp; IF(Q433="","",TEXT(Q433,"M/D-")) &amp; IF(R433="","",TEXT(R433,"M/D")) &amp; " "</f>
        <v xml:space="preserve">   0.00% Packing 12/20-1/3 </v>
      </c>
      <c r="CB433" s="114"/>
      <c r="CC433" s="114"/>
      <c r="CD433" s="114"/>
      <c r="CE433" s="114"/>
      <c r="CF433" s="114"/>
      <c r="CG433" s="114"/>
      <c r="CH433" s="114"/>
      <c r="CI433" s="114"/>
      <c r="CJ433" s="114"/>
      <c r="CK433" s="114"/>
      <c r="CL433" s="114"/>
      <c r="CM433" s="114"/>
      <c r="CN433" s="114"/>
      <c r="CO433" s="114"/>
      <c r="CP433" s="114"/>
      <c r="CQ433" s="114"/>
      <c r="CR433" s="114"/>
      <c r="CS433" s="114"/>
      <c r="CT433" s="114"/>
      <c r="CU433" s="114"/>
      <c r="CV433" s="114"/>
      <c r="CW433" s="114"/>
      <c r="CX433" s="114"/>
      <c r="CY433" s="114"/>
      <c r="CZ433" s="114"/>
      <c r="DA433" s="114"/>
      <c r="DB433" s="114"/>
      <c r="DC433" s="114"/>
      <c r="DD433" s="114"/>
      <c r="DE433" s="114"/>
      <c r="DF433" s="114"/>
      <c r="DG433" s="114"/>
      <c r="DH433" s="114"/>
      <c r="DI433" s="114"/>
      <c r="DJ433" s="114"/>
      <c r="DK433" s="114"/>
      <c r="DL433" s="114"/>
      <c r="DM433" s="114"/>
      <c r="DN433" s="114"/>
      <c r="DO433" s="114"/>
      <c r="DP433" s="114"/>
      <c r="DQ433" s="114"/>
    </row>
    <row r="434" spans="1:121" ht="15" customHeight="1" outlineLevel="4" x14ac:dyDescent="0.25">
      <c r="A434" s="101"/>
      <c r="B434" s="101"/>
      <c r="C434" s="101">
        <v>5</v>
      </c>
      <c r="D434" s="102" t="s">
        <v>796</v>
      </c>
      <c r="E434" s="103"/>
      <c r="F434" s="103"/>
      <c r="G434" s="103"/>
      <c r="H434" s="103"/>
      <c r="I434" s="120" t="s">
        <v>287</v>
      </c>
      <c r="J434" s="120"/>
      <c r="K434" s="120"/>
      <c r="L434" s="120"/>
      <c r="M434" s="120"/>
      <c r="N434" s="120"/>
      <c r="O434" s="120" t="str">
        <f>O433</f>
        <v>2동 조립동 CV</v>
      </c>
      <c r="P434" s="185"/>
      <c r="Q434" s="105">
        <v>45294</v>
      </c>
      <c r="R434" s="105">
        <v>45320</v>
      </c>
      <c r="S434" s="106">
        <f>R434-Q434</f>
        <v>26</v>
      </c>
      <c r="T434" s="107">
        <v>27</v>
      </c>
      <c r="U434" s="107">
        <v>0</v>
      </c>
      <c r="V434" s="107">
        <v>27</v>
      </c>
      <c r="W434" s="107">
        <v>0</v>
      </c>
      <c r="X434" s="108"/>
      <c r="Y434" s="108"/>
      <c r="Z434" s="109"/>
      <c r="AA434" s="110">
        <v>0</v>
      </c>
      <c r="AB434" s="107">
        <v>1</v>
      </c>
      <c r="AC434" s="106"/>
      <c r="AD434" s="180"/>
      <c r="AE434" s="111">
        <v>0</v>
      </c>
      <c r="AF434" s="121">
        <v>0</v>
      </c>
      <c r="AG434" s="113"/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14"/>
      <c r="AU434" s="114"/>
      <c r="AV434" s="114"/>
      <c r="AW434" s="114"/>
      <c r="AX434" s="114"/>
      <c r="AY434" s="114"/>
      <c r="AZ434" s="114"/>
      <c r="BA434" s="114"/>
      <c r="BB434" s="114"/>
      <c r="BC434" s="114"/>
      <c r="BD434" s="114"/>
      <c r="BE434" s="114"/>
      <c r="BF434" s="114"/>
      <c r="BG434" s="114"/>
      <c r="BH434" s="114"/>
      <c r="BI434" s="114"/>
      <c r="BJ434" s="114"/>
      <c r="BK434" s="114"/>
      <c r="BL434" s="114"/>
      <c r="BM434" s="114"/>
      <c r="BN434" s="114"/>
      <c r="BO434" s="114"/>
      <c r="BP434" s="114"/>
      <c r="BQ434" s="114"/>
      <c r="BR434" s="114"/>
      <c r="BS434" s="114"/>
      <c r="BT434" s="114"/>
      <c r="BU434" s="114"/>
      <c r="BV434" s="114"/>
      <c r="BW434" s="114"/>
      <c r="BX434" s="114"/>
      <c r="BY434" s="114"/>
      <c r="BZ434" s="114"/>
      <c r="CA434" s="114"/>
      <c r="CB434" s="114"/>
      <c r="CC434" s="114" t="str">
        <f>"   " &amp; TEXT(AF434,"#0.00%") &amp; " "</f>
        <v xml:space="preserve">   0.00% </v>
      </c>
      <c r="CD434" s="114"/>
      <c r="CE434" s="114"/>
      <c r="CF434" s="114"/>
      <c r="CG434" s="114" t="str">
        <f>"  " &amp; "FOB" &amp; " " &amp; IF(Q434="","",TEXT(Q434,"M/D-")) &amp; IF(R434="","",TEXT(R434,"M/D")) &amp; " "</f>
        <v xml:space="preserve">  FOB 1/3-1/29 </v>
      </c>
      <c r="CH434" s="114"/>
      <c r="CI434" s="114"/>
      <c r="CJ434" s="114"/>
      <c r="CK434" s="114"/>
      <c r="CL434" s="114"/>
      <c r="CM434" s="114"/>
      <c r="CN434" s="114"/>
      <c r="CO434" s="114"/>
      <c r="CP434" s="114"/>
      <c r="CQ434" s="114"/>
      <c r="CR434" s="114"/>
      <c r="CS434" s="114"/>
      <c r="CT434" s="114"/>
      <c r="CU434" s="114"/>
      <c r="CV434" s="114"/>
      <c r="CW434" s="114"/>
      <c r="CX434" s="114"/>
      <c r="CY434" s="114"/>
      <c r="CZ434" s="114"/>
      <c r="DA434" s="114"/>
      <c r="DB434" s="114"/>
      <c r="DC434" s="114"/>
      <c r="DD434" s="114"/>
      <c r="DE434" s="114"/>
      <c r="DF434" s="114"/>
      <c r="DG434" s="114"/>
      <c r="DH434" s="114"/>
      <c r="DI434" s="114"/>
      <c r="DJ434" s="114"/>
      <c r="DK434" s="114"/>
      <c r="DL434" s="114"/>
      <c r="DM434" s="114"/>
      <c r="DN434" s="114"/>
      <c r="DO434" s="114"/>
      <c r="DP434" s="114"/>
      <c r="DQ434" s="114"/>
    </row>
    <row r="435" spans="1:121" ht="15" customHeight="1" outlineLevel="3" x14ac:dyDescent="0.25">
      <c r="A435" s="101"/>
      <c r="B435" s="101" t="s">
        <v>153</v>
      </c>
      <c r="C435" s="101">
        <v>4</v>
      </c>
      <c r="D435" s="102" t="s">
        <v>797</v>
      </c>
      <c r="E435" s="103"/>
      <c r="F435" s="103"/>
      <c r="G435" s="103"/>
      <c r="H435" s="103" t="s">
        <v>645</v>
      </c>
      <c r="I435" s="120"/>
      <c r="J435" s="120"/>
      <c r="K435" s="120"/>
      <c r="L435" s="120"/>
      <c r="M435" s="120"/>
      <c r="N435" s="120"/>
      <c r="O435" s="194" t="str">
        <f>H435</f>
        <v>2동 1F PPC CV</v>
      </c>
      <c r="P435" s="185"/>
      <c r="Q435" s="105">
        <v>45264</v>
      </c>
      <c r="R435" s="105">
        <v>45280</v>
      </c>
      <c r="S435" s="106"/>
      <c r="T435" s="107">
        <v>16</v>
      </c>
      <c r="U435" s="107">
        <v>0</v>
      </c>
      <c r="V435" s="107">
        <v>17</v>
      </c>
      <c r="W435" s="107">
        <v>0</v>
      </c>
      <c r="X435" s="108"/>
      <c r="Y435" s="108"/>
      <c r="Z435" s="109">
        <v>0</v>
      </c>
      <c r="AA435" s="110">
        <v>0</v>
      </c>
      <c r="AB435" s="107"/>
      <c r="AC435" s="106"/>
      <c r="AD435" s="180"/>
      <c r="AE435" s="111">
        <v>0</v>
      </c>
      <c r="AF435" s="122">
        <v>0</v>
      </c>
      <c r="AG435" s="113"/>
      <c r="AH435" s="114"/>
      <c r="AI435" s="114"/>
      <c r="AJ435" s="114"/>
      <c r="AK435" s="114"/>
      <c r="AL435" s="114"/>
      <c r="AM435" s="114"/>
      <c r="AN435" s="114"/>
      <c r="AO435" s="114"/>
      <c r="AP435" s="114"/>
      <c r="AQ435" s="114"/>
      <c r="AR435" s="114"/>
      <c r="AS435" s="114"/>
      <c r="AT435" s="114"/>
      <c r="AU435" s="114"/>
      <c r="AV435" s="114"/>
      <c r="AW435" s="114"/>
      <c r="AX435" s="114"/>
      <c r="AY435" s="114"/>
      <c r="AZ435" s="114"/>
      <c r="BA435" s="114"/>
      <c r="BB435" s="114"/>
      <c r="BC435" s="114"/>
      <c r="BD435" s="114"/>
      <c r="BE435" s="114"/>
      <c r="BF435" s="114"/>
      <c r="BG435" s="114"/>
      <c r="BH435" s="114"/>
      <c r="BI435" s="114"/>
      <c r="BJ435" s="114"/>
      <c r="BK435" s="114"/>
      <c r="BL435" s="114"/>
      <c r="BM435" s="114"/>
      <c r="BN435" s="114"/>
      <c r="BO435" s="114"/>
      <c r="BP435" s="114"/>
      <c r="BQ435" s="114"/>
      <c r="BR435" s="114"/>
      <c r="BS435" s="114"/>
      <c r="BT435" s="114"/>
      <c r="BU435" s="114"/>
      <c r="BV435" s="114"/>
      <c r="BW435" s="114"/>
      <c r="BX435" s="114"/>
      <c r="BY435" s="114" t="str">
        <f>" " &amp; TEXT(AF435,"#0.00%") &amp; " " &amp; "2동 1F PPC CV" &amp; " " &amp; IF(Q435="","",TEXT(Q435,"M/D-")) &amp; IF(R435="","",TEXT(R435,"M/D")) &amp; " "</f>
        <v xml:space="preserve"> 0.00% 2동 1F PPC CV 12/4-12/20 </v>
      </c>
      <c r="BZ435" s="114"/>
      <c r="CA435" s="114"/>
      <c r="CB435" s="114"/>
      <c r="CC435" s="114"/>
      <c r="CD435" s="114"/>
      <c r="CE435" s="114"/>
      <c r="CF435" s="114"/>
      <c r="CG435" s="114"/>
      <c r="CH435" s="114"/>
      <c r="CI435" s="114"/>
      <c r="CJ435" s="114"/>
      <c r="CK435" s="114"/>
      <c r="CL435" s="114"/>
      <c r="CM435" s="114"/>
      <c r="CN435" s="114"/>
      <c r="CO435" s="114"/>
      <c r="CP435" s="114"/>
      <c r="CQ435" s="114"/>
      <c r="CR435" s="114"/>
      <c r="CS435" s="114"/>
      <c r="CT435" s="114"/>
      <c r="CU435" s="114"/>
      <c r="CV435" s="114"/>
      <c r="CW435" s="114"/>
      <c r="CX435" s="114"/>
      <c r="CY435" s="114"/>
      <c r="CZ435" s="114"/>
      <c r="DA435" s="114"/>
      <c r="DB435" s="114"/>
      <c r="DC435" s="114"/>
      <c r="DD435" s="114"/>
      <c r="DE435" s="114"/>
      <c r="DF435" s="114"/>
      <c r="DG435" s="114"/>
      <c r="DH435" s="114"/>
      <c r="DI435" s="114"/>
      <c r="DJ435" s="114"/>
      <c r="DK435" s="114"/>
      <c r="DL435" s="114"/>
      <c r="DM435" s="114"/>
      <c r="DN435" s="114"/>
      <c r="DO435" s="114"/>
      <c r="DP435" s="114"/>
      <c r="DQ435" s="114"/>
    </row>
    <row r="436" spans="1:121" ht="15" customHeight="1" outlineLevel="4" x14ac:dyDescent="0.25">
      <c r="A436" s="101"/>
      <c r="B436" s="101"/>
      <c r="C436" s="101">
        <v>5</v>
      </c>
      <c r="D436" s="102" t="s">
        <v>798</v>
      </c>
      <c r="E436" s="103"/>
      <c r="F436" s="103"/>
      <c r="G436" s="103"/>
      <c r="H436" s="103"/>
      <c r="I436" s="120" t="s">
        <v>773</v>
      </c>
      <c r="J436" s="120"/>
      <c r="K436" s="120"/>
      <c r="L436" s="120"/>
      <c r="M436" s="120"/>
      <c r="N436" s="120"/>
      <c r="O436" s="120" t="str">
        <f>O435</f>
        <v>2동 1F PPC CV</v>
      </c>
      <c r="P436" s="185"/>
      <c r="Q436" s="105">
        <v>45264</v>
      </c>
      <c r="R436" s="105">
        <v>45278</v>
      </c>
      <c r="S436" s="106">
        <f>R436-Q436</f>
        <v>14</v>
      </c>
      <c r="T436" s="107">
        <v>15</v>
      </c>
      <c r="U436" s="107">
        <v>0</v>
      </c>
      <c r="V436" s="107">
        <v>15</v>
      </c>
      <c r="W436" s="107">
        <v>0</v>
      </c>
      <c r="X436" s="108"/>
      <c r="Y436" s="108"/>
      <c r="Z436" s="109"/>
      <c r="AA436" s="110">
        <v>0</v>
      </c>
      <c r="AB436" s="107">
        <v>1</v>
      </c>
      <c r="AC436" s="106"/>
      <c r="AD436" s="180"/>
      <c r="AE436" s="111">
        <v>0</v>
      </c>
      <c r="AF436" s="121">
        <v>0</v>
      </c>
      <c r="AG436" s="113"/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4"/>
      <c r="AT436" s="114"/>
      <c r="AU436" s="114"/>
      <c r="AV436" s="114"/>
      <c r="AW436" s="114"/>
      <c r="AX436" s="114"/>
      <c r="AY436" s="114"/>
      <c r="AZ436" s="114"/>
      <c r="BA436" s="114"/>
      <c r="BB436" s="114"/>
      <c r="BC436" s="114"/>
      <c r="BD436" s="114"/>
      <c r="BE436" s="114"/>
      <c r="BF436" s="114"/>
      <c r="BG436" s="114"/>
      <c r="BH436" s="114"/>
      <c r="BI436" s="114"/>
      <c r="BJ436" s="114"/>
      <c r="BK436" s="114"/>
      <c r="BL436" s="114"/>
      <c r="BM436" s="114"/>
      <c r="BN436" s="114"/>
      <c r="BO436" s="114"/>
      <c r="BP436" s="114"/>
      <c r="BQ436" s="114"/>
      <c r="BR436" s="114"/>
      <c r="BS436" s="114"/>
      <c r="BT436" s="114"/>
      <c r="BU436" s="114"/>
      <c r="BV436" s="114"/>
      <c r="BW436" s="114"/>
      <c r="BX436" s="114"/>
      <c r="BY436" s="114" t="str">
        <f>" " &amp; TEXT(AF436,"#0.00%") &amp; " " &amp; "Packing" &amp; " " &amp; IF(Q436="","",TEXT(Q436,"M/D-")) &amp; IF(R436="","",TEXT(R436,"M/D")) &amp; " "</f>
        <v xml:space="preserve"> 0.00% Packing 12/4-12/18 </v>
      </c>
      <c r="BZ436" s="114"/>
      <c r="CA436" s="114"/>
      <c r="CB436" s="114"/>
      <c r="CC436" s="114"/>
      <c r="CD436" s="114"/>
      <c r="CE436" s="114"/>
      <c r="CF436" s="114"/>
      <c r="CG436" s="114"/>
      <c r="CH436" s="114"/>
      <c r="CI436" s="114"/>
      <c r="CJ436" s="114"/>
      <c r="CK436" s="114"/>
      <c r="CL436" s="114"/>
      <c r="CM436" s="114"/>
      <c r="CN436" s="114"/>
      <c r="CO436" s="114"/>
      <c r="CP436" s="114"/>
      <c r="CQ436" s="114"/>
      <c r="CR436" s="114"/>
      <c r="CS436" s="114"/>
      <c r="CT436" s="114"/>
      <c r="CU436" s="114"/>
      <c r="CV436" s="114"/>
      <c r="CW436" s="114"/>
      <c r="CX436" s="114"/>
      <c r="CY436" s="114"/>
      <c r="CZ436" s="114"/>
      <c r="DA436" s="114"/>
      <c r="DB436" s="114"/>
      <c r="DC436" s="114"/>
      <c r="DD436" s="114"/>
      <c r="DE436" s="114"/>
      <c r="DF436" s="114"/>
      <c r="DG436" s="114"/>
      <c r="DH436" s="114"/>
      <c r="DI436" s="114"/>
      <c r="DJ436" s="114"/>
      <c r="DK436" s="114"/>
      <c r="DL436" s="114"/>
      <c r="DM436" s="114"/>
      <c r="DN436" s="114"/>
      <c r="DO436" s="114"/>
      <c r="DP436" s="114"/>
      <c r="DQ436" s="114"/>
    </row>
    <row r="437" spans="1:121" ht="15" customHeight="1" outlineLevel="4" x14ac:dyDescent="0.25">
      <c r="A437" s="101"/>
      <c r="B437" s="101"/>
      <c r="C437" s="101">
        <v>5</v>
      </c>
      <c r="D437" s="102" t="s">
        <v>799</v>
      </c>
      <c r="E437" s="103"/>
      <c r="F437" s="103"/>
      <c r="G437" s="103"/>
      <c r="H437" s="103"/>
      <c r="I437" s="120" t="s">
        <v>287</v>
      </c>
      <c r="J437" s="120"/>
      <c r="K437" s="120"/>
      <c r="L437" s="120"/>
      <c r="M437" s="120"/>
      <c r="N437" s="120"/>
      <c r="O437" s="120" t="str">
        <f>O436</f>
        <v>2동 1F PPC CV</v>
      </c>
      <c r="P437" s="185"/>
      <c r="Q437" s="105">
        <v>45280</v>
      </c>
      <c r="R437" s="105">
        <v>45280</v>
      </c>
      <c r="S437" s="106">
        <f>R437-Q437</f>
        <v>0</v>
      </c>
      <c r="T437" s="107">
        <v>1</v>
      </c>
      <c r="U437" s="107">
        <v>0</v>
      </c>
      <c r="V437" s="107">
        <v>1</v>
      </c>
      <c r="W437" s="107">
        <v>0</v>
      </c>
      <c r="X437" s="108"/>
      <c r="Y437" s="108"/>
      <c r="Z437" s="109"/>
      <c r="AA437" s="110">
        <v>0</v>
      </c>
      <c r="AB437" s="107">
        <v>1</v>
      </c>
      <c r="AC437" s="106"/>
      <c r="AD437" s="180"/>
      <c r="AE437" s="111">
        <v>0</v>
      </c>
      <c r="AF437" s="121">
        <v>0</v>
      </c>
      <c r="AG437" s="113"/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14"/>
      <c r="AU437" s="114"/>
      <c r="AV437" s="114"/>
      <c r="AW437" s="114"/>
      <c r="AX437" s="114"/>
      <c r="AY437" s="114"/>
      <c r="AZ437" s="114"/>
      <c r="BA437" s="114"/>
      <c r="BB437" s="114"/>
      <c r="BC437" s="114"/>
      <c r="BD437" s="114"/>
      <c r="BE437" s="114"/>
      <c r="BF437" s="114"/>
      <c r="BG437" s="114"/>
      <c r="BH437" s="114"/>
      <c r="BI437" s="114"/>
      <c r="BJ437" s="114"/>
      <c r="BK437" s="114"/>
      <c r="BL437" s="114"/>
      <c r="BM437" s="114"/>
      <c r="BN437" s="114"/>
      <c r="BO437" s="114"/>
      <c r="BP437" s="114"/>
      <c r="BQ437" s="114"/>
      <c r="BR437" s="114"/>
      <c r="BS437" s="114"/>
      <c r="BT437" s="114"/>
      <c r="BU437" s="114"/>
      <c r="BV437" s="114"/>
      <c r="BW437" s="114"/>
      <c r="BX437" s="114"/>
      <c r="BY437" s="114"/>
      <c r="BZ437" s="114"/>
      <c r="CA437" s="114" t="str">
        <f>"   " &amp; TEXT(AF437,"#0.00%") &amp; " " &amp; "FOB" &amp; " " &amp; IF(Q437="","",TEXT(Q437,"M/D-")) &amp; IF(R437="","",TEXT(R437,"M/D")) &amp; " "</f>
        <v xml:space="preserve">   0.00% FOB 12/20-12/20 </v>
      </c>
      <c r="CB437" s="114"/>
      <c r="CC437" s="114"/>
      <c r="CD437" s="114"/>
      <c r="CE437" s="114"/>
      <c r="CF437" s="114"/>
      <c r="CG437" s="114"/>
      <c r="CH437" s="114"/>
      <c r="CI437" s="114"/>
      <c r="CJ437" s="114"/>
      <c r="CK437" s="114"/>
      <c r="CL437" s="114"/>
      <c r="CM437" s="114"/>
      <c r="CN437" s="114"/>
      <c r="CO437" s="114"/>
      <c r="CP437" s="114"/>
      <c r="CQ437" s="114"/>
      <c r="CR437" s="114"/>
      <c r="CS437" s="114"/>
      <c r="CT437" s="114"/>
      <c r="CU437" s="114"/>
      <c r="CV437" s="114"/>
      <c r="CW437" s="114"/>
      <c r="CX437" s="114"/>
      <c r="CY437" s="114"/>
      <c r="CZ437" s="114"/>
      <c r="DA437" s="114"/>
      <c r="DB437" s="114"/>
      <c r="DC437" s="114"/>
      <c r="DD437" s="114"/>
      <c r="DE437" s="114"/>
      <c r="DF437" s="114"/>
      <c r="DG437" s="114"/>
      <c r="DH437" s="114"/>
      <c r="DI437" s="114"/>
      <c r="DJ437" s="114"/>
      <c r="DK437" s="114"/>
      <c r="DL437" s="114"/>
      <c r="DM437" s="114"/>
      <c r="DN437" s="114"/>
      <c r="DO437" s="114"/>
      <c r="DP437" s="114"/>
      <c r="DQ437" s="114"/>
    </row>
    <row r="438" spans="1:121" ht="15" customHeight="1" outlineLevel="3" x14ac:dyDescent="0.25">
      <c r="A438" s="101"/>
      <c r="B438" s="101" t="s">
        <v>153</v>
      </c>
      <c r="C438" s="101">
        <v>4</v>
      </c>
      <c r="D438" s="102" t="s">
        <v>800</v>
      </c>
      <c r="E438" s="103"/>
      <c r="F438" s="103"/>
      <c r="G438" s="103"/>
      <c r="H438" s="103" t="s">
        <v>651</v>
      </c>
      <c r="I438" s="120"/>
      <c r="J438" s="120"/>
      <c r="K438" s="120"/>
      <c r="L438" s="120"/>
      <c r="M438" s="120"/>
      <c r="N438" s="120"/>
      <c r="O438" s="194" t="str">
        <f>H438</f>
        <v>2동 1F 충방전 CV</v>
      </c>
      <c r="P438" s="185"/>
      <c r="Q438" s="105">
        <v>45264</v>
      </c>
      <c r="R438" s="105">
        <v>45280</v>
      </c>
      <c r="S438" s="106"/>
      <c r="T438" s="107">
        <v>16</v>
      </c>
      <c r="U438" s="107">
        <v>0</v>
      </c>
      <c r="V438" s="107">
        <v>17</v>
      </c>
      <c r="W438" s="107">
        <v>0</v>
      </c>
      <c r="X438" s="108"/>
      <c r="Y438" s="108"/>
      <c r="Z438" s="109">
        <v>0</v>
      </c>
      <c r="AA438" s="110">
        <v>0</v>
      </c>
      <c r="AB438" s="107"/>
      <c r="AC438" s="106"/>
      <c r="AD438" s="180"/>
      <c r="AE438" s="111">
        <v>0</v>
      </c>
      <c r="AF438" s="122">
        <v>0</v>
      </c>
      <c r="AG438" s="113"/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  <c r="AV438" s="114"/>
      <c r="AW438" s="114"/>
      <c r="AX438" s="114"/>
      <c r="AY438" s="114"/>
      <c r="AZ438" s="114"/>
      <c r="BA438" s="114"/>
      <c r="BB438" s="114"/>
      <c r="BC438" s="114"/>
      <c r="BD438" s="114"/>
      <c r="BE438" s="114"/>
      <c r="BF438" s="114"/>
      <c r="BG438" s="114"/>
      <c r="BH438" s="114"/>
      <c r="BI438" s="114"/>
      <c r="BJ438" s="114"/>
      <c r="BK438" s="114"/>
      <c r="BL438" s="114"/>
      <c r="BM438" s="114"/>
      <c r="BN438" s="114"/>
      <c r="BO438" s="114"/>
      <c r="BP438" s="114"/>
      <c r="BQ438" s="114"/>
      <c r="BR438" s="114"/>
      <c r="BS438" s="114"/>
      <c r="BT438" s="114"/>
      <c r="BU438" s="114"/>
      <c r="BV438" s="114"/>
      <c r="BW438" s="114"/>
      <c r="BX438" s="114"/>
      <c r="BY438" s="114" t="str">
        <f>" " &amp; TEXT(AF438,"#0.00%") &amp; " " &amp; "2동 1F 충방전 CV" &amp; " " &amp; IF(Q438="","",TEXT(Q438,"M/D-")) &amp; IF(R438="","",TEXT(R438,"M/D")) &amp; " "</f>
        <v xml:space="preserve"> 0.00% 2동 1F 충방전 CV 12/4-12/20 </v>
      </c>
      <c r="BZ438" s="114"/>
      <c r="CA438" s="114"/>
      <c r="CB438" s="114"/>
      <c r="CC438" s="114"/>
      <c r="CD438" s="114"/>
      <c r="CE438" s="114"/>
      <c r="CF438" s="114"/>
      <c r="CG438" s="114"/>
      <c r="CH438" s="114"/>
      <c r="CI438" s="114"/>
      <c r="CJ438" s="114"/>
      <c r="CK438" s="114"/>
      <c r="CL438" s="114"/>
      <c r="CM438" s="114"/>
      <c r="CN438" s="114"/>
      <c r="CO438" s="114"/>
      <c r="CP438" s="114"/>
      <c r="CQ438" s="114"/>
      <c r="CR438" s="114"/>
      <c r="CS438" s="114"/>
      <c r="CT438" s="114"/>
      <c r="CU438" s="114"/>
      <c r="CV438" s="114"/>
      <c r="CW438" s="114"/>
      <c r="CX438" s="114"/>
      <c r="CY438" s="114"/>
      <c r="CZ438" s="114"/>
      <c r="DA438" s="114"/>
      <c r="DB438" s="114"/>
      <c r="DC438" s="114"/>
      <c r="DD438" s="114"/>
      <c r="DE438" s="114"/>
      <c r="DF438" s="114"/>
      <c r="DG438" s="114"/>
      <c r="DH438" s="114"/>
      <c r="DI438" s="114"/>
      <c r="DJ438" s="114"/>
      <c r="DK438" s="114"/>
      <c r="DL438" s="114"/>
      <c r="DM438" s="114"/>
      <c r="DN438" s="114"/>
      <c r="DO438" s="114"/>
      <c r="DP438" s="114"/>
      <c r="DQ438" s="114"/>
    </row>
    <row r="439" spans="1:121" ht="15" customHeight="1" outlineLevel="4" x14ac:dyDescent="0.25">
      <c r="A439" s="101"/>
      <c r="B439" s="101"/>
      <c r="C439" s="101">
        <v>5</v>
      </c>
      <c r="D439" s="102" t="s">
        <v>801</v>
      </c>
      <c r="E439" s="103"/>
      <c r="F439" s="103"/>
      <c r="G439" s="103"/>
      <c r="H439" s="103"/>
      <c r="I439" s="120" t="s">
        <v>773</v>
      </c>
      <c r="J439" s="120"/>
      <c r="K439" s="120"/>
      <c r="L439" s="120"/>
      <c r="M439" s="120"/>
      <c r="N439" s="120"/>
      <c r="O439" s="120" t="str">
        <f>O438</f>
        <v>2동 1F 충방전 CV</v>
      </c>
      <c r="P439" s="185"/>
      <c r="Q439" s="105">
        <v>45264</v>
      </c>
      <c r="R439" s="105">
        <v>45278</v>
      </c>
      <c r="S439" s="106">
        <f>R439-Q439</f>
        <v>14</v>
      </c>
      <c r="T439" s="107">
        <v>15</v>
      </c>
      <c r="U439" s="107">
        <v>0</v>
      </c>
      <c r="V439" s="107">
        <v>15</v>
      </c>
      <c r="W439" s="107">
        <v>0</v>
      </c>
      <c r="X439" s="108"/>
      <c r="Y439" s="108"/>
      <c r="Z439" s="109"/>
      <c r="AA439" s="110">
        <v>0</v>
      </c>
      <c r="AB439" s="107">
        <v>1</v>
      </c>
      <c r="AC439" s="106"/>
      <c r="AD439" s="180"/>
      <c r="AE439" s="111">
        <v>0</v>
      </c>
      <c r="AF439" s="121">
        <v>0</v>
      </c>
      <c r="AG439" s="113"/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  <c r="AV439" s="114"/>
      <c r="AW439" s="114"/>
      <c r="AX439" s="114"/>
      <c r="AY439" s="114"/>
      <c r="AZ439" s="114"/>
      <c r="BA439" s="114"/>
      <c r="BB439" s="114"/>
      <c r="BC439" s="114"/>
      <c r="BD439" s="114"/>
      <c r="BE439" s="114"/>
      <c r="BF439" s="114"/>
      <c r="BG439" s="114"/>
      <c r="BH439" s="114"/>
      <c r="BI439" s="114"/>
      <c r="BJ439" s="114"/>
      <c r="BK439" s="114"/>
      <c r="BL439" s="114"/>
      <c r="BM439" s="114"/>
      <c r="BN439" s="114"/>
      <c r="BO439" s="114"/>
      <c r="BP439" s="114"/>
      <c r="BQ439" s="114"/>
      <c r="BR439" s="114"/>
      <c r="BS439" s="114"/>
      <c r="BT439" s="114"/>
      <c r="BU439" s="114"/>
      <c r="BV439" s="114"/>
      <c r="BW439" s="114"/>
      <c r="BX439" s="114"/>
      <c r="BY439" s="114" t="str">
        <f>" " &amp; TEXT(AF439,"#0.00%") &amp; " " &amp; "Packing" &amp; " " &amp; IF(Q439="","",TEXT(Q439,"M/D-")) &amp; IF(R439="","",TEXT(R439,"M/D")) &amp; " "</f>
        <v xml:space="preserve"> 0.00% Packing 12/4-12/18 </v>
      </c>
      <c r="BZ439" s="114"/>
      <c r="CA439" s="114"/>
      <c r="CB439" s="114"/>
      <c r="CC439" s="114"/>
      <c r="CD439" s="114"/>
      <c r="CE439" s="114"/>
      <c r="CF439" s="114"/>
      <c r="CG439" s="114"/>
      <c r="CH439" s="114"/>
      <c r="CI439" s="114"/>
      <c r="CJ439" s="114"/>
      <c r="CK439" s="114"/>
      <c r="CL439" s="114"/>
      <c r="CM439" s="114"/>
      <c r="CN439" s="114"/>
      <c r="CO439" s="114"/>
      <c r="CP439" s="114"/>
      <c r="CQ439" s="114"/>
      <c r="CR439" s="114"/>
      <c r="CS439" s="114"/>
      <c r="CT439" s="114"/>
      <c r="CU439" s="114"/>
      <c r="CV439" s="114"/>
      <c r="CW439" s="114"/>
      <c r="CX439" s="114"/>
      <c r="CY439" s="114"/>
      <c r="CZ439" s="114"/>
      <c r="DA439" s="114"/>
      <c r="DB439" s="114"/>
      <c r="DC439" s="114"/>
      <c r="DD439" s="114"/>
      <c r="DE439" s="114"/>
      <c r="DF439" s="114"/>
      <c r="DG439" s="114"/>
      <c r="DH439" s="114"/>
      <c r="DI439" s="114"/>
      <c r="DJ439" s="114"/>
      <c r="DK439" s="114"/>
      <c r="DL439" s="114"/>
      <c r="DM439" s="114"/>
      <c r="DN439" s="114"/>
      <c r="DO439" s="114"/>
      <c r="DP439" s="114"/>
      <c r="DQ439" s="114"/>
    </row>
    <row r="440" spans="1:121" ht="15" customHeight="1" outlineLevel="4" x14ac:dyDescent="0.25">
      <c r="A440" s="101"/>
      <c r="B440" s="101"/>
      <c r="C440" s="101">
        <v>5</v>
      </c>
      <c r="D440" s="102" t="s">
        <v>802</v>
      </c>
      <c r="E440" s="103"/>
      <c r="F440" s="103"/>
      <c r="G440" s="103"/>
      <c r="H440" s="103"/>
      <c r="I440" s="120" t="s">
        <v>287</v>
      </c>
      <c r="J440" s="120"/>
      <c r="K440" s="120"/>
      <c r="L440" s="120"/>
      <c r="M440" s="120"/>
      <c r="N440" s="120"/>
      <c r="O440" s="120" t="str">
        <f>O439</f>
        <v>2동 1F 충방전 CV</v>
      </c>
      <c r="P440" s="185"/>
      <c r="Q440" s="105">
        <v>45280</v>
      </c>
      <c r="R440" s="105">
        <v>45280</v>
      </c>
      <c r="S440" s="106">
        <f>R440-Q440</f>
        <v>0</v>
      </c>
      <c r="T440" s="107">
        <v>1</v>
      </c>
      <c r="U440" s="107">
        <v>0</v>
      </c>
      <c r="V440" s="107">
        <v>1</v>
      </c>
      <c r="W440" s="107">
        <v>0</v>
      </c>
      <c r="X440" s="108"/>
      <c r="Y440" s="108"/>
      <c r="Z440" s="109"/>
      <c r="AA440" s="110">
        <v>0</v>
      </c>
      <c r="AB440" s="107">
        <v>1</v>
      </c>
      <c r="AC440" s="106"/>
      <c r="AD440" s="180"/>
      <c r="AE440" s="111">
        <v>0</v>
      </c>
      <c r="AF440" s="121">
        <v>0</v>
      </c>
      <c r="AG440" s="113"/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14"/>
      <c r="AU440" s="114"/>
      <c r="AV440" s="114"/>
      <c r="AW440" s="114"/>
      <c r="AX440" s="114"/>
      <c r="AY440" s="114"/>
      <c r="AZ440" s="114"/>
      <c r="BA440" s="114"/>
      <c r="BB440" s="114"/>
      <c r="BC440" s="114"/>
      <c r="BD440" s="114"/>
      <c r="BE440" s="114"/>
      <c r="BF440" s="114"/>
      <c r="BG440" s="114"/>
      <c r="BH440" s="114"/>
      <c r="BI440" s="114"/>
      <c r="BJ440" s="114"/>
      <c r="BK440" s="114"/>
      <c r="BL440" s="114"/>
      <c r="BM440" s="114"/>
      <c r="BN440" s="114"/>
      <c r="BO440" s="114"/>
      <c r="BP440" s="114"/>
      <c r="BQ440" s="114"/>
      <c r="BR440" s="114"/>
      <c r="BS440" s="114"/>
      <c r="BT440" s="114"/>
      <c r="BU440" s="114"/>
      <c r="BV440" s="114"/>
      <c r="BW440" s="114"/>
      <c r="BX440" s="114"/>
      <c r="BY440" s="114"/>
      <c r="BZ440" s="114"/>
      <c r="CA440" s="114" t="str">
        <f>"   " &amp; TEXT(AF440,"#0.00%") &amp; " " &amp; "FOB" &amp; " " &amp; IF(Q440="","",TEXT(Q440,"M/D-")) &amp; IF(R440="","",TEXT(R440,"M/D")) &amp; " "</f>
        <v xml:space="preserve">   0.00% FOB 12/20-12/20 </v>
      </c>
      <c r="CB440" s="114"/>
      <c r="CC440" s="114"/>
      <c r="CD440" s="114"/>
      <c r="CE440" s="114"/>
      <c r="CF440" s="114"/>
      <c r="CG440" s="114"/>
      <c r="CH440" s="114"/>
      <c r="CI440" s="114"/>
      <c r="CJ440" s="114"/>
      <c r="CK440" s="114"/>
      <c r="CL440" s="114"/>
      <c r="CM440" s="114"/>
      <c r="CN440" s="114"/>
      <c r="CO440" s="114"/>
      <c r="CP440" s="114"/>
      <c r="CQ440" s="114"/>
      <c r="CR440" s="114"/>
      <c r="CS440" s="114"/>
      <c r="CT440" s="114"/>
      <c r="CU440" s="114"/>
      <c r="CV440" s="114"/>
      <c r="CW440" s="114"/>
      <c r="CX440" s="114"/>
      <c r="CY440" s="114"/>
      <c r="CZ440" s="114"/>
      <c r="DA440" s="114"/>
      <c r="DB440" s="114"/>
      <c r="DC440" s="114"/>
      <c r="DD440" s="114"/>
      <c r="DE440" s="114"/>
      <c r="DF440" s="114"/>
      <c r="DG440" s="114"/>
      <c r="DH440" s="114"/>
      <c r="DI440" s="114"/>
      <c r="DJ440" s="114"/>
      <c r="DK440" s="114"/>
      <c r="DL440" s="114"/>
      <c r="DM440" s="114"/>
      <c r="DN440" s="114"/>
      <c r="DO440" s="114"/>
      <c r="DP440" s="114"/>
      <c r="DQ440" s="114"/>
    </row>
    <row r="441" spans="1:121" ht="15" customHeight="1" outlineLevel="3" x14ac:dyDescent="0.25">
      <c r="A441" s="101"/>
      <c r="B441" s="101" t="s">
        <v>153</v>
      </c>
      <c r="C441" s="101">
        <v>4</v>
      </c>
      <c r="D441" s="102" t="s">
        <v>803</v>
      </c>
      <c r="E441" s="103"/>
      <c r="F441" s="103"/>
      <c r="G441" s="103"/>
      <c r="H441" s="103" t="s">
        <v>657</v>
      </c>
      <c r="I441" s="120"/>
      <c r="J441" s="120"/>
      <c r="K441" s="120"/>
      <c r="L441" s="120"/>
      <c r="M441" s="120"/>
      <c r="N441" s="120"/>
      <c r="O441" s="194" t="str">
        <f>H441</f>
        <v>2동 1F Folding CV</v>
      </c>
      <c r="P441" s="185"/>
      <c r="Q441" s="105">
        <v>45315</v>
      </c>
      <c r="R441" s="105">
        <v>45330</v>
      </c>
      <c r="S441" s="106"/>
      <c r="T441" s="107">
        <v>16</v>
      </c>
      <c r="U441" s="107">
        <v>0</v>
      </c>
      <c r="V441" s="107">
        <v>16</v>
      </c>
      <c r="W441" s="107">
        <v>0</v>
      </c>
      <c r="X441" s="108"/>
      <c r="Y441" s="108"/>
      <c r="Z441" s="109">
        <v>0</v>
      </c>
      <c r="AA441" s="110">
        <v>0</v>
      </c>
      <c r="AB441" s="107"/>
      <c r="AC441" s="106"/>
      <c r="AD441" s="180"/>
      <c r="AE441" s="111">
        <v>0</v>
      </c>
      <c r="AF441" s="122">
        <v>0</v>
      </c>
      <c r="AG441" s="113"/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  <c r="AV441" s="114"/>
      <c r="AW441" s="114"/>
      <c r="AX441" s="114"/>
      <c r="AY441" s="114"/>
      <c r="AZ441" s="114"/>
      <c r="BA441" s="114"/>
      <c r="BB441" s="114"/>
      <c r="BC441" s="114"/>
      <c r="BD441" s="114"/>
      <c r="BE441" s="114"/>
      <c r="BF441" s="114"/>
      <c r="BG441" s="114"/>
      <c r="BH441" s="114"/>
      <c r="BI441" s="114"/>
      <c r="BJ441" s="114"/>
      <c r="BK441" s="114"/>
      <c r="BL441" s="114"/>
      <c r="BM441" s="114"/>
      <c r="BN441" s="114"/>
      <c r="BO441" s="114"/>
      <c r="BP441" s="114"/>
      <c r="BQ441" s="114"/>
      <c r="BR441" s="114"/>
      <c r="BS441" s="114"/>
      <c r="BT441" s="114"/>
      <c r="BU441" s="114"/>
      <c r="BV441" s="114"/>
      <c r="BW441" s="114"/>
      <c r="BX441" s="114"/>
      <c r="BY441" s="114"/>
      <c r="BZ441" s="114"/>
      <c r="CA441" s="114"/>
      <c r="CB441" s="114"/>
      <c r="CC441" s="114"/>
      <c r="CD441" s="114"/>
      <c r="CE441" s="114"/>
      <c r="CF441" s="114" t="str">
        <f>"   " &amp; TEXT(AF441,"#0.00%") &amp; " " &amp; "2동 1F Folding CV" &amp; " " &amp; IF(Q441="","",TEXT(Q441,"M/D-")) &amp; IF(R441="","",TEXT(R441,"M/D")) &amp; " "</f>
        <v xml:space="preserve">   0.00% 2동 1F Folding CV 1/24-2/8 </v>
      </c>
      <c r="CG441" s="114"/>
      <c r="CH441" s="114"/>
      <c r="CI441" s="114"/>
      <c r="CJ441" s="114"/>
      <c r="CK441" s="114"/>
      <c r="CL441" s="114"/>
      <c r="CM441" s="114"/>
      <c r="CN441" s="114"/>
      <c r="CO441" s="114"/>
      <c r="CP441" s="114"/>
      <c r="CQ441" s="114"/>
      <c r="CR441" s="114"/>
      <c r="CS441" s="114"/>
      <c r="CT441" s="114"/>
      <c r="CU441" s="114"/>
      <c r="CV441" s="114"/>
      <c r="CW441" s="114"/>
      <c r="CX441" s="114"/>
      <c r="CY441" s="114"/>
      <c r="CZ441" s="114"/>
      <c r="DA441" s="114"/>
      <c r="DB441" s="114"/>
      <c r="DC441" s="114"/>
      <c r="DD441" s="114"/>
      <c r="DE441" s="114"/>
      <c r="DF441" s="114"/>
      <c r="DG441" s="114"/>
      <c r="DH441" s="114"/>
      <c r="DI441" s="114"/>
      <c r="DJ441" s="114"/>
      <c r="DK441" s="114"/>
      <c r="DL441" s="114"/>
      <c r="DM441" s="114"/>
      <c r="DN441" s="114"/>
      <c r="DO441" s="114"/>
      <c r="DP441" s="114"/>
      <c r="DQ441" s="114"/>
    </row>
    <row r="442" spans="1:121" ht="15" customHeight="1" outlineLevel="4" x14ac:dyDescent="0.25">
      <c r="A442" s="101"/>
      <c r="B442" s="101"/>
      <c r="C442" s="101">
        <v>5</v>
      </c>
      <c r="D442" s="102" t="s">
        <v>804</v>
      </c>
      <c r="E442" s="103"/>
      <c r="F442" s="103"/>
      <c r="G442" s="103"/>
      <c r="H442" s="103"/>
      <c r="I442" s="120" t="s">
        <v>773</v>
      </c>
      <c r="J442" s="120"/>
      <c r="K442" s="120"/>
      <c r="L442" s="120"/>
      <c r="M442" s="120"/>
      <c r="N442" s="120"/>
      <c r="O442" s="120" t="str">
        <f>O441</f>
        <v>2동 1F Folding CV</v>
      </c>
      <c r="P442" s="185"/>
      <c r="Q442" s="105">
        <v>45315</v>
      </c>
      <c r="R442" s="105">
        <v>45329</v>
      </c>
      <c r="S442" s="106">
        <f>R442-Q442</f>
        <v>14</v>
      </c>
      <c r="T442" s="107">
        <v>15</v>
      </c>
      <c r="U442" s="107">
        <v>0</v>
      </c>
      <c r="V442" s="107">
        <v>15</v>
      </c>
      <c r="W442" s="107">
        <v>0</v>
      </c>
      <c r="X442" s="108"/>
      <c r="Y442" s="108"/>
      <c r="Z442" s="109"/>
      <c r="AA442" s="110">
        <v>0</v>
      </c>
      <c r="AB442" s="107">
        <v>1</v>
      </c>
      <c r="AC442" s="106"/>
      <c r="AD442" s="180"/>
      <c r="AE442" s="111">
        <v>0</v>
      </c>
      <c r="AF442" s="121">
        <v>0</v>
      </c>
      <c r="AG442" s="113"/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14"/>
      <c r="AU442" s="114"/>
      <c r="AV442" s="114"/>
      <c r="AW442" s="114"/>
      <c r="AX442" s="114"/>
      <c r="AY442" s="114"/>
      <c r="AZ442" s="114"/>
      <c r="BA442" s="114"/>
      <c r="BB442" s="114"/>
      <c r="BC442" s="114"/>
      <c r="BD442" s="114"/>
      <c r="BE442" s="114"/>
      <c r="BF442" s="114"/>
      <c r="BG442" s="114"/>
      <c r="BH442" s="114"/>
      <c r="BI442" s="114"/>
      <c r="BJ442" s="114"/>
      <c r="BK442" s="114"/>
      <c r="BL442" s="114"/>
      <c r="BM442" s="114"/>
      <c r="BN442" s="114"/>
      <c r="BO442" s="114"/>
      <c r="BP442" s="114"/>
      <c r="BQ442" s="114"/>
      <c r="BR442" s="114"/>
      <c r="BS442" s="114"/>
      <c r="BT442" s="114"/>
      <c r="BU442" s="114"/>
      <c r="BV442" s="114"/>
      <c r="BW442" s="114"/>
      <c r="BX442" s="114"/>
      <c r="BY442" s="114"/>
      <c r="BZ442" s="114"/>
      <c r="CA442" s="114"/>
      <c r="CB442" s="114"/>
      <c r="CC442" s="114"/>
      <c r="CD442" s="114"/>
      <c r="CE442" s="114"/>
      <c r="CF442" s="114" t="str">
        <f>"   " &amp; TEXT(AF442,"#0.00%") &amp; " " &amp; "Packing" &amp; " " &amp; IF(Q442="","",TEXT(Q442,"M/D-")) &amp; IF(R442="","",TEXT(R442,"M/D")) &amp; " "</f>
        <v xml:space="preserve">   0.00% Packing 1/24-2/7 </v>
      </c>
      <c r="CG442" s="114"/>
      <c r="CH442" s="114"/>
      <c r="CI442" s="114"/>
      <c r="CJ442" s="114"/>
      <c r="CK442" s="114"/>
      <c r="CL442" s="114"/>
      <c r="CM442" s="114"/>
      <c r="CN442" s="114"/>
      <c r="CO442" s="114"/>
      <c r="CP442" s="114"/>
      <c r="CQ442" s="114"/>
      <c r="CR442" s="114"/>
      <c r="CS442" s="114"/>
      <c r="CT442" s="114"/>
      <c r="CU442" s="114"/>
      <c r="CV442" s="114"/>
      <c r="CW442" s="114"/>
      <c r="CX442" s="114"/>
      <c r="CY442" s="114"/>
      <c r="CZ442" s="114"/>
      <c r="DA442" s="114"/>
      <c r="DB442" s="114"/>
      <c r="DC442" s="114"/>
      <c r="DD442" s="114"/>
      <c r="DE442" s="114"/>
      <c r="DF442" s="114"/>
      <c r="DG442" s="114"/>
      <c r="DH442" s="114"/>
      <c r="DI442" s="114"/>
      <c r="DJ442" s="114"/>
      <c r="DK442" s="114"/>
      <c r="DL442" s="114"/>
      <c r="DM442" s="114"/>
      <c r="DN442" s="114"/>
      <c r="DO442" s="114"/>
      <c r="DP442" s="114"/>
      <c r="DQ442" s="114"/>
    </row>
    <row r="443" spans="1:121" ht="15" customHeight="1" outlineLevel="4" x14ac:dyDescent="0.25">
      <c r="A443" s="101"/>
      <c r="B443" s="101"/>
      <c r="C443" s="101">
        <v>5</v>
      </c>
      <c r="D443" s="102" t="s">
        <v>805</v>
      </c>
      <c r="E443" s="103"/>
      <c r="F443" s="103"/>
      <c r="G443" s="103"/>
      <c r="H443" s="103"/>
      <c r="I443" s="120" t="s">
        <v>287</v>
      </c>
      <c r="J443" s="120"/>
      <c r="K443" s="120"/>
      <c r="L443" s="120"/>
      <c r="M443" s="120"/>
      <c r="N443" s="120"/>
      <c r="O443" s="120" t="str">
        <f>O442</f>
        <v>2동 1F Folding CV</v>
      </c>
      <c r="P443" s="185"/>
      <c r="Q443" s="105">
        <v>45330</v>
      </c>
      <c r="R443" s="105">
        <v>45330</v>
      </c>
      <c r="S443" s="106">
        <f>R443-Q443</f>
        <v>0</v>
      </c>
      <c r="T443" s="107">
        <v>1</v>
      </c>
      <c r="U443" s="107">
        <v>0</v>
      </c>
      <c r="V443" s="107">
        <v>1</v>
      </c>
      <c r="W443" s="107">
        <v>0</v>
      </c>
      <c r="X443" s="108"/>
      <c r="Y443" s="108"/>
      <c r="Z443" s="109"/>
      <c r="AA443" s="110">
        <v>0</v>
      </c>
      <c r="AB443" s="107">
        <v>1</v>
      </c>
      <c r="AC443" s="106"/>
      <c r="AD443" s="180"/>
      <c r="AE443" s="111">
        <v>0</v>
      </c>
      <c r="AF443" s="121">
        <v>0</v>
      </c>
      <c r="AG443" s="113"/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14"/>
      <c r="AU443" s="114"/>
      <c r="AV443" s="114"/>
      <c r="AW443" s="114"/>
      <c r="AX443" s="114"/>
      <c r="AY443" s="114"/>
      <c r="AZ443" s="114"/>
      <c r="BA443" s="114"/>
      <c r="BB443" s="114"/>
      <c r="BC443" s="114"/>
      <c r="BD443" s="114"/>
      <c r="BE443" s="114"/>
      <c r="BF443" s="114"/>
      <c r="BG443" s="114"/>
      <c r="BH443" s="114"/>
      <c r="BI443" s="114"/>
      <c r="BJ443" s="114"/>
      <c r="BK443" s="114"/>
      <c r="BL443" s="114"/>
      <c r="BM443" s="114"/>
      <c r="BN443" s="114"/>
      <c r="BO443" s="114"/>
      <c r="BP443" s="114"/>
      <c r="BQ443" s="114"/>
      <c r="BR443" s="114"/>
      <c r="BS443" s="114"/>
      <c r="BT443" s="114"/>
      <c r="BU443" s="114"/>
      <c r="BV443" s="114"/>
      <c r="BW443" s="114"/>
      <c r="BX443" s="114"/>
      <c r="BY443" s="114"/>
      <c r="BZ443" s="114"/>
      <c r="CA443" s="114"/>
      <c r="CB443" s="114"/>
      <c r="CC443" s="114"/>
      <c r="CD443" s="114"/>
      <c r="CE443" s="114"/>
      <c r="CF443" s="114"/>
      <c r="CG443" s="114"/>
      <c r="CH443" s="114" t="str">
        <f>"    " &amp; TEXT(AF443,"#0.00%") &amp; " " &amp; "FOB" &amp; " " &amp; IF(Q443="","",TEXT(Q443,"M/D-")) &amp; IF(R443="","",TEXT(R443,"M/D")) &amp; " "</f>
        <v xml:space="preserve">    0.00% FOB 2/8-2/8 </v>
      </c>
      <c r="CI443" s="114"/>
      <c r="CJ443" s="114"/>
      <c r="CK443" s="114"/>
      <c r="CL443" s="114"/>
      <c r="CM443" s="114"/>
      <c r="CN443" s="114"/>
      <c r="CO443" s="114"/>
      <c r="CP443" s="114"/>
      <c r="CQ443" s="114"/>
      <c r="CR443" s="114"/>
      <c r="CS443" s="114"/>
      <c r="CT443" s="114"/>
      <c r="CU443" s="114"/>
      <c r="CV443" s="114"/>
      <c r="CW443" s="114"/>
      <c r="CX443" s="114"/>
      <c r="CY443" s="114"/>
      <c r="CZ443" s="114"/>
      <c r="DA443" s="114"/>
      <c r="DB443" s="114"/>
      <c r="DC443" s="114"/>
      <c r="DD443" s="114"/>
      <c r="DE443" s="114"/>
      <c r="DF443" s="114"/>
      <c r="DG443" s="114"/>
      <c r="DH443" s="114"/>
      <c r="DI443" s="114"/>
      <c r="DJ443" s="114"/>
      <c r="DK443" s="114"/>
      <c r="DL443" s="114"/>
      <c r="DM443" s="114"/>
      <c r="DN443" s="114"/>
      <c r="DO443" s="114"/>
      <c r="DP443" s="114"/>
      <c r="DQ443" s="114"/>
    </row>
    <row r="444" spans="1:121" ht="15" customHeight="1" outlineLevel="3" x14ac:dyDescent="0.25">
      <c r="A444" s="101"/>
      <c r="B444" s="101" t="s">
        <v>153</v>
      </c>
      <c r="C444" s="101">
        <v>4</v>
      </c>
      <c r="D444" s="102" t="s">
        <v>806</v>
      </c>
      <c r="E444" s="103"/>
      <c r="F444" s="103"/>
      <c r="G444" s="103"/>
      <c r="H444" s="124" t="s">
        <v>663</v>
      </c>
      <c r="I444" s="120"/>
      <c r="J444" s="120"/>
      <c r="K444" s="120"/>
      <c r="L444" s="120"/>
      <c r="M444" s="120"/>
      <c r="N444" s="120"/>
      <c r="O444" s="194" t="str">
        <f>H444</f>
        <v>2동 2F Degasssing전 CV</v>
      </c>
      <c r="P444" s="185"/>
      <c r="Q444" s="105">
        <v>45280</v>
      </c>
      <c r="R444" s="105">
        <v>45306</v>
      </c>
      <c r="S444" s="106"/>
      <c r="T444" s="107">
        <v>28</v>
      </c>
      <c r="U444" s="107">
        <v>0</v>
      </c>
      <c r="V444" s="107">
        <v>27</v>
      </c>
      <c r="W444" s="107">
        <v>0</v>
      </c>
      <c r="X444" s="108"/>
      <c r="Y444" s="108"/>
      <c r="Z444" s="109">
        <v>0</v>
      </c>
      <c r="AA444" s="110">
        <v>0</v>
      </c>
      <c r="AB444" s="107"/>
      <c r="AC444" s="106"/>
      <c r="AD444" s="180"/>
      <c r="AE444" s="111">
        <v>0</v>
      </c>
      <c r="AF444" s="122">
        <v>0</v>
      </c>
      <c r="AG444" s="113"/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14"/>
      <c r="AU444" s="114"/>
      <c r="AV444" s="114"/>
      <c r="AW444" s="114"/>
      <c r="AX444" s="114"/>
      <c r="AY444" s="114"/>
      <c r="AZ444" s="114"/>
      <c r="BA444" s="114"/>
      <c r="BB444" s="114"/>
      <c r="BC444" s="114"/>
      <c r="BD444" s="114"/>
      <c r="BE444" s="114"/>
      <c r="BF444" s="114"/>
      <c r="BG444" s="114"/>
      <c r="BH444" s="114"/>
      <c r="BI444" s="114"/>
      <c r="BJ444" s="114"/>
      <c r="BK444" s="114"/>
      <c r="BL444" s="114"/>
      <c r="BM444" s="114"/>
      <c r="BN444" s="114"/>
      <c r="BO444" s="114"/>
      <c r="BP444" s="114"/>
      <c r="BQ444" s="114"/>
      <c r="BR444" s="114"/>
      <c r="BS444" s="114"/>
      <c r="BT444" s="114"/>
      <c r="BU444" s="114"/>
      <c r="BV444" s="114"/>
      <c r="BW444" s="114"/>
      <c r="BX444" s="114"/>
      <c r="BY444" s="114"/>
      <c r="BZ444" s="114"/>
      <c r="CA444" s="114" t="str">
        <f>"   " &amp; TEXT(AF444,"#0.00%") &amp; " "</f>
        <v xml:space="preserve">   0.00% </v>
      </c>
      <c r="CB444" s="114"/>
      <c r="CC444" s="114"/>
      <c r="CD444" s="114"/>
      <c r="CE444" s="114" t="str">
        <f>"  " &amp; "2동 2F Degasssing전 CV" &amp; " " &amp; IF(Q444="","",TEXT(Q444,"M/D-")) &amp; IF(R444="","",TEXT(R444,"M/D")) &amp; " "</f>
        <v xml:space="preserve">  2동 2F Degasssing전 CV 12/20-1/15 </v>
      </c>
      <c r="CF444" s="114"/>
      <c r="CG444" s="114"/>
      <c r="CH444" s="114"/>
      <c r="CI444" s="114"/>
      <c r="CJ444" s="114"/>
      <c r="CK444" s="114"/>
      <c r="CL444" s="114"/>
      <c r="CM444" s="114"/>
      <c r="CN444" s="114"/>
      <c r="CO444" s="114"/>
      <c r="CP444" s="114"/>
      <c r="CQ444" s="114"/>
      <c r="CR444" s="114"/>
      <c r="CS444" s="114"/>
      <c r="CT444" s="114"/>
      <c r="CU444" s="114"/>
      <c r="CV444" s="114"/>
      <c r="CW444" s="114"/>
      <c r="CX444" s="114"/>
      <c r="CY444" s="114"/>
      <c r="CZ444" s="114"/>
      <c r="DA444" s="114"/>
      <c r="DB444" s="114"/>
      <c r="DC444" s="114"/>
      <c r="DD444" s="114"/>
      <c r="DE444" s="114"/>
      <c r="DF444" s="114"/>
      <c r="DG444" s="114"/>
      <c r="DH444" s="114"/>
      <c r="DI444" s="114"/>
      <c r="DJ444" s="114"/>
      <c r="DK444" s="114"/>
      <c r="DL444" s="114"/>
      <c r="DM444" s="114"/>
      <c r="DN444" s="114"/>
      <c r="DO444" s="114"/>
      <c r="DP444" s="114"/>
      <c r="DQ444" s="114"/>
    </row>
    <row r="445" spans="1:121" ht="15" customHeight="1" outlineLevel="4" x14ac:dyDescent="0.25">
      <c r="A445" s="101"/>
      <c r="B445" s="101"/>
      <c r="C445" s="101">
        <v>5</v>
      </c>
      <c r="D445" s="102" t="s">
        <v>807</v>
      </c>
      <c r="E445" s="103"/>
      <c r="F445" s="103"/>
      <c r="G445" s="103"/>
      <c r="H445" s="103"/>
      <c r="I445" s="120" t="s">
        <v>773</v>
      </c>
      <c r="J445" s="120"/>
      <c r="K445" s="120"/>
      <c r="L445" s="120"/>
      <c r="M445" s="120"/>
      <c r="N445" s="120"/>
      <c r="O445" s="120" t="str">
        <f>O444</f>
        <v>2동 2F Degasssing전 CV</v>
      </c>
      <c r="P445" s="185"/>
      <c r="Q445" s="105">
        <v>45280</v>
      </c>
      <c r="R445" s="105">
        <v>45294</v>
      </c>
      <c r="S445" s="106">
        <f>R445-Q445</f>
        <v>14</v>
      </c>
      <c r="T445" s="107">
        <v>15</v>
      </c>
      <c r="U445" s="107">
        <v>0</v>
      </c>
      <c r="V445" s="107">
        <v>15</v>
      </c>
      <c r="W445" s="107">
        <v>0</v>
      </c>
      <c r="X445" s="108"/>
      <c r="Y445" s="108"/>
      <c r="Z445" s="109"/>
      <c r="AA445" s="110">
        <v>0</v>
      </c>
      <c r="AB445" s="107">
        <v>1</v>
      </c>
      <c r="AC445" s="106"/>
      <c r="AD445" s="180"/>
      <c r="AE445" s="111">
        <v>0</v>
      </c>
      <c r="AF445" s="121">
        <v>0</v>
      </c>
      <c r="AG445" s="113"/>
      <c r="AH445" s="114"/>
      <c r="AI445" s="114"/>
      <c r="AJ445" s="114"/>
      <c r="AK445" s="114"/>
      <c r="AL445" s="114"/>
      <c r="AM445" s="114"/>
      <c r="AN445" s="114"/>
      <c r="AO445" s="114"/>
      <c r="AP445" s="114"/>
      <c r="AQ445" s="114"/>
      <c r="AR445" s="114"/>
      <c r="AS445" s="114"/>
      <c r="AT445" s="114"/>
      <c r="AU445" s="114"/>
      <c r="AV445" s="114"/>
      <c r="AW445" s="114"/>
      <c r="AX445" s="114"/>
      <c r="AY445" s="114"/>
      <c r="AZ445" s="114"/>
      <c r="BA445" s="114"/>
      <c r="BB445" s="114"/>
      <c r="BC445" s="114"/>
      <c r="BD445" s="114"/>
      <c r="BE445" s="114"/>
      <c r="BF445" s="114"/>
      <c r="BG445" s="114"/>
      <c r="BH445" s="114"/>
      <c r="BI445" s="114"/>
      <c r="BJ445" s="114"/>
      <c r="BK445" s="114"/>
      <c r="BL445" s="114"/>
      <c r="BM445" s="114"/>
      <c r="BN445" s="114"/>
      <c r="BO445" s="114"/>
      <c r="BP445" s="114"/>
      <c r="BQ445" s="114"/>
      <c r="BR445" s="114"/>
      <c r="BS445" s="114"/>
      <c r="BT445" s="114"/>
      <c r="BU445" s="114"/>
      <c r="BV445" s="114"/>
      <c r="BW445" s="114"/>
      <c r="BX445" s="114"/>
      <c r="BY445" s="114"/>
      <c r="BZ445" s="114"/>
      <c r="CA445" s="114" t="str">
        <f>"   " &amp; TEXT(AF445,"#0.00%") &amp; " " &amp; "Packing" &amp; " " &amp; IF(Q445="","",TEXT(Q445,"M/D-")) &amp; IF(R445="","",TEXT(R445,"M/D")) &amp; " "</f>
        <v xml:space="preserve">   0.00% Packing 12/20-1/3 </v>
      </c>
      <c r="CB445" s="114"/>
      <c r="CC445" s="114"/>
      <c r="CD445" s="114"/>
      <c r="CE445" s="114"/>
      <c r="CF445" s="114"/>
      <c r="CG445" s="114"/>
      <c r="CH445" s="114"/>
      <c r="CI445" s="114"/>
      <c r="CJ445" s="114"/>
      <c r="CK445" s="114"/>
      <c r="CL445" s="114"/>
      <c r="CM445" s="114"/>
      <c r="CN445" s="114"/>
      <c r="CO445" s="114"/>
      <c r="CP445" s="114"/>
      <c r="CQ445" s="114"/>
      <c r="CR445" s="114"/>
      <c r="CS445" s="114"/>
      <c r="CT445" s="114"/>
      <c r="CU445" s="114"/>
      <c r="CV445" s="114"/>
      <c r="CW445" s="114"/>
      <c r="CX445" s="114"/>
      <c r="CY445" s="114"/>
      <c r="CZ445" s="114"/>
      <c r="DA445" s="114"/>
      <c r="DB445" s="114"/>
      <c r="DC445" s="114"/>
      <c r="DD445" s="114"/>
      <c r="DE445" s="114"/>
      <c r="DF445" s="114"/>
      <c r="DG445" s="114"/>
      <c r="DH445" s="114"/>
      <c r="DI445" s="114"/>
      <c r="DJ445" s="114"/>
      <c r="DK445" s="114"/>
      <c r="DL445" s="114"/>
      <c r="DM445" s="114"/>
      <c r="DN445" s="114"/>
      <c r="DO445" s="114"/>
      <c r="DP445" s="114"/>
      <c r="DQ445" s="114"/>
    </row>
    <row r="446" spans="1:121" ht="15" customHeight="1" outlineLevel="4" x14ac:dyDescent="0.25">
      <c r="A446" s="101"/>
      <c r="B446" s="101"/>
      <c r="C446" s="101">
        <v>5</v>
      </c>
      <c r="D446" s="102" t="s">
        <v>808</v>
      </c>
      <c r="E446" s="103"/>
      <c r="F446" s="103"/>
      <c r="G446" s="103"/>
      <c r="H446" s="103"/>
      <c r="I446" s="120" t="s">
        <v>287</v>
      </c>
      <c r="J446" s="120"/>
      <c r="K446" s="120"/>
      <c r="L446" s="120"/>
      <c r="M446" s="120"/>
      <c r="N446" s="120"/>
      <c r="O446" s="120" t="str">
        <f>O445</f>
        <v>2동 2F Degasssing전 CV</v>
      </c>
      <c r="P446" s="185"/>
      <c r="Q446" s="105">
        <v>45294</v>
      </c>
      <c r="R446" s="105">
        <v>45306</v>
      </c>
      <c r="S446" s="106">
        <f>R446-Q446</f>
        <v>12</v>
      </c>
      <c r="T446" s="107">
        <v>13</v>
      </c>
      <c r="U446" s="107">
        <v>0</v>
      </c>
      <c r="V446" s="107">
        <v>13</v>
      </c>
      <c r="W446" s="107">
        <v>0</v>
      </c>
      <c r="X446" s="108"/>
      <c r="Y446" s="108"/>
      <c r="Z446" s="109"/>
      <c r="AA446" s="110">
        <v>0</v>
      </c>
      <c r="AB446" s="107">
        <v>1</v>
      </c>
      <c r="AC446" s="106"/>
      <c r="AD446" s="180"/>
      <c r="AE446" s="111">
        <v>0</v>
      </c>
      <c r="AF446" s="121">
        <v>0</v>
      </c>
      <c r="AG446" s="113"/>
      <c r="AH446" s="114"/>
      <c r="AI446" s="114"/>
      <c r="AJ446" s="114"/>
      <c r="AK446" s="114"/>
      <c r="AL446" s="114"/>
      <c r="AM446" s="114"/>
      <c r="AN446" s="114"/>
      <c r="AO446" s="114"/>
      <c r="AP446" s="114"/>
      <c r="AQ446" s="114"/>
      <c r="AR446" s="114"/>
      <c r="AS446" s="114"/>
      <c r="AT446" s="114"/>
      <c r="AU446" s="114"/>
      <c r="AV446" s="114"/>
      <c r="AW446" s="114"/>
      <c r="AX446" s="114"/>
      <c r="AY446" s="114"/>
      <c r="AZ446" s="114"/>
      <c r="BA446" s="114"/>
      <c r="BB446" s="114"/>
      <c r="BC446" s="114"/>
      <c r="BD446" s="114"/>
      <c r="BE446" s="114"/>
      <c r="BF446" s="114"/>
      <c r="BG446" s="114"/>
      <c r="BH446" s="114"/>
      <c r="BI446" s="114"/>
      <c r="BJ446" s="114"/>
      <c r="BK446" s="114"/>
      <c r="BL446" s="114"/>
      <c r="BM446" s="114"/>
      <c r="BN446" s="114"/>
      <c r="BO446" s="114"/>
      <c r="BP446" s="114"/>
      <c r="BQ446" s="114"/>
      <c r="BR446" s="114"/>
      <c r="BS446" s="114"/>
      <c r="BT446" s="114"/>
      <c r="BU446" s="114"/>
      <c r="BV446" s="114"/>
      <c r="BW446" s="114"/>
      <c r="BX446" s="114"/>
      <c r="BY446" s="114"/>
      <c r="BZ446" s="114"/>
      <c r="CA446" s="114"/>
      <c r="CB446" s="114"/>
      <c r="CC446" s="114" t="str">
        <f>"   " &amp; TEXT(AF446,"#0.00%") &amp; " " &amp; "FOB" &amp; " " &amp; IF(Q446="","",TEXT(Q446,"M/D-")) &amp; IF(R446="","",TEXT(R446,"M/D")) &amp; " "</f>
        <v xml:space="preserve">   0.00% FOB 1/3-1/15 </v>
      </c>
      <c r="CD446" s="114"/>
      <c r="CE446" s="114"/>
      <c r="CF446" s="114"/>
      <c r="CG446" s="114"/>
      <c r="CH446" s="114"/>
      <c r="CI446" s="114"/>
      <c r="CJ446" s="114"/>
      <c r="CK446" s="114"/>
      <c r="CL446" s="114"/>
      <c r="CM446" s="114"/>
      <c r="CN446" s="114"/>
      <c r="CO446" s="114"/>
      <c r="CP446" s="114"/>
      <c r="CQ446" s="114"/>
      <c r="CR446" s="114"/>
      <c r="CS446" s="114"/>
      <c r="CT446" s="114"/>
      <c r="CU446" s="114"/>
      <c r="CV446" s="114"/>
      <c r="CW446" s="114"/>
      <c r="CX446" s="114"/>
      <c r="CY446" s="114"/>
      <c r="CZ446" s="114"/>
      <c r="DA446" s="114"/>
      <c r="DB446" s="114"/>
      <c r="DC446" s="114"/>
      <c r="DD446" s="114"/>
      <c r="DE446" s="114"/>
      <c r="DF446" s="114"/>
      <c r="DG446" s="114"/>
      <c r="DH446" s="114"/>
      <c r="DI446" s="114"/>
      <c r="DJ446" s="114"/>
      <c r="DK446" s="114"/>
      <c r="DL446" s="114"/>
      <c r="DM446" s="114"/>
      <c r="DN446" s="114"/>
      <c r="DO446" s="114"/>
      <c r="DP446" s="114"/>
      <c r="DQ446" s="114"/>
    </row>
    <row r="447" spans="1:121" ht="15" customHeight="1" outlineLevel="3" x14ac:dyDescent="0.25">
      <c r="A447" s="101"/>
      <c r="B447" s="101" t="s">
        <v>153</v>
      </c>
      <c r="C447" s="101">
        <v>4</v>
      </c>
      <c r="D447" s="102" t="s">
        <v>809</v>
      </c>
      <c r="E447" s="103"/>
      <c r="F447" s="103"/>
      <c r="G447" s="103"/>
      <c r="H447" s="124" t="s">
        <v>669</v>
      </c>
      <c r="I447" s="120"/>
      <c r="J447" s="120"/>
      <c r="K447" s="120"/>
      <c r="L447" s="120"/>
      <c r="M447" s="120"/>
      <c r="N447" s="120"/>
      <c r="O447" s="194" t="str">
        <f>H447</f>
        <v>2동 2F Degasssing후 CV</v>
      </c>
      <c r="P447" s="185"/>
      <c r="Q447" s="105">
        <v>45304</v>
      </c>
      <c r="R447" s="105">
        <v>45320</v>
      </c>
      <c r="S447" s="106"/>
      <c r="T447" s="107">
        <v>17</v>
      </c>
      <c r="U447" s="107">
        <v>0</v>
      </c>
      <c r="V447" s="107">
        <v>17</v>
      </c>
      <c r="W447" s="107">
        <v>0</v>
      </c>
      <c r="X447" s="108"/>
      <c r="Y447" s="108"/>
      <c r="Z447" s="109">
        <v>0</v>
      </c>
      <c r="AA447" s="110">
        <v>0</v>
      </c>
      <c r="AB447" s="107"/>
      <c r="AC447" s="106"/>
      <c r="AD447" s="180"/>
      <c r="AE447" s="111">
        <v>0</v>
      </c>
      <c r="AF447" s="122">
        <v>0</v>
      </c>
      <c r="AG447" s="113"/>
      <c r="AH447" s="114"/>
      <c r="AI447" s="114"/>
      <c r="AJ447" s="114"/>
      <c r="AK447" s="114"/>
      <c r="AL447" s="114"/>
      <c r="AM447" s="114"/>
      <c r="AN447" s="114"/>
      <c r="AO447" s="114"/>
      <c r="AP447" s="114"/>
      <c r="AQ447" s="114"/>
      <c r="AR447" s="114"/>
      <c r="AS447" s="114"/>
      <c r="AT447" s="114"/>
      <c r="AU447" s="114"/>
      <c r="AV447" s="114"/>
      <c r="AW447" s="114"/>
      <c r="AX447" s="114"/>
      <c r="AY447" s="114"/>
      <c r="AZ447" s="114"/>
      <c r="BA447" s="114"/>
      <c r="BB447" s="114"/>
      <c r="BC447" s="114"/>
      <c r="BD447" s="114"/>
      <c r="BE447" s="114"/>
      <c r="BF447" s="114"/>
      <c r="BG447" s="114"/>
      <c r="BH447" s="114"/>
      <c r="BI447" s="114"/>
      <c r="BJ447" s="114"/>
      <c r="BK447" s="114"/>
      <c r="BL447" s="114"/>
      <c r="BM447" s="114"/>
      <c r="BN447" s="114"/>
      <c r="BO447" s="114"/>
      <c r="BP447" s="114"/>
      <c r="BQ447" s="114"/>
      <c r="BR447" s="114"/>
      <c r="BS447" s="114"/>
      <c r="BT447" s="114"/>
      <c r="BU447" s="114"/>
      <c r="BV447" s="114"/>
      <c r="BW447" s="114"/>
      <c r="BX447" s="114"/>
      <c r="BY447" s="114"/>
      <c r="BZ447" s="114"/>
      <c r="CA447" s="114"/>
      <c r="CB447" s="114"/>
      <c r="CC447" s="114"/>
      <c r="CD447" s="114" t="str">
        <f>"      " &amp; TEXT(AF447,"#0.00%") &amp; " " &amp; "2동 2F Degasssing후 CV" &amp; " " &amp; IF(Q447="","",TEXT(Q447,"M/D-")) &amp; IF(R447="","",TEXT(R447,"M/D")) &amp; " "</f>
        <v xml:space="preserve">      0.00% 2동 2F Degasssing후 CV 1/13-1/29 </v>
      </c>
      <c r="CE447" s="114"/>
      <c r="CF447" s="114"/>
      <c r="CG447" s="114"/>
      <c r="CH447" s="114"/>
      <c r="CI447" s="114"/>
      <c r="CJ447" s="114"/>
      <c r="CK447" s="114"/>
      <c r="CL447" s="114"/>
      <c r="CM447" s="114"/>
      <c r="CN447" s="114"/>
      <c r="CO447" s="114"/>
      <c r="CP447" s="114"/>
      <c r="CQ447" s="114"/>
      <c r="CR447" s="114"/>
      <c r="CS447" s="114"/>
      <c r="CT447" s="114"/>
      <c r="CU447" s="114"/>
      <c r="CV447" s="114"/>
      <c r="CW447" s="114"/>
      <c r="CX447" s="114"/>
      <c r="CY447" s="114"/>
      <c r="CZ447" s="114"/>
      <c r="DA447" s="114"/>
      <c r="DB447" s="114"/>
      <c r="DC447" s="114"/>
      <c r="DD447" s="114"/>
      <c r="DE447" s="114"/>
      <c r="DF447" s="114"/>
      <c r="DG447" s="114"/>
      <c r="DH447" s="114"/>
      <c r="DI447" s="114"/>
      <c r="DJ447" s="114"/>
      <c r="DK447" s="114"/>
      <c r="DL447" s="114"/>
      <c r="DM447" s="114"/>
      <c r="DN447" s="114"/>
      <c r="DO447" s="114"/>
      <c r="DP447" s="114"/>
      <c r="DQ447" s="114"/>
    </row>
    <row r="448" spans="1:121" ht="15" customHeight="1" outlineLevel="4" x14ac:dyDescent="0.25">
      <c r="A448" s="101"/>
      <c r="B448" s="101"/>
      <c r="C448" s="101">
        <v>5</v>
      </c>
      <c r="D448" s="102" t="s">
        <v>810</v>
      </c>
      <c r="E448" s="103"/>
      <c r="F448" s="103"/>
      <c r="G448" s="103"/>
      <c r="H448" s="103"/>
      <c r="I448" s="120" t="s">
        <v>773</v>
      </c>
      <c r="J448" s="120"/>
      <c r="K448" s="120"/>
      <c r="L448" s="120"/>
      <c r="M448" s="120"/>
      <c r="N448" s="120"/>
      <c r="O448" s="120" t="str">
        <f>O447</f>
        <v>2동 2F Degasssing후 CV</v>
      </c>
      <c r="P448" s="185"/>
      <c r="Q448" s="105">
        <v>45304</v>
      </c>
      <c r="R448" s="105">
        <v>45319</v>
      </c>
      <c r="S448" s="106">
        <f>R448-Q448</f>
        <v>15</v>
      </c>
      <c r="T448" s="107">
        <v>16</v>
      </c>
      <c r="U448" s="107">
        <v>0</v>
      </c>
      <c r="V448" s="107">
        <v>16</v>
      </c>
      <c r="W448" s="107">
        <v>0</v>
      </c>
      <c r="X448" s="108"/>
      <c r="Y448" s="108"/>
      <c r="Z448" s="109"/>
      <c r="AA448" s="110">
        <v>0</v>
      </c>
      <c r="AB448" s="107">
        <v>1</v>
      </c>
      <c r="AC448" s="106"/>
      <c r="AD448" s="180"/>
      <c r="AE448" s="111">
        <v>0</v>
      </c>
      <c r="AF448" s="121">
        <v>0</v>
      </c>
      <c r="AG448" s="113"/>
      <c r="AH448" s="114"/>
      <c r="AI448" s="114"/>
      <c r="AJ448" s="114"/>
      <c r="AK448" s="114"/>
      <c r="AL448" s="114"/>
      <c r="AM448" s="114"/>
      <c r="AN448" s="114"/>
      <c r="AO448" s="114"/>
      <c r="AP448" s="114"/>
      <c r="AQ448" s="114"/>
      <c r="AR448" s="114"/>
      <c r="AS448" s="114"/>
      <c r="AT448" s="114"/>
      <c r="AU448" s="114"/>
      <c r="AV448" s="114"/>
      <c r="AW448" s="114"/>
      <c r="AX448" s="114"/>
      <c r="AY448" s="114"/>
      <c r="AZ448" s="114"/>
      <c r="BA448" s="114"/>
      <c r="BB448" s="114"/>
      <c r="BC448" s="114"/>
      <c r="BD448" s="114"/>
      <c r="BE448" s="114"/>
      <c r="BF448" s="114"/>
      <c r="BG448" s="114"/>
      <c r="BH448" s="114"/>
      <c r="BI448" s="114"/>
      <c r="BJ448" s="114"/>
      <c r="BK448" s="114"/>
      <c r="BL448" s="114"/>
      <c r="BM448" s="114"/>
      <c r="BN448" s="114"/>
      <c r="BO448" s="114"/>
      <c r="BP448" s="114"/>
      <c r="BQ448" s="114"/>
      <c r="BR448" s="114"/>
      <c r="BS448" s="114"/>
      <c r="BT448" s="114"/>
      <c r="BU448" s="114"/>
      <c r="BV448" s="114"/>
      <c r="BW448" s="114"/>
      <c r="BX448" s="114"/>
      <c r="BY448" s="114"/>
      <c r="BZ448" s="114"/>
      <c r="CA448" s="114"/>
      <c r="CB448" s="114"/>
      <c r="CC448" s="114"/>
      <c r="CD448" s="114" t="str">
        <f>"      " &amp; TEXT(AF448,"#0.00%") &amp; " " &amp; "Packing" &amp; " " &amp; IF(Q448="","",TEXT(Q448,"M/D-")) &amp; IF(R448="","",TEXT(R448,"M/D")) &amp; " "</f>
        <v xml:space="preserve">      0.00% Packing 1/13-1/28 </v>
      </c>
      <c r="CE448" s="114"/>
      <c r="CF448" s="114"/>
      <c r="CG448" s="114"/>
      <c r="CH448" s="114"/>
      <c r="CI448" s="114"/>
      <c r="CJ448" s="114"/>
      <c r="CK448" s="114"/>
      <c r="CL448" s="114"/>
      <c r="CM448" s="114"/>
      <c r="CN448" s="114"/>
      <c r="CO448" s="114"/>
      <c r="CP448" s="114"/>
      <c r="CQ448" s="114"/>
      <c r="CR448" s="114"/>
      <c r="CS448" s="114"/>
      <c r="CT448" s="114"/>
      <c r="CU448" s="114"/>
      <c r="CV448" s="114"/>
      <c r="CW448" s="114"/>
      <c r="CX448" s="114"/>
      <c r="CY448" s="114"/>
      <c r="CZ448" s="114"/>
      <c r="DA448" s="114"/>
      <c r="DB448" s="114"/>
      <c r="DC448" s="114"/>
      <c r="DD448" s="114"/>
      <c r="DE448" s="114"/>
      <c r="DF448" s="114"/>
      <c r="DG448" s="114"/>
      <c r="DH448" s="114"/>
      <c r="DI448" s="114"/>
      <c r="DJ448" s="114"/>
      <c r="DK448" s="114"/>
      <c r="DL448" s="114"/>
      <c r="DM448" s="114"/>
      <c r="DN448" s="114"/>
      <c r="DO448" s="114"/>
      <c r="DP448" s="114"/>
      <c r="DQ448" s="114"/>
    </row>
    <row r="449" spans="1:121" ht="15" customHeight="1" outlineLevel="4" x14ac:dyDescent="0.25">
      <c r="A449" s="101"/>
      <c r="B449" s="101"/>
      <c r="C449" s="101">
        <v>5</v>
      </c>
      <c r="D449" s="102" t="s">
        <v>811</v>
      </c>
      <c r="E449" s="103"/>
      <c r="F449" s="103"/>
      <c r="G449" s="103"/>
      <c r="H449" s="103"/>
      <c r="I449" s="120" t="s">
        <v>287</v>
      </c>
      <c r="J449" s="120"/>
      <c r="K449" s="120"/>
      <c r="L449" s="120"/>
      <c r="M449" s="120"/>
      <c r="N449" s="120"/>
      <c r="O449" s="120" t="str">
        <f>O448</f>
        <v>2동 2F Degasssing후 CV</v>
      </c>
      <c r="P449" s="185"/>
      <c r="Q449" s="105">
        <v>45320</v>
      </c>
      <c r="R449" s="105">
        <v>45320</v>
      </c>
      <c r="S449" s="106">
        <f>R449-Q449</f>
        <v>0</v>
      </c>
      <c r="T449" s="107">
        <v>1</v>
      </c>
      <c r="U449" s="107">
        <v>0</v>
      </c>
      <c r="V449" s="107">
        <v>1</v>
      </c>
      <c r="W449" s="107">
        <v>0</v>
      </c>
      <c r="X449" s="108"/>
      <c r="Y449" s="108"/>
      <c r="Z449" s="109"/>
      <c r="AA449" s="110">
        <v>0</v>
      </c>
      <c r="AB449" s="107">
        <v>1</v>
      </c>
      <c r="AC449" s="106"/>
      <c r="AD449" s="180"/>
      <c r="AE449" s="111">
        <v>0</v>
      </c>
      <c r="AF449" s="121">
        <v>0</v>
      </c>
      <c r="AG449" s="113"/>
      <c r="AH449" s="114"/>
      <c r="AI449" s="114"/>
      <c r="AJ449" s="114"/>
      <c r="AK449" s="114"/>
      <c r="AL449" s="114"/>
      <c r="AM449" s="114"/>
      <c r="AN449" s="114"/>
      <c r="AO449" s="114"/>
      <c r="AP449" s="114"/>
      <c r="AQ449" s="114"/>
      <c r="AR449" s="114"/>
      <c r="AS449" s="114"/>
      <c r="AT449" s="114"/>
      <c r="AU449" s="114"/>
      <c r="AV449" s="114"/>
      <c r="AW449" s="114"/>
      <c r="AX449" s="114"/>
      <c r="AY449" s="114"/>
      <c r="AZ449" s="114"/>
      <c r="BA449" s="114"/>
      <c r="BB449" s="114"/>
      <c r="BC449" s="114"/>
      <c r="BD449" s="114"/>
      <c r="BE449" s="114"/>
      <c r="BF449" s="114"/>
      <c r="BG449" s="114"/>
      <c r="BH449" s="114"/>
      <c r="BI449" s="114"/>
      <c r="BJ449" s="114"/>
      <c r="BK449" s="114"/>
      <c r="BL449" s="114"/>
      <c r="BM449" s="114"/>
      <c r="BN449" s="114"/>
      <c r="BO449" s="114"/>
      <c r="BP449" s="114"/>
      <c r="BQ449" s="114"/>
      <c r="BR449" s="114"/>
      <c r="BS449" s="114"/>
      <c r="BT449" s="114"/>
      <c r="BU449" s="114"/>
      <c r="BV449" s="114"/>
      <c r="BW449" s="114"/>
      <c r="BX449" s="114"/>
      <c r="BY449" s="114"/>
      <c r="BZ449" s="114"/>
      <c r="CA449" s="114"/>
      <c r="CB449" s="114"/>
      <c r="CC449" s="114"/>
      <c r="CD449" s="114"/>
      <c r="CE449" s="114"/>
      <c r="CF449" s="114"/>
      <c r="CG449" s="114" t="str">
        <f>" " &amp; TEXT(AF449,"#0.00%") &amp; " " &amp; "FOB" &amp; " " &amp; IF(Q449="","",TEXT(Q449,"M/D-")) &amp; IF(R449="","",TEXT(R449,"M/D")) &amp; " "</f>
        <v xml:space="preserve"> 0.00% FOB 1/29-1/29 </v>
      </c>
      <c r="CH449" s="114"/>
      <c r="CI449" s="114"/>
      <c r="CJ449" s="114"/>
      <c r="CK449" s="114"/>
      <c r="CL449" s="114"/>
      <c r="CM449" s="114"/>
      <c r="CN449" s="114"/>
      <c r="CO449" s="114"/>
      <c r="CP449" s="114"/>
      <c r="CQ449" s="114"/>
      <c r="CR449" s="114"/>
      <c r="CS449" s="114"/>
      <c r="CT449" s="114"/>
      <c r="CU449" s="114"/>
      <c r="CV449" s="114"/>
      <c r="CW449" s="114"/>
      <c r="CX449" s="114"/>
      <c r="CY449" s="114"/>
      <c r="CZ449" s="114"/>
      <c r="DA449" s="114"/>
      <c r="DB449" s="114"/>
      <c r="DC449" s="114"/>
      <c r="DD449" s="114"/>
      <c r="DE449" s="114"/>
      <c r="DF449" s="114"/>
      <c r="DG449" s="114"/>
      <c r="DH449" s="114"/>
      <c r="DI449" s="114"/>
      <c r="DJ449" s="114"/>
      <c r="DK449" s="114"/>
      <c r="DL449" s="114"/>
      <c r="DM449" s="114"/>
      <c r="DN449" s="114"/>
      <c r="DO449" s="114"/>
      <c r="DP449" s="114"/>
      <c r="DQ449" s="114"/>
    </row>
    <row r="450" spans="1:121" ht="15" customHeight="1" x14ac:dyDescent="0.25">
      <c r="A450" s="101"/>
      <c r="B450" s="101" t="s">
        <v>153</v>
      </c>
      <c r="C450" s="101">
        <v>1</v>
      </c>
      <c r="D450" s="102" t="s">
        <v>347</v>
      </c>
      <c r="E450" s="103" t="s">
        <v>348</v>
      </c>
      <c r="F450" s="103"/>
      <c r="G450" s="103"/>
      <c r="H450" s="103"/>
      <c r="I450" s="120"/>
      <c r="J450" s="120"/>
      <c r="K450" s="120"/>
      <c r="L450" s="120"/>
      <c r="M450" s="120"/>
      <c r="N450" s="120"/>
      <c r="O450" s="194"/>
      <c r="P450" s="185"/>
      <c r="Q450" s="105"/>
      <c r="R450" s="105"/>
      <c r="S450" s="106"/>
      <c r="T450" s="107">
        <v>0</v>
      </c>
      <c r="U450" s="107">
        <v>0</v>
      </c>
      <c r="V450" s="107">
        <v>0</v>
      </c>
      <c r="W450" s="107">
        <v>0</v>
      </c>
      <c r="X450" s="108"/>
      <c r="Y450" s="108"/>
      <c r="Z450" s="109">
        <v>0</v>
      </c>
      <c r="AA450" s="110">
        <v>0</v>
      </c>
      <c r="AB450" s="107"/>
      <c r="AC450" s="106"/>
      <c r="AD450" s="180"/>
      <c r="AE450" s="111">
        <v>0</v>
      </c>
      <c r="AF450" s="186">
        <v>0</v>
      </c>
      <c r="AG450" s="113"/>
      <c r="AH450" s="114"/>
      <c r="AI450" s="114"/>
      <c r="AJ450" s="114"/>
      <c r="AK450" s="114"/>
      <c r="AL450" s="114"/>
      <c r="AM450" s="114"/>
      <c r="AN450" s="114"/>
      <c r="AO450" s="114"/>
      <c r="AP450" s="114"/>
      <c r="AQ450" s="114"/>
      <c r="AR450" s="114"/>
      <c r="AS450" s="114"/>
      <c r="AT450" s="114"/>
      <c r="AU450" s="114"/>
      <c r="AV450" s="114"/>
      <c r="AW450" s="114"/>
      <c r="AX450" s="114"/>
      <c r="AY450" s="114"/>
      <c r="AZ450" s="114"/>
      <c r="BA450" s="114"/>
      <c r="BB450" s="114"/>
      <c r="BC450" s="114"/>
      <c r="BD450" s="114"/>
      <c r="BE450" s="114"/>
      <c r="BF450" s="114"/>
      <c r="BG450" s="114"/>
      <c r="BH450" s="114"/>
      <c r="BI450" s="114"/>
      <c r="BJ450" s="114"/>
      <c r="BK450" s="114"/>
      <c r="BL450" s="114"/>
      <c r="BM450" s="114"/>
      <c r="BN450" s="114"/>
      <c r="BO450" s="114"/>
      <c r="BP450" s="114"/>
      <c r="BQ450" s="114"/>
      <c r="BR450" s="114"/>
      <c r="BS450" s="114"/>
      <c r="BT450" s="114"/>
      <c r="BU450" s="114"/>
      <c r="BV450" s="114"/>
      <c r="BW450" s="114"/>
      <c r="BX450" s="114"/>
      <c r="BY450" s="114"/>
      <c r="BZ450" s="114"/>
      <c r="CA450" s="114"/>
      <c r="CB450" s="114"/>
      <c r="CC450" s="114"/>
      <c r="CD450" s="114"/>
      <c r="CE450" s="114"/>
      <c r="CF450" s="114"/>
      <c r="CG450" s="114"/>
      <c r="CH450" s="114"/>
      <c r="CI450" s="114"/>
      <c r="CJ450" s="114"/>
      <c r="CK450" s="114"/>
      <c r="CL450" s="114"/>
      <c r="CM450" s="114"/>
      <c r="CN450" s="114"/>
      <c r="CO450" s="114"/>
      <c r="CP450" s="114"/>
      <c r="CQ450" s="114"/>
      <c r="CR450" s="114"/>
      <c r="CS450" s="114"/>
      <c r="CT450" s="114"/>
      <c r="CU450" s="114"/>
      <c r="CV450" s="114"/>
      <c r="CW450" s="114"/>
      <c r="CX450" s="114"/>
      <c r="CY450" s="114"/>
      <c r="CZ450" s="114"/>
      <c r="DA450" s="114"/>
      <c r="DB450" s="114"/>
      <c r="DC450" s="114"/>
      <c r="DD450" s="114"/>
      <c r="DE450" s="114"/>
      <c r="DF450" s="114"/>
      <c r="DG450" s="114"/>
      <c r="DH450" s="114"/>
      <c r="DI450" s="114"/>
      <c r="DJ450" s="114"/>
      <c r="DK450" s="114"/>
      <c r="DL450" s="114"/>
      <c r="DM450" s="114"/>
      <c r="DN450" s="114"/>
      <c r="DO450" s="114"/>
      <c r="DP450" s="114"/>
      <c r="DQ450" s="114"/>
    </row>
    <row r="451" spans="1:121" ht="15" customHeight="1" outlineLevel="1" x14ac:dyDescent="0.25">
      <c r="A451" s="101"/>
      <c r="B451" s="101" t="s">
        <v>153</v>
      </c>
      <c r="C451" s="101">
        <v>2</v>
      </c>
      <c r="D451" s="102" t="s">
        <v>349</v>
      </c>
      <c r="E451" s="103"/>
      <c r="F451" s="103" t="s">
        <v>536</v>
      </c>
      <c r="G451" s="103"/>
      <c r="H451" s="103"/>
      <c r="I451" s="120"/>
      <c r="J451" s="120"/>
      <c r="K451" s="120"/>
      <c r="L451" s="120"/>
      <c r="M451" s="120"/>
      <c r="N451" s="120"/>
      <c r="O451" s="194"/>
      <c r="P451" s="185"/>
      <c r="Q451" s="105"/>
      <c r="R451" s="105"/>
      <c r="S451" s="106"/>
      <c r="T451" s="107">
        <v>0</v>
      </c>
      <c r="U451" s="107">
        <v>0</v>
      </c>
      <c r="V451" s="107">
        <v>0</v>
      </c>
      <c r="W451" s="107">
        <v>0</v>
      </c>
      <c r="X451" s="108"/>
      <c r="Y451" s="108"/>
      <c r="Z451" s="109">
        <v>0</v>
      </c>
      <c r="AA451" s="110">
        <v>0</v>
      </c>
      <c r="AB451" s="107"/>
      <c r="AC451" s="106"/>
      <c r="AD451" s="180"/>
      <c r="AE451" s="111">
        <v>0</v>
      </c>
      <c r="AF451" s="186">
        <v>0</v>
      </c>
      <c r="AG451" s="113"/>
      <c r="AH451" s="114"/>
      <c r="AI451" s="114"/>
      <c r="AJ451" s="114"/>
      <c r="AK451" s="114"/>
      <c r="AL451" s="114"/>
      <c r="AM451" s="114"/>
      <c r="AN451" s="114"/>
      <c r="AO451" s="114"/>
      <c r="AP451" s="114"/>
      <c r="AQ451" s="114"/>
      <c r="AR451" s="114"/>
      <c r="AS451" s="114"/>
      <c r="AT451" s="114"/>
      <c r="AU451" s="114"/>
      <c r="AV451" s="114"/>
      <c r="AW451" s="114"/>
      <c r="AX451" s="114"/>
      <c r="AY451" s="114"/>
      <c r="AZ451" s="114"/>
      <c r="BA451" s="114"/>
      <c r="BB451" s="114"/>
      <c r="BC451" s="114"/>
      <c r="BD451" s="114"/>
      <c r="BE451" s="114"/>
      <c r="BF451" s="114"/>
      <c r="BG451" s="114"/>
      <c r="BH451" s="114"/>
      <c r="BI451" s="114"/>
      <c r="BJ451" s="114"/>
      <c r="BK451" s="114"/>
      <c r="BL451" s="114"/>
      <c r="BM451" s="114"/>
      <c r="BN451" s="114"/>
      <c r="BO451" s="114"/>
      <c r="BP451" s="114"/>
      <c r="BQ451" s="114"/>
      <c r="BR451" s="114"/>
      <c r="BS451" s="114"/>
      <c r="BT451" s="114"/>
      <c r="BU451" s="114"/>
      <c r="BV451" s="114"/>
      <c r="BW451" s="114"/>
      <c r="BX451" s="114"/>
      <c r="BY451" s="114"/>
      <c r="BZ451" s="114"/>
      <c r="CA451" s="114"/>
      <c r="CB451" s="114"/>
      <c r="CC451" s="114"/>
      <c r="CD451" s="114"/>
      <c r="CE451" s="114"/>
      <c r="CF451" s="114"/>
      <c r="CG451" s="114"/>
      <c r="CH451" s="114"/>
      <c r="CI451" s="114"/>
      <c r="CJ451" s="114"/>
      <c r="CK451" s="114"/>
      <c r="CL451" s="114"/>
      <c r="CM451" s="114"/>
      <c r="CN451" s="114"/>
      <c r="CO451" s="114"/>
      <c r="CP451" s="114"/>
      <c r="CQ451" s="114"/>
      <c r="CR451" s="114"/>
      <c r="CS451" s="114"/>
      <c r="CT451" s="114"/>
      <c r="CU451" s="114"/>
      <c r="CV451" s="114"/>
      <c r="CW451" s="114"/>
      <c r="CX451" s="114"/>
      <c r="CY451" s="114"/>
      <c r="CZ451" s="114"/>
      <c r="DA451" s="114"/>
      <c r="DB451" s="114"/>
      <c r="DC451" s="114"/>
      <c r="DD451" s="114"/>
      <c r="DE451" s="114"/>
      <c r="DF451" s="114"/>
      <c r="DG451" s="114"/>
      <c r="DH451" s="114"/>
      <c r="DI451" s="114"/>
      <c r="DJ451" s="114"/>
      <c r="DK451" s="114"/>
      <c r="DL451" s="114"/>
      <c r="DM451" s="114"/>
      <c r="DN451" s="114"/>
      <c r="DO451" s="114"/>
      <c r="DP451" s="114"/>
      <c r="DQ451" s="114"/>
    </row>
    <row r="452" spans="1:121" ht="15" customHeight="1" outlineLevel="2" x14ac:dyDescent="0.25">
      <c r="A452" s="101"/>
      <c r="B452" s="101" t="s">
        <v>153</v>
      </c>
      <c r="C452" s="101">
        <v>3</v>
      </c>
      <c r="D452" s="102" t="s">
        <v>350</v>
      </c>
      <c r="E452" s="103"/>
      <c r="F452" s="103"/>
      <c r="G452" s="103" t="s">
        <v>160</v>
      </c>
      <c r="H452" s="103"/>
      <c r="I452" s="120"/>
      <c r="J452" s="120"/>
      <c r="K452" s="120"/>
      <c r="L452" s="120"/>
      <c r="M452" s="120"/>
      <c r="N452" s="120"/>
      <c r="O452" s="194"/>
      <c r="P452" s="185"/>
      <c r="Q452" s="105"/>
      <c r="R452" s="105"/>
      <c r="S452" s="106"/>
      <c r="T452" s="107">
        <v>0</v>
      </c>
      <c r="U452" s="107">
        <v>0</v>
      </c>
      <c r="V452" s="107">
        <v>0</v>
      </c>
      <c r="W452" s="107">
        <v>0</v>
      </c>
      <c r="X452" s="108"/>
      <c r="Y452" s="108"/>
      <c r="Z452" s="109">
        <v>0</v>
      </c>
      <c r="AA452" s="110">
        <v>0</v>
      </c>
      <c r="AB452" s="107"/>
      <c r="AC452" s="106"/>
      <c r="AD452" s="180"/>
      <c r="AE452" s="111">
        <v>0</v>
      </c>
      <c r="AF452" s="186">
        <v>0</v>
      </c>
      <c r="AG452" s="113"/>
      <c r="AH452" s="114"/>
      <c r="AI452" s="114"/>
      <c r="AJ452" s="114"/>
      <c r="AK452" s="114"/>
      <c r="AL452" s="114"/>
      <c r="AM452" s="114"/>
      <c r="AN452" s="114"/>
      <c r="AO452" s="114"/>
      <c r="AP452" s="114"/>
      <c r="AQ452" s="114"/>
      <c r="AR452" s="114"/>
      <c r="AS452" s="114"/>
      <c r="AT452" s="114"/>
      <c r="AU452" s="114"/>
      <c r="AV452" s="114"/>
      <c r="AW452" s="114"/>
      <c r="AX452" s="114"/>
      <c r="AY452" s="114"/>
      <c r="AZ452" s="114"/>
      <c r="BA452" s="114"/>
      <c r="BB452" s="114"/>
      <c r="BC452" s="114"/>
      <c r="BD452" s="114"/>
      <c r="BE452" s="114"/>
      <c r="BF452" s="114"/>
      <c r="BG452" s="114"/>
      <c r="BH452" s="114"/>
      <c r="BI452" s="114"/>
      <c r="BJ452" s="114"/>
      <c r="BK452" s="114"/>
      <c r="BL452" s="114"/>
      <c r="BM452" s="114"/>
      <c r="BN452" s="114"/>
      <c r="BO452" s="114"/>
      <c r="BP452" s="114"/>
      <c r="BQ452" s="114"/>
      <c r="BR452" s="114"/>
      <c r="BS452" s="114"/>
      <c r="BT452" s="114"/>
      <c r="BU452" s="114"/>
      <c r="BV452" s="114"/>
      <c r="BW452" s="114"/>
      <c r="BX452" s="114"/>
      <c r="BY452" s="114"/>
      <c r="BZ452" s="114"/>
      <c r="CA452" s="114"/>
      <c r="CB452" s="114"/>
      <c r="CC452" s="114"/>
      <c r="CD452" s="114"/>
      <c r="CE452" s="114"/>
      <c r="CF452" s="114"/>
      <c r="CG452" s="114"/>
      <c r="CH452" s="114"/>
      <c r="CI452" s="114"/>
      <c r="CJ452" s="114"/>
      <c r="CK452" s="114"/>
      <c r="CL452" s="114"/>
      <c r="CM452" s="114"/>
      <c r="CN452" s="114"/>
      <c r="CO452" s="114"/>
      <c r="CP452" s="114"/>
      <c r="CQ452" s="114"/>
      <c r="CR452" s="114"/>
      <c r="CS452" s="114"/>
      <c r="CT452" s="114"/>
      <c r="CU452" s="114"/>
      <c r="CV452" s="114"/>
      <c r="CW452" s="114"/>
      <c r="CX452" s="114"/>
      <c r="CY452" s="114"/>
      <c r="CZ452" s="114"/>
      <c r="DA452" s="114"/>
      <c r="DB452" s="114"/>
      <c r="DC452" s="114"/>
      <c r="DD452" s="114"/>
      <c r="DE452" s="114"/>
      <c r="DF452" s="114"/>
      <c r="DG452" s="114"/>
      <c r="DH452" s="114"/>
      <c r="DI452" s="114"/>
      <c r="DJ452" s="114"/>
      <c r="DK452" s="114"/>
      <c r="DL452" s="114"/>
      <c r="DM452" s="114"/>
      <c r="DN452" s="114"/>
      <c r="DO452" s="114"/>
      <c r="DP452" s="114"/>
      <c r="DQ452" s="114"/>
    </row>
    <row r="453" spans="1:121" ht="15" customHeight="1" outlineLevel="3" x14ac:dyDescent="0.25">
      <c r="A453" s="101"/>
      <c r="B453" s="101" t="s">
        <v>153</v>
      </c>
      <c r="C453" s="101">
        <v>4</v>
      </c>
      <c r="D453" s="102" t="s">
        <v>351</v>
      </c>
      <c r="E453" s="103"/>
      <c r="F453" s="103"/>
      <c r="G453" s="103"/>
      <c r="H453" s="103" t="s">
        <v>522</v>
      </c>
      <c r="I453" s="120"/>
      <c r="J453" s="120"/>
      <c r="K453" s="120"/>
      <c r="L453" s="120"/>
      <c r="M453" s="120"/>
      <c r="N453" s="120"/>
      <c r="O453" s="194"/>
      <c r="P453" s="185"/>
      <c r="Q453" s="105"/>
      <c r="R453" s="105"/>
      <c r="S453" s="106"/>
      <c r="T453" s="107">
        <v>0</v>
      </c>
      <c r="U453" s="107">
        <v>0</v>
      </c>
      <c r="V453" s="107">
        <v>0</v>
      </c>
      <c r="W453" s="107">
        <v>0</v>
      </c>
      <c r="X453" s="108"/>
      <c r="Y453" s="108"/>
      <c r="Z453" s="109">
        <v>0</v>
      </c>
      <c r="AA453" s="110">
        <v>0</v>
      </c>
      <c r="AB453" s="107"/>
      <c r="AC453" s="106"/>
      <c r="AD453" s="180"/>
      <c r="AE453" s="111">
        <v>0</v>
      </c>
      <c r="AF453" s="186">
        <v>0</v>
      </c>
      <c r="AG453" s="113"/>
      <c r="AH453" s="114"/>
      <c r="AI453" s="114"/>
      <c r="AJ453" s="114"/>
      <c r="AK453" s="114"/>
      <c r="AL453" s="114"/>
      <c r="AM453" s="114"/>
      <c r="AN453" s="114"/>
      <c r="AO453" s="114"/>
      <c r="AP453" s="114"/>
      <c r="AQ453" s="114"/>
      <c r="AR453" s="114"/>
      <c r="AS453" s="114"/>
      <c r="AT453" s="114"/>
      <c r="AU453" s="114"/>
      <c r="AV453" s="114"/>
      <c r="AW453" s="114"/>
      <c r="AX453" s="114"/>
      <c r="AY453" s="114"/>
      <c r="AZ453" s="114"/>
      <c r="BA453" s="114"/>
      <c r="BB453" s="114"/>
      <c r="BC453" s="114"/>
      <c r="BD453" s="114"/>
      <c r="BE453" s="114"/>
      <c r="BF453" s="114"/>
      <c r="BG453" s="114"/>
      <c r="BH453" s="114"/>
      <c r="BI453" s="114"/>
      <c r="BJ453" s="114"/>
      <c r="BK453" s="114"/>
      <c r="BL453" s="114"/>
      <c r="BM453" s="114"/>
      <c r="BN453" s="114"/>
      <c r="BO453" s="114"/>
      <c r="BP453" s="114"/>
      <c r="BQ453" s="114"/>
      <c r="BR453" s="114"/>
      <c r="BS453" s="114"/>
      <c r="BT453" s="114"/>
      <c r="BU453" s="114"/>
      <c r="BV453" s="114"/>
      <c r="BW453" s="114"/>
      <c r="BX453" s="114"/>
      <c r="BY453" s="114"/>
      <c r="BZ453" s="114"/>
      <c r="CA453" s="114"/>
      <c r="CB453" s="114"/>
      <c r="CC453" s="114"/>
      <c r="CD453" s="114"/>
      <c r="CE453" s="114"/>
      <c r="CF453" s="114"/>
      <c r="CG453" s="114"/>
      <c r="CH453" s="114"/>
      <c r="CI453" s="114"/>
      <c r="CJ453" s="114"/>
      <c r="CK453" s="114"/>
      <c r="CL453" s="114"/>
      <c r="CM453" s="114"/>
      <c r="CN453" s="114"/>
      <c r="CO453" s="114"/>
      <c r="CP453" s="114"/>
      <c r="CQ453" s="114"/>
      <c r="CR453" s="114"/>
      <c r="CS453" s="114"/>
      <c r="CT453" s="114"/>
      <c r="CU453" s="114"/>
      <c r="CV453" s="114"/>
      <c r="CW453" s="114"/>
      <c r="CX453" s="114"/>
      <c r="CY453" s="114"/>
      <c r="CZ453" s="114"/>
      <c r="DA453" s="114"/>
      <c r="DB453" s="114"/>
      <c r="DC453" s="114"/>
      <c r="DD453" s="114"/>
      <c r="DE453" s="114"/>
      <c r="DF453" s="114"/>
      <c r="DG453" s="114"/>
      <c r="DH453" s="114"/>
      <c r="DI453" s="114"/>
      <c r="DJ453" s="114"/>
      <c r="DK453" s="114"/>
      <c r="DL453" s="114"/>
      <c r="DM453" s="114"/>
      <c r="DN453" s="114"/>
      <c r="DO453" s="114"/>
      <c r="DP453" s="114"/>
      <c r="DQ453" s="114"/>
    </row>
    <row r="454" spans="1:121" ht="15" customHeight="1" outlineLevel="4" x14ac:dyDescent="0.25">
      <c r="A454" s="101"/>
      <c r="B454" s="101"/>
      <c r="C454" s="101">
        <v>5</v>
      </c>
      <c r="D454" s="102" t="s">
        <v>352</v>
      </c>
      <c r="E454" s="103"/>
      <c r="F454" s="103"/>
      <c r="G454" s="103"/>
      <c r="H454" s="103"/>
      <c r="I454" s="120" t="s">
        <v>353</v>
      </c>
      <c r="J454" s="120"/>
      <c r="K454" s="120"/>
      <c r="L454" s="120"/>
      <c r="M454" s="120"/>
      <c r="N454" s="120"/>
      <c r="O454" s="194"/>
      <c r="P454" s="185"/>
      <c r="Q454" s="105"/>
      <c r="R454" s="105"/>
      <c r="S454" s="106">
        <f>R454-Q454</f>
        <v>0</v>
      </c>
      <c r="T454" s="107">
        <v>0</v>
      </c>
      <c r="U454" s="107">
        <v>0</v>
      </c>
      <c r="V454" s="107">
        <v>0</v>
      </c>
      <c r="W454" s="107">
        <v>0</v>
      </c>
      <c r="X454" s="108"/>
      <c r="Y454" s="108"/>
      <c r="Z454" s="109">
        <v>0</v>
      </c>
      <c r="AA454" s="110">
        <v>0</v>
      </c>
      <c r="AB454" s="107">
        <v>1</v>
      </c>
      <c r="AC454" s="106"/>
      <c r="AD454" s="180"/>
      <c r="AE454" s="111">
        <v>0</v>
      </c>
      <c r="AF454" s="186">
        <v>0</v>
      </c>
      <c r="AG454" s="113"/>
      <c r="AH454" s="114"/>
      <c r="AI454" s="114"/>
      <c r="AJ454" s="114"/>
      <c r="AK454" s="114"/>
      <c r="AL454" s="114"/>
      <c r="AM454" s="114"/>
      <c r="AN454" s="114"/>
      <c r="AO454" s="114"/>
      <c r="AP454" s="114"/>
      <c r="AQ454" s="114"/>
      <c r="AR454" s="114"/>
      <c r="AS454" s="114"/>
      <c r="AT454" s="114"/>
      <c r="AU454" s="114"/>
      <c r="AV454" s="114"/>
      <c r="AW454" s="114"/>
      <c r="AX454" s="114"/>
      <c r="AY454" s="114"/>
      <c r="AZ454" s="114"/>
      <c r="BA454" s="114"/>
      <c r="BB454" s="114"/>
      <c r="BC454" s="114"/>
      <c r="BD454" s="114"/>
      <c r="BE454" s="114"/>
      <c r="BF454" s="114"/>
      <c r="BG454" s="114"/>
      <c r="BH454" s="114"/>
      <c r="BI454" s="114"/>
      <c r="BJ454" s="114"/>
      <c r="BK454" s="114"/>
      <c r="BL454" s="114"/>
      <c r="BM454" s="114"/>
      <c r="BN454" s="114"/>
      <c r="BO454" s="114"/>
      <c r="BP454" s="114"/>
      <c r="BQ454" s="114"/>
      <c r="BR454" s="114"/>
      <c r="BS454" s="114"/>
      <c r="BT454" s="114"/>
      <c r="BU454" s="114"/>
      <c r="BV454" s="114"/>
      <c r="BW454" s="114"/>
      <c r="BX454" s="114"/>
      <c r="BY454" s="114"/>
      <c r="BZ454" s="114"/>
      <c r="CA454" s="114"/>
      <c r="CB454" s="114"/>
      <c r="CC454" s="114"/>
      <c r="CD454" s="114"/>
      <c r="CE454" s="114"/>
      <c r="CF454" s="114"/>
      <c r="CG454" s="114"/>
      <c r="CH454" s="114"/>
      <c r="CI454" s="114"/>
      <c r="CJ454" s="114"/>
      <c r="CK454" s="114"/>
      <c r="CL454" s="114"/>
      <c r="CM454" s="114"/>
      <c r="CN454" s="114"/>
      <c r="CO454" s="114"/>
      <c r="CP454" s="114"/>
      <c r="CQ454" s="114"/>
      <c r="CR454" s="114"/>
      <c r="CS454" s="114"/>
      <c r="CT454" s="114"/>
      <c r="CU454" s="114"/>
      <c r="CV454" s="114"/>
      <c r="CW454" s="114"/>
      <c r="CX454" s="114"/>
      <c r="CY454" s="114"/>
      <c r="CZ454" s="114"/>
      <c r="DA454" s="114"/>
      <c r="DB454" s="114"/>
      <c r="DC454" s="114"/>
      <c r="DD454" s="114"/>
      <c r="DE454" s="114"/>
      <c r="DF454" s="114"/>
      <c r="DG454" s="114"/>
      <c r="DH454" s="114"/>
      <c r="DI454" s="114"/>
      <c r="DJ454" s="114"/>
      <c r="DK454" s="114"/>
      <c r="DL454" s="114"/>
      <c r="DM454" s="114"/>
      <c r="DN454" s="114"/>
      <c r="DO454" s="114"/>
      <c r="DP454" s="114"/>
      <c r="DQ454" s="114"/>
    </row>
    <row r="455" spans="1:121" ht="15" customHeight="1" outlineLevel="4" x14ac:dyDescent="0.25">
      <c r="A455" s="101"/>
      <c r="B455" s="101"/>
      <c r="C455" s="101">
        <v>5</v>
      </c>
      <c r="D455" s="102" t="s">
        <v>354</v>
      </c>
      <c r="E455" s="103"/>
      <c r="F455" s="103"/>
      <c r="G455" s="103"/>
      <c r="H455" s="103"/>
      <c r="I455" s="120" t="s">
        <v>523</v>
      </c>
      <c r="J455" s="120"/>
      <c r="K455" s="120"/>
      <c r="L455" s="120"/>
      <c r="M455" s="120"/>
      <c r="N455" s="120"/>
      <c r="O455" s="194"/>
      <c r="P455" s="185"/>
      <c r="Q455" s="105"/>
      <c r="R455" s="105"/>
      <c r="S455" s="106">
        <f>R455-Q455</f>
        <v>0</v>
      </c>
      <c r="T455" s="107">
        <v>0</v>
      </c>
      <c r="U455" s="107">
        <v>0</v>
      </c>
      <c r="V455" s="107">
        <v>0</v>
      </c>
      <c r="W455" s="107">
        <v>0</v>
      </c>
      <c r="X455" s="108"/>
      <c r="Y455" s="108"/>
      <c r="Z455" s="109">
        <v>0</v>
      </c>
      <c r="AA455" s="110">
        <v>0</v>
      </c>
      <c r="AB455" s="107">
        <v>1</v>
      </c>
      <c r="AC455" s="106"/>
      <c r="AD455" s="180"/>
      <c r="AE455" s="111">
        <v>0</v>
      </c>
      <c r="AF455" s="186">
        <v>0</v>
      </c>
      <c r="AG455" s="113"/>
      <c r="AH455" s="114"/>
      <c r="AI455" s="114"/>
      <c r="AJ455" s="114"/>
      <c r="AK455" s="114"/>
      <c r="AL455" s="114"/>
      <c r="AM455" s="114"/>
      <c r="AN455" s="114"/>
      <c r="AO455" s="114"/>
      <c r="AP455" s="114"/>
      <c r="AQ455" s="114"/>
      <c r="AR455" s="114"/>
      <c r="AS455" s="114"/>
      <c r="AT455" s="114"/>
      <c r="AU455" s="114"/>
      <c r="AV455" s="114"/>
      <c r="AW455" s="114"/>
      <c r="AX455" s="114"/>
      <c r="AY455" s="114"/>
      <c r="AZ455" s="114"/>
      <c r="BA455" s="114"/>
      <c r="BB455" s="114"/>
      <c r="BC455" s="114"/>
      <c r="BD455" s="114"/>
      <c r="BE455" s="114"/>
      <c r="BF455" s="114"/>
      <c r="BG455" s="114"/>
      <c r="BH455" s="114"/>
      <c r="BI455" s="114"/>
      <c r="BJ455" s="114"/>
      <c r="BK455" s="114"/>
      <c r="BL455" s="114"/>
      <c r="BM455" s="114"/>
      <c r="BN455" s="114"/>
      <c r="BO455" s="114"/>
      <c r="BP455" s="114"/>
      <c r="BQ455" s="114"/>
      <c r="BR455" s="114"/>
      <c r="BS455" s="114"/>
      <c r="BT455" s="114"/>
      <c r="BU455" s="114"/>
      <c r="BV455" s="114"/>
      <c r="BW455" s="114"/>
      <c r="BX455" s="114"/>
      <c r="BY455" s="114"/>
      <c r="BZ455" s="114"/>
      <c r="CA455" s="114"/>
      <c r="CB455" s="114"/>
      <c r="CC455" s="114"/>
      <c r="CD455" s="114"/>
      <c r="CE455" s="114"/>
      <c r="CF455" s="114"/>
      <c r="CG455" s="114"/>
      <c r="CH455" s="114"/>
      <c r="CI455" s="114"/>
      <c r="CJ455" s="114"/>
      <c r="CK455" s="114"/>
      <c r="CL455" s="114"/>
      <c r="CM455" s="114"/>
      <c r="CN455" s="114"/>
      <c r="CO455" s="114"/>
      <c r="CP455" s="114"/>
      <c r="CQ455" s="114"/>
      <c r="CR455" s="114"/>
      <c r="CS455" s="114"/>
      <c r="CT455" s="114"/>
      <c r="CU455" s="114"/>
      <c r="CV455" s="114"/>
      <c r="CW455" s="114"/>
      <c r="CX455" s="114"/>
      <c r="CY455" s="114"/>
      <c r="CZ455" s="114"/>
      <c r="DA455" s="114"/>
      <c r="DB455" s="114"/>
      <c r="DC455" s="114"/>
      <c r="DD455" s="114"/>
      <c r="DE455" s="114"/>
      <c r="DF455" s="114"/>
      <c r="DG455" s="114"/>
      <c r="DH455" s="114"/>
      <c r="DI455" s="114"/>
      <c r="DJ455" s="114"/>
      <c r="DK455" s="114"/>
      <c r="DL455" s="114"/>
      <c r="DM455" s="114"/>
      <c r="DN455" s="114"/>
      <c r="DO455" s="114"/>
      <c r="DP455" s="114"/>
      <c r="DQ455" s="114"/>
    </row>
    <row r="456" spans="1:121" ht="15" customHeight="1" outlineLevel="4" x14ac:dyDescent="0.25">
      <c r="A456" s="101"/>
      <c r="B456" s="101"/>
      <c r="C456" s="101">
        <v>5</v>
      </c>
      <c r="D456" s="102" t="s">
        <v>524</v>
      </c>
      <c r="E456" s="103"/>
      <c r="F456" s="103"/>
      <c r="G456" s="103"/>
      <c r="H456" s="103"/>
      <c r="I456" s="120" t="s">
        <v>525</v>
      </c>
      <c r="J456" s="120"/>
      <c r="K456" s="120"/>
      <c r="L456" s="120"/>
      <c r="M456" s="120"/>
      <c r="N456" s="120"/>
      <c r="O456" s="194"/>
      <c r="P456" s="185"/>
      <c r="Q456" s="105"/>
      <c r="R456" s="105"/>
      <c r="S456" s="106">
        <f>R456-Q456</f>
        <v>0</v>
      </c>
      <c r="T456" s="107">
        <v>0</v>
      </c>
      <c r="U456" s="107">
        <v>0</v>
      </c>
      <c r="V456" s="107">
        <v>0</v>
      </c>
      <c r="W456" s="107">
        <v>0</v>
      </c>
      <c r="X456" s="108"/>
      <c r="Y456" s="108"/>
      <c r="Z456" s="109">
        <v>0</v>
      </c>
      <c r="AA456" s="110">
        <v>0</v>
      </c>
      <c r="AB456" s="107">
        <v>1</v>
      </c>
      <c r="AC456" s="106"/>
      <c r="AD456" s="180"/>
      <c r="AE456" s="111">
        <v>0</v>
      </c>
      <c r="AF456" s="186">
        <v>0</v>
      </c>
      <c r="AG456" s="113"/>
      <c r="AH456" s="114"/>
      <c r="AI456" s="114"/>
      <c r="AJ456" s="114"/>
      <c r="AK456" s="114"/>
      <c r="AL456" s="114"/>
      <c r="AM456" s="114"/>
      <c r="AN456" s="114"/>
      <c r="AO456" s="114"/>
      <c r="AP456" s="114"/>
      <c r="AQ456" s="114"/>
      <c r="AR456" s="114"/>
      <c r="AS456" s="114"/>
      <c r="AT456" s="114"/>
      <c r="AU456" s="114"/>
      <c r="AV456" s="114"/>
      <c r="AW456" s="114"/>
      <c r="AX456" s="114"/>
      <c r="AY456" s="114"/>
      <c r="AZ456" s="114"/>
      <c r="BA456" s="114"/>
      <c r="BB456" s="114"/>
      <c r="BC456" s="114"/>
      <c r="BD456" s="114"/>
      <c r="BE456" s="114"/>
      <c r="BF456" s="114"/>
      <c r="BG456" s="114"/>
      <c r="BH456" s="114"/>
      <c r="BI456" s="114"/>
      <c r="BJ456" s="114"/>
      <c r="BK456" s="114"/>
      <c r="BL456" s="114"/>
      <c r="BM456" s="114"/>
      <c r="BN456" s="114"/>
      <c r="BO456" s="114"/>
      <c r="BP456" s="114"/>
      <c r="BQ456" s="114"/>
      <c r="BR456" s="114"/>
      <c r="BS456" s="114"/>
      <c r="BT456" s="114"/>
      <c r="BU456" s="114"/>
      <c r="BV456" s="114"/>
      <c r="BW456" s="114"/>
      <c r="BX456" s="114"/>
      <c r="BY456" s="114"/>
      <c r="BZ456" s="114"/>
      <c r="CA456" s="114"/>
      <c r="CB456" s="114"/>
      <c r="CC456" s="114"/>
      <c r="CD456" s="114"/>
      <c r="CE456" s="114"/>
      <c r="CF456" s="114"/>
      <c r="CG456" s="114"/>
      <c r="CH456" s="114"/>
      <c r="CI456" s="114"/>
      <c r="CJ456" s="114"/>
      <c r="CK456" s="114"/>
      <c r="CL456" s="114"/>
      <c r="CM456" s="114"/>
      <c r="CN456" s="114"/>
      <c r="CO456" s="114"/>
      <c r="CP456" s="114"/>
      <c r="CQ456" s="114"/>
      <c r="CR456" s="114"/>
      <c r="CS456" s="114"/>
      <c r="CT456" s="114"/>
      <c r="CU456" s="114"/>
      <c r="CV456" s="114"/>
      <c r="CW456" s="114"/>
      <c r="CX456" s="114"/>
      <c r="CY456" s="114"/>
      <c r="CZ456" s="114"/>
      <c r="DA456" s="114"/>
      <c r="DB456" s="114"/>
      <c r="DC456" s="114"/>
      <c r="DD456" s="114"/>
      <c r="DE456" s="114"/>
      <c r="DF456" s="114"/>
      <c r="DG456" s="114"/>
      <c r="DH456" s="114"/>
      <c r="DI456" s="114"/>
      <c r="DJ456" s="114"/>
      <c r="DK456" s="114"/>
      <c r="DL456" s="114"/>
      <c r="DM456" s="114"/>
      <c r="DN456" s="114"/>
      <c r="DO456" s="114"/>
      <c r="DP456" s="114"/>
      <c r="DQ456" s="114"/>
    </row>
    <row r="457" spans="1:121" ht="15" customHeight="1" outlineLevel="4" x14ac:dyDescent="0.25">
      <c r="A457" s="101"/>
      <c r="B457" s="101"/>
      <c r="C457" s="101">
        <v>5</v>
      </c>
      <c r="D457" s="102" t="s">
        <v>526</v>
      </c>
      <c r="E457" s="103"/>
      <c r="F457" s="103"/>
      <c r="G457" s="103"/>
      <c r="H457" s="103"/>
      <c r="I457" s="120" t="s">
        <v>357</v>
      </c>
      <c r="J457" s="120"/>
      <c r="K457" s="120"/>
      <c r="L457" s="120"/>
      <c r="M457" s="120"/>
      <c r="N457" s="120"/>
      <c r="O457" s="194"/>
      <c r="P457" s="185"/>
      <c r="Q457" s="105"/>
      <c r="R457" s="105"/>
      <c r="S457" s="106">
        <f>R457-Q457</f>
        <v>0</v>
      </c>
      <c r="T457" s="107">
        <v>0</v>
      </c>
      <c r="U457" s="107">
        <v>0</v>
      </c>
      <c r="V457" s="107">
        <v>0</v>
      </c>
      <c r="W457" s="107">
        <v>0</v>
      </c>
      <c r="X457" s="108"/>
      <c r="Y457" s="108"/>
      <c r="Z457" s="109">
        <v>0</v>
      </c>
      <c r="AA457" s="110">
        <v>0</v>
      </c>
      <c r="AB457" s="107">
        <v>1</v>
      </c>
      <c r="AC457" s="106"/>
      <c r="AD457" s="180"/>
      <c r="AE457" s="111">
        <v>0</v>
      </c>
      <c r="AF457" s="186">
        <v>0</v>
      </c>
      <c r="AG457" s="113"/>
      <c r="AH457" s="114"/>
      <c r="AI457" s="114"/>
      <c r="AJ457" s="114"/>
      <c r="AK457" s="114"/>
      <c r="AL457" s="114"/>
      <c r="AM457" s="114"/>
      <c r="AN457" s="114"/>
      <c r="AO457" s="114"/>
      <c r="AP457" s="114"/>
      <c r="AQ457" s="114"/>
      <c r="AR457" s="114"/>
      <c r="AS457" s="114"/>
      <c r="AT457" s="114"/>
      <c r="AU457" s="114"/>
      <c r="AV457" s="114"/>
      <c r="AW457" s="114"/>
      <c r="AX457" s="114"/>
      <c r="AY457" s="114"/>
      <c r="AZ457" s="114"/>
      <c r="BA457" s="114"/>
      <c r="BB457" s="114"/>
      <c r="BC457" s="114"/>
      <c r="BD457" s="114"/>
      <c r="BE457" s="114"/>
      <c r="BF457" s="114"/>
      <c r="BG457" s="114"/>
      <c r="BH457" s="114"/>
      <c r="BI457" s="114"/>
      <c r="BJ457" s="114"/>
      <c r="BK457" s="114"/>
      <c r="BL457" s="114"/>
      <c r="BM457" s="114"/>
      <c r="BN457" s="114"/>
      <c r="BO457" s="114"/>
      <c r="BP457" s="114"/>
      <c r="BQ457" s="114"/>
      <c r="BR457" s="114"/>
      <c r="BS457" s="114"/>
      <c r="BT457" s="114"/>
      <c r="BU457" s="114"/>
      <c r="BV457" s="114"/>
      <c r="BW457" s="114"/>
      <c r="BX457" s="114"/>
      <c r="BY457" s="114"/>
      <c r="BZ457" s="114"/>
      <c r="CA457" s="114"/>
      <c r="CB457" s="114"/>
      <c r="CC457" s="114"/>
      <c r="CD457" s="114"/>
      <c r="CE457" s="114"/>
      <c r="CF457" s="114"/>
      <c r="CG457" s="114"/>
      <c r="CH457" s="114"/>
      <c r="CI457" s="114"/>
      <c r="CJ457" s="114"/>
      <c r="CK457" s="114"/>
      <c r="CL457" s="114"/>
      <c r="CM457" s="114"/>
      <c r="CN457" s="114"/>
      <c r="CO457" s="114"/>
      <c r="CP457" s="114"/>
      <c r="CQ457" s="114"/>
      <c r="CR457" s="114"/>
      <c r="CS457" s="114"/>
      <c r="CT457" s="114"/>
      <c r="CU457" s="114"/>
      <c r="CV457" s="114"/>
      <c r="CW457" s="114"/>
      <c r="CX457" s="114"/>
      <c r="CY457" s="114"/>
      <c r="CZ457" s="114"/>
      <c r="DA457" s="114"/>
      <c r="DB457" s="114"/>
      <c r="DC457" s="114"/>
      <c r="DD457" s="114"/>
      <c r="DE457" s="114"/>
      <c r="DF457" s="114"/>
      <c r="DG457" s="114"/>
      <c r="DH457" s="114"/>
      <c r="DI457" s="114"/>
      <c r="DJ457" s="114"/>
      <c r="DK457" s="114"/>
      <c r="DL457" s="114"/>
      <c r="DM457" s="114"/>
      <c r="DN457" s="114"/>
      <c r="DO457" s="114"/>
      <c r="DP457" s="114"/>
      <c r="DQ457" s="114"/>
    </row>
    <row r="458" spans="1:121" ht="15" customHeight="1" outlineLevel="4" x14ac:dyDescent="0.25">
      <c r="A458" s="101"/>
      <c r="B458" s="101"/>
      <c r="C458" s="101">
        <v>5</v>
      </c>
      <c r="D458" s="102" t="s">
        <v>527</v>
      </c>
      <c r="E458" s="103"/>
      <c r="F458" s="103"/>
      <c r="G458" s="103"/>
      <c r="H458" s="103"/>
      <c r="I458" s="120" t="s">
        <v>528</v>
      </c>
      <c r="J458" s="120"/>
      <c r="K458" s="120"/>
      <c r="L458" s="120"/>
      <c r="M458" s="120"/>
      <c r="N458" s="120"/>
      <c r="O458" s="194"/>
      <c r="P458" s="185"/>
      <c r="Q458" s="105"/>
      <c r="R458" s="105"/>
      <c r="S458" s="106">
        <f>R458-Q458</f>
        <v>0</v>
      </c>
      <c r="T458" s="107">
        <v>0</v>
      </c>
      <c r="U458" s="107">
        <v>0</v>
      </c>
      <c r="V458" s="107">
        <v>0</v>
      </c>
      <c r="W458" s="107">
        <v>0</v>
      </c>
      <c r="X458" s="108"/>
      <c r="Y458" s="108"/>
      <c r="Z458" s="109">
        <v>0</v>
      </c>
      <c r="AA458" s="110">
        <v>0</v>
      </c>
      <c r="AB458" s="107">
        <v>1</v>
      </c>
      <c r="AC458" s="106"/>
      <c r="AD458" s="180"/>
      <c r="AE458" s="111">
        <v>0</v>
      </c>
      <c r="AF458" s="186">
        <v>0</v>
      </c>
      <c r="AG458" s="113"/>
      <c r="AH458" s="114"/>
      <c r="AI458" s="114"/>
      <c r="AJ458" s="114"/>
      <c r="AK458" s="114"/>
      <c r="AL458" s="114"/>
      <c r="AM458" s="114"/>
      <c r="AN458" s="114"/>
      <c r="AO458" s="114"/>
      <c r="AP458" s="114"/>
      <c r="AQ458" s="114"/>
      <c r="AR458" s="114"/>
      <c r="AS458" s="114"/>
      <c r="AT458" s="114"/>
      <c r="AU458" s="114"/>
      <c r="AV458" s="114"/>
      <c r="AW458" s="114"/>
      <c r="AX458" s="114"/>
      <c r="AY458" s="114"/>
      <c r="AZ458" s="114"/>
      <c r="BA458" s="114"/>
      <c r="BB458" s="114"/>
      <c r="BC458" s="114"/>
      <c r="BD458" s="114"/>
      <c r="BE458" s="114"/>
      <c r="BF458" s="114"/>
      <c r="BG458" s="114"/>
      <c r="BH458" s="114"/>
      <c r="BI458" s="114"/>
      <c r="BJ458" s="114"/>
      <c r="BK458" s="114"/>
      <c r="BL458" s="114"/>
      <c r="BM458" s="114"/>
      <c r="BN458" s="114"/>
      <c r="BO458" s="114"/>
      <c r="BP458" s="114"/>
      <c r="BQ458" s="114"/>
      <c r="BR458" s="114"/>
      <c r="BS458" s="114"/>
      <c r="BT458" s="114"/>
      <c r="BU458" s="114"/>
      <c r="BV458" s="114"/>
      <c r="BW458" s="114"/>
      <c r="BX458" s="114"/>
      <c r="BY458" s="114"/>
      <c r="BZ458" s="114"/>
      <c r="CA458" s="114"/>
      <c r="CB458" s="114"/>
      <c r="CC458" s="114"/>
      <c r="CD458" s="114"/>
      <c r="CE458" s="114"/>
      <c r="CF458" s="114"/>
      <c r="CG458" s="114"/>
      <c r="CH458" s="114"/>
      <c r="CI458" s="114"/>
      <c r="CJ458" s="114"/>
      <c r="CK458" s="114"/>
      <c r="CL458" s="114"/>
      <c r="CM458" s="114"/>
      <c r="CN458" s="114"/>
      <c r="CO458" s="114"/>
      <c r="CP458" s="114"/>
      <c r="CQ458" s="114"/>
      <c r="CR458" s="114"/>
      <c r="CS458" s="114"/>
      <c r="CT458" s="114"/>
      <c r="CU458" s="114"/>
      <c r="CV458" s="114"/>
      <c r="CW458" s="114"/>
      <c r="CX458" s="114"/>
      <c r="CY458" s="114"/>
      <c r="CZ458" s="114"/>
      <c r="DA458" s="114"/>
      <c r="DB458" s="114"/>
      <c r="DC458" s="114"/>
      <c r="DD458" s="114"/>
      <c r="DE458" s="114"/>
      <c r="DF458" s="114"/>
      <c r="DG458" s="114"/>
      <c r="DH458" s="114"/>
      <c r="DI458" s="114"/>
      <c r="DJ458" s="114"/>
      <c r="DK458" s="114"/>
      <c r="DL458" s="114"/>
      <c r="DM458" s="114"/>
      <c r="DN458" s="114"/>
      <c r="DO458" s="114"/>
      <c r="DP458" s="114"/>
      <c r="DQ458" s="114"/>
    </row>
    <row r="459" spans="1:121" ht="15" customHeight="1" outlineLevel="3" x14ac:dyDescent="0.25">
      <c r="A459" s="101"/>
      <c r="B459" s="101" t="s">
        <v>153</v>
      </c>
      <c r="C459" s="101">
        <v>4</v>
      </c>
      <c r="D459" s="102" t="s">
        <v>355</v>
      </c>
      <c r="E459" s="103"/>
      <c r="F459" s="103"/>
      <c r="G459" s="103"/>
      <c r="H459" s="124" t="s">
        <v>358</v>
      </c>
      <c r="I459" s="120"/>
      <c r="J459" s="120"/>
      <c r="K459" s="120"/>
      <c r="L459" s="120"/>
      <c r="M459" s="120"/>
      <c r="N459" s="120"/>
      <c r="O459" s="194"/>
      <c r="P459" s="185"/>
      <c r="Q459" s="105"/>
      <c r="R459" s="105"/>
      <c r="S459" s="106"/>
      <c r="T459" s="107">
        <v>0</v>
      </c>
      <c r="U459" s="107">
        <v>0</v>
      </c>
      <c r="V459" s="107">
        <v>0</v>
      </c>
      <c r="W459" s="107">
        <v>0</v>
      </c>
      <c r="X459" s="108"/>
      <c r="Y459" s="108"/>
      <c r="Z459" s="109">
        <v>0</v>
      </c>
      <c r="AA459" s="110">
        <v>0</v>
      </c>
      <c r="AB459" s="107"/>
      <c r="AC459" s="106"/>
      <c r="AD459" s="180"/>
      <c r="AE459" s="111">
        <v>0</v>
      </c>
      <c r="AF459" s="186">
        <v>0</v>
      </c>
      <c r="AG459" s="113"/>
      <c r="AH459" s="114"/>
      <c r="AI459" s="114"/>
      <c r="AJ459" s="114"/>
      <c r="AK459" s="114"/>
      <c r="AL459" s="114"/>
      <c r="AM459" s="114"/>
      <c r="AN459" s="114"/>
      <c r="AO459" s="114"/>
      <c r="AP459" s="114"/>
      <c r="AQ459" s="114"/>
      <c r="AR459" s="114"/>
      <c r="AS459" s="114"/>
      <c r="AT459" s="114"/>
      <c r="AU459" s="114"/>
      <c r="AV459" s="114"/>
      <c r="AW459" s="114"/>
      <c r="AX459" s="114"/>
      <c r="AY459" s="114"/>
      <c r="AZ459" s="114"/>
      <c r="BA459" s="114"/>
      <c r="BB459" s="114"/>
      <c r="BC459" s="114"/>
      <c r="BD459" s="114"/>
      <c r="BE459" s="114"/>
      <c r="BF459" s="114"/>
      <c r="BG459" s="114"/>
      <c r="BH459" s="114"/>
      <c r="BI459" s="114"/>
      <c r="BJ459" s="114"/>
      <c r="BK459" s="114"/>
      <c r="BL459" s="114"/>
      <c r="BM459" s="114"/>
      <c r="BN459" s="114"/>
      <c r="BO459" s="114"/>
      <c r="BP459" s="114"/>
      <c r="BQ459" s="114"/>
      <c r="BR459" s="114"/>
      <c r="BS459" s="114"/>
      <c r="BT459" s="114"/>
      <c r="BU459" s="114"/>
      <c r="BV459" s="114"/>
      <c r="BW459" s="114"/>
      <c r="BX459" s="114"/>
      <c r="BY459" s="114"/>
      <c r="BZ459" s="114"/>
      <c r="CA459" s="114"/>
      <c r="CB459" s="114"/>
      <c r="CC459" s="114"/>
      <c r="CD459" s="114"/>
      <c r="CE459" s="114"/>
      <c r="CF459" s="114"/>
      <c r="CG459" s="114"/>
      <c r="CH459" s="114"/>
      <c r="CI459" s="114"/>
      <c r="CJ459" s="114"/>
      <c r="CK459" s="114"/>
      <c r="CL459" s="114"/>
      <c r="CM459" s="114"/>
      <c r="CN459" s="114"/>
      <c r="CO459" s="114"/>
      <c r="CP459" s="114"/>
      <c r="CQ459" s="114"/>
      <c r="CR459" s="114"/>
      <c r="CS459" s="114"/>
      <c r="CT459" s="114"/>
      <c r="CU459" s="114"/>
      <c r="CV459" s="114"/>
      <c r="CW459" s="114"/>
      <c r="CX459" s="114"/>
      <c r="CY459" s="114"/>
      <c r="CZ459" s="114"/>
      <c r="DA459" s="114"/>
      <c r="DB459" s="114"/>
      <c r="DC459" s="114"/>
      <c r="DD459" s="114"/>
      <c r="DE459" s="114"/>
      <c r="DF459" s="114"/>
      <c r="DG459" s="114"/>
      <c r="DH459" s="114"/>
      <c r="DI459" s="114"/>
      <c r="DJ459" s="114"/>
      <c r="DK459" s="114"/>
      <c r="DL459" s="114"/>
      <c r="DM459" s="114"/>
      <c r="DN459" s="114"/>
      <c r="DO459" s="114"/>
      <c r="DP459" s="114"/>
      <c r="DQ459" s="114"/>
    </row>
    <row r="460" spans="1:121" ht="15" customHeight="1" outlineLevel="4" x14ac:dyDescent="0.25">
      <c r="A460" s="101"/>
      <c r="B460" s="101"/>
      <c r="C460" s="101">
        <v>5</v>
      </c>
      <c r="D460" s="102" t="s">
        <v>356</v>
      </c>
      <c r="E460" s="103"/>
      <c r="F460" s="103"/>
      <c r="G460" s="103"/>
      <c r="H460" s="103"/>
      <c r="I460" s="120" t="s">
        <v>359</v>
      </c>
      <c r="J460" s="120"/>
      <c r="K460" s="120"/>
      <c r="L460" s="120"/>
      <c r="M460" s="120"/>
      <c r="N460" s="120"/>
      <c r="O460" s="194"/>
      <c r="P460" s="185"/>
      <c r="Q460" s="105"/>
      <c r="R460" s="105"/>
      <c r="S460" s="106">
        <f>R460-Q460</f>
        <v>0</v>
      </c>
      <c r="T460" s="107">
        <v>0</v>
      </c>
      <c r="U460" s="107">
        <v>0</v>
      </c>
      <c r="V460" s="107">
        <v>0</v>
      </c>
      <c r="W460" s="107">
        <v>0</v>
      </c>
      <c r="X460" s="108"/>
      <c r="Y460" s="108"/>
      <c r="Z460" s="109">
        <v>0</v>
      </c>
      <c r="AA460" s="110">
        <v>0</v>
      </c>
      <c r="AB460" s="107">
        <v>1</v>
      </c>
      <c r="AC460" s="106"/>
      <c r="AD460" s="180"/>
      <c r="AE460" s="111">
        <v>0</v>
      </c>
      <c r="AF460" s="186">
        <v>0</v>
      </c>
      <c r="AG460" s="113"/>
      <c r="AH460" s="114"/>
      <c r="AI460" s="114"/>
      <c r="AJ460" s="114"/>
      <c r="AK460" s="114"/>
      <c r="AL460" s="114"/>
      <c r="AM460" s="114"/>
      <c r="AN460" s="114"/>
      <c r="AO460" s="114"/>
      <c r="AP460" s="114"/>
      <c r="AQ460" s="114"/>
      <c r="AR460" s="114"/>
      <c r="AS460" s="114"/>
      <c r="AT460" s="114"/>
      <c r="AU460" s="114"/>
      <c r="AV460" s="114"/>
      <c r="AW460" s="114"/>
      <c r="AX460" s="114"/>
      <c r="AY460" s="114"/>
      <c r="AZ460" s="114"/>
      <c r="BA460" s="114"/>
      <c r="BB460" s="114"/>
      <c r="BC460" s="114"/>
      <c r="BD460" s="114"/>
      <c r="BE460" s="114"/>
      <c r="BF460" s="114"/>
      <c r="BG460" s="114"/>
      <c r="BH460" s="114"/>
      <c r="BI460" s="114"/>
      <c r="BJ460" s="114"/>
      <c r="BK460" s="114"/>
      <c r="BL460" s="114"/>
      <c r="BM460" s="114"/>
      <c r="BN460" s="114"/>
      <c r="BO460" s="114"/>
      <c r="BP460" s="114"/>
      <c r="BQ460" s="114"/>
      <c r="BR460" s="114"/>
      <c r="BS460" s="114"/>
      <c r="BT460" s="114"/>
      <c r="BU460" s="114"/>
      <c r="BV460" s="114"/>
      <c r="BW460" s="114"/>
      <c r="BX460" s="114"/>
      <c r="BY460" s="114"/>
      <c r="BZ460" s="114"/>
      <c r="CA460" s="114"/>
      <c r="CB460" s="114"/>
      <c r="CC460" s="114"/>
      <c r="CD460" s="114"/>
      <c r="CE460" s="114"/>
      <c r="CF460" s="114"/>
      <c r="CG460" s="114"/>
      <c r="CH460" s="114"/>
      <c r="CI460" s="114"/>
      <c r="CJ460" s="114"/>
      <c r="CK460" s="114"/>
      <c r="CL460" s="114"/>
      <c r="CM460" s="114"/>
      <c r="CN460" s="114"/>
      <c r="CO460" s="114"/>
      <c r="CP460" s="114"/>
      <c r="CQ460" s="114"/>
      <c r="CR460" s="114"/>
      <c r="CS460" s="114"/>
      <c r="CT460" s="114"/>
      <c r="CU460" s="114"/>
      <c r="CV460" s="114"/>
      <c r="CW460" s="114"/>
      <c r="CX460" s="114"/>
      <c r="CY460" s="114"/>
      <c r="CZ460" s="114"/>
      <c r="DA460" s="114"/>
      <c r="DB460" s="114"/>
      <c r="DC460" s="114"/>
      <c r="DD460" s="114"/>
      <c r="DE460" s="114"/>
      <c r="DF460" s="114"/>
      <c r="DG460" s="114"/>
      <c r="DH460" s="114"/>
      <c r="DI460" s="114"/>
      <c r="DJ460" s="114"/>
      <c r="DK460" s="114"/>
      <c r="DL460" s="114"/>
      <c r="DM460" s="114"/>
      <c r="DN460" s="114"/>
      <c r="DO460" s="114"/>
      <c r="DP460" s="114"/>
      <c r="DQ460" s="114"/>
    </row>
    <row r="461" spans="1:121" ht="15" customHeight="1" outlineLevel="2" x14ac:dyDescent="0.25">
      <c r="A461" s="101"/>
      <c r="B461" s="101" t="s">
        <v>153</v>
      </c>
      <c r="C461" s="101">
        <v>3</v>
      </c>
      <c r="D461" s="102" t="s">
        <v>360</v>
      </c>
      <c r="E461" s="103"/>
      <c r="F461" s="103"/>
      <c r="G461" s="103" t="s">
        <v>214</v>
      </c>
      <c r="H461" s="103"/>
      <c r="I461" s="120"/>
      <c r="J461" s="120"/>
      <c r="K461" s="120"/>
      <c r="L461" s="120"/>
      <c r="M461" s="120"/>
      <c r="N461" s="120"/>
      <c r="O461" s="194"/>
      <c r="P461" s="185"/>
      <c r="Q461" s="105"/>
      <c r="R461" s="105"/>
      <c r="S461" s="106"/>
      <c r="T461" s="107">
        <v>0</v>
      </c>
      <c r="U461" s="107">
        <v>0</v>
      </c>
      <c r="V461" s="107">
        <v>0</v>
      </c>
      <c r="W461" s="107">
        <v>0</v>
      </c>
      <c r="X461" s="108"/>
      <c r="Y461" s="108"/>
      <c r="Z461" s="109">
        <v>0</v>
      </c>
      <c r="AA461" s="110">
        <v>0</v>
      </c>
      <c r="AB461" s="107"/>
      <c r="AC461" s="106"/>
      <c r="AD461" s="180"/>
      <c r="AE461" s="111">
        <v>0</v>
      </c>
      <c r="AF461" s="186">
        <v>0</v>
      </c>
      <c r="AG461" s="113"/>
      <c r="AH461" s="114"/>
      <c r="AI461" s="114"/>
      <c r="AJ461" s="114"/>
      <c r="AK461" s="114"/>
      <c r="AL461" s="114"/>
      <c r="AM461" s="114"/>
      <c r="AN461" s="114"/>
      <c r="AO461" s="114"/>
      <c r="AP461" s="114"/>
      <c r="AQ461" s="114"/>
      <c r="AR461" s="114"/>
      <c r="AS461" s="114"/>
      <c r="AT461" s="114"/>
      <c r="AU461" s="114"/>
      <c r="AV461" s="114"/>
      <c r="AW461" s="114"/>
      <c r="AX461" s="114"/>
      <c r="AY461" s="114"/>
      <c r="AZ461" s="114"/>
      <c r="BA461" s="114"/>
      <c r="BB461" s="114"/>
      <c r="BC461" s="114"/>
      <c r="BD461" s="114"/>
      <c r="BE461" s="114"/>
      <c r="BF461" s="114"/>
      <c r="BG461" s="114"/>
      <c r="BH461" s="114"/>
      <c r="BI461" s="114"/>
      <c r="BJ461" s="114"/>
      <c r="BK461" s="114"/>
      <c r="BL461" s="114"/>
      <c r="BM461" s="114"/>
      <c r="BN461" s="114"/>
      <c r="BO461" s="114"/>
      <c r="BP461" s="114"/>
      <c r="BQ461" s="114"/>
      <c r="BR461" s="114"/>
      <c r="BS461" s="114"/>
      <c r="BT461" s="114"/>
      <c r="BU461" s="114"/>
      <c r="BV461" s="114"/>
      <c r="BW461" s="114"/>
      <c r="BX461" s="114"/>
      <c r="BY461" s="114"/>
      <c r="BZ461" s="114"/>
      <c r="CA461" s="114"/>
      <c r="CB461" s="114"/>
      <c r="CC461" s="114"/>
      <c r="CD461" s="114"/>
      <c r="CE461" s="114"/>
      <c r="CF461" s="114"/>
      <c r="CG461" s="114"/>
      <c r="CH461" s="114"/>
      <c r="CI461" s="114"/>
      <c r="CJ461" s="114"/>
      <c r="CK461" s="114"/>
      <c r="CL461" s="114"/>
      <c r="CM461" s="114"/>
      <c r="CN461" s="114"/>
      <c r="CO461" s="114"/>
      <c r="CP461" s="114"/>
      <c r="CQ461" s="114"/>
      <c r="CR461" s="114"/>
      <c r="CS461" s="114"/>
      <c r="CT461" s="114"/>
      <c r="CU461" s="114"/>
      <c r="CV461" s="114"/>
      <c r="CW461" s="114"/>
      <c r="CX461" s="114"/>
      <c r="CY461" s="114"/>
      <c r="CZ461" s="114"/>
      <c r="DA461" s="114"/>
      <c r="DB461" s="114"/>
      <c r="DC461" s="114"/>
      <c r="DD461" s="114"/>
      <c r="DE461" s="114"/>
      <c r="DF461" s="114"/>
      <c r="DG461" s="114"/>
      <c r="DH461" s="114"/>
      <c r="DI461" s="114"/>
      <c r="DJ461" s="114"/>
      <c r="DK461" s="114"/>
      <c r="DL461" s="114"/>
      <c r="DM461" s="114"/>
      <c r="DN461" s="114"/>
      <c r="DO461" s="114"/>
      <c r="DP461" s="114"/>
      <c r="DQ461" s="114"/>
    </row>
    <row r="462" spans="1:121" ht="15" customHeight="1" outlineLevel="3" x14ac:dyDescent="0.25">
      <c r="A462" s="101"/>
      <c r="B462" s="101" t="s">
        <v>153</v>
      </c>
      <c r="C462" s="101">
        <v>4</v>
      </c>
      <c r="D462" s="102" t="s">
        <v>361</v>
      </c>
      <c r="E462" s="103"/>
      <c r="F462" s="103"/>
      <c r="G462" s="103"/>
      <c r="H462" s="103" t="s">
        <v>522</v>
      </c>
      <c r="I462" s="120"/>
      <c r="J462" s="120"/>
      <c r="K462" s="120"/>
      <c r="L462" s="120"/>
      <c r="M462" s="120"/>
      <c r="N462" s="120"/>
      <c r="O462" s="194"/>
      <c r="P462" s="185"/>
      <c r="Q462" s="105"/>
      <c r="R462" s="105"/>
      <c r="S462" s="106"/>
      <c r="T462" s="107">
        <v>0</v>
      </c>
      <c r="U462" s="107">
        <v>0</v>
      </c>
      <c r="V462" s="107">
        <v>0</v>
      </c>
      <c r="W462" s="107">
        <v>0</v>
      </c>
      <c r="X462" s="108"/>
      <c r="Y462" s="108"/>
      <c r="Z462" s="109">
        <v>0</v>
      </c>
      <c r="AA462" s="110">
        <v>0</v>
      </c>
      <c r="AB462" s="107"/>
      <c r="AC462" s="106"/>
      <c r="AD462" s="180"/>
      <c r="AE462" s="111">
        <v>0</v>
      </c>
      <c r="AF462" s="186">
        <v>0</v>
      </c>
      <c r="AG462" s="113"/>
      <c r="AH462" s="114"/>
      <c r="AI462" s="114"/>
      <c r="AJ462" s="114"/>
      <c r="AK462" s="114"/>
      <c r="AL462" s="114"/>
      <c r="AM462" s="114"/>
      <c r="AN462" s="114"/>
      <c r="AO462" s="114"/>
      <c r="AP462" s="114"/>
      <c r="AQ462" s="114"/>
      <c r="AR462" s="114"/>
      <c r="AS462" s="114"/>
      <c r="AT462" s="114"/>
      <c r="AU462" s="114"/>
      <c r="AV462" s="114"/>
      <c r="AW462" s="114"/>
      <c r="AX462" s="114"/>
      <c r="AY462" s="114"/>
      <c r="AZ462" s="114"/>
      <c r="BA462" s="114"/>
      <c r="BB462" s="114"/>
      <c r="BC462" s="114"/>
      <c r="BD462" s="114"/>
      <c r="BE462" s="114"/>
      <c r="BF462" s="114"/>
      <c r="BG462" s="114"/>
      <c r="BH462" s="114"/>
      <c r="BI462" s="114"/>
      <c r="BJ462" s="114"/>
      <c r="BK462" s="114"/>
      <c r="BL462" s="114"/>
      <c r="BM462" s="114"/>
      <c r="BN462" s="114"/>
      <c r="BO462" s="114"/>
      <c r="BP462" s="114"/>
      <c r="BQ462" s="114"/>
      <c r="BR462" s="114"/>
      <c r="BS462" s="114"/>
      <c r="BT462" s="114"/>
      <c r="BU462" s="114"/>
      <c r="BV462" s="114"/>
      <c r="BW462" s="114"/>
      <c r="BX462" s="114"/>
      <c r="BY462" s="114"/>
      <c r="BZ462" s="114"/>
      <c r="CA462" s="114"/>
      <c r="CB462" s="114"/>
      <c r="CC462" s="114"/>
      <c r="CD462" s="114"/>
      <c r="CE462" s="114"/>
      <c r="CF462" s="114"/>
      <c r="CG462" s="114"/>
      <c r="CH462" s="114"/>
      <c r="CI462" s="114"/>
      <c r="CJ462" s="114"/>
      <c r="CK462" s="114"/>
      <c r="CL462" s="114"/>
      <c r="CM462" s="114"/>
      <c r="CN462" s="114"/>
      <c r="CO462" s="114"/>
      <c r="CP462" s="114"/>
      <c r="CQ462" s="114"/>
      <c r="CR462" s="114"/>
      <c r="CS462" s="114"/>
      <c r="CT462" s="114"/>
      <c r="CU462" s="114"/>
      <c r="CV462" s="114"/>
      <c r="CW462" s="114"/>
      <c r="CX462" s="114"/>
      <c r="CY462" s="114"/>
      <c r="CZ462" s="114"/>
      <c r="DA462" s="114"/>
      <c r="DB462" s="114"/>
      <c r="DC462" s="114"/>
      <c r="DD462" s="114"/>
      <c r="DE462" s="114"/>
      <c r="DF462" s="114"/>
      <c r="DG462" s="114"/>
      <c r="DH462" s="114"/>
      <c r="DI462" s="114"/>
      <c r="DJ462" s="114"/>
      <c r="DK462" s="114"/>
      <c r="DL462" s="114"/>
      <c r="DM462" s="114"/>
      <c r="DN462" s="114"/>
      <c r="DO462" s="114"/>
      <c r="DP462" s="114"/>
      <c r="DQ462" s="114"/>
    </row>
    <row r="463" spans="1:121" ht="15" customHeight="1" outlineLevel="4" x14ac:dyDescent="0.25">
      <c r="A463" s="101"/>
      <c r="B463" s="101"/>
      <c r="C463" s="101">
        <v>5</v>
      </c>
      <c r="D463" s="102" t="s">
        <v>362</v>
      </c>
      <c r="E463" s="103"/>
      <c r="F463" s="103"/>
      <c r="G463" s="103"/>
      <c r="H463" s="103"/>
      <c r="I463" s="120" t="s">
        <v>363</v>
      </c>
      <c r="J463" s="120"/>
      <c r="K463" s="120"/>
      <c r="L463" s="120"/>
      <c r="M463" s="120"/>
      <c r="N463" s="120"/>
      <c r="O463" s="194"/>
      <c r="P463" s="185"/>
      <c r="Q463" s="105"/>
      <c r="R463" s="105"/>
      <c r="S463" s="106">
        <f>R463-Q463</f>
        <v>0</v>
      </c>
      <c r="T463" s="107">
        <v>0</v>
      </c>
      <c r="U463" s="107">
        <v>0</v>
      </c>
      <c r="V463" s="107">
        <v>0</v>
      </c>
      <c r="W463" s="107">
        <v>0</v>
      </c>
      <c r="X463" s="108"/>
      <c r="Y463" s="108"/>
      <c r="Z463" s="109">
        <v>0</v>
      </c>
      <c r="AA463" s="110">
        <v>0</v>
      </c>
      <c r="AB463" s="107">
        <v>1</v>
      </c>
      <c r="AC463" s="106"/>
      <c r="AD463" s="180"/>
      <c r="AE463" s="111">
        <v>0</v>
      </c>
      <c r="AF463" s="186">
        <v>0</v>
      </c>
      <c r="AG463" s="113"/>
      <c r="AH463" s="114"/>
      <c r="AI463" s="114"/>
      <c r="AJ463" s="114"/>
      <c r="AK463" s="114"/>
      <c r="AL463" s="114"/>
      <c r="AM463" s="114"/>
      <c r="AN463" s="114"/>
      <c r="AO463" s="114"/>
      <c r="AP463" s="114"/>
      <c r="AQ463" s="114"/>
      <c r="AR463" s="114"/>
      <c r="AS463" s="114"/>
      <c r="AT463" s="114"/>
      <c r="AU463" s="114"/>
      <c r="AV463" s="114"/>
      <c r="AW463" s="114"/>
      <c r="AX463" s="114"/>
      <c r="AY463" s="114"/>
      <c r="AZ463" s="114"/>
      <c r="BA463" s="114"/>
      <c r="BB463" s="114"/>
      <c r="BC463" s="114"/>
      <c r="BD463" s="114"/>
      <c r="BE463" s="114"/>
      <c r="BF463" s="114"/>
      <c r="BG463" s="114"/>
      <c r="BH463" s="114"/>
      <c r="BI463" s="114"/>
      <c r="BJ463" s="114"/>
      <c r="BK463" s="114"/>
      <c r="BL463" s="114"/>
      <c r="BM463" s="114"/>
      <c r="BN463" s="114"/>
      <c r="BO463" s="114"/>
      <c r="BP463" s="114"/>
      <c r="BQ463" s="114"/>
      <c r="BR463" s="114"/>
      <c r="BS463" s="114"/>
      <c r="BT463" s="114"/>
      <c r="BU463" s="114"/>
      <c r="BV463" s="114"/>
      <c r="BW463" s="114"/>
      <c r="BX463" s="114"/>
      <c r="BY463" s="114"/>
      <c r="BZ463" s="114"/>
      <c r="CA463" s="114"/>
      <c r="CB463" s="114"/>
      <c r="CC463" s="114"/>
      <c r="CD463" s="114"/>
      <c r="CE463" s="114"/>
      <c r="CF463" s="114"/>
      <c r="CG463" s="114"/>
      <c r="CH463" s="114"/>
      <c r="CI463" s="114"/>
      <c r="CJ463" s="114"/>
      <c r="CK463" s="114"/>
      <c r="CL463" s="114"/>
      <c r="CM463" s="114"/>
      <c r="CN463" s="114"/>
      <c r="CO463" s="114"/>
      <c r="CP463" s="114"/>
      <c r="CQ463" s="114"/>
      <c r="CR463" s="114"/>
      <c r="CS463" s="114"/>
      <c r="CT463" s="114"/>
      <c r="CU463" s="114"/>
      <c r="CV463" s="114"/>
      <c r="CW463" s="114"/>
      <c r="CX463" s="114"/>
      <c r="CY463" s="114"/>
      <c r="CZ463" s="114"/>
      <c r="DA463" s="114"/>
      <c r="DB463" s="114"/>
      <c r="DC463" s="114"/>
      <c r="DD463" s="114"/>
      <c r="DE463" s="114"/>
      <c r="DF463" s="114"/>
      <c r="DG463" s="114"/>
      <c r="DH463" s="114"/>
      <c r="DI463" s="114"/>
      <c r="DJ463" s="114"/>
      <c r="DK463" s="114"/>
      <c r="DL463" s="114"/>
      <c r="DM463" s="114"/>
      <c r="DN463" s="114"/>
      <c r="DO463" s="114"/>
      <c r="DP463" s="114"/>
      <c r="DQ463" s="114"/>
    </row>
    <row r="464" spans="1:121" ht="15" customHeight="1" outlineLevel="4" x14ac:dyDescent="0.25">
      <c r="A464" s="101"/>
      <c r="B464" s="101"/>
      <c r="C464" s="101">
        <v>5</v>
      </c>
      <c r="D464" s="102" t="s">
        <v>364</v>
      </c>
      <c r="E464" s="103"/>
      <c r="F464" s="103"/>
      <c r="G464" s="103"/>
      <c r="H464" s="103"/>
      <c r="I464" s="120" t="s">
        <v>365</v>
      </c>
      <c r="J464" s="120"/>
      <c r="K464" s="120"/>
      <c r="L464" s="120"/>
      <c r="M464" s="120"/>
      <c r="N464" s="120"/>
      <c r="O464" s="194"/>
      <c r="P464" s="185"/>
      <c r="Q464" s="105"/>
      <c r="R464" s="105"/>
      <c r="S464" s="106">
        <f>R464-Q464</f>
        <v>0</v>
      </c>
      <c r="T464" s="107">
        <v>0</v>
      </c>
      <c r="U464" s="107">
        <v>0</v>
      </c>
      <c r="V464" s="107">
        <v>0</v>
      </c>
      <c r="W464" s="107">
        <v>0</v>
      </c>
      <c r="X464" s="108"/>
      <c r="Y464" s="108"/>
      <c r="Z464" s="109">
        <v>0</v>
      </c>
      <c r="AA464" s="110">
        <v>0</v>
      </c>
      <c r="AB464" s="107">
        <v>1</v>
      </c>
      <c r="AC464" s="106"/>
      <c r="AD464" s="180"/>
      <c r="AE464" s="111">
        <v>0</v>
      </c>
      <c r="AF464" s="186">
        <v>0</v>
      </c>
      <c r="AG464" s="113"/>
      <c r="AH464" s="114"/>
      <c r="AI464" s="114"/>
      <c r="AJ464" s="114"/>
      <c r="AK464" s="114"/>
      <c r="AL464" s="114"/>
      <c r="AM464" s="114"/>
      <c r="AN464" s="114"/>
      <c r="AO464" s="114"/>
      <c r="AP464" s="114"/>
      <c r="AQ464" s="114"/>
      <c r="AR464" s="114"/>
      <c r="AS464" s="114"/>
      <c r="AT464" s="114"/>
      <c r="AU464" s="114"/>
      <c r="AV464" s="114"/>
      <c r="AW464" s="114"/>
      <c r="AX464" s="114"/>
      <c r="AY464" s="114"/>
      <c r="AZ464" s="114"/>
      <c r="BA464" s="114"/>
      <c r="BB464" s="114"/>
      <c r="BC464" s="114"/>
      <c r="BD464" s="114"/>
      <c r="BE464" s="114"/>
      <c r="BF464" s="114"/>
      <c r="BG464" s="114"/>
      <c r="BH464" s="114"/>
      <c r="BI464" s="114"/>
      <c r="BJ464" s="114"/>
      <c r="BK464" s="114"/>
      <c r="BL464" s="114"/>
      <c r="BM464" s="114"/>
      <c r="BN464" s="114"/>
      <c r="BO464" s="114"/>
      <c r="BP464" s="114"/>
      <c r="BQ464" s="114"/>
      <c r="BR464" s="114"/>
      <c r="BS464" s="114"/>
      <c r="BT464" s="114"/>
      <c r="BU464" s="114"/>
      <c r="BV464" s="114"/>
      <c r="BW464" s="114"/>
      <c r="BX464" s="114"/>
      <c r="BY464" s="114"/>
      <c r="BZ464" s="114"/>
      <c r="CA464" s="114"/>
      <c r="CB464" s="114"/>
      <c r="CC464" s="114"/>
      <c r="CD464" s="114"/>
      <c r="CE464" s="114"/>
      <c r="CF464" s="114"/>
      <c r="CG464" s="114"/>
      <c r="CH464" s="114"/>
      <c r="CI464" s="114"/>
      <c r="CJ464" s="114"/>
      <c r="CK464" s="114"/>
      <c r="CL464" s="114"/>
      <c r="CM464" s="114"/>
      <c r="CN464" s="114"/>
      <c r="CO464" s="114"/>
      <c r="CP464" s="114"/>
      <c r="CQ464" s="114"/>
      <c r="CR464" s="114"/>
      <c r="CS464" s="114"/>
      <c r="CT464" s="114"/>
      <c r="CU464" s="114"/>
      <c r="CV464" s="114"/>
      <c r="CW464" s="114"/>
      <c r="CX464" s="114"/>
      <c r="CY464" s="114"/>
      <c r="CZ464" s="114"/>
      <c r="DA464" s="114"/>
      <c r="DB464" s="114"/>
      <c r="DC464" s="114"/>
      <c r="DD464" s="114"/>
      <c r="DE464" s="114"/>
      <c r="DF464" s="114"/>
      <c r="DG464" s="114"/>
      <c r="DH464" s="114"/>
      <c r="DI464" s="114"/>
      <c r="DJ464" s="114"/>
      <c r="DK464" s="114"/>
      <c r="DL464" s="114"/>
      <c r="DM464" s="114"/>
      <c r="DN464" s="114"/>
      <c r="DO464" s="114"/>
      <c r="DP464" s="114"/>
      <c r="DQ464" s="114"/>
    </row>
    <row r="465" spans="1:121" ht="15" customHeight="1" outlineLevel="4" x14ac:dyDescent="0.25">
      <c r="A465" s="101"/>
      <c r="B465" s="101"/>
      <c r="C465" s="101">
        <v>5</v>
      </c>
      <c r="D465" s="102" t="s">
        <v>366</v>
      </c>
      <c r="E465" s="103"/>
      <c r="F465" s="103"/>
      <c r="G465" s="103"/>
      <c r="H465" s="103"/>
      <c r="I465" s="120" t="s">
        <v>367</v>
      </c>
      <c r="J465" s="120"/>
      <c r="K465" s="120"/>
      <c r="L465" s="120"/>
      <c r="M465" s="120"/>
      <c r="N465" s="120"/>
      <c r="O465" s="194"/>
      <c r="P465" s="185"/>
      <c r="Q465" s="105"/>
      <c r="R465" s="105"/>
      <c r="S465" s="106">
        <f>R465-Q465</f>
        <v>0</v>
      </c>
      <c r="T465" s="107">
        <v>0</v>
      </c>
      <c r="U465" s="107">
        <v>0</v>
      </c>
      <c r="V465" s="107">
        <v>0</v>
      </c>
      <c r="W465" s="107">
        <v>0</v>
      </c>
      <c r="X465" s="108"/>
      <c r="Y465" s="108"/>
      <c r="Z465" s="109">
        <v>0</v>
      </c>
      <c r="AA465" s="110">
        <v>0</v>
      </c>
      <c r="AB465" s="107">
        <v>1</v>
      </c>
      <c r="AC465" s="106"/>
      <c r="AD465" s="180"/>
      <c r="AE465" s="111">
        <v>0</v>
      </c>
      <c r="AF465" s="186">
        <v>0</v>
      </c>
      <c r="AG465" s="113"/>
      <c r="AH465" s="114"/>
      <c r="AI465" s="114"/>
      <c r="AJ465" s="114"/>
      <c r="AK465" s="114"/>
      <c r="AL465" s="114"/>
      <c r="AM465" s="114"/>
      <c r="AN465" s="114"/>
      <c r="AO465" s="114"/>
      <c r="AP465" s="114"/>
      <c r="AQ465" s="114"/>
      <c r="AR465" s="114"/>
      <c r="AS465" s="114"/>
      <c r="AT465" s="114"/>
      <c r="AU465" s="114"/>
      <c r="AV465" s="114"/>
      <c r="AW465" s="114"/>
      <c r="AX465" s="114"/>
      <c r="AY465" s="114"/>
      <c r="AZ465" s="114"/>
      <c r="BA465" s="114"/>
      <c r="BB465" s="114"/>
      <c r="BC465" s="114"/>
      <c r="BD465" s="114"/>
      <c r="BE465" s="114"/>
      <c r="BF465" s="114"/>
      <c r="BG465" s="114"/>
      <c r="BH465" s="114"/>
      <c r="BI465" s="114"/>
      <c r="BJ465" s="114"/>
      <c r="BK465" s="114"/>
      <c r="BL465" s="114"/>
      <c r="BM465" s="114"/>
      <c r="BN465" s="114"/>
      <c r="BO465" s="114"/>
      <c r="BP465" s="114"/>
      <c r="BQ465" s="114"/>
      <c r="BR465" s="114"/>
      <c r="BS465" s="114"/>
      <c r="BT465" s="114"/>
      <c r="BU465" s="114"/>
      <c r="BV465" s="114"/>
      <c r="BW465" s="114"/>
      <c r="BX465" s="114"/>
      <c r="BY465" s="114"/>
      <c r="BZ465" s="114"/>
      <c r="CA465" s="114"/>
      <c r="CB465" s="114"/>
      <c r="CC465" s="114"/>
      <c r="CD465" s="114"/>
      <c r="CE465" s="114"/>
      <c r="CF465" s="114"/>
      <c r="CG465" s="114"/>
      <c r="CH465" s="114"/>
      <c r="CI465" s="114"/>
      <c r="CJ465" s="114"/>
      <c r="CK465" s="114"/>
      <c r="CL465" s="114"/>
      <c r="CM465" s="114"/>
      <c r="CN465" s="114"/>
      <c r="CO465" s="114"/>
      <c r="CP465" s="114"/>
      <c r="CQ465" s="114"/>
      <c r="CR465" s="114"/>
      <c r="CS465" s="114"/>
      <c r="CT465" s="114"/>
      <c r="CU465" s="114"/>
      <c r="CV465" s="114"/>
      <c r="CW465" s="114"/>
      <c r="CX465" s="114"/>
      <c r="CY465" s="114"/>
      <c r="CZ465" s="114"/>
      <c r="DA465" s="114"/>
      <c r="DB465" s="114"/>
      <c r="DC465" s="114"/>
      <c r="DD465" s="114"/>
      <c r="DE465" s="114"/>
      <c r="DF465" s="114"/>
      <c r="DG465" s="114"/>
      <c r="DH465" s="114"/>
      <c r="DI465" s="114"/>
      <c r="DJ465" s="114"/>
      <c r="DK465" s="114"/>
      <c r="DL465" s="114"/>
      <c r="DM465" s="114"/>
      <c r="DN465" s="114"/>
      <c r="DO465" s="114"/>
      <c r="DP465" s="114"/>
      <c r="DQ465" s="114"/>
    </row>
    <row r="466" spans="1:121" ht="15" customHeight="1" outlineLevel="4" x14ac:dyDescent="0.25">
      <c r="A466" s="101"/>
      <c r="B466" s="101"/>
      <c r="C466" s="101">
        <v>5</v>
      </c>
      <c r="D466" s="102" t="s">
        <v>368</v>
      </c>
      <c r="E466" s="103"/>
      <c r="F466" s="103"/>
      <c r="G466" s="103"/>
      <c r="H466" s="103"/>
      <c r="I466" s="120" t="s">
        <v>369</v>
      </c>
      <c r="J466" s="120"/>
      <c r="K466" s="120"/>
      <c r="L466" s="120"/>
      <c r="M466" s="120"/>
      <c r="N466" s="120"/>
      <c r="O466" s="194"/>
      <c r="P466" s="185"/>
      <c r="Q466" s="105"/>
      <c r="R466" s="105"/>
      <c r="S466" s="106">
        <f>R466-Q466</f>
        <v>0</v>
      </c>
      <c r="T466" s="107">
        <v>0</v>
      </c>
      <c r="U466" s="107">
        <v>0</v>
      </c>
      <c r="V466" s="107">
        <v>0</v>
      </c>
      <c r="W466" s="107">
        <v>0</v>
      </c>
      <c r="X466" s="108"/>
      <c r="Y466" s="108"/>
      <c r="Z466" s="109">
        <v>0</v>
      </c>
      <c r="AA466" s="110">
        <v>0</v>
      </c>
      <c r="AB466" s="107">
        <v>1</v>
      </c>
      <c r="AC466" s="106"/>
      <c r="AD466" s="180"/>
      <c r="AE466" s="111">
        <v>0</v>
      </c>
      <c r="AF466" s="186">
        <v>0</v>
      </c>
      <c r="AG466" s="113"/>
      <c r="AH466" s="114"/>
      <c r="AI466" s="114"/>
      <c r="AJ466" s="114"/>
      <c r="AK466" s="114"/>
      <c r="AL466" s="114"/>
      <c r="AM466" s="114"/>
      <c r="AN466" s="114"/>
      <c r="AO466" s="114"/>
      <c r="AP466" s="114"/>
      <c r="AQ466" s="114"/>
      <c r="AR466" s="114"/>
      <c r="AS466" s="114"/>
      <c r="AT466" s="114"/>
      <c r="AU466" s="114"/>
      <c r="AV466" s="114"/>
      <c r="AW466" s="114"/>
      <c r="AX466" s="114"/>
      <c r="AY466" s="114"/>
      <c r="AZ466" s="114"/>
      <c r="BA466" s="114"/>
      <c r="BB466" s="114"/>
      <c r="BC466" s="114"/>
      <c r="BD466" s="114"/>
      <c r="BE466" s="114"/>
      <c r="BF466" s="114"/>
      <c r="BG466" s="114"/>
      <c r="BH466" s="114"/>
      <c r="BI466" s="114"/>
      <c r="BJ466" s="114"/>
      <c r="BK466" s="114"/>
      <c r="BL466" s="114"/>
      <c r="BM466" s="114"/>
      <c r="BN466" s="114"/>
      <c r="BO466" s="114"/>
      <c r="BP466" s="114"/>
      <c r="BQ466" s="114"/>
      <c r="BR466" s="114"/>
      <c r="BS466" s="114"/>
      <c r="BT466" s="114"/>
      <c r="BU466" s="114"/>
      <c r="BV466" s="114"/>
      <c r="BW466" s="114"/>
      <c r="BX466" s="114"/>
      <c r="BY466" s="114"/>
      <c r="BZ466" s="114"/>
      <c r="CA466" s="114"/>
      <c r="CB466" s="114"/>
      <c r="CC466" s="114"/>
      <c r="CD466" s="114"/>
      <c r="CE466" s="114"/>
      <c r="CF466" s="114"/>
      <c r="CG466" s="114"/>
      <c r="CH466" s="114"/>
      <c r="CI466" s="114"/>
      <c r="CJ466" s="114"/>
      <c r="CK466" s="114"/>
      <c r="CL466" s="114"/>
      <c r="CM466" s="114"/>
      <c r="CN466" s="114"/>
      <c r="CO466" s="114"/>
      <c r="CP466" s="114"/>
      <c r="CQ466" s="114"/>
      <c r="CR466" s="114"/>
      <c r="CS466" s="114"/>
      <c r="CT466" s="114"/>
      <c r="CU466" s="114"/>
      <c r="CV466" s="114"/>
      <c r="CW466" s="114"/>
      <c r="CX466" s="114"/>
      <c r="CY466" s="114"/>
      <c r="CZ466" s="114"/>
      <c r="DA466" s="114"/>
      <c r="DB466" s="114"/>
      <c r="DC466" s="114"/>
      <c r="DD466" s="114"/>
      <c r="DE466" s="114"/>
      <c r="DF466" s="114"/>
      <c r="DG466" s="114"/>
      <c r="DH466" s="114"/>
      <c r="DI466" s="114"/>
      <c r="DJ466" s="114"/>
      <c r="DK466" s="114"/>
      <c r="DL466" s="114"/>
      <c r="DM466" s="114"/>
      <c r="DN466" s="114"/>
      <c r="DO466" s="114"/>
      <c r="DP466" s="114"/>
      <c r="DQ466" s="114"/>
    </row>
    <row r="467" spans="1:121" ht="15" customHeight="1" outlineLevel="4" x14ac:dyDescent="0.25">
      <c r="A467" s="101"/>
      <c r="B467" s="101"/>
      <c r="C467" s="101">
        <v>5</v>
      </c>
      <c r="D467" s="102" t="s">
        <v>370</v>
      </c>
      <c r="E467" s="103"/>
      <c r="F467" s="103"/>
      <c r="G467" s="103"/>
      <c r="H467" s="103"/>
      <c r="I467" s="120" t="s">
        <v>529</v>
      </c>
      <c r="J467" s="120"/>
      <c r="K467" s="120"/>
      <c r="L467" s="120"/>
      <c r="M467" s="120"/>
      <c r="N467" s="120"/>
      <c r="O467" s="194"/>
      <c r="P467" s="185"/>
      <c r="Q467" s="105"/>
      <c r="R467" s="105"/>
      <c r="S467" s="106">
        <f>R467-Q467</f>
        <v>0</v>
      </c>
      <c r="T467" s="107">
        <v>0</v>
      </c>
      <c r="U467" s="107">
        <v>0</v>
      </c>
      <c r="V467" s="107">
        <v>0</v>
      </c>
      <c r="W467" s="107">
        <v>0</v>
      </c>
      <c r="X467" s="108"/>
      <c r="Y467" s="108"/>
      <c r="Z467" s="109">
        <v>0</v>
      </c>
      <c r="AA467" s="110">
        <v>0</v>
      </c>
      <c r="AB467" s="107">
        <v>1</v>
      </c>
      <c r="AC467" s="106"/>
      <c r="AD467" s="180"/>
      <c r="AE467" s="111">
        <v>0</v>
      </c>
      <c r="AF467" s="186">
        <v>0</v>
      </c>
      <c r="AG467" s="113"/>
      <c r="AH467" s="114"/>
      <c r="AI467" s="114"/>
      <c r="AJ467" s="114"/>
      <c r="AK467" s="114"/>
      <c r="AL467" s="114"/>
      <c r="AM467" s="114"/>
      <c r="AN467" s="114"/>
      <c r="AO467" s="114"/>
      <c r="AP467" s="114"/>
      <c r="AQ467" s="114"/>
      <c r="AR467" s="114"/>
      <c r="AS467" s="114"/>
      <c r="AT467" s="114"/>
      <c r="AU467" s="114"/>
      <c r="AV467" s="114"/>
      <c r="AW467" s="114"/>
      <c r="AX467" s="114"/>
      <c r="AY467" s="114"/>
      <c r="AZ467" s="114"/>
      <c r="BA467" s="114"/>
      <c r="BB467" s="114"/>
      <c r="BC467" s="114"/>
      <c r="BD467" s="114"/>
      <c r="BE467" s="114"/>
      <c r="BF467" s="114"/>
      <c r="BG467" s="114"/>
      <c r="BH467" s="114"/>
      <c r="BI467" s="114"/>
      <c r="BJ467" s="114"/>
      <c r="BK467" s="114"/>
      <c r="BL467" s="114"/>
      <c r="BM467" s="114"/>
      <c r="BN467" s="114"/>
      <c r="BO467" s="114"/>
      <c r="BP467" s="114"/>
      <c r="BQ467" s="114"/>
      <c r="BR467" s="114"/>
      <c r="BS467" s="114"/>
      <c r="BT467" s="114"/>
      <c r="BU467" s="114"/>
      <c r="BV467" s="114"/>
      <c r="BW467" s="114"/>
      <c r="BX467" s="114"/>
      <c r="BY467" s="114"/>
      <c r="BZ467" s="114"/>
      <c r="CA467" s="114"/>
      <c r="CB467" s="114"/>
      <c r="CC467" s="114"/>
      <c r="CD467" s="114"/>
      <c r="CE467" s="114"/>
      <c r="CF467" s="114"/>
      <c r="CG467" s="114"/>
      <c r="CH467" s="114"/>
      <c r="CI467" s="114"/>
      <c r="CJ467" s="114"/>
      <c r="CK467" s="114"/>
      <c r="CL467" s="114"/>
      <c r="CM467" s="114"/>
      <c r="CN467" s="114"/>
      <c r="CO467" s="114"/>
      <c r="CP467" s="114"/>
      <c r="CQ467" s="114"/>
      <c r="CR467" s="114"/>
      <c r="CS467" s="114"/>
      <c r="CT467" s="114"/>
      <c r="CU467" s="114"/>
      <c r="CV467" s="114"/>
      <c r="CW467" s="114"/>
      <c r="CX467" s="114"/>
      <c r="CY467" s="114"/>
      <c r="CZ467" s="114"/>
      <c r="DA467" s="114"/>
      <c r="DB467" s="114"/>
      <c r="DC467" s="114"/>
      <c r="DD467" s="114"/>
      <c r="DE467" s="114"/>
      <c r="DF467" s="114"/>
      <c r="DG467" s="114"/>
      <c r="DH467" s="114"/>
      <c r="DI467" s="114"/>
      <c r="DJ467" s="114"/>
      <c r="DK467" s="114"/>
      <c r="DL467" s="114"/>
      <c r="DM467" s="114"/>
      <c r="DN467" s="114"/>
      <c r="DO467" s="114"/>
      <c r="DP467" s="114"/>
      <c r="DQ467" s="114"/>
    </row>
    <row r="468" spans="1:121" ht="15" customHeight="1" outlineLevel="2" x14ac:dyDescent="0.25">
      <c r="A468" s="101"/>
      <c r="B468" s="101" t="s">
        <v>153</v>
      </c>
      <c r="C468" s="101">
        <v>3</v>
      </c>
      <c r="D468" s="102" t="s">
        <v>371</v>
      </c>
      <c r="E468" s="103"/>
      <c r="F468" s="103"/>
      <c r="G468" s="103" t="s">
        <v>530</v>
      </c>
      <c r="H468" s="103"/>
      <c r="I468" s="120"/>
      <c r="J468" s="120"/>
      <c r="K468" s="120"/>
      <c r="L468" s="120"/>
      <c r="M468" s="120"/>
      <c r="N468" s="120"/>
      <c r="O468" s="194"/>
      <c r="P468" s="185"/>
      <c r="Q468" s="105"/>
      <c r="R468" s="105"/>
      <c r="S468" s="106"/>
      <c r="T468" s="107">
        <v>0</v>
      </c>
      <c r="U468" s="107">
        <v>0</v>
      </c>
      <c r="V468" s="107">
        <v>0</v>
      </c>
      <c r="W468" s="107">
        <v>0</v>
      </c>
      <c r="X468" s="108"/>
      <c r="Y468" s="108"/>
      <c r="Z468" s="109">
        <v>0</v>
      </c>
      <c r="AA468" s="110">
        <v>0</v>
      </c>
      <c r="AB468" s="107"/>
      <c r="AC468" s="106"/>
      <c r="AD468" s="180"/>
      <c r="AE468" s="111">
        <v>0</v>
      </c>
      <c r="AF468" s="186">
        <v>0</v>
      </c>
      <c r="AG468" s="113"/>
      <c r="AH468" s="114"/>
      <c r="AI468" s="114"/>
      <c r="AJ468" s="114"/>
      <c r="AK468" s="114"/>
      <c r="AL468" s="114"/>
      <c r="AM468" s="114"/>
      <c r="AN468" s="114"/>
      <c r="AO468" s="114"/>
      <c r="AP468" s="114"/>
      <c r="AQ468" s="114"/>
      <c r="AR468" s="114"/>
      <c r="AS468" s="114"/>
      <c r="AT468" s="114"/>
      <c r="AU468" s="114"/>
      <c r="AV468" s="114"/>
      <c r="AW468" s="114"/>
      <c r="AX468" s="114"/>
      <c r="AY468" s="114"/>
      <c r="AZ468" s="114"/>
      <c r="BA468" s="114"/>
      <c r="BB468" s="114"/>
      <c r="BC468" s="114"/>
      <c r="BD468" s="114"/>
      <c r="BE468" s="114"/>
      <c r="BF468" s="114"/>
      <c r="BG468" s="114"/>
      <c r="BH468" s="114"/>
      <c r="BI468" s="114"/>
      <c r="BJ468" s="114"/>
      <c r="BK468" s="114"/>
      <c r="BL468" s="114"/>
      <c r="BM468" s="114"/>
      <c r="BN468" s="114"/>
      <c r="BO468" s="114"/>
      <c r="BP468" s="114"/>
      <c r="BQ468" s="114"/>
      <c r="BR468" s="114"/>
      <c r="BS468" s="114"/>
      <c r="BT468" s="114"/>
      <c r="BU468" s="114"/>
      <c r="BV468" s="114"/>
      <c r="BW468" s="114"/>
      <c r="BX468" s="114"/>
      <c r="BY468" s="114"/>
      <c r="BZ468" s="114"/>
      <c r="CA468" s="114"/>
      <c r="CB468" s="114"/>
      <c r="CC468" s="114"/>
      <c r="CD468" s="114"/>
      <c r="CE468" s="114"/>
      <c r="CF468" s="114"/>
      <c r="CG468" s="114"/>
      <c r="CH468" s="114"/>
      <c r="CI468" s="114"/>
      <c r="CJ468" s="114"/>
      <c r="CK468" s="114"/>
      <c r="CL468" s="114"/>
      <c r="CM468" s="114"/>
      <c r="CN468" s="114"/>
      <c r="CO468" s="114"/>
      <c r="CP468" s="114"/>
      <c r="CQ468" s="114"/>
      <c r="CR468" s="114"/>
      <c r="CS468" s="114"/>
      <c r="CT468" s="114"/>
      <c r="CU468" s="114"/>
      <c r="CV468" s="114"/>
      <c r="CW468" s="114"/>
      <c r="CX468" s="114"/>
      <c r="CY468" s="114"/>
      <c r="CZ468" s="114"/>
      <c r="DA468" s="114"/>
      <c r="DB468" s="114"/>
      <c r="DC468" s="114"/>
      <c r="DD468" s="114"/>
      <c r="DE468" s="114"/>
      <c r="DF468" s="114"/>
      <c r="DG468" s="114"/>
      <c r="DH468" s="114"/>
      <c r="DI468" s="114"/>
      <c r="DJ468" s="114"/>
      <c r="DK468" s="114"/>
      <c r="DL468" s="114"/>
      <c r="DM468" s="114"/>
      <c r="DN468" s="114"/>
      <c r="DO468" s="114"/>
      <c r="DP468" s="114"/>
      <c r="DQ468" s="114"/>
    </row>
    <row r="469" spans="1:121" ht="15" customHeight="1" outlineLevel="3" x14ac:dyDescent="0.25">
      <c r="A469" s="101"/>
      <c r="B469" s="101" t="s">
        <v>153</v>
      </c>
      <c r="C469" s="101">
        <v>4</v>
      </c>
      <c r="D469" s="102" t="s">
        <v>372</v>
      </c>
      <c r="E469" s="103"/>
      <c r="F469" s="103"/>
      <c r="G469" s="103"/>
      <c r="H469" s="103" t="s">
        <v>522</v>
      </c>
      <c r="I469" s="120"/>
      <c r="J469" s="120"/>
      <c r="K469" s="120"/>
      <c r="L469" s="120"/>
      <c r="M469" s="120"/>
      <c r="N469" s="120"/>
      <c r="O469" s="194"/>
      <c r="P469" s="185"/>
      <c r="Q469" s="105"/>
      <c r="R469" s="105"/>
      <c r="S469" s="106"/>
      <c r="T469" s="107">
        <v>0</v>
      </c>
      <c r="U469" s="107">
        <v>0</v>
      </c>
      <c r="V469" s="107">
        <v>0</v>
      </c>
      <c r="W469" s="107">
        <v>0</v>
      </c>
      <c r="X469" s="108"/>
      <c r="Y469" s="108"/>
      <c r="Z469" s="109">
        <v>0</v>
      </c>
      <c r="AA469" s="110">
        <v>0</v>
      </c>
      <c r="AB469" s="107"/>
      <c r="AC469" s="106"/>
      <c r="AD469" s="180"/>
      <c r="AE469" s="111">
        <v>0</v>
      </c>
      <c r="AF469" s="186">
        <v>0</v>
      </c>
      <c r="AG469" s="113"/>
      <c r="AH469" s="114"/>
      <c r="AI469" s="114"/>
      <c r="AJ469" s="114"/>
      <c r="AK469" s="114"/>
      <c r="AL469" s="114"/>
      <c r="AM469" s="114"/>
      <c r="AN469" s="114"/>
      <c r="AO469" s="114"/>
      <c r="AP469" s="114"/>
      <c r="AQ469" s="114"/>
      <c r="AR469" s="114"/>
      <c r="AS469" s="114"/>
      <c r="AT469" s="114"/>
      <c r="AU469" s="114"/>
      <c r="AV469" s="114"/>
      <c r="AW469" s="114"/>
      <c r="AX469" s="114"/>
      <c r="AY469" s="114"/>
      <c r="AZ469" s="114"/>
      <c r="BA469" s="114"/>
      <c r="BB469" s="114"/>
      <c r="BC469" s="114"/>
      <c r="BD469" s="114"/>
      <c r="BE469" s="114"/>
      <c r="BF469" s="114"/>
      <c r="BG469" s="114"/>
      <c r="BH469" s="114"/>
      <c r="BI469" s="114"/>
      <c r="BJ469" s="114"/>
      <c r="BK469" s="114"/>
      <c r="BL469" s="114"/>
      <c r="BM469" s="114"/>
      <c r="BN469" s="114"/>
      <c r="BO469" s="114"/>
      <c r="BP469" s="114"/>
      <c r="BQ469" s="114"/>
      <c r="BR469" s="114"/>
      <c r="BS469" s="114"/>
      <c r="BT469" s="114"/>
      <c r="BU469" s="114"/>
      <c r="BV469" s="114"/>
      <c r="BW469" s="114"/>
      <c r="BX469" s="114"/>
      <c r="BY469" s="114"/>
      <c r="BZ469" s="114"/>
      <c r="CA469" s="114"/>
      <c r="CB469" s="114"/>
      <c r="CC469" s="114"/>
      <c r="CD469" s="114"/>
      <c r="CE469" s="114"/>
      <c r="CF469" s="114"/>
      <c r="CG469" s="114"/>
      <c r="CH469" s="114"/>
      <c r="CI469" s="114"/>
      <c r="CJ469" s="114"/>
      <c r="CK469" s="114"/>
      <c r="CL469" s="114"/>
      <c r="CM469" s="114"/>
      <c r="CN469" s="114"/>
      <c r="CO469" s="114"/>
      <c r="CP469" s="114"/>
      <c r="CQ469" s="114"/>
      <c r="CR469" s="114"/>
      <c r="CS469" s="114"/>
      <c r="CT469" s="114"/>
      <c r="CU469" s="114"/>
      <c r="CV469" s="114"/>
      <c r="CW469" s="114"/>
      <c r="CX469" s="114"/>
      <c r="CY469" s="114"/>
      <c r="CZ469" s="114"/>
      <c r="DA469" s="114"/>
      <c r="DB469" s="114"/>
      <c r="DC469" s="114"/>
      <c r="DD469" s="114"/>
      <c r="DE469" s="114"/>
      <c r="DF469" s="114"/>
      <c r="DG469" s="114"/>
      <c r="DH469" s="114"/>
      <c r="DI469" s="114"/>
      <c r="DJ469" s="114"/>
      <c r="DK469" s="114"/>
      <c r="DL469" s="114"/>
      <c r="DM469" s="114"/>
      <c r="DN469" s="114"/>
      <c r="DO469" s="114"/>
      <c r="DP469" s="114"/>
      <c r="DQ469" s="114"/>
    </row>
    <row r="470" spans="1:121" ht="15" customHeight="1" outlineLevel="4" x14ac:dyDescent="0.25">
      <c r="A470" s="101"/>
      <c r="B470" s="101"/>
      <c r="C470" s="101">
        <v>5</v>
      </c>
      <c r="D470" s="102" t="s">
        <v>373</v>
      </c>
      <c r="E470" s="103"/>
      <c r="F470" s="103"/>
      <c r="G470" s="103"/>
      <c r="H470" s="103"/>
      <c r="I470" s="120" t="s">
        <v>525</v>
      </c>
      <c r="J470" s="120"/>
      <c r="K470" s="120"/>
      <c r="L470" s="120"/>
      <c r="M470" s="120"/>
      <c r="N470" s="120"/>
      <c r="O470" s="194"/>
      <c r="P470" s="185"/>
      <c r="Q470" s="105"/>
      <c r="R470" s="105"/>
      <c r="S470" s="106">
        <f>R470-Q470</f>
        <v>0</v>
      </c>
      <c r="T470" s="107">
        <v>0</v>
      </c>
      <c r="U470" s="107">
        <v>0</v>
      </c>
      <c r="V470" s="107">
        <v>0</v>
      </c>
      <c r="W470" s="107">
        <v>0</v>
      </c>
      <c r="X470" s="108"/>
      <c r="Y470" s="108"/>
      <c r="Z470" s="109">
        <v>0</v>
      </c>
      <c r="AA470" s="110">
        <v>0</v>
      </c>
      <c r="AB470" s="107">
        <v>1</v>
      </c>
      <c r="AC470" s="106"/>
      <c r="AD470" s="180"/>
      <c r="AE470" s="111">
        <v>0</v>
      </c>
      <c r="AF470" s="186">
        <v>0</v>
      </c>
      <c r="AG470" s="113"/>
      <c r="AH470" s="114"/>
      <c r="AI470" s="114"/>
      <c r="AJ470" s="114"/>
      <c r="AK470" s="114"/>
      <c r="AL470" s="114"/>
      <c r="AM470" s="114"/>
      <c r="AN470" s="114"/>
      <c r="AO470" s="114"/>
      <c r="AP470" s="114"/>
      <c r="AQ470" s="114"/>
      <c r="AR470" s="114"/>
      <c r="AS470" s="114"/>
      <c r="AT470" s="114"/>
      <c r="AU470" s="114"/>
      <c r="AV470" s="114"/>
      <c r="AW470" s="114"/>
      <c r="AX470" s="114"/>
      <c r="AY470" s="114"/>
      <c r="AZ470" s="114"/>
      <c r="BA470" s="114"/>
      <c r="BB470" s="114"/>
      <c r="BC470" s="114"/>
      <c r="BD470" s="114"/>
      <c r="BE470" s="114"/>
      <c r="BF470" s="114"/>
      <c r="BG470" s="114"/>
      <c r="BH470" s="114"/>
      <c r="BI470" s="114"/>
      <c r="BJ470" s="114"/>
      <c r="BK470" s="114"/>
      <c r="BL470" s="114"/>
      <c r="BM470" s="114"/>
      <c r="BN470" s="114"/>
      <c r="BO470" s="114"/>
      <c r="BP470" s="114"/>
      <c r="BQ470" s="114"/>
      <c r="BR470" s="114"/>
      <c r="BS470" s="114"/>
      <c r="BT470" s="114"/>
      <c r="BU470" s="114"/>
      <c r="BV470" s="114"/>
      <c r="BW470" s="114"/>
      <c r="BX470" s="114"/>
      <c r="BY470" s="114"/>
      <c r="BZ470" s="114"/>
      <c r="CA470" s="114"/>
      <c r="CB470" s="114"/>
      <c r="CC470" s="114"/>
      <c r="CD470" s="114"/>
      <c r="CE470" s="114"/>
      <c r="CF470" s="114"/>
      <c r="CG470" s="114"/>
      <c r="CH470" s="114"/>
      <c r="CI470" s="114"/>
      <c r="CJ470" s="114"/>
      <c r="CK470" s="114"/>
      <c r="CL470" s="114"/>
      <c r="CM470" s="114"/>
      <c r="CN470" s="114"/>
      <c r="CO470" s="114"/>
      <c r="CP470" s="114"/>
      <c r="CQ470" s="114"/>
      <c r="CR470" s="114"/>
      <c r="CS470" s="114"/>
      <c r="CT470" s="114"/>
      <c r="CU470" s="114"/>
      <c r="CV470" s="114"/>
      <c r="CW470" s="114"/>
      <c r="CX470" s="114"/>
      <c r="CY470" s="114"/>
      <c r="CZ470" s="114"/>
      <c r="DA470" s="114"/>
      <c r="DB470" s="114"/>
      <c r="DC470" s="114"/>
      <c r="DD470" s="114"/>
      <c r="DE470" s="114"/>
      <c r="DF470" s="114"/>
      <c r="DG470" s="114"/>
      <c r="DH470" s="114"/>
      <c r="DI470" s="114"/>
      <c r="DJ470" s="114"/>
      <c r="DK470" s="114"/>
      <c r="DL470" s="114"/>
      <c r="DM470" s="114"/>
      <c r="DN470" s="114"/>
      <c r="DO470" s="114"/>
      <c r="DP470" s="114"/>
      <c r="DQ470" s="114"/>
    </row>
    <row r="471" spans="1:121" ht="15" customHeight="1" outlineLevel="4" x14ac:dyDescent="0.25">
      <c r="A471" s="101"/>
      <c r="B471" s="101"/>
      <c r="C471" s="101">
        <v>5</v>
      </c>
      <c r="D471" s="102" t="s">
        <v>375</v>
      </c>
      <c r="E471" s="103"/>
      <c r="F471" s="103"/>
      <c r="G471" s="103"/>
      <c r="H471" s="103"/>
      <c r="I471" s="120" t="s">
        <v>374</v>
      </c>
      <c r="J471" s="120"/>
      <c r="K471" s="120"/>
      <c r="L471" s="120"/>
      <c r="M471" s="120"/>
      <c r="N471" s="120"/>
      <c r="O471" s="194"/>
      <c r="P471" s="185"/>
      <c r="Q471" s="105"/>
      <c r="R471" s="105"/>
      <c r="S471" s="106">
        <f>R471-Q471</f>
        <v>0</v>
      </c>
      <c r="T471" s="107">
        <v>0</v>
      </c>
      <c r="U471" s="107">
        <v>0</v>
      </c>
      <c r="V471" s="107">
        <v>0</v>
      </c>
      <c r="W471" s="107">
        <v>0</v>
      </c>
      <c r="X471" s="108"/>
      <c r="Y471" s="108"/>
      <c r="Z471" s="109">
        <v>0</v>
      </c>
      <c r="AA471" s="110">
        <v>0</v>
      </c>
      <c r="AB471" s="107">
        <v>1</v>
      </c>
      <c r="AC471" s="106"/>
      <c r="AD471" s="180"/>
      <c r="AE471" s="111">
        <v>0</v>
      </c>
      <c r="AF471" s="186">
        <v>0</v>
      </c>
      <c r="AG471" s="113"/>
      <c r="AH471" s="114"/>
      <c r="AI471" s="114"/>
      <c r="AJ471" s="114"/>
      <c r="AK471" s="114"/>
      <c r="AL471" s="114"/>
      <c r="AM471" s="114"/>
      <c r="AN471" s="114"/>
      <c r="AO471" s="114"/>
      <c r="AP471" s="114"/>
      <c r="AQ471" s="114"/>
      <c r="AR471" s="114"/>
      <c r="AS471" s="114"/>
      <c r="AT471" s="114"/>
      <c r="AU471" s="114"/>
      <c r="AV471" s="114"/>
      <c r="AW471" s="114"/>
      <c r="AX471" s="114"/>
      <c r="AY471" s="114"/>
      <c r="AZ471" s="114"/>
      <c r="BA471" s="114"/>
      <c r="BB471" s="114"/>
      <c r="BC471" s="114"/>
      <c r="BD471" s="114"/>
      <c r="BE471" s="114"/>
      <c r="BF471" s="114"/>
      <c r="BG471" s="114"/>
      <c r="BH471" s="114"/>
      <c r="BI471" s="114"/>
      <c r="BJ471" s="114"/>
      <c r="BK471" s="114"/>
      <c r="BL471" s="114"/>
      <c r="BM471" s="114"/>
      <c r="BN471" s="114"/>
      <c r="BO471" s="114"/>
      <c r="BP471" s="114"/>
      <c r="BQ471" s="114"/>
      <c r="BR471" s="114"/>
      <c r="BS471" s="114"/>
      <c r="BT471" s="114"/>
      <c r="BU471" s="114"/>
      <c r="BV471" s="114"/>
      <c r="BW471" s="114"/>
      <c r="BX471" s="114"/>
      <c r="BY471" s="114"/>
      <c r="BZ471" s="114"/>
      <c r="CA471" s="114"/>
      <c r="CB471" s="114"/>
      <c r="CC471" s="114"/>
      <c r="CD471" s="114"/>
      <c r="CE471" s="114"/>
      <c r="CF471" s="114"/>
      <c r="CG471" s="114"/>
      <c r="CH471" s="114"/>
      <c r="CI471" s="114"/>
      <c r="CJ471" s="114"/>
      <c r="CK471" s="114"/>
      <c r="CL471" s="114"/>
      <c r="CM471" s="114"/>
      <c r="CN471" s="114"/>
      <c r="CO471" s="114"/>
      <c r="CP471" s="114"/>
      <c r="CQ471" s="114"/>
      <c r="CR471" s="114"/>
      <c r="CS471" s="114"/>
      <c r="CT471" s="114"/>
      <c r="CU471" s="114"/>
      <c r="CV471" s="114"/>
      <c r="CW471" s="114"/>
      <c r="CX471" s="114"/>
      <c r="CY471" s="114"/>
      <c r="CZ471" s="114"/>
      <c r="DA471" s="114"/>
      <c r="DB471" s="114"/>
      <c r="DC471" s="114"/>
      <c r="DD471" s="114"/>
      <c r="DE471" s="114"/>
      <c r="DF471" s="114"/>
      <c r="DG471" s="114"/>
      <c r="DH471" s="114"/>
      <c r="DI471" s="114"/>
      <c r="DJ471" s="114"/>
      <c r="DK471" s="114"/>
      <c r="DL471" s="114"/>
      <c r="DM471" s="114"/>
      <c r="DN471" s="114"/>
      <c r="DO471" s="114"/>
      <c r="DP471" s="114"/>
      <c r="DQ471" s="114"/>
    </row>
    <row r="472" spans="1:121" ht="15" customHeight="1" outlineLevel="4" x14ac:dyDescent="0.25">
      <c r="A472" s="101"/>
      <c r="B472" s="101"/>
      <c r="C472" s="101">
        <v>5</v>
      </c>
      <c r="D472" s="102" t="s">
        <v>377</v>
      </c>
      <c r="E472" s="103"/>
      <c r="F472" s="103"/>
      <c r="G472" s="103"/>
      <c r="H472" s="103"/>
      <c r="I472" s="120" t="s">
        <v>376</v>
      </c>
      <c r="J472" s="120"/>
      <c r="K472" s="120"/>
      <c r="L472" s="120"/>
      <c r="M472" s="120"/>
      <c r="N472" s="120"/>
      <c r="O472" s="194"/>
      <c r="P472" s="185"/>
      <c r="Q472" s="105"/>
      <c r="R472" s="105"/>
      <c r="S472" s="106">
        <f>R472-Q472</f>
        <v>0</v>
      </c>
      <c r="T472" s="107">
        <v>0</v>
      </c>
      <c r="U472" s="107">
        <v>0</v>
      </c>
      <c r="V472" s="107">
        <v>0</v>
      </c>
      <c r="W472" s="107">
        <v>0</v>
      </c>
      <c r="X472" s="108"/>
      <c r="Y472" s="108"/>
      <c r="Z472" s="109">
        <v>0</v>
      </c>
      <c r="AA472" s="110">
        <v>0</v>
      </c>
      <c r="AB472" s="107">
        <v>1</v>
      </c>
      <c r="AC472" s="106"/>
      <c r="AD472" s="180"/>
      <c r="AE472" s="111">
        <v>0</v>
      </c>
      <c r="AF472" s="186">
        <v>0</v>
      </c>
      <c r="AG472" s="113"/>
      <c r="AH472" s="114"/>
      <c r="AI472" s="114"/>
      <c r="AJ472" s="114"/>
      <c r="AK472" s="114"/>
      <c r="AL472" s="114"/>
      <c r="AM472" s="114"/>
      <c r="AN472" s="114"/>
      <c r="AO472" s="114"/>
      <c r="AP472" s="114"/>
      <c r="AQ472" s="114"/>
      <c r="AR472" s="114"/>
      <c r="AS472" s="114"/>
      <c r="AT472" s="114"/>
      <c r="AU472" s="114"/>
      <c r="AV472" s="114"/>
      <c r="AW472" s="114"/>
      <c r="AX472" s="114"/>
      <c r="AY472" s="114"/>
      <c r="AZ472" s="114"/>
      <c r="BA472" s="114"/>
      <c r="BB472" s="114"/>
      <c r="BC472" s="114"/>
      <c r="BD472" s="114"/>
      <c r="BE472" s="114"/>
      <c r="BF472" s="114"/>
      <c r="BG472" s="114"/>
      <c r="BH472" s="114"/>
      <c r="BI472" s="114"/>
      <c r="BJ472" s="114"/>
      <c r="BK472" s="114"/>
      <c r="BL472" s="114"/>
      <c r="BM472" s="114"/>
      <c r="BN472" s="114"/>
      <c r="BO472" s="114"/>
      <c r="BP472" s="114"/>
      <c r="BQ472" s="114"/>
      <c r="BR472" s="114"/>
      <c r="BS472" s="114"/>
      <c r="BT472" s="114"/>
      <c r="BU472" s="114"/>
      <c r="BV472" s="114"/>
      <c r="BW472" s="114"/>
      <c r="BX472" s="114"/>
      <c r="BY472" s="114"/>
      <c r="BZ472" s="114"/>
      <c r="CA472" s="114"/>
      <c r="CB472" s="114"/>
      <c r="CC472" s="114"/>
      <c r="CD472" s="114"/>
      <c r="CE472" s="114"/>
      <c r="CF472" s="114"/>
      <c r="CG472" s="114"/>
      <c r="CH472" s="114"/>
      <c r="CI472" s="114"/>
      <c r="CJ472" s="114"/>
      <c r="CK472" s="114"/>
      <c r="CL472" s="114"/>
      <c r="CM472" s="114"/>
      <c r="CN472" s="114"/>
      <c r="CO472" s="114"/>
      <c r="CP472" s="114"/>
      <c r="CQ472" s="114"/>
      <c r="CR472" s="114"/>
      <c r="CS472" s="114"/>
      <c r="CT472" s="114"/>
      <c r="CU472" s="114"/>
      <c r="CV472" s="114"/>
      <c r="CW472" s="114"/>
      <c r="CX472" s="114"/>
      <c r="CY472" s="114"/>
      <c r="CZ472" s="114"/>
      <c r="DA472" s="114"/>
      <c r="DB472" s="114"/>
      <c r="DC472" s="114"/>
      <c r="DD472" s="114"/>
      <c r="DE472" s="114"/>
      <c r="DF472" s="114"/>
      <c r="DG472" s="114"/>
      <c r="DH472" s="114"/>
      <c r="DI472" s="114"/>
      <c r="DJ472" s="114"/>
      <c r="DK472" s="114"/>
      <c r="DL472" s="114"/>
      <c r="DM472" s="114"/>
      <c r="DN472" s="114"/>
      <c r="DO472" s="114"/>
      <c r="DP472" s="114"/>
      <c r="DQ472" s="114"/>
    </row>
    <row r="473" spans="1:121" ht="15" customHeight="1" outlineLevel="4" x14ac:dyDescent="0.25">
      <c r="A473" s="101"/>
      <c r="B473" s="101"/>
      <c r="C473" s="101">
        <v>5</v>
      </c>
      <c r="D473" s="102" t="s">
        <v>531</v>
      </c>
      <c r="E473" s="103"/>
      <c r="F473" s="103"/>
      <c r="G473" s="103"/>
      <c r="H473" s="103"/>
      <c r="I473" s="120" t="s">
        <v>378</v>
      </c>
      <c r="J473" s="120"/>
      <c r="K473" s="120"/>
      <c r="L473" s="120"/>
      <c r="M473" s="120"/>
      <c r="N473" s="120"/>
      <c r="O473" s="194"/>
      <c r="P473" s="185"/>
      <c r="Q473" s="105"/>
      <c r="R473" s="105"/>
      <c r="S473" s="106">
        <f>R473-Q473</f>
        <v>0</v>
      </c>
      <c r="T473" s="107">
        <v>0</v>
      </c>
      <c r="U473" s="107">
        <v>0</v>
      </c>
      <c r="V473" s="107">
        <v>0</v>
      </c>
      <c r="W473" s="107">
        <v>0</v>
      </c>
      <c r="X473" s="108"/>
      <c r="Y473" s="108"/>
      <c r="Z473" s="109">
        <v>0</v>
      </c>
      <c r="AA473" s="110">
        <v>0</v>
      </c>
      <c r="AB473" s="107">
        <v>1</v>
      </c>
      <c r="AC473" s="106"/>
      <c r="AD473" s="180"/>
      <c r="AE473" s="111">
        <v>0</v>
      </c>
      <c r="AF473" s="186">
        <v>0</v>
      </c>
      <c r="AG473" s="113"/>
      <c r="AH473" s="114"/>
      <c r="AI473" s="114"/>
      <c r="AJ473" s="114"/>
      <c r="AK473" s="114"/>
      <c r="AL473" s="114"/>
      <c r="AM473" s="114"/>
      <c r="AN473" s="114"/>
      <c r="AO473" s="114"/>
      <c r="AP473" s="114"/>
      <c r="AQ473" s="114"/>
      <c r="AR473" s="114"/>
      <c r="AS473" s="114"/>
      <c r="AT473" s="114"/>
      <c r="AU473" s="114"/>
      <c r="AV473" s="114"/>
      <c r="AW473" s="114"/>
      <c r="AX473" s="114"/>
      <c r="AY473" s="114"/>
      <c r="AZ473" s="114"/>
      <c r="BA473" s="114"/>
      <c r="BB473" s="114"/>
      <c r="BC473" s="114"/>
      <c r="BD473" s="114"/>
      <c r="BE473" s="114"/>
      <c r="BF473" s="114"/>
      <c r="BG473" s="114"/>
      <c r="BH473" s="114"/>
      <c r="BI473" s="114"/>
      <c r="BJ473" s="114"/>
      <c r="BK473" s="114"/>
      <c r="BL473" s="114"/>
      <c r="BM473" s="114"/>
      <c r="BN473" s="114"/>
      <c r="BO473" s="114"/>
      <c r="BP473" s="114"/>
      <c r="BQ473" s="114"/>
      <c r="BR473" s="114"/>
      <c r="BS473" s="114"/>
      <c r="BT473" s="114"/>
      <c r="BU473" s="114"/>
      <c r="BV473" s="114"/>
      <c r="BW473" s="114"/>
      <c r="BX473" s="114"/>
      <c r="BY473" s="114"/>
      <c r="BZ473" s="114"/>
      <c r="CA473" s="114"/>
      <c r="CB473" s="114"/>
      <c r="CC473" s="114"/>
      <c r="CD473" s="114"/>
      <c r="CE473" s="114"/>
      <c r="CF473" s="114"/>
      <c r="CG473" s="114"/>
      <c r="CH473" s="114"/>
      <c r="CI473" s="114"/>
      <c r="CJ473" s="114"/>
      <c r="CK473" s="114"/>
      <c r="CL473" s="114"/>
      <c r="CM473" s="114"/>
      <c r="CN473" s="114"/>
      <c r="CO473" s="114"/>
      <c r="CP473" s="114"/>
      <c r="CQ473" s="114"/>
      <c r="CR473" s="114"/>
      <c r="CS473" s="114"/>
      <c r="CT473" s="114"/>
      <c r="CU473" s="114"/>
      <c r="CV473" s="114"/>
      <c r="CW473" s="114"/>
      <c r="CX473" s="114"/>
      <c r="CY473" s="114"/>
      <c r="CZ473" s="114"/>
      <c r="DA473" s="114"/>
      <c r="DB473" s="114"/>
      <c r="DC473" s="114"/>
      <c r="DD473" s="114"/>
      <c r="DE473" s="114"/>
      <c r="DF473" s="114"/>
      <c r="DG473" s="114"/>
      <c r="DH473" s="114"/>
      <c r="DI473" s="114"/>
      <c r="DJ473" s="114"/>
      <c r="DK473" s="114"/>
      <c r="DL473" s="114"/>
      <c r="DM473" s="114"/>
      <c r="DN473" s="114"/>
      <c r="DO473" s="114"/>
      <c r="DP473" s="114"/>
      <c r="DQ473" s="114"/>
    </row>
    <row r="474" spans="1:121" ht="15" customHeight="1" outlineLevel="3" x14ac:dyDescent="0.25">
      <c r="A474" s="101"/>
      <c r="B474" s="101" t="s">
        <v>153</v>
      </c>
      <c r="C474" s="101">
        <v>4</v>
      </c>
      <c r="D474" s="102" t="s">
        <v>532</v>
      </c>
      <c r="E474" s="103"/>
      <c r="F474" s="103"/>
      <c r="G474" s="103"/>
      <c r="H474" s="103" t="s">
        <v>533</v>
      </c>
      <c r="I474" s="120"/>
      <c r="J474" s="120"/>
      <c r="K474" s="120"/>
      <c r="L474" s="120"/>
      <c r="M474" s="120"/>
      <c r="N474" s="120"/>
      <c r="O474" s="194"/>
      <c r="P474" s="185"/>
      <c r="Q474" s="105"/>
      <c r="R474" s="105"/>
      <c r="S474" s="106"/>
      <c r="T474" s="107">
        <v>0</v>
      </c>
      <c r="U474" s="107">
        <v>0</v>
      </c>
      <c r="V474" s="107">
        <v>0</v>
      </c>
      <c r="W474" s="107">
        <v>0</v>
      </c>
      <c r="X474" s="108"/>
      <c r="Y474" s="108"/>
      <c r="Z474" s="109">
        <v>0</v>
      </c>
      <c r="AA474" s="110">
        <v>0</v>
      </c>
      <c r="AB474" s="107"/>
      <c r="AC474" s="106"/>
      <c r="AD474" s="180"/>
      <c r="AE474" s="111">
        <v>0</v>
      </c>
      <c r="AF474" s="186">
        <v>0</v>
      </c>
      <c r="AG474" s="113"/>
      <c r="AH474" s="114"/>
      <c r="AI474" s="114"/>
      <c r="AJ474" s="114"/>
      <c r="AK474" s="114"/>
      <c r="AL474" s="114"/>
      <c r="AM474" s="114"/>
      <c r="AN474" s="114"/>
      <c r="AO474" s="114"/>
      <c r="AP474" s="114"/>
      <c r="AQ474" s="114"/>
      <c r="AR474" s="114"/>
      <c r="AS474" s="114"/>
      <c r="AT474" s="114"/>
      <c r="AU474" s="114"/>
      <c r="AV474" s="114"/>
      <c r="AW474" s="114"/>
      <c r="AX474" s="114"/>
      <c r="AY474" s="114"/>
      <c r="AZ474" s="114"/>
      <c r="BA474" s="114"/>
      <c r="BB474" s="114"/>
      <c r="BC474" s="114"/>
      <c r="BD474" s="114"/>
      <c r="BE474" s="114"/>
      <c r="BF474" s="114"/>
      <c r="BG474" s="114"/>
      <c r="BH474" s="114"/>
      <c r="BI474" s="114"/>
      <c r="BJ474" s="114"/>
      <c r="BK474" s="114"/>
      <c r="BL474" s="114"/>
      <c r="BM474" s="114"/>
      <c r="BN474" s="114"/>
      <c r="BO474" s="114"/>
      <c r="BP474" s="114"/>
      <c r="BQ474" s="114"/>
      <c r="BR474" s="114"/>
      <c r="BS474" s="114"/>
      <c r="BT474" s="114"/>
      <c r="BU474" s="114"/>
      <c r="BV474" s="114"/>
      <c r="BW474" s="114"/>
      <c r="BX474" s="114"/>
      <c r="BY474" s="114"/>
      <c r="BZ474" s="114"/>
      <c r="CA474" s="114"/>
      <c r="CB474" s="114"/>
      <c r="CC474" s="114"/>
      <c r="CD474" s="114"/>
      <c r="CE474" s="114"/>
      <c r="CF474" s="114"/>
      <c r="CG474" s="114"/>
      <c r="CH474" s="114"/>
      <c r="CI474" s="114"/>
      <c r="CJ474" s="114"/>
      <c r="CK474" s="114"/>
      <c r="CL474" s="114"/>
      <c r="CM474" s="114"/>
      <c r="CN474" s="114"/>
      <c r="CO474" s="114"/>
      <c r="CP474" s="114"/>
      <c r="CQ474" s="114"/>
      <c r="CR474" s="114"/>
      <c r="CS474" s="114"/>
      <c r="CT474" s="114"/>
      <c r="CU474" s="114"/>
      <c r="CV474" s="114"/>
      <c r="CW474" s="114"/>
      <c r="CX474" s="114"/>
      <c r="CY474" s="114"/>
      <c r="CZ474" s="114"/>
      <c r="DA474" s="114"/>
      <c r="DB474" s="114"/>
      <c r="DC474" s="114"/>
      <c r="DD474" s="114"/>
      <c r="DE474" s="114"/>
      <c r="DF474" s="114"/>
      <c r="DG474" s="114"/>
      <c r="DH474" s="114"/>
      <c r="DI474" s="114"/>
      <c r="DJ474" s="114"/>
      <c r="DK474" s="114"/>
      <c r="DL474" s="114"/>
      <c r="DM474" s="114"/>
      <c r="DN474" s="114"/>
      <c r="DO474" s="114"/>
      <c r="DP474" s="114"/>
      <c r="DQ474" s="114"/>
    </row>
    <row r="475" spans="1:121" ht="15" customHeight="1" outlineLevel="4" x14ac:dyDescent="0.25">
      <c r="A475" s="101"/>
      <c r="B475" s="101"/>
      <c r="C475" s="101">
        <v>5</v>
      </c>
      <c r="D475" s="102" t="s">
        <v>534</v>
      </c>
      <c r="E475" s="103"/>
      <c r="F475" s="103"/>
      <c r="G475" s="103"/>
      <c r="H475" s="103"/>
      <c r="I475" s="120" t="s">
        <v>535</v>
      </c>
      <c r="J475" s="120"/>
      <c r="K475" s="120"/>
      <c r="L475" s="120"/>
      <c r="M475" s="120"/>
      <c r="N475" s="120"/>
      <c r="O475" s="194"/>
      <c r="P475" s="185"/>
      <c r="Q475" s="105"/>
      <c r="R475" s="105"/>
      <c r="S475" s="106">
        <f>R475-Q475</f>
        <v>0</v>
      </c>
      <c r="T475" s="107">
        <v>0</v>
      </c>
      <c r="U475" s="107">
        <v>0</v>
      </c>
      <c r="V475" s="107">
        <v>0</v>
      </c>
      <c r="W475" s="107">
        <v>0</v>
      </c>
      <c r="X475" s="108"/>
      <c r="Y475" s="108"/>
      <c r="Z475" s="109">
        <v>0</v>
      </c>
      <c r="AA475" s="110">
        <v>0</v>
      </c>
      <c r="AB475" s="107">
        <v>1</v>
      </c>
      <c r="AC475" s="106"/>
      <c r="AD475" s="180"/>
      <c r="AE475" s="111">
        <v>0</v>
      </c>
      <c r="AF475" s="186">
        <v>0</v>
      </c>
      <c r="AG475" s="113"/>
      <c r="AH475" s="114"/>
      <c r="AI475" s="114"/>
      <c r="AJ475" s="114"/>
      <c r="AK475" s="114"/>
      <c r="AL475" s="114"/>
      <c r="AM475" s="114"/>
      <c r="AN475" s="114"/>
      <c r="AO475" s="114"/>
      <c r="AP475" s="114"/>
      <c r="AQ475" s="114"/>
      <c r="AR475" s="114"/>
      <c r="AS475" s="114"/>
      <c r="AT475" s="114"/>
      <c r="AU475" s="114"/>
      <c r="AV475" s="114"/>
      <c r="AW475" s="114"/>
      <c r="AX475" s="114"/>
      <c r="AY475" s="114"/>
      <c r="AZ475" s="114"/>
      <c r="BA475" s="114"/>
      <c r="BB475" s="114"/>
      <c r="BC475" s="114"/>
      <c r="BD475" s="114"/>
      <c r="BE475" s="114"/>
      <c r="BF475" s="114"/>
      <c r="BG475" s="114"/>
      <c r="BH475" s="114"/>
      <c r="BI475" s="114"/>
      <c r="BJ475" s="114"/>
      <c r="BK475" s="114"/>
      <c r="BL475" s="114"/>
      <c r="BM475" s="114"/>
      <c r="BN475" s="114"/>
      <c r="BO475" s="114"/>
      <c r="BP475" s="114"/>
      <c r="BQ475" s="114"/>
      <c r="BR475" s="114"/>
      <c r="BS475" s="114"/>
      <c r="BT475" s="114"/>
      <c r="BU475" s="114"/>
      <c r="BV475" s="114"/>
      <c r="BW475" s="114"/>
      <c r="BX475" s="114"/>
      <c r="BY475" s="114"/>
      <c r="BZ475" s="114"/>
      <c r="CA475" s="114"/>
      <c r="CB475" s="114"/>
      <c r="CC475" s="114"/>
      <c r="CD475" s="114"/>
      <c r="CE475" s="114"/>
      <c r="CF475" s="114"/>
      <c r="CG475" s="114"/>
      <c r="CH475" s="114"/>
      <c r="CI475" s="114"/>
      <c r="CJ475" s="114"/>
      <c r="CK475" s="114"/>
      <c r="CL475" s="114"/>
      <c r="CM475" s="114"/>
      <c r="CN475" s="114"/>
      <c r="CO475" s="114"/>
      <c r="CP475" s="114"/>
      <c r="CQ475" s="114"/>
      <c r="CR475" s="114"/>
      <c r="CS475" s="114"/>
      <c r="CT475" s="114"/>
      <c r="CU475" s="114"/>
      <c r="CV475" s="114"/>
      <c r="CW475" s="114"/>
      <c r="CX475" s="114"/>
      <c r="CY475" s="114"/>
      <c r="CZ475" s="114"/>
      <c r="DA475" s="114"/>
      <c r="DB475" s="114"/>
      <c r="DC475" s="114"/>
      <c r="DD475" s="114"/>
      <c r="DE475" s="114"/>
      <c r="DF475" s="114"/>
      <c r="DG475" s="114"/>
      <c r="DH475" s="114"/>
      <c r="DI475" s="114"/>
      <c r="DJ475" s="114"/>
      <c r="DK475" s="114"/>
      <c r="DL475" s="114"/>
      <c r="DM475" s="114"/>
      <c r="DN475" s="114"/>
      <c r="DO475" s="114"/>
      <c r="DP475" s="114"/>
      <c r="DQ475" s="114"/>
    </row>
    <row r="476" spans="1:121" ht="15" customHeight="1" x14ac:dyDescent="0.25">
      <c r="A476" s="101"/>
      <c r="B476" s="101" t="s">
        <v>153</v>
      </c>
      <c r="C476" s="101">
        <v>1</v>
      </c>
      <c r="D476" s="102" t="s">
        <v>379</v>
      </c>
      <c r="E476" s="103" t="s">
        <v>380</v>
      </c>
      <c r="F476" s="103"/>
      <c r="G476" s="103"/>
      <c r="H476" s="103"/>
      <c r="I476" s="103"/>
      <c r="J476" s="103"/>
      <c r="K476" s="103"/>
      <c r="L476" s="103"/>
      <c r="M476" s="103"/>
      <c r="N476" s="103"/>
      <c r="O476" s="193"/>
      <c r="P476" s="104"/>
      <c r="Q476" s="105">
        <v>45383</v>
      </c>
      <c r="R476" s="105">
        <v>45565</v>
      </c>
      <c r="S476" s="106"/>
      <c r="T476" s="107">
        <v>170</v>
      </c>
      <c r="U476" s="107">
        <v>0</v>
      </c>
      <c r="V476" s="107">
        <v>183</v>
      </c>
      <c r="W476" s="107">
        <v>0</v>
      </c>
      <c r="X476" s="108"/>
      <c r="Y476" s="108"/>
      <c r="Z476" s="109">
        <v>0</v>
      </c>
      <c r="AA476" s="110">
        <v>0</v>
      </c>
      <c r="AB476" s="107"/>
      <c r="AC476" s="106"/>
      <c r="AD476" s="180"/>
      <c r="AE476" s="111">
        <v>0</v>
      </c>
      <c r="AF476" s="122">
        <v>0</v>
      </c>
      <c r="AG476" s="113"/>
      <c r="AH476" s="114"/>
      <c r="AI476" s="114"/>
      <c r="AJ476" s="114"/>
      <c r="AK476" s="114"/>
      <c r="AL476" s="114"/>
      <c r="AM476" s="114"/>
      <c r="AN476" s="114"/>
      <c r="AO476" s="114"/>
      <c r="AP476" s="114"/>
      <c r="AQ476" s="114"/>
      <c r="AR476" s="114"/>
      <c r="AS476" s="114"/>
      <c r="AT476" s="114"/>
      <c r="AU476" s="114"/>
      <c r="AV476" s="114"/>
      <c r="AW476" s="114"/>
      <c r="AX476" s="114"/>
      <c r="AY476" s="114"/>
      <c r="AZ476" s="114"/>
      <c r="BA476" s="114"/>
      <c r="BB476" s="114"/>
      <c r="BC476" s="114"/>
      <c r="BD476" s="114"/>
      <c r="BE476" s="114"/>
      <c r="BF476" s="114"/>
      <c r="BG476" s="114"/>
      <c r="BH476" s="114"/>
      <c r="BI476" s="114"/>
      <c r="BJ476" s="114"/>
      <c r="BK476" s="114"/>
      <c r="BL476" s="114"/>
      <c r="BM476" s="114"/>
      <c r="BN476" s="114"/>
      <c r="BO476" s="114"/>
      <c r="BP476" s="114"/>
      <c r="BQ476" s="114"/>
      <c r="BR476" s="114"/>
      <c r="BS476" s="114"/>
      <c r="BT476" s="114"/>
      <c r="BU476" s="114"/>
      <c r="BV476" s="114"/>
      <c r="BW476" s="114"/>
      <c r="BX476" s="114"/>
      <c r="BY476" s="114"/>
      <c r="BZ476" s="114"/>
      <c r="CA476" s="114"/>
      <c r="CB476" s="114"/>
      <c r="CC476" s="114"/>
      <c r="CD476" s="114"/>
      <c r="CE476" s="114"/>
      <c r="CF476" s="114"/>
      <c r="CG476" s="114"/>
      <c r="CH476" s="114"/>
      <c r="CI476" s="114"/>
      <c r="CJ476" s="114"/>
      <c r="CK476" s="114"/>
      <c r="CL476" s="114"/>
      <c r="CM476" s="114"/>
      <c r="CN476" s="114"/>
      <c r="CO476" s="114"/>
      <c r="CP476" s="114" t="str">
        <f>" " &amp; TEXT(AF476,"#0.00%") &amp; " "</f>
        <v xml:space="preserve"> 0.00% </v>
      </c>
      <c r="CQ476" s="114"/>
      <c r="CR476" s="114"/>
      <c r="CS476" s="114"/>
      <c r="CT476" s="114"/>
      <c r="CU476" s="114"/>
      <c r="CV476" s="114"/>
      <c r="CW476" s="114"/>
      <c r="CX476" s="114"/>
      <c r="CY476" s="114"/>
      <c r="CZ476" s="114"/>
      <c r="DA476" s="114"/>
      <c r="DB476" s="114"/>
      <c r="DC476" s="114"/>
      <c r="DD476" s="114"/>
      <c r="DE476" s="114"/>
      <c r="DF476" s="114"/>
      <c r="DG476" s="114"/>
      <c r="DH476" s="114"/>
      <c r="DI476" s="114"/>
      <c r="DJ476" s="114"/>
      <c r="DK476" s="114"/>
      <c r="DL476" s="114"/>
      <c r="DM476" s="114"/>
      <c r="DN476" s="114"/>
      <c r="DO476" s="114"/>
      <c r="DP476" s="114" t="str">
        <f>"  " &amp; "연동Test" &amp; " " &amp; IF(Q476="","",TEXT(Q476,"M/D-")) &amp; IF(R476="","",TEXT(R476,"M/D")) &amp; " "</f>
        <v xml:space="preserve">  연동Test 4/1-9/30 </v>
      </c>
      <c r="DQ476" s="114"/>
    </row>
    <row r="477" spans="1:121" ht="15" customHeight="1" outlineLevel="1" x14ac:dyDescent="0.25">
      <c r="A477" s="101"/>
      <c r="B477" s="101" t="s">
        <v>153</v>
      </c>
      <c r="C477" s="101">
        <v>2</v>
      </c>
      <c r="D477" s="102" t="s">
        <v>381</v>
      </c>
      <c r="E477" s="103"/>
      <c r="F477" s="103" t="s">
        <v>536</v>
      </c>
      <c r="G477" s="103"/>
      <c r="H477" s="103"/>
      <c r="I477" s="103"/>
      <c r="J477" s="103"/>
      <c r="K477" s="103"/>
      <c r="L477" s="103"/>
      <c r="M477" s="103"/>
      <c r="N477" s="103"/>
      <c r="O477" s="193"/>
      <c r="P477" s="104"/>
      <c r="Q477" s="105">
        <v>45383</v>
      </c>
      <c r="R477" s="105">
        <v>45565</v>
      </c>
      <c r="S477" s="106"/>
      <c r="T477" s="107">
        <v>170</v>
      </c>
      <c r="U477" s="107">
        <v>0</v>
      </c>
      <c r="V477" s="107">
        <v>183</v>
      </c>
      <c r="W477" s="107">
        <v>0</v>
      </c>
      <c r="X477" s="108"/>
      <c r="Y477" s="108"/>
      <c r="Z477" s="109">
        <v>0</v>
      </c>
      <c r="AA477" s="110">
        <v>0</v>
      </c>
      <c r="AB477" s="107"/>
      <c r="AC477" s="106"/>
      <c r="AD477" s="180"/>
      <c r="AE477" s="111">
        <v>0</v>
      </c>
      <c r="AF477" s="122">
        <v>0</v>
      </c>
      <c r="AG477" s="113"/>
      <c r="AH477" s="114"/>
      <c r="AI477" s="114"/>
      <c r="AJ477" s="114"/>
      <c r="AK477" s="114"/>
      <c r="AL477" s="114"/>
      <c r="AM477" s="114"/>
      <c r="AN477" s="114"/>
      <c r="AO477" s="114"/>
      <c r="AP477" s="114"/>
      <c r="AQ477" s="114"/>
      <c r="AR477" s="114"/>
      <c r="AS477" s="114"/>
      <c r="AT477" s="114"/>
      <c r="AU477" s="114"/>
      <c r="AV477" s="114"/>
      <c r="AW477" s="114"/>
      <c r="AX477" s="114"/>
      <c r="AY477" s="114"/>
      <c r="AZ477" s="114"/>
      <c r="BA477" s="114"/>
      <c r="BB477" s="114"/>
      <c r="BC477" s="114"/>
      <c r="BD477" s="114"/>
      <c r="BE477" s="114"/>
      <c r="BF477" s="114"/>
      <c r="BG477" s="114"/>
      <c r="BH477" s="114"/>
      <c r="BI477" s="114"/>
      <c r="BJ477" s="114"/>
      <c r="BK477" s="114"/>
      <c r="BL477" s="114"/>
      <c r="BM477" s="114"/>
      <c r="BN477" s="114"/>
      <c r="BO477" s="114"/>
      <c r="BP477" s="114"/>
      <c r="BQ477" s="114"/>
      <c r="BR477" s="114"/>
      <c r="BS477" s="114"/>
      <c r="BT477" s="114"/>
      <c r="BU477" s="114"/>
      <c r="BV477" s="114"/>
      <c r="BW477" s="114"/>
      <c r="BX477" s="114"/>
      <c r="BY477" s="114"/>
      <c r="BZ477" s="114"/>
      <c r="CA477" s="114"/>
      <c r="CB477" s="114"/>
      <c r="CC477" s="114"/>
      <c r="CD477" s="114"/>
      <c r="CE477" s="114"/>
      <c r="CF477" s="114"/>
      <c r="CG477" s="114"/>
      <c r="CH477" s="114"/>
      <c r="CI477" s="114"/>
      <c r="CJ477" s="114"/>
      <c r="CK477" s="114"/>
      <c r="CL477" s="114"/>
      <c r="CM477" s="114"/>
      <c r="CN477" s="114"/>
      <c r="CO477" s="114"/>
      <c r="CP477" s="114" t="str">
        <f>" " &amp; TEXT(AF477,"#0.00%") &amp; " "</f>
        <v xml:space="preserve"> 0.00% </v>
      </c>
      <c r="CQ477" s="114"/>
      <c r="CR477" s="114"/>
      <c r="CS477" s="114"/>
      <c r="CT477" s="114"/>
      <c r="CU477" s="114"/>
      <c r="CV477" s="114"/>
      <c r="CW477" s="114"/>
      <c r="CX477" s="114"/>
      <c r="CY477" s="114"/>
      <c r="CZ477" s="114"/>
      <c r="DA477" s="114"/>
      <c r="DB477" s="114"/>
      <c r="DC477" s="114"/>
      <c r="DD477" s="114"/>
      <c r="DE477" s="114"/>
      <c r="DF477" s="114"/>
      <c r="DG477" s="114"/>
      <c r="DH477" s="114"/>
      <c r="DI477" s="114"/>
      <c r="DJ477" s="114"/>
      <c r="DK477" s="114"/>
      <c r="DL477" s="114"/>
      <c r="DM477" s="114"/>
      <c r="DN477" s="114"/>
      <c r="DO477" s="114"/>
      <c r="DP477" s="114" t="str">
        <f>"  " &amp; "BOSK TN" &amp; " " &amp; IF(Q477="","",TEXT(Q477,"M/D-")) &amp; IF(R477="","",TEXT(R477,"M/D")) &amp; " "</f>
        <v xml:space="preserve">  BOSK TN 4/1-9/30 </v>
      </c>
      <c r="DQ477" s="114"/>
    </row>
    <row r="478" spans="1:121" ht="15" customHeight="1" outlineLevel="2" x14ac:dyDescent="0.25">
      <c r="A478" s="101"/>
      <c r="B478" s="101"/>
      <c r="C478" s="101">
        <v>3</v>
      </c>
      <c r="D478" s="102" t="s">
        <v>382</v>
      </c>
      <c r="E478" s="103"/>
      <c r="F478" s="103"/>
      <c r="G478" s="103" t="s">
        <v>383</v>
      </c>
      <c r="H478" s="103"/>
      <c r="I478" s="103"/>
      <c r="J478" s="103"/>
      <c r="K478" s="103"/>
      <c r="L478" s="103"/>
      <c r="M478" s="103"/>
      <c r="N478" s="103"/>
      <c r="O478" s="193"/>
      <c r="P478" s="104"/>
      <c r="Q478" s="105">
        <v>45383</v>
      </c>
      <c r="R478" s="105">
        <v>45443</v>
      </c>
      <c r="S478" s="106">
        <f>R478-Q478</f>
        <v>60</v>
      </c>
      <c r="T478" s="107">
        <v>61</v>
      </c>
      <c r="U478" s="107">
        <v>0</v>
      </c>
      <c r="V478" s="107">
        <v>61</v>
      </c>
      <c r="W478" s="107">
        <v>0</v>
      </c>
      <c r="X478" s="108"/>
      <c r="Y478" s="108"/>
      <c r="Z478" s="109"/>
      <c r="AA478" s="110">
        <v>0</v>
      </c>
      <c r="AB478" s="107">
        <v>1</v>
      </c>
      <c r="AC478" s="106"/>
      <c r="AD478" s="180"/>
      <c r="AE478" s="111">
        <v>0</v>
      </c>
      <c r="AF478" s="121">
        <v>0</v>
      </c>
      <c r="AG478" s="113"/>
      <c r="AH478" s="114"/>
      <c r="AI478" s="114"/>
      <c r="AJ478" s="114"/>
      <c r="AK478" s="114"/>
      <c r="AL478" s="114"/>
      <c r="AM478" s="114"/>
      <c r="AN478" s="114"/>
      <c r="AO478" s="114"/>
      <c r="AP478" s="114"/>
      <c r="AQ478" s="114"/>
      <c r="AR478" s="114"/>
      <c r="AS478" s="114"/>
      <c r="AT478" s="114"/>
      <c r="AU478" s="114"/>
      <c r="AV478" s="114"/>
      <c r="AW478" s="114"/>
      <c r="AX478" s="114"/>
      <c r="AY478" s="114"/>
      <c r="AZ478" s="114"/>
      <c r="BA478" s="114"/>
      <c r="BB478" s="114"/>
      <c r="BC478" s="114"/>
      <c r="BD478" s="114"/>
      <c r="BE478" s="114"/>
      <c r="BF478" s="114"/>
      <c r="BG478" s="114"/>
      <c r="BH478" s="114"/>
      <c r="BI478" s="114"/>
      <c r="BJ478" s="114"/>
      <c r="BK478" s="114"/>
      <c r="BL478" s="114"/>
      <c r="BM478" s="114"/>
      <c r="BN478" s="114"/>
      <c r="BO478" s="114"/>
      <c r="BP478" s="114"/>
      <c r="BQ478" s="114"/>
      <c r="BR478" s="114"/>
      <c r="BS478" s="114"/>
      <c r="BT478" s="114"/>
      <c r="BU478" s="114"/>
      <c r="BV478" s="114"/>
      <c r="BW478" s="114"/>
      <c r="BX478" s="114"/>
      <c r="BY478" s="114"/>
      <c r="BZ478" s="114"/>
      <c r="CA478" s="114"/>
      <c r="CB478" s="114"/>
      <c r="CC478" s="114"/>
      <c r="CD478" s="114"/>
      <c r="CE478" s="114"/>
      <c r="CF478" s="114"/>
      <c r="CG478" s="114"/>
      <c r="CH478" s="114"/>
      <c r="CI478" s="114"/>
      <c r="CJ478" s="114"/>
      <c r="CK478" s="114"/>
      <c r="CL478" s="114"/>
      <c r="CM478" s="114"/>
      <c r="CN478" s="114"/>
      <c r="CO478" s="114"/>
      <c r="CP478" s="114" t="str">
        <f>" " &amp; TEXT(AF478,"#0.00%") &amp; " "</f>
        <v xml:space="preserve"> 0.00% </v>
      </c>
      <c r="CQ478" s="114"/>
      <c r="CR478" s="114"/>
      <c r="CS478" s="114"/>
      <c r="CT478" s="114"/>
      <c r="CU478" s="114"/>
      <c r="CV478" s="114"/>
      <c r="CW478" s="114"/>
      <c r="CX478" s="114" t="str">
        <f>"      " &amp; "SW 현장설치" &amp; " " &amp; IF(Q478="","",TEXT(Q478,"M/D-")) &amp; IF(R478="","",TEXT(R478,"M/D")) &amp; " "</f>
        <v xml:space="preserve">      SW 현장설치 4/1-5/31 </v>
      </c>
      <c r="CY478" s="114"/>
      <c r="CZ478" s="114"/>
      <c r="DA478" s="114"/>
      <c r="DB478" s="114"/>
      <c r="DC478" s="114"/>
      <c r="DD478" s="114"/>
      <c r="DE478" s="114"/>
      <c r="DF478" s="114"/>
      <c r="DG478" s="114"/>
      <c r="DH478" s="114"/>
      <c r="DI478" s="114"/>
      <c r="DJ478" s="114"/>
      <c r="DK478" s="114"/>
      <c r="DL478" s="114"/>
      <c r="DM478" s="114"/>
      <c r="DN478" s="114"/>
      <c r="DO478" s="114"/>
      <c r="DP478" s="114"/>
      <c r="DQ478" s="114"/>
    </row>
    <row r="479" spans="1:121" ht="15" customHeight="1" outlineLevel="2" x14ac:dyDescent="0.25">
      <c r="A479" s="101"/>
      <c r="B479" s="101"/>
      <c r="C479" s="101">
        <v>3</v>
      </c>
      <c r="D479" s="102" t="s">
        <v>384</v>
      </c>
      <c r="E479" s="103"/>
      <c r="F479" s="103"/>
      <c r="G479" s="103" t="s">
        <v>385</v>
      </c>
      <c r="H479" s="103"/>
      <c r="I479" s="103"/>
      <c r="J479" s="103"/>
      <c r="K479" s="103"/>
      <c r="L479" s="103"/>
      <c r="M479" s="103"/>
      <c r="N479" s="103"/>
      <c r="O479" s="193"/>
      <c r="P479" s="104"/>
      <c r="Q479" s="105">
        <v>45458</v>
      </c>
      <c r="R479" s="105">
        <v>45488</v>
      </c>
      <c r="S479" s="106">
        <f>R479-Q479</f>
        <v>30</v>
      </c>
      <c r="T479" s="107">
        <v>31</v>
      </c>
      <c r="U479" s="107">
        <v>0</v>
      </c>
      <c r="V479" s="107">
        <v>31</v>
      </c>
      <c r="W479" s="107">
        <v>0</v>
      </c>
      <c r="X479" s="108"/>
      <c r="Y479" s="108"/>
      <c r="Z479" s="109"/>
      <c r="AA479" s="110">
        <v>0</v>
      </c>
      <c r="AB479" s="107">
        <v>1</v>
      </c>
      <c r="AC479" s="106"/>
      <c r="AD479" s="180"/>
      <c r="AE479" s="111">
        <v>0</v>
      </c>
      <c r="AF479" s="121">
        <v>0</v>
      </c>
      <c r="AG479" s="113"/>
      <c r="AH479" s="114"/>
      <c r="AI479" s="114"/>
      <c r="AJ479" s="114"/>
      <c r="AK479" s="114"/>
      <c r="AL479" s="114"/>
      <c r="AM479" s="114"/>
      <c r="AN479" s="114"/>
      <c r="AO479" s="114"/>
      <c r="AP479" s="114"/>
      <c r="AQ479" s="114"/>
      <c r="AR479" s="114"/>
      <c r="AS479" s="114"/>
      <c r="AT479" s="114"/>
      <c r="AU479" s="114"/>
      <c r="AV479" s="114"/>
      <c r="AW479" s="114"/>
      <c r="AX479" s="114"/>
      <c r="AY479" s="114"/>
      <c r="AZ479" s="114"/>
      <c r="BA479" s="114"/>
      <c r="BB479" s="114"/>
      <c r="BC479" s="114"/>
      <c r="BD479" s="114"/>
      <c r="BE479" s="114"/>
      <c r="BF479" s="114"/>
      <c r="BG479" s="114"/>
      <c r="BH479" s="114"/>
      <c r="BI479" s="114"/>
      <c r="BJ479" s="114"/>
      <c r="BK479" s="114"/>
      <c r="BL479" s="114"/>
      <c r="BM479" s="114"/>
      <c r="BN479" s="114"/>
      <c r="BO479" s="114"/>
      <c r="BP479" s="114"/>
      <c r="BQ479" s="114"/>
      <c r="BR479" s="114"/>
      <c r="BS479" s="114"/>
      <c r="BT479" s="114"/>
      <c r="BU479" s="114"/>
      <c r="BV479" s="114"/>
      <c r="BW479" s="114"/>
      <c r="BX479" s="114"/>
      <c r="BY479" s="114"/>
      <c r="BZ479" s="114"/>
      <c r="CA479" s="114"/>
      <c r="CB479" s="114"/>
      <c r="CC479" s="114"/>
      <c r="CD479" s="114"/>
      <c r="CE479" s="114"/>
      <c r="CF479" s="114"/>
      <c r="CG479" s="114"/>
      <c r="CH479" s="114"/>
      <c r="CI479" s="114"/>
      <c r="CJ479" s="114"/>
      <c r="CK479" s="114"/>
      <c r="CL479" s="114"/>
      <c r="CM479" s="114"/>
      <c r="CN479" s="114"/>
      <c r="CO479" s="114"/>
      <c r="CP479" s="114"/>
      <c r="CQ479" s="114"/>
      <c r="CR479" s="114"/>
      <c r="CS479" s="114"/>
      <c r="CT479" s="114"/>
      <c r="CU479" s="114"/>
      <c r="CV479" s="114"/>
      <c r="CW479" s="114"/>
      <c r="CX479" s="114"/>
      <c r="CY479" s="114"/>
      <c r="CZ479" s="114" t="str">
        <f>"      " &amp; TEXT(AF479,"#0.00%") &amp; " "</f>
        <v xml:space="preserve">      0.00% </v>
      </c>
      <c r="DA479" s="114"/>
      <c r="DB479" s="114"/>
      <c r="DC479" s="114"/>
      <c r="DD479" s="114"/>
      <c r="DE479" s="114" t="str">
        <f>"  " &amp; "Interface Test" &amp; " " &amp; IF(Q479="","",TEXT(Q479,"M/D-")) &amp; IF(R479="","",TEXT(R479,"M/D")) &amp; " "</f>
        <v xml:space="preserve">  Interface Test 6/15-7/15 </v>
      </c>
      <c r="DF479" s="114"/>
      <c r="DG479" s="114"/>
      <c r="DH479" s="114"/>
      <c r="DI479" s="114"/>
      <c r="DJ479" s="114"/>
      <c r="DK479" s="114"/>
      <c r="DL479" s="114"/>
      <c r="DM479" s="114"/>
      <c r="DN479" s="114"/>
      <c r="DO479" s="114"/>
      <c r="DP479" s="114"/>
      <c r="DQ479" s="114"/>
    </row>
    <row r="480" spans="1:121" ht="15" customHeight="1" outlineLevel="2" x14ac:dyDescent="0.25">
      <c r="A480" s="101"/>
      <c r="B480" s="101"/>
      <c r="C480" s="101">
        <v>3</v>
      </c>
      <c r="D480" s="102" t="s">
        <v>386</v>
      </c>
      <c r="E480" s="103"/>
      <c r="F480" s="103"/>
      <c r="G480" s="103" t="s">
        <v>387</v>
      </c>
      <c r="H480" s="103"/>
      <c r="I480" s="103"/>
      <c r="J480" s="103"/>
      <c r="K480" s="103"/>
      <c r="L480" s="103"/>
      <c r="M480" s="103"/>
      <c r="N480" s="103"/>
      <c r="O480" s="193"/>
      <c r="P480" s="104"/>
      <c r="Q480" s="105">
        <v>45488</v>
      </c>
      <c r="R480" s="105">
        <v>45565</v>
      </c>
      <c r="S480" s="106">
        <f>R480-Q480</f>
        <v>77</v>
      </c>
      <c r="T480" s="107">
        <v>78</v>
      </c>
      <c r="U480" s="107">
        <v>0</v>
      </c>
      <c r="V480" s="107">
        <v>78</v>
      </c>
      <c r="W480" s="107">
        <v>0</v>
      </c>
      <c r="X480" s="108"/>
      <c r="Y480" s="108"/>
      <c r="Z480" s="109"/>
      <c r="AA480" s="110">
        <v>0</v>
      </c>
      <c r="AB480" s="107">
        <v>1</v>
      </c>
      <c r="AC480" s="106"/>
      <c r="AD480" s="180"/>
      <c r="AE480" s="111">
        <v>0</v>
      </c>
      <c r="AF480" s="121">
        <v>0</v>
      </c>
      <c r="AG480" s="113"/>
      <c r="AH480" s="114"/>
      <c r="AI480" s="114"/>
      <c r="AJ480" s="114"/>
      <c r="AK480" s="114"/>
      <c r="AL480" s="114"/>
      <c r="AM480" s="114"/>
      <c r="AN480" s="114"/>
      <c r="AO480" s="114"/>
      <c r="AP480" s="114"/>
      <c r="AQ480" s="114"/>
      <c r="AR480" s="114"/>
      <c r="AS480" s="114"/>
      <c r="AT480" s="114"/>
      <c r="AU480" s="114"/>
      <c r="AV480" s="114"/>
      <c r="AW480" s="114"/>
      <c r="AX480" s="114"/>
      <c r="AY480" s="114"/>
      <c r="AZ480" s="114"/>
      <c r="BA480" s="114"/>
      <c r="BB480" s="114"/>
      <c r="BC480" s="114"/>
      <c r="BD480" s="114"/>
      <c r="BE480" s="114"/>
      <c r="BF480" s="114"/>
      <c r="BG480" s="114"/>
      <c r="BH480" s="114"/>
      <c r="BI480" s="114"/>
      <c r="BJ480" s="114"/>
      <c r="BK480" s="114"/>
      <c r="BL480" s="114"/>
      <c r="BM480" s="114"/>
      <c r="BN480" s="114"/>
      <c r="BO480" s="114"/>
      <c r="BP480" s="114"/>
      <c r="BQ480" s="114"/>
      <c r="BR480" s="114"/>
      <c r="BS480" s="114"/>
      <c r="BT480" s="114"/>
      <c r="BU480" s="114"/>
      <c r="BV480" s="114"/>
      <c r="BW480" s="114"/>
      <c r="BX480" s="114"/>
      <c r="BY480" s="114"/>
      <c r="BZ480" s="114"/>
      <c r="CA480" s="114"/>
      <c r="CB480" s="114"/>
      <c r="CC480" s="114"/>
      <c r="CD480" s="114"/>
      <c r="CE480" s="114"/>
      <c r="CF480" s="114"/>
      <c r="CG480" s="114"/>
      <c r="CH480" s="114"/>
      <c r="CI480" s="114"/>
      <c r="CJ480" s="114"/>
      <c r="CK480" s="114"/>
      <c r="CL480" s="114"/>
      <c r="CM480" s="114"/>
      <c r="CN480" s="114"/>
      <c r="CO480" s="114"/>
      <c r="CP480" s="114"/>
      <c r="CQ480" s="114"/>
      <c r="CR480" s="114"/>
      <c r="CS480" s="114"/>
      <c r="CT480" s="114"/>
      <c r="CU480" s="114"/>
      <c r="CV480" s="114"/>
      <c r="CW480" s="114"/>
      <c r="CX480" s="114"/>
      <c r="CY480" s="114"/>
      <c r="CZ480" s="114"/>
      <c r="DA480" s="114"/>
      <c r="DB480" s="114"/>
      <c r="DC480" s="114"/>
      <c r="DD480" s="114"/>
      <c r="DE480" s="114" t="str">
        <f>" " &amp; TEXT(AF480,"#0.00%") &amp; " "</f>
        <v xml:space="preserve"> 0.00% </v>
      </c>
      <c r="DF480" s="114"/>
      <c r="DG480" s="114"/>
      <c r="DH480" s="114"/>
      <c r="DI480" s="114"/>
      <c r="DJ480" s="114"/>
      <c r="DK480" s="114"/>
      <c r="DL480" s="114"/>
      <c r="DM480" s="114"/>
      <c r="DN480" s="114"/>
      <c r="DO480" s="114"/>
      <c r="DP480" s="114" t="str">
        <f>"  " &amp; "연동 Test 및 사용자운영교육" &amp; " " &amp; IF(Q480="","",TEXT(Q480,"M/D-")) &amp; IF(R480="","",TEXT(R480,"M/D")) &amp; " "</f>
        <v xml:space="preserve">  연동 Test 및 사용자운영교육 7/15-9/30 </v>
      </c>
      <c r="DQ480" s="114"/>
    </row>
    <row r="481" spans="1:121" ht="15" customHeight="1" x14ac:dyDescent="0.25">
      <c r="A481" s="142"/>
      <c r="B481" s="142"/>
      <c r="C481" s="142"/>
      <c r="D481" s="143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95"/>
      <c r="P481" s="145"/>
      <c r="Q481" s="146"/>
      <c r="R481" s="146"/>
      <c r="S481" s="147"/>
      <c r="T481" s="148"/>
      <c r="U481" s="148"/>
      <c r="V481" s="148"/>
      <c r="W481" s="148"/>
      <c r="X481" s="146"/>
      <c r="Y481" s="146"/>
      <c r="Z481" s="149"/>
      <c r="AA481" s="150"/>
      <c r="AB481" s="148"/>
      <c r="AC481" s="147"/>
      <c r="AD481" s="187"/>
      <c r="AE481" s="151"/>
      <c r="AF481" s="152"/>
      <c r="AG481" s="115"/>
      <c r="AH481" s="115"/>
      <c r="AI481" s="115"/>
      <c r="AJ481" s="115"/>
      <c r="AK481" s="115"/>
      <c r="AL481" s="115"/>
      <c r="AM481" s="115"/>
      <c r="AN481" s="115"/>
      <c r="AO481" s="115"/>
      <c r="AP481" s="115"/>
      <c r="AQ481" s="115"/>
      <c r="AR481" s="115"/>
      <c r="AS481" s="115"/>
      <c r="AT481" s="115"/>
      <c r="AU481" s="115"/>
      <c r="AV481" s="115"/>
      <c r="AW481" s="115"/>
      <c r="AX481" s="115"/>
      <c r="AY481" s="115"/>
      <c r="AZ481" s="115"/>
      <c r="BA481" s="115"/>
      <c r="BB481" s="115"/>
      <c r="BC481" s="115"/>
      <c r="BD481" s="115"/>
      <c r="BE481" s="115"/>
      <c r="BF481" s="115"/>
      <c r="BG481" s="115"/>
      <c r="BH481" s="115"/>
      <c r="BI481" s="115"/>
      <c r="BJ481" s="115"/>
      <c r="BK481" s="115"/>
      <c r="BL481" s="115"/>
      <c r="BM481" s="115"/>
      <c r="BN481" s="115"/>
      <c r="BO481" s="115"/>
      <c r="BP481" s="115"/>
      <c r="BQ481" s="115"/>
      <c r="BR481" s="115"/>
      <c r="BS481" s="115"/>
      <c r="BT481" s="115"/>
      <c r="BU481" s="115"/>
      <c r="BV481" s="115"/>
      <c r="BW481" s="115"/>
      <c r="BX481" s="115"/>
      <c r="BY481" s="115"/>
      <c r="BZ481" s="115"/>
      <c r="CA481" s="115"/>
      <c r="CB481" s="115"/>
      <c r="CC481" s="115"/>
      <c r="CD481" s="115"/>
      <c r="CE481" s="115"/>
      <c r="CF481" s="115"/>
      <c r="CG481" s="115"/>
      <c r="CH481" s="115"/>
      <c r="CI481" s="115"/>
      <c r="CJ481" s="115"/>
      <c r="CK481" s="115"/>
      <c r="CL481" s="115"/>
      <c r="CM481" s="115"/>
      <c r="CN481" s="115"/>
      <c r="CO481" s="115"/>
      <c r="CP481" s="115"/>
      <c r="CQ481" s="115"/>
      <c r="CR481" s="115"/>
      <c r="CS481" s="115"/>
      <c r="CT481" s="115"/>
      <c r="CU481" s="115"/>
      <c r="CV481" s="115"/>
      <c r="CW481" s="115"/>
      <c r="CX481" s="115"/>
      <c r="CY481" s="115"/>
      <c r="CZ481" s="115"/>
      <c r="DA481" s="115"/>
      <c r="DB481" s="115"/>
      <c r="DC481" s="115"/>
      <c r="DD481" s="115"/>
      <c r="DE481" s="115"/>
      <c r="DF481" s="115"/>
      <c r="DG481" s="115"/>
      <c r="DH481" s="115"/>
      <c r="DI481" s="115"/>
      <c r="DJ481" s="115"/>
      <c r="DK481" s="115"/>
      <c r="DL481" s="115"/>
      <c r="DM481" s="115"/>
      <c r="DN481" s="115"/>
      <c r="DO481" s="115"/>
      <c r="DP481" s="115"/>
      <c r="DQ481" s="115"/>
    </row>
    <row r="484" spans="1:121" ht="12" customHeight="1" x14ac:dyDescent="0.25">
      <c r="S484" s="106"/>
    </row>
    <row r="485" spans="1:121" ht="12" customHeight="1" x14ac:dyDescent="0.25">
      <c r="S485" s="106"/>
    </row>
    <row r="486" spans="1:121" ht="12" customHeight="1" x14ac:dyDescent="0.25">
      <c r="S486" s="106"/>
    </row>
  </sheetData>
  <sheetProtection formatCells="0" formatColumns="0" formatRows="0" insertColumns="0" insertRows="0" insertHyperlinks="0" deleteColumns="0" deleteRows="0" sort="0" autoFilter="0" pivotTables="0"/>
  <dataConsolidate/>
  <mergeCells count="67">
    <mergeCell ref="D2:F2"/>
    <mergeCell ref="AG2:AJ2"/>
    <mergeCell ref="AK2:AN2"/>
    <mergeCell ref="AO2:AR2"/>
    <mergeCell ref="AS2:AV2"/>
    <mergeCell ref="DM2:DP2"/>
    <mergeCell ref="A3:A4"/>
    <mergeCell ref="B3:B4"/>
    <mergeCell ref="C3:C4"/>
    <mergeCell ref="D3:D4"/>
    <mergeCell ref="E3:N4"/>
    <mergeCell ref="BY2:CB2"/>
    <mergeCell ref="CC2:CF2"/>
    <mergeCell ref="CG2:CJ2"/>
    <mergeCell ref="CK2:CN2"/>
    <mergeCell ref="CO2:CR2"/>
    <mergeCell ref="CS2:CV2"/>
    <mergeCell ref="BA2:BD2"/>
    <mergeCell ref="BE2:BH2"/>
    <mergeCell ref="BI2:BL2"/>
    <mergeCell ref="BM2:BP2"/>
    <mergeCell ref="U3:U4"/>
    <mergeCell ref="CW2:CZ2"/>
    <mergeCell ref="DA2:DD2"/>
    <mergeCell ref="DE2:DH2"/>
    <mergeCell ref="DI2:DL2"/>
    <mergeCell ref="BQ2:BT2"/>
    <mergeCell ref="BU2:BX2"/>
    <mergeCell ref="AW2:AZ2"/>
    <mergeCell ref="AG3:AJ3"/>
    <mergeCell ref="V3:V4"/>
    <mergeCell ref="W3:W4"/>
    <mergeCell ref="X3:X4"/>
    <mergeCell ref="Y3:Y4"/>
    <mergeCell ref="Z3:Z4"/>
    <mergeCell ref="AA3:AA4"/>
    <mergeCell ref="AB3:AB4"/>
    <mergeCell ref="O3:O4"/>
    <mergeCell ref="Q3:Q4"/>
    <mergeCell ref="R3:R4"/>
    <mergeCell ref="S3:S4"/>
    <mergeCell ref="T3:T4"/>
    <mergeCell ref="AC3:AC4"/>
    <mergeCell ref="AD3:AD4"/>
    <mergeCell ref="AE3:AE4"/>
    <mergeCell ref="AF3:AF4"/>
    <mergeCell ref="CC3:CF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DE3:DH3"/>
    <mergeCell ref="DI3:DL3"/>
    <mergeCell ref="DM3:DP3"/>
    <mergeCell ref="CG3:CJ3"/>
    <mergeCell ref="CK3:CN3"/>
    <mergeCell ref="CO3:CR3"/>
    <mergeCell ref="CS3:CV3"/>
    <mergeCell ref="CW3:CZ3"/>
    <mergeCell ref="DA3:DD3"/>
  </mergeCells>
  <phoneticPr fontId="4" type="noConversion"/>
  <conditionalFormatting sqref="D5:AE480">
    <cfRule type="expression" dxfId="1" priority="1">
      <formula>($AF5=1)</formula>
    </cfRule>
    <cfRule type="expression" dxfId="0" priority="2">
      <formula>($B5="G")</formula>
    </cfRule>
  </conditionalFormatting>
  <hyperlinks>
    <hyperlink ref="AG1:BK1" r:id="rId1" display="https://xlworks.net/xlgantt-project-scheduler/"/>
  </hyperlinks>
  <pageMargins left="0.19685039370078741" right="0.23622047244094491" top="0.43307086614173229" bottom="0.23622047244094491" header="0.23622047244094491" footer="0.19685039370078741"/>
  <pageSetup paperSize="8" fitToHeight="0" orientation="portrait" r:id="rId2"/>
  <headerFooter alignWithMargins="0">
    <oddFooter>&amp;L&amp;"-,보통"&amp;9XLGantt ©http://xlworks.net&amp;C&amp;"-,보통"&amp;9&amp;P/&amp;N</oddFooter>
  </headerFooter>
  <rowBreaks count="3" manualBreakCount="3">
    <brk id="27" min="3" max="129" man="1"/>
    <brk id="321" min="3" max="129" man="1"/>
    <brk id="449" min="3" max="129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F1:Q12"/>
  <sheetViews>
    <sheetView view="pageBreakPreview" zoomScale="85" zoomScaleNormal="85" zoomScaleSheetLayoutView="85" workbookViewId="0">
      <selection activeCell="E29" sqref="E29"/>
    </sheetView>
  </sheetViews>
  <sheetFormatPr defaultColWidth="9" defaultRowHeight="17.399999999999999" x14ac:dyDescent="0.25"/>
  <cols>
    <col min="1" max="2" width="9" style="17"/>
    <col min="3" max="3" width="9" style="17" customWidth="1"/>
    <col min="4" max="11" width="9" style="17"/>
    <col min="12" max="17" width="15.09765625" style="17" customWidth="1"/>
    <col min="18" max="16384" width="9" style="17"/>
  </cols>
  <sheetData>
    <row r="1" spans="6:17" ht="30" customHeight="1" x14ac:dyDescent="0.25">
      <c r="F1" s="288" t="s">
        <v>38</v>
      </c>
      <c r="G1" s="288"/>
      <c r="H1" s="288"/>
      <c r="I1" s="288"/>
      <c r="J1" s="288"/>
      <c r="K1" s="288"/>
      <c r="L1" s="288"/>
      <c r="M1" s="288"/>
    </row>
    <row r="2" spans="6:17" ht="30" customHeight="1" x14ac:dyDescent="0.25">
      <c r="F2" s="288"/>
      <c r="G2" s="288"/>
      <c r="H2" s="288"/>
      <c r="I2" s="288"/>
      <c r="J2" s="288"/>
      <c r="K2" s="288"/>
      <c r="L2" s="288"/>
      <c r="M2" s="288"/>
    </row>
    <row r="3" spans="6:17" ht="30" customHeight="1" thickBot="1" x14ac:dyDescent="0.3">
      <c r="H3" s="24"/>
      <c r="L3" s="289" t="s">
        <v>39</v>
      </c>
      <c r="M3" s="289"/>
      <c r="N3" s="289"/>
      <c r="O3" s="289"/>
      <c r="P3" s="289"/>
      <c r="Q3" s="289"/>
    </row>
    <row r="4" spans="6:17" ht="36" customHeight="1" x14ac:dyDescent="0.25">
      <c r="L4" s="25"/>
      <c r="M4" s="26" t="s">
        <v>40</v>
      </c>
      <c r="N4" s="26" t="s">
        <v>41</v>
      </c>
      <c r="O4" s="26" t="s">
        <v>42</v>
      </c>
      <c r="P4" s="26" t="s">
        <v>43</v>
      </c>
      <c r="Q4" s="27" t="s">
        <v>44</v>
      </c>
    </row>
    <row r="5" spans="6:17" ht="36" customHeight="1" x14ac:dyDescent="0.25">
      <c r="L5" s="28" t="s">
        <v>45</v>
      </c>
      <c r="M5" s="29" t="s">
        <v>19</v>
      </c>
      <c r="N5" s="29">
        <v>4</v>
      </c>
      <c r="O5" s="29">
        <v>3</v>
      </c>
      <c r="P5" s="29">
        <v>2</v>
      </c>
      <c r="Q5" s="30">
        <v>1</v>
      </c>
    </row>
    <row r="6" spans="6:17" ht="36" customHeight="1" x14ac:dyDescent="0.25">
      <c r="L6" s="28" t="s">
        <v>46</v>
      </c>
      <c r="M6" s="29">
        <v>5</v>
      </c>
      <c r="N6" s="31">
        <v>20</v>
      </c>
      <c r="O6" s="32">
        <v>15</v>
      </c>
      <c r="P6" s="33">
        <v>10</v>
      </c>
      <c r="Q6" s="34">
        <v>5</v>
      </c>
    </row>
    <row r="7" spans="6:17" ht="36" customHeight="1" x14ac:dyDescent="0.25">
      <c r="L7" s="28" t="s">
        <v>47</v>
      </c>
      <c r="M7" s="29">
        <v>4</v>
      </c>
      <c r="N7" s="31">
        <v>16</v>
      </c>
      <c r="O7" s="32">
        <v>12</v>
      </c>
      <c r="P7" s="33">
        <v>8</v>
      </c>
      <c r="Q7" s="34">
        <v>4</v>
      </c>
    </row>
    <row r="8" spans="6:17" ht="36" customHeight="1" x14ac:dyDescent="0.25">
      <c r="L8" s="28" t="s">
        <v>43</v>
      </c>
      <c r="M8" s="29">
        <v>3</v>
      </c>
      <c r="N8" s="32">
        <v>12</v>
      </c>
      <c r="O8" s="33">
        <v>9</v>
      </c>
      <c r="P8" s="33">
        <v>6</v>
      </c>
      <c r="Q8" s="34">
        <v>3</v>
      </c>
    </row>
    <row r="9" spans="6:17" ht="36" customHeight="1" x14ac:dyDescent="0.25">
      <c r="L9" s="28" t="s">
        <v>48</v>
      </c>
      <c r="M9" s="29">
        <v>2</v>
      </c>
      <c r="N9" s="33">
        <v>8</v>
      </c>
      <c r="O9" s="33">
        <v>6</v>
      </c>
      <c r="P9" s="35">
        <v>4</v>
      </c>
      <c r="Q9" s="34">
        <v>2</v>
      </c>
    </row>
    <row r="10" spans="6:17" ht="36" customHeight="1" thickBot="1" x14ac:dyDescent="0.3">
      <c r="L10" s="36" t="s">
        <v>49</v>
      </c>
      <c r="M10" s="37">
        <v>1</v>
      </c>
      <c r="N10" s="38">
        <v>4</v>
      </c>
      <c r="O10" s="38">
        <v>3</v>
      </c>
      <c r="P10" s="38">
        <v>2</v>
      </c>
      <c r="Q10" s="39">
        <v>1</v>
      </c>
    </row>
    <row r="11" spans="6:17" ht="30" customHeight="1" x14ac:dyDescent="0.25"/>
    <row r="12" spans="6:17" ht="30" customHeight="1" x14ac:dyDescent="0.25"/>
  </sheetData>
  <mergeCells count="2">
    <mergeCell ref="F1:M2"/>
    <mergeCell ref="L3:Q3"/>
  </mergeCells>
  <phoneticPr fontId="4" type="noConversion"/>
  <pageMargins left="0.11811023622047245" right="0.11811023622047245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AI79"/>
  <sheetViews>
    <sheetView showGridLines="0" tabSelected="1" zoomScale="85" zoomScaleNormal="85" zoomScaleSheetLayoutView="85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H23" sqref="H23"/>
    </sheetView>
  </sheetViews>
  <sheetFormatPr defaultRowHeight="15.6" x14ac:dyDescent="0.25"/>
  <cols>
    <col min="1" max="1" width="2.8984375" style="1" customWidth="1"/>
    <col min="2" max="2" width="4.3984375" style="2" bestFit="1" customWidth="1"/>
    <col min="3" max="3" width="10.19921875" style="2" bestFit="1" customWidth="1"/>
    <col min="4" max="4" width="10.19921875" style="1" bestFit="1" customWidth="1"/>
    <col min="5" max="5" width="18.5" style="1" bestFit="1" customWidth="1"/>
    <col min="6" max="6" width="33.5" style="1" customWidth="1"/>
    <col min="7" max="7" width="11.69921875" style="2" bestFit="1" customWidth="1"/>
    <col min="8" max="8" width="74.19921875" style="3" bestFit="1" customWidth="1"/>
    <col min="9" max="9" width="27.69921875" style="3" customWidth="1"/>
    <col min="10" max="11" width="4.59765625" style="3" bestFit="1" customWidth="1"/>
    <col min="12" max="12" width="4.59765625" style="3" customWidth="1"/>
    <col min="13" max="18" width="4.59765625" style="3" bestFit="1" customWidth="1"/>
    <col min="19" max="20" width="6.09765625" style="3" customWidth="1"/>
    <col min="21" max="21" width="8.5" style="2" bestFit="1" customWidth="1"/>
    <col min="22" max="22" width="118.19921875" style="4" customWidth="1"/>
    <col min="23" max="24" width="6.09765625" style="4" customWidth="1"/>
    <col min="25" max="25" width="6.09765625" style="2" customWidth="1"/>
    <col min="26" max="26" width="8.59765625" style="2" customWidth="1"/>
    <col min="27" max="27" width="12.5" style="2" bestFit="1" customWidth="1"/>
    <col min="28" max="30" width="8.59765625" style="2" customWidth="1"/>
    <col min="31" max="31" width="10.8984375" style="1" customWidth="1"/>
    <col min="32" max="236" width="9" style="1"/>
    <col min="237" max="237" width="4" style="1" customWidth="1"/>
    <col min="238" max="238" width="4.3984375" style="1" bestFit="1" customWidth="1"/>
    <col min="239" max="239" width="13.09765625" style="1" bestFit="1" customWidth="1"/>
    <col min="240" max="240" width="23.69921875" style="1" bestFit="1" customWidth="1"/>
    <col min="241" max="241" width="30.59765625" style="1" bestFit="1" customWidth="1"/>
    <col min="242" max="242" width="6.69921875" style="1" bestFit="1" customWidth="1"/>
    <col min="243" max="243" width="16.19921875" style="1" bestFit="1" customWidth="1"/>
    <col min="244" max="244" width="5" style="1" customWidth="1"/>
    <col min="245" max="245" width="11.09765625" style="1" bestFit="1" customWidth="1"/>
    <col min="246" max="246" width="7.09765625" style="1" bestFit="1" customWidth="1"/>
    <col min="247" max="247" width="5" style="1" bestFit="1" customWidth="1"/>
    <col min="248" max="248" width="5.19921875" style="1" customWidth="1"/>
    <col min="249" max="249" width="5.69921875" style="1" customWidth="1"/>
    <col min="250" max="250" width="4.09765625" style="1" customWidth="1"/>
    <col min="251" max="251" width="20.69921875" style="1" customWidth="1"/>
    <col min="252" max="252" width="8.5" style="1" customWidth="1"/>
    <col min="253" max="253" width="7.09765625" style="1" bestFit="1" customWidth="1"/>
    <col min="254" max="254" width="5" style="1" bestFit="1" customWidth="1"/>
    <col min="255" max="255" width="8.19921875" style="1" bestFit="1" customWidth="1"/>
    <col min="256" max="256" width="9.19921875" style="1" bestFit="1" customWidth="1"/>
    <col min="257" max="258" width="6.69921875" style="1" bestFit="1" customWidth="1"/>
    <col min="259" max="261" width="5" style="1" bestFit="1" customWidth="1"/>
    <col min="262" max="262" width="15.09765625" style="1" bestFit="1" customWidth="1"/>
    <col min="263" max="263" width="9" style="1"/>
    <col min="264" max="264" width="5.3984375" style="1" bestFit="1" customWidth="1"/>
    <col min="265" max="265" width="5" style="1" bestFit="1" customWidth="1"/>
    <col min="266" max="267" width="5.8984375" style="1" bestFit="1" customWidth="1"/>
    <col min="268" max="492" width="9" style="1"/>
    <col min="493" max="493" width="4" style="1" customWidth="1"/>
    <col min="494" max="494" width="4.3984375" style="1" bestFit="1" customWidth="1"/>
    <col min="495" max="495" width="13.09765625" style="1" bestFit="1" customWidth="1"/>
    <col min="496" max="496" width="23.69921875" style="1" bestFit="1" customWidth="1"/>
    <col min="497" max="497" width="30.59765625" style="1" bestFit="1" customWidth="1"/>
    <col min="498" max="498" width="6.69921875" style="1" bestFit="1" customWidth="1"/>
    <col min="499" max="499" width="16.19921875" style="1" bestFit="1" customWidth="1"/>
    <col min="500" max="500" width="5" style="1" customWidth="1"/>
    <col min="501" max="501" width="11.09765625" style="1" bestFit="1" customWidth="1"/>
    <col min="502" max="502" width="7.09765625" style="1" bestFit="1" customWidth="1"/>
    <col min="503" max="503" width="5" style="1" bestFit="1" customWidth="1"/>
    <col min="504" max="504" width="5.19921875" style="1" customWidth="1"/>
    <col min="505" max="505" width="5.69921875" style="1" customWidth="1"/>
    <col min="506" max="506" width="4.09765625" style="1" customWidth="1"/>
    <col min="507" max="507" width="20.69921875" style="1" customWidth="1"/>
    <col min="508" max="508" width="8.5" style="1" customWidth="1"/>
    <col min="509" max="509" width="7.09765625" style="1" bestFit="1" customWidth="1"/>
    <col min="510" max="510" width="5" style="1" bestFit="1" customWidth="1"/>
    <col min="511" max="511" width="8.19921875" style="1" bestFit="1" customWidth="1"/>
    <col min="512" max="512" width="9.19921875" style="1" bestFit="1" customWidth="1"/>
    <col min="513" max="514" width="6.69921875" style="1" bestFit="1" customWidth="1"/>
    <col min="515" max="517" width="5" style="1" bestFit="1" customWidth="1"/>
    <col min="518" max="518" width="15.09765625" style="1" bestFit="1" customWidth="1"/>
    <col min="519" max="519" width="9" style="1"/>
    <col min="520" max="520" width="5.3984375" style="1" bestFit="1" customWidth="1"/>
    <col min="521" max="521" width="5" style="1" bestFit="1" customWidth="1"/>
    <col min="522" max="523" width="5.8984375" style="1" bestFit="1" customWidth="1"/>
    <col min="524" max="748" width="9" style="1"/>
    <col min="749" max="749" width="4" style="1" customWidth="1"/>
    <col min="750" max="750" width="4.3984375" style="1" bestFit="1" customWidth="1"/>
    <col min="751" max="751" width="13.09765625" style="1" bestFit="1" customWidth="1"/>
    <col min="752" max="752" width="23.69921875" style="1" bestFit="1" customWidth="1"/>
    <col min="753" max="753" width="30.59765625" style="1" bestFit="1" customWidth="1"/>
    <col min="754" max="754" width="6.69921875" style="1" bestFit="1" customWidth="1"/>
    <col min="755" max="755" width="16.19921875" style="1" bestFit="1" customWidth="1"/>
    <col min="756" max="756" width="5" style="1" customWidth="1"/>
    <col min="757" max="757" width="11.09765625" style="1" bestFit="1" customWidth="1"/>
    <col min="758" max="758" width="7.09765625" style="1" bestFit="1" customWidth="1"/>
    <col min="759" max="759" width="5" style="1" bestFit="1" customWidth="1"/>
    <col min="760" max="760" width="5.19921875" style="1" customWidth="1"/>
    <col min="761" max="761" width="5.69921875" style="1" customWidth="1"/>
    <col min="762" max="762" width="4.09765625" style="1" customWidth="1"/>
    <col min="763" max="763" width="20.69921875" style="1" customWidth="1"/>
    <col min="764" max="764" width="8.5" style="1" customWidth="1"/>
    <col min="765" max="765" width="7.09765625" style="1" bestFit="1" customWidth="1"/>
    <col min="766" max="766" width="5" style="1" bestFit="1" customWidth="1"/>
    <col min="767" max="767" width="8.19921875" style="1" bestFit="1" customWidth="1"/>
    <col min="768" max="768" width="9.19921875" style="1" bestFit="1" customWidth="1"/>
    <col min="769" max="770" width="6.69921875" style="1" bestFit="1" customWidth="1"/>
    <col min="771" max="773" width="5" style="1" bestFit="1" customWidth="1"/>
    <col min="774" max="774" width="15.09765625" style="1" bestFit="1" customWidth="1"/>
    <col min="775" max="775" width="9" style="1"/>
    <col min="776" max="776" width="5.3984375" style="1" bestFit="1" customWidth="1"/>
    <col min="777" max="777" width="5" style="1" bestFit="1" customWidth="1"/>
    <col min="778" max="779" width="5.8984375" style="1" bestFit="1" customWidth="1"/>
    <col min="780" max="1004" width="9" style="1"/>
    <col min="1005" max="1005" width="4" style="1" customWidth="1"/>
    <col min="1006" max="1006" width="4.3984375" style="1" bestFit="1" customWidth="1"/>
    <col min="1007" max="1007" width="13.09765625" style="1" bestFit="1" customWidth="1"/>
    <col min="1008" max="1008" width="23.69921875" style="1" bestFit="1" customWidth="1"/>
    <col min="1009" max="1009" width="30.59765625" style="1" bestFit="1" customWidth="1"/>
    <col min="1010" max="1010" width="6.69921875" style="1" bestFit="1" customWidth="1"/>
    <col min="1011" max="1011" width="16.19921875" style="1" bestFit="1" customWidth="1"/>
    <col min="1012" max="1012" width="5" style="1" customWidth="1"/>
    <col min="1013" max="1013" width="11.09765625" style="1" bestFit="1" customWidth="1"/>
    <col min="1014" max="1014" width="7.09765625" style="1" bestFit="1" customWidth="1"/>
    <col min="1015" max="1015" width="5" style="1" bestFit="1" customWidth="1"/>
    <col min="1016" max="1016" width="5.19921875" style="1" customWidth="1"/>
    <col min="1017" max="1017" width="5.69921875" style="1" customWidth="1"/>
    <col min="1018" max="1018" width="4.09765625" style="1" customWidth="1"/>
    <col min="1019" max="1019" width="20.69921875" style="1" customWidth="1"/>
    <col min="1020" max="1020" width="8.5" style="1" customWidth="1"/>
    <col min="1021" max="1021" width="7.09765625" style="1" bestFit="1" customWidth="1"/>
    <col min="1022" max="1022" width="5" style="1" bestFit="1" customWidth="1"/>
    <col min="1023" max="1023" width="8.19921875" style="1" bestFit="1" customWidth="1"/>
    <col min="1024" max="1024" width="9.19921875" style="1" bestFit="1" customWidth="1"/>
    <col min="1025" max="1026" width="6.69921875" style="1" bestFit="1" customWidth="1"/>
    <col min="1027" max="1029" width="5" style="1" bestFit="1" customWidth="1"/>
    <col min="1030" max="1030" width="15.09765625" style="1" bestFit="1" customWidth="1"/>
    <col min="1031" max="1031" width="9" style="1"/>
    <col min="1032" max="1032" width="5.3984375" style="1" bestFit="1" customWidth="1"/>
    <col min="1033" max="1033" width="5" style="1" bestFit="1" customWidth="1"/>
    <col min="1034" max="1035" width="5.8984375" style="1" bestFit="1" customWidth="1"/>
    <col min="1036" max="1260" width="9" style="1"/>
    <col min="1261" max="1261" width="4" style="1" customWidth="1"/>
    <col min="1262" max="1262" width="4.3984375" style="1" bestFit="1" customWidth="1"/>
    <col min="1263" max="1263" width="13.09765625" style="1" bestFit="1" customWidth="1"/>
    <col min="1264" max="1264" width="23.69921875" style="1" bestFit="1" customWidth="1"/>
    <col min="1265" max="1265" width="30.59765625" style="1" bestFit="1" customWidth="1"/>
    <col min="1266" max="1266" width="6.69921875" style="1" bestFit="1" customWidth="1"/>
    <col min="1267" max="1267" width="16.19921875" style="1" bestFit="1" customWidth="1"/>
    <col min="1268" max="1268" width="5" style="1" customWidth="1"/>
    <col min="1269" max="1269" width="11.09765625" style="1" bestFit="1" customWidth="1"/>
    <col min="1270" max="1270" width="7.09765625" style="1" bestFit="1" customWidth="1"/>
    <col min="1271" max="1271" width="5" style="1" bestFit="1" customWidth="1"/>
    <col min="1272" max="1272" width="5.19921875" style="1" customWidth="1"/>
    <col min="1273" max="1273" width="5.69921875" style="1" customWidth="1"/>
    <col min="1274" max="1274" width="4.09765625" style="1" customWidth="1"/>
    <col min="1275" max="1275" width="20.69921875" style="1" customWidth="1"/>
    <col min="1276" max="1276" width="8.5" style="1" customWidth="1"/>
    <col min="1277" max="1277" width="7.09765625" style="1" bestFit="1" customWidth="1"/>
    <col min="1278" max="1278" width="5" style="1" bestFit="1" customWidth="1"/>
    <col min="1279" max="1279" width="8.19921875" style="1" bestFit="1" customWidth="1"/>
    <col min="1280" max="1280" width="9.19921875" style="1" bestFit="1" customWidth="1"/>
    <col min="1281" max="1282" width="6.69921875" style="1" bestFit="1" customWidth="1"/>
    <col min="1283" max="1285" width="5" style="1" bestFit="1" customWidth="1"/>
    <col min="1286" max="1286" width="15.09765625" style="1" bestFit="1" customWidth="1"/>
    <col min="1287" max="1287" width="9" style="1"/>
    <col min="1288" max="1288" width="5.3984375" style="1" bestFit="1" customWidth="1"/>
    <col min="1289" max="1289" width="5" style="1" bestFit="1" customWidth="1"/>
    <col min="1290" max="1291" width="5.8984375" style="1" bestFit="1" customWidth="1"/>
    <col min="1292" max="1516" width="9" style="1"/>
    <col min="1517" max="1517" width="4" style="1" customWidth="1"/>
    <col min="1518" max="1518" width="4.3984375" style="1" bestFit="1" customWidth="1"/>
    <col min="1519" max="1519" width="13.09765625" style="1" bestFit="1" customWidth="1"/>
    <col min="1520" max="1520" width="23.69921875" style="1" bestFit="1" customWidth="1"/>
    <col min="1521" max="1521" width="30.59765625" style="1" bestFit="1" customWidth="1"/>
    <col min="1522" max="1522" width="6.69921875" style="1" bestFit="1" customWidth="1"/>
    <col min="1523" max="1523" width="16.19921875" style="1" bestFit="1" customWidth="1"/>
    <col min="1524" max="1524" width="5" style="1" customWidth="1"/>
    <col min="1525" max="1525" width="11.09765625" style="1" bestFit="1" customWidth="1"/>
    <col min="1526" max="1526" width="7.09765625" style="1" bestFit="1" customWidth="1"/>
    <col min="1527" max="1527" width="5" style="1" bestFit="1" customWidth="1"/>
    <col min="1528" max="1528" width="5.19921875" style="1" customWidth="1"/>
    <col min="1529" max="1529" width="5.69921875" style="1" customWidth="1"/>
    <col min="1530" max="1530" width="4.09765625" style="1" customWidth="1"/>
    <col min="1531" max="1531" width="20.69921875" style="1" customWidth="1"/>
    <col min="1532" max="1532" width="8.5" style="1" customWidth="1"/>
    <col min="1533" max="1533" width="7.09765625" style="1" bestFit="1" customWidth="1"/>
    <col min="1534" max="1534" width="5" style="1" bestFit="1" customWidth="1"/>
    <col min="1535" max="1535" width="8.19921875" style="1" bestFit="1" customWidth="1"/>
    <col min="1536" max="1536" width="9.19921875" style="1" bestFit="1" customWidth="1"/>
    <col min="1537" max="1538" width="6.69921875" style="1" bestFit="1" customWidth="1"/>
    <col min="1539" max="1541" width="5" style="1" bestFit="1" customWidth="1"/>
    <col min="1542" max="1542" width="15.09765625" style="1" bestFit="1" customWidth="1"/>
    <col min="1543" max="1543" width="9" style="1"/>
    <col min="1544" max="1544" width="5.3984375" style="1" bestFit="1" customWidth="1"/>
    <col min="1545" max="1545" width="5" style="1" bestFit="1" customWidth="1"/>
    <col min="1546" max="1547" width="5.8984375" style="1" bestFit="1" customWidth="1"/>
    <col min="1548" max="1772" width="9" style="1"/>
    <col min="1773" max="1773" width="4" style="1" customWidth="1"/>
    <col min="1774" max="1774" width="4.3984375" style="1" bestFit="1" customWidth="1"/>
    <col min="1775" max="1775" width="13.09765625" style="1" bestFit="1" customWidth="1"/>
    <col min="1776" max="1776" width="23.69921875" style="1" bestFit="1" customWidth="1"/>
    <col min="1777" max="1777" width="30.59765625" style="1" bestFit="1" customWidth="1"/>
    <col min="1778" max="1778" width="6.69921875" style="1" bestFit="1" customWidth="1"/>
    <col min="1779" max="1779" width="16.19921875" style="1" bestFit="1" customWidth="1"/>
    <col min="1780" max="1780" width="5" style="1" customWidth="1"/>
    <col min="1781" max="1781" width="11.09765625" style="1" bestFit="1" customWidth="1"/>
    <col min="1782" max="1782" width="7.09765625" style="1" bestFit="1" customWidth="1"/>
    <col min="1783" max="1783" width="5" style="1" bestFit="1" customWidth="1"/>
    <col min="1784" max="1784" width="5.19921875" style="1" customWidth="1"/>
    <col min="1785" max="1785" width="5.69921875" style="1" customWidth="1"/>
    <col min="1786" max="1786" width="4.09765625" style="1" customWidth="1"/>
    <col min="1787" max="1787" width="20.69921875" style="1" customWidth="1"/>
    <col min="1788" max="1788" width="8.5" style="1" customWidth="1"/>
    <col min="1789" max="1789" width="7.09765625" style="1" bestFit="1" customWidth="1"/>
    <col min="1790" max="1790" width="5" style="1" bestFit="1" customWidth="1"/>
    <col min="1791" max="1791" width="8.19921875" style="1" bestFit="1" customWidth="1"/>
    <col min="1792" max="1792" width="9.19921875" style="1" bestFit="1" customWidth="1"/>
    <col min="1793" max="1794" width="6.69921875" style="1" bestFit="1" customWidth="1"/>
    <col min="1795" max="1797" width="5" style="1" bestFit="1" customWidth="1"/>
    <col min="1798" max="1798" width="15.09765625" style="1" bestFit="1" customWidth="1"/>
    <col min="1799" max="1799" width="9" style="1"/>
    <col min="1800" max="1800" width="5.3984375" style="1" bestFit="1" customWidth="1"/>
    <col min="1801" max="1801" width="5" style="1" bestFit="1" customWidth="1"/>
    <col min="1802" max="1803" width="5.8984375" style="1" bestFit="1" customWidth="1"/>
    <col min="1804" max="2028" width="9" style="1"/>
    <col min="2029" max="2029" width="4" style="1" customWidth="1"/>
    <col min="2030" max="2030" width="4.3984375" style="1" bestFit="1" customWidth="1"/>
    <col min="2031" max="2031" width="13.09765625" style="1" bestFit="1" customWidth="1"/>
    <col min="2032" max="2032" width="23.69921875" style="1" bestFit="1" customWidth="1"/>
    <col min="2033" max="2033" width="30.59765625" style="1" bestFit="1" customWidth="1"/>
    <col min="2034" max="2034" width="6.69921875" style="1" bestFit="1" customWidth="1"/>
    <col min="2035" max="2035" width="16.19921875" style="1" bestFit="1" customWidth="1"/>
    <col min="2036" max="2036" width="5" style="1" customWidth="1"/>
    <col min="2037" max="2037" width="11.09765625" style="1" bestFit="1" customWidth="1"/>
    <col min="2038" max="2038" width="7.09765625" style="1" bestFit="1" customWidth="1"/>
    <col min="2039" max="2039" width="5" style="1" bestFit="1" customWidth="1"/>
    <col min="2040" max="2040" width="5.19921875" style="1" customWidth="1"/>
    <col min="2041" max="2041" width="5.69921875" style="1" customWidth="1"/>
    <col min="2042" max="2042" width="4.09765625" style="1" customWidth="1"/>
    <col min="2043" max="2043" width="20.69921875" style="1" customWidth="1"/>
    <col min="2044" max="2044" width="8.5" style="1" customWidth="1"/>
    <col min="2045" max="2045" width="7.09765625" style="1" bestFit="1" customWidth="1"/>
    <col min="2046" max="2046" width="5" style="1" bestFit="1" customWidth="1"/>
    <col min="2047" max="2047" width="8.19921875" style="1" bestFit="1" customWidth="1"/>
    <col min="2048" max="2048" width="9.19921875" style="1" bestFit="1" customWidth="1"/>
    <col min="2049" max="2050" width="6.69921875" style="1" bestFit="1" customWidth="1"/>
    <col min="2051" max="2053" width="5" style="1" bestFit="1" customWidth="1"/>
    <col min="2054" max="2054" width="15.09765625" style="1" bestFit="1" customWidth="1"/>
    <col min="2055" max="2055" width="9" style="1"/>
    <col min="2056" max="2056" width="5.3984375" style="1" bestFit="1" customWidth="1"/>
    <col min="2057" max="2057" width="5" style="1" bestFit="1" customWidth="1"/>
    <col min="2058" max="2059" width="5.8984375" style="1" bestFit="1" customWidth="1"/>
    <col min="2060" max="2284" width="9" style="1"/>
    <col min="2285" max="2285" width="4" style="1" customWidth="1"/>
    <col min="2286" max="2286" width="4.3984375" style="1" bestFit="1" customWidth="1"/>
    <col min="2287" max="2287" width="13.09765625" style="1" bestFit="1" customWidth="1"/>
    <col min="2288" max="2288" width="23.69921875" style="1" bestFit="1" customWidth="1"/>
    <col min="2289" max="2289" width="30.59765625" style="1" bestFit="1" customWidth="1"/>
    <col min="2290" max="2290" width="6.69921875" style="1" bestFit="1" customWidth="1"/>
    <col min="2291" max="2291" width="16.19921875" style="1" bestFit="1" customWidth="1"/>
    <col min="2292" max="2292" width="5" style="1" customWidth="1"/>
    <col min="2293" max="2293" width="11.09765625" style="1" bestFit="1" customWidth="1"/>
    <col min="2294" max="2294" width="7.09765625" style="1" bestFit="1" customWidth="1"/>
    <col min="2295" max="2295" width="5" style="1" bestFit="1" customWidth="1"/>
    <col min="2296" max="2296" width="5.19921875" style="1" customWidth="1"/>
    <col min="2297" max="2297" width="5.69921875" style="1" customWidth="1"/>
    <col min="2298" max="2298" width="4.09765625" style="1" customWidth="1"/>
    <col min="2299" max="2299" width="20.69921875" style="1" customWidth="1"/>
    <col min="2300" max="2300" width="8.5" style="1" customWidth="1"/>
    <col min="2301" max="2301" width="7.09765625" style="1" bestFit="1" customWidth="1"/>
    <col min="2302" max="2302" width="5" style="1" bestFit="1" customWidth="1"/>
    <col min="2303" max="2303" width="8.19921875" style="1" bestFit="1" customWidth="1"/>
    <col min="2304" max="2304" width="9.19921875" style="1" bestFit="1" customWidth="1"/>
    <col min="2305" max="2306" width="6.69921875" style="1" bestFit="1" customWidth="1"/>
    <col min="2307" max="2309" width="5" style="1" bestFit="1" customWidth="1"/>
    <col min="2310" max="2310" width="15.09765625" style="1" bestFit="1" customWidth="1"/>
    <col min="2311" max="2311" width="9" style="1"/>
    <col min="2312" max="2312" width="5.3984375" style="1" bestFit="1" customWidth="1"/>
    <col min="2313" max="2313" width="5" style="1" bestFit="1" customWidth="1"/>
    <col min="2314" max="2315" width="5.8984375" style="1" bestFit="1" customWidth="1"/>
    <col min="2316" max="2540" width="9" style="1"/>
    <col min="2541" max="2541" width="4" style="1" customWidth="1"/>
    <col min="2542" max="2542" width="4.3984375" style="1" bestFit="1" customWidth="1"/>
    <col min="2543" max="2543" width="13.09765625" style="1" bestFit="1" customWidth="1"/>
    <col min="2544" max="2544" width="23.69921875" style="1" bestFit="1" customWidth="1"/>
    <col min="2545" max="2545" width="30.59765625" style="1" bestFit="1" customWidth="1"/>
    <col min="2546" max="2546" width="6.69921875" style="1" bestFit="1" customWidth="1"/>
    <col min="2547" max="2547" width="16.19921875" style="1" bestFit="1" customWidth="1"/>
    <col min="2548" max="2548" width="5" style="1" customWidth="1"/>
    <col min="2549" max="2549" width="11.09765625" style="1" bestFit="1" customWidth="1"/>
    <col min="2550" max="2550" width="7.09765625" style="1" bestFit="1" customWidth="1"/>
    <col min="2551" max="2551" width="5" style="1" bestFit="1" customWidth="1"/>
    <col min="2552" max="2552" width="5.19921875" style="1" customWidth="1"/>
    <col min="2553" max="2553" width="5.69921875" style="1" customWidth="1"/>
    <col min="2554" max="2554" width="4.09765625" style="1" customWidth="1"/>
    <col min="2555" max="2555" width="20.69921875" style="1" customWidth="1"/>
    <col min="2556" max="2556" width="8.5" style="1" customWidth="1"/>
    <col min="2557" max="2557" width="7.09765625" style="1" bestFit="1" customWidth="1"/>
    <col min="2558" max="2558" width="5" style="1" bestFit="1" customWidth="1"/>
    <col min="2559" max="2559" width="8.19921875" style="1" bestFit="1" customWidth="1"/>
    <col min="2560" max="2560" width="9.19921875" style="1" bestFit="1" customWidth="1"/>
    <col min="2561" max="2562" width="6.69921875" style="1" bestFit="1" customWidth="1"/>
    <col min="2563" max="2565" width="5" style="1" bestFit="1" customWidth="1"/>
    <col min="2566" max="2566" width="15.09765625" style="1" bestFit="1" customWidth="1"/>
    <col min="2567" max="2567" width="9" style="1"/>
    <col min="2568" max="2568" width="5.3984375" style="1" bestFit="1" customWidth="1"/>
    <col min="2569" max="2569" width="5" style="1" bestFit="1" customWidth="1"/>
    <col min="2570" max="2571" width="5.8984375" style="1" bestFit="1" customWidth="1"/>
    <col min="2572" max="2796" width="9" style="1"/>
    <col min="2797" max="2797" width="4" style="1" customWidth="1"/>
    <col min="2798" max="2798" width="4.3984375" style="1" bestFit="1" customWidth="1"/>
    <col min="2799" max="2799" width="13.09765625" style="1" bestFit="1" customWidth="1"/>
    <col min="2800" max="2800" width="23.69921875" style="1" bestFit="1" customWidth="1"/>
    <col min="2801" max="2801" width="30.59765625" style="1" bestFit="1" customWidth="1"/>
    <col min="2802" max="2802" width="6.69921875" style="1" bestFit="1" customWidth="1"/>
    <col min="2803" max="2803" width="16.19921875" style="1" bestFit="1" customWidth="1"/>
    <col min="2804" max="2804" width="5" style="1" customWidth="1"/>
    <col min="2805" max="2805" width="11.09765625" style="1" bestFit="1" customWidth="1"/>
    <col min="2806" max="2806" width="7.09765625" style="1" bestFit="1" customWidth="1"/>
    <col min="2807" max="2807" width="5" style="1" bestFit="1" customWidth="1"/>
    <col min="2808" max="2808" width="5.19921875" style="1" customWidth="1"/>
    <col min="2809" max="2809" width="5.69921875" style="1" customWidth="1"/>
    <col min="2810" max="2810" width="4.09765625" style="1" customWidth="1"/>
    <col min="2811" max="2811" width="20.69921875" style="1" customWidth="1"/>
    <col min="2812" max="2812" width="8.5" style="1" customWidth="1"/>
    <col min="2813" max="2813" width="7.09765625" style="1" bestFit="1" customWidth="1"/>
    <col min="2814" max="2814" width="5" style="1" bestFit="1" customWidth="1"/>
    <col min="2815" max="2815" width="8.19921875" style="1" bestFit="1" customWidth="1"/>
    <col min="2816" max="2816" width="9.19921875" style="1" bestFit="1" customWidth="1"/>
    <col min="2817" max="2818" width="6.69921875" style="1" bestFit="1" customWidth="1"/>
    <col min="2819" max="2821" width="5" style="1" bestFit="1" customWidth="1"/>
    <col min="2822" max="2822" width="15.09765625" style="1" bestFit="1" customWidth="1"/>
    <col min="2823" max="2823" width="9" style="1"/>
    <col min="2824" max="2824" width="5.3984375" style="1" bestFit="1" customWidth="1"/>
    <col min="2825" max="2825" width="5" style="1" bestFit="1" customWidth="1"/>
    <col min="2826" max="2827" width="5.8984375" style="1" bestFit="1" customWidth="1"/>
    <col min="2828" max="3052" width="9" style="1"/>
    <col min="3053" max="3053" width="4" style="1" customWidth="1"/>
    <col min="3054" max="3054" width="4.3984375" style="1" bestFit="1" customWidth="1"/>
    <col min="3055" max="3055" width="13.09765625" style="1" bestFit="1" customWidth="1"/>
    <col min="3056" max="3056" width="23.69921875" style="1" bestFit="1" customWidth="1"/>
    <col min="3057" max="3057" width="30.59765625" style="1" bestFit="1" customWidth="1"/>
    <col min="3058" max="3058" width="6.69921875" style="1" bestFit="1" customWidth="1"/>
    <col min="3059" max="3059" width="16.19921875" style="1" bestFit="1" customWidth="1"/>
    <col min="3060" max="3060" width="5" style="1" customWidth="1"/>
    <col min="3061" max="3061" width="11.09765625" style="1" bestFit="1" customWidth="1"/>
    <col min="3062" max="3062" width="7.09765625" style="1" bestFit="1" customWidth="1"/>
    <col min="3063" max="3063" width="5" style="1" bestFit="1" customWidth="1"/>
    <col min="3064" max="3064" width="5.19921875" style="1" customWidth="1"/>
    <col min="3065" max="3065" width="5.69921875" style="1" customWidth="1"/>
    <col min="3066" max="3066" width="4.09765625" style="1" customWidth="1"/>
    <col min="3067" max="3067" width="20.69921875" style="1" customWidth="1"/>
    <col min="3068" max="3068" width="8.5" style="1" customWidth="1"/>
    <col min="3069" max="3069" width="7.09765625" style="1" bestFit="1" customWidth="1"/>
    <col min="3070" max="3070" width="5" style="1" bestFit="1" customWidth="1"/>
    <col min="3071" max="3071" width="8.19921875" style="1" bestFit="1" customWidth="1"/>
    <col min="3072" max="3072" width="9.19921875" style="1" bestFit="1" customWidth="1"/>
    <col min="3073" max="3074" width="6.69921875" style="1" bestFit="1" customWidth="1"/>
    <col min="3075" max="3077" width="5" style="1" bestFit="1" customWidth="1"/>
    <col min="3078" max="3078" width="15.09765625" style="1" bestFit="1" customWidth="1"/>
    <col min="3079" max="3079" width="9" style="1"/>
    <col min="3080" max="3080" width="5.3984375" style="1" bestFit="1" customWidth="1"/>
    <col min="3081" max="3081" width="5" style="1" bestFit="1" customWidth="1"/>
    <col min="3082" max="3083" width="5.8984375" style="1" bestFit="1" customWidth="1"/>
    <col min="3084" max="3308" width="9" style="1"/>
    <col min="3309" max="3309" width="4" style="1" customWidth="1"/>
    <col min="3310" max="3310" width="4.3984375" style="1" bestFit="1" customWidth="1"/>
    <col min="3311" max="3311" width="13.09765625" style="1" bestFit="1" customWidth="1"/>
    <col min="3312" max="3312" width="23.69921875" style="1" bestFit="1" customWidth="1"/>
    <col min="3313" max="3313" width="30.59765625" style="1" bestFit="1" customWidth="1"/>
    <col min="3314" max="3314" width="6.69921875" style="1" bestFit="1" customWidth="1"/>
    <col min="3315" max="3315" width="16.19921875" style="1" bestFit="1" customWidth="1"/>
    <col min="3316" max="3316" width="5" style="1" customWidth="1"/>
    <col min="3317" max="3317" width="11.09765625" style="1" bestFit="1" customWidth="1"/>
    <col min="3318" max="3318" width="7.09765625" style="1" bestFit="1" customWidth="1"/>
    <col min="3319" max="3319" width="5" style="1" bestFit="1" customWidth="1"/>
    <col min="3320" max="3320" width="5.19921875" style="1" customWidth="1"/>
    <col min="3321" max="3321" width="5.69921875" style="1" customWidth="1"/>
    <col min="3322" max="3322" width="4.09765625" style="1" customWidth="1"/>
    <col min="3323" max="3323" width="20.69921875" style="1" customWidth="1"/>
    <col min="3324" max="3324" width="8.5" style="1" customWidth="1"/>
    <col min="3325" max="3325" width="7.09765625" style="1" bestFit="1" customWidth="1"/>
    <col min="3326" max="3326" width="5" style="1" bestFit="1" customWidth="1"/>
    <col min="3327" max="3327" width="8.19921875" style="1" bestFit="1" customWidth="1"/>
    <col min="3328" max="3328" width="9.19921875" style="1" bestFit="1" customWidth="1"/>
    <col min="3329" max="3330" width="6.69921875" style="1" bestFit="1" customWidth="1"/>
    <col min="3331" max="3333" width="5" style="1" bestFit="1" customWidth="1"/>
    <col min="3334" max="3334" width="15.09765625" style="1" bestFit="1" customWidth="1"/>
    <col min="3335" max="3335" width="9" style="1"/>
    <col min="3336" max="3336" width="5.3984375" style="1" bestFit="1" customWidth="1"/>
    <col min="3337" max="3337" width="5" style="1" bestFit="1" customWidth="1"/>
    <col min="3338" max="3339" width="5.8984375" style="1" bestFit="1" customWidth="1"/>
    <col min="3340" max="3564" width="9" style="1"/>
    <col min="3565" max="3565" width="4" style="1" customWidth="1"/>
    <col min="3566" max="3566" width="4.3984375" style="1" bestFit="1" customWidth="1"/>
    <col min="3567" max="3567" width="13.09765625" style="1" bestFit="1" customWidth="1"/>
    <col min="3568" max="3568" width="23.69921875" style="1" bestFit="1" customWidth="1"/>
    <col min="3569" max="3569" width="30.59765625" style="1" bestFit="1" customWidth="1"/>
    <col min="3570" max="3570" width="6.69921875" style="1" bestFit="1" customWidth="1"/>
    <col min="3571" max="3571" width="16.19921875" style="1" bestFit="1" customWidth="1"/>
    <col min="3572" max="3572" width="5" style="1" customWidth="1"/>
    <col min="3573" max="3573" width="11.09765625" style="1" bestFit="1" customWidth="1"/>
    <col min="3574" max="3574" width="7.09765625" style="1" bestFit="1" customWidth="1"/>
    <col min="3575" max="3575" width="5" style="1" bestFit="1" customWidth="1"/>
    <col min="3576" max="3576" width="5.19921875" style="1" customWidth="1"/>
    <col min="3577" max="3577" width="5.69921875" style="1" customWidth="1"/>
    <col min="3578" max="3578" width="4.09765625" style="1" customWidth="1"/>
    <col min="3579" max="3579" width="20.69921875" style="1" customWidth="1"/>
    <col min="3580" max="3580" width="8.5" style="1" customWidth="1"/>
    <col min="3581" max="3581" width="7.09765625" style="1" bestFit="1" customWidth="1"/>
    <col min="3582" max="3582" width="5" style="1" bestFit="1" customWidth="1"/>
    <col min="3583" max="3583" width="8.19921875" style="1" bestFit="1" customWidth="1"/>
    <col min="3584" max="3584" width="9.19921875" style="1" bestFit="1" customWidth="1"/>
    <col min="3585" max="3586" width="6.69921875" style="1" bestFit="1" customWidth="1"/>
    <col min="3587" max="3589" width="5" style="1" bestFit="1" customWidth="1"/>
    <col min="3590" max="3590" width="15.09765625" style="1" bestFit="1" customWidth="1"/>
    <col min="3591" max="3591" width="9" style="1"/>
    <col min="3592" max="3592" width="5.3984375" style="1" bestFit="1" customWidth="1"/>
    <col min="3593" max="3593" width="5" style="1" bestFit="1" customWidth="1"/>
    <col min="3594" max="3595" width="5.8984375" style="1" bestFit="1" customWidth="1"/>
    <col min="3596" max="3820" width="9" style="1"/>
    <col min="3821" max="3821" width="4" style="1" customWidth="1"/>
    <col min="3822" max="3822" width="4.3984375" style="1" bestFit="1" customWidth="1"/>
    <col min="3823" max="3823" width="13.09765625" style="1" bestFit="1" customWidth="1"/>
    <col min="3824" max="3824" width="23.69921875" style="1" bestFit="1" customWidth="1"/>
    <col min="3825" max="3825" width="30.59765625" style="1" bestFit="1" customWidth="1"/>
    <col min="3826" max="3826" width="6.69921875" style="1" bestFit="1" customWidth="1"/>
    <col min="3827" max="3827" width="16.19921875" style="1" bestFit="1" customWidth="1"/>
    <col min="3828" max="3828" width="5" style="1" customWidth="1"/>
    <col min="3829" max="3829" width="11.09765625" style="1" bestFit="1" customWidth="1"/>
    <col min="3830" max="3830" width="7.09765625" style="1" bestFit="1" customWidth="1"/>
    <col min="3831" max="3831" width="5" style="1" bestFit="1" customWidth="1"/>
    <col min="3832" max="3832" width="5.19921875" style="1" customWidth="1"/>
    <col min="3833" max="3833" width="5.69921875" style="1" customWidth="1"/>
    <col min="3834" max="3834" width="4.09765625" style="1" customWidth="1"/>
    <col min="3835" max="3835" width="20.69921875" style="1" customWidth="1"/>
    <col min="3836" max="3836" width="8.5" style="1" customWidth="1"/>
    <col min="3837" max="3837" width="7.09765625" style="1" bestFit="1" customWidth="1"/>
    <col min="3838" max="3838" width="5" style="1" bestFit="1" customWidth="1"/>
    <col min="3839" max="3839" width="8.19921875" style="1" bestFit="1" customWidth="1"/>
    <col min="3840" max="3840" width="9.19921875" style="1" bestFit="1" customWidth="1"/>
    <col min="3841" max="3842" width="6.69921875" style="1" bestFit="1" customWidth="1"/>
    <col min="3843" max="3845" width="5" style="1" bestFit="1" customWidth="1"/>
    <col min="3846" max="3846" width="15.09765625" style="1" bestFit="1" customWidth="1"/>
    <col min="3847" max="3847" width="9" style="1"/>
    <col min="3848" max="3848" width="5.3984375" style="1" bestFit="1" customWidth="1"/>
    <col min="3849" max="3849" width="5" style="1" bestFit="1" customWidth="1"/>
    <col min="3850" max="3851" width="5.8984375" style="1" bestFit="1" customWidth="1"/>
    <col min="3852" max="4076" width="9" style="1"/>
    <col min="4077" max="4077" width="4" style="1" customWidth="1"/>
    <col min="4078" max="4078" width="4.3984375" style="1" bestFit="1" customWidth="1"/>
    <col min="4079" max="4079" width="13.09765625" style="1" bestFit="1" customWidth="1"/>
    <col min="4080" max="4080" width="23.69921875" style="1" bestFit="1" customWidth="1"/>
    <col min="4081" max="4081" width="30.59765625" style="1" bestFit="1" customWidth="1"/>
    <col min="4082" max="4082" width="6.69921875" style="1" bestFit="1" customWidth="1"/>
    <col min="4083" max="4083" width="16.19921875" style="1" bestFit="1" customWidth="1"/>
    <col min="4084" max="4084" width="5" style="1" customWidth="1"/>
    <col min="4085" max="4085" width="11.09765625" style="1" bestFit="1" customWidth="1"/>
    <col min="4086" max="4086" width="7.09765625" style="1" bestFit="1" customWidth="1"/>
    <col min="4087" max="4087" width="5" style="1" bestFit="1" customWidth="1"/>
    <col min="4088" max="4088" width="5.19921875" style="1" customWidth="1"/>
    <col min="4089" max="4089" width="5.69921875" style="1" customWidth="1"/>
    <col min="4090" max="4090" width="4.09765625" style="1" customWidth="1"/>
    <col min="4091" max="4091" width="20.69921875" style="1" customWidth="1"/>
    <col min="4092" max="4092" width="8.5" style="1" customWidth="1"/>
    <col min="4093" max="4093" width="7.09765625" style="1" bestFit="1" customWidth="1"/>
    <col min="4094" max="4094" width="5" style="1" bestFit="1" customWidth="1"/>
    <col min="4095" max="4095" width="8.19921875" style="1" bestFit="1" customWidth="1"/>
    <col min="4096" max="4096" width="9.19921875" style="1" bestFit="1" customWidth="1"/>
    <col min="4097" max="4098" width="6.69921875" style="1" bestFit="1" customWidth="1"/>
    <col min="4099" max="4101" width="5" style="1" bestFit="1" customWidth="1"/>
    <col min="4102" max="4102" width="15.09765625" style="1" bestFit="1" customWidth="1"/>
    <col min="4103" max="4103" width="9" style="1"/>
    <col min="4104" max="4104" width="5.3984375" style="1" bestFit="1" customWidth="1"/>
    <col min="4105" max="4105" width="5" style="1" bestFit="1" customWidth="1"/>
    <col min="4106" max="4107" width="5.8984375" style="1" bestFit="1" customWidth="1"/>
    <col min="4108" max="4332" width="9" style="1"/>
    <col min="4333" max="4333" width="4" style="1" customWidth="1"/>
    <col min="4334" max="4334" width="4.3984375" style="1" bestFit="1" customWidth="1"/>
    <col min="4335" max="4335" width="13.09765625" style="1" bestFit="1" customWidth="1"/>
    <col min="4336" max="4336" width="23.69921875" style="1" bestFit="1" customWidth="1"/>
    <col min="4337" max="4337" width="30.59765625" style="1" bestFit="1" customWidth="1"/>
    <col min="4338" max="4338" width="6.69921875" style="1" bestFit="1" customWidth="1"/>
    <col min="4339" max="4339" width="16.19921875" style="1" bestFit="1" customWidth="1"/>
    <col min="4340" max="4340" width="5" style="1" customWidth="1"/>
    <col min="4341" max="4341" width="11.09765625" style="1" bestFit="1" customWidth="1"/>
    <col min="4342" max="4342" width="7.09765625" style="1" bestFit="1" customWidth="1"/>
    <col min="4343" max="4343" width="5" style="1" bestFit="1" customWidth="1"/>
    <col min="4344" max="4344" width="5.19921875" style="1" customWidth="1"/>
    <col min="4345" max="4345" width="5.69921875" style="1" customWidth="1"/>
    <col min="4346" max="4346" width="4.09765625" style="1" customWidth="1"/>
    <col min="4347" max="4347" width="20.69921875" style="1" customWidth="1"/>
    <col min="4348" max="4348" width="8.5" style="1" customWidth="1"/>
    <col min="4349" max="4349" width="7.09765625" style="1" bestFit="1" customWidth="1"/>
    <col min="4350" max="4350" width="5" style="1" bestFit="1" customWidth="1"/>
    <col min="4351" max="4351" width="8.19921875" style="1" bestFit="1" customWidth="1"/>
    <col min="4352" max="4352" width="9.19921875" style="1" bestFit="1" customWidth="1"/>
    <col min="4353" max="4354" width="6.69921875" style="1" bestFit="1" customWidth="1"/>
    <col min="4355" max="4357" width="5" style="1" bestFit="1" customWidth="1"/>
    <col min="4358" max="4358" width="15.09765625" style="1" bestFit="1" customWidth="1"/>
    <col min="4359" max="4359" width="9" style="1"/>
    <col min="4360" max="4360" width="5.3984375" style="1" bestFit="1" customWidth="1"/>
    <col min="4361" max="4361" width="5" style="1" bestFit="1" customWidth="1"/>
    <col min="4362" max="4363" width="5.8984375" style="1" bestFit="1" customWidth="1"/>
    <col min="4364" max="4588" width="9" style="1"/>
    <col min="4589" max="4589" width="4" style="1" customWidth="1"/>
    <col min="4590" max="4590" width="4.3984375" style="1" bestFit="1" customWidth="1"/>
    <col min="4591" max="4591" width="13.09765625" style="1" bestFit="1" customWidth="1"/>
    <col min="4592" max="4592" width="23.69921875" style="1" bestFit="1" customWidth="1"/>
    <col min="4593" max="4593" width="30.59765625" style="1" bestFit="1" customWidth="1"/>
    <col min="4594" max="4594" width="6.69921875" style="1" bestFit="1" customWidth="1"/>
    <col min="4595" max="4595" width="16.19921875" style="1" bestFit="1" customWidth="1"/>
    <col min="4596" max="4596" width="5" style="1" customWidth="1"/>
    <col min="4597" max="4597" width="11.09765625" style="1" bestFit="1" customWidth="1"/>
    <col min="4598" max="4598" width="7.09765625" style="1" bestFit="1" customWidth="1"/>
    <col min="4599" max="4599" width="5" style="1" bestFit="1" customWidth="1"/>
    <col min="4600" max="4600" width="5.19921875" style="1" customWidth="1"/>
    <col min="4601" max="4601" width="5.69921875" style="1" customWidth="1"/>
    <col min="4602" max="4602" width="4.09765625" style="1" customWidth="1"/>
    <col min="4603" max="4603" width="20.69921875" style="1" customWidth="1"/>
    <col min="4604" max="4604" width="8.5" style="1" customWidth="1"/>
    <col min="4605" max="4605" width="7.09765625" style="1" bestFit="1" customWidth="1"/>
    <col min="4606" max="4606" width="5" style="1" bestFit="1" customWidth="1"/>
    <col min="4607" max="4607" width="8.19921875" style="1" bestFit="1" customWidth="1"/>
    <col min="4608" max="4608" width="9.19921875" style="1" bestFit="1" customWidth="1"/>
    <col min="4609" max="4610" width="6.69921875" style="1" bestFit="1" customWidth="1"/>
    <col min="4611" max="4613" width="5" style="1" bestFit="1" customWidth="1"/>
    <col min="4614" max="4614" width="15.09765625" style="1" bestFit="1" customWidth="1"/>
    <col min="4615" max="4615" width="9" style="1"/>
    <col min="4616" max="4616" width="5.3984375" style="1" bestFit="1" customWidth="1"/>
    <col min="4617" max="4617" width="5" style="1" bestFit="1" customWidth="1"/>
    <col min="4618" max="4619" width="5.8984375" style="1" bestFit="1" customWidth="1"/>
    <col min="4620" max="4844" width="9" style="1"/>
    <col min="4845" max="4845" width="4" style="1" customWidth="1"/>
    <col min="4846" max="4846" width="4.3984375" style="1" bestFit="1" customWidth="1"/>
    <col min="4847" max="4847" width="13.09765625" style="1" bestFit="1" customWidth="1"/>
    <col min="4848" max="4848" width="23.69921875" style="1" bestFit="1" customWidth="1"/>
    <col min="4849" max="4849" width="30.59765625" style="1" bestFit="1" customWidth="1"/>
    <col min="4850" max="4850" width="6.69921875" style="1" bestFit="1" customWidth="1"/>
    <col min="4851" max="4851" width="16.19921875" style="1" bestFit="1" customWidth="1"/>
    <col min="4852" max="4852" width="5" style="1" customWidth="1"/>
    <col min="4853" max="4853" width="11.09765625" style="1" bestFit="1" customWidth="1"/>
    <col min="4854" max="4854" width="7.09765625" style="1" bestFit="1" customWidth="1"/>
    <col min="4855" max="4855" width="5" style="1" bestFit="1" customWidth="1"/>
    <col min="4856" max="4856" width="5.19921875" style="1" customWidth="1"/>
    <col min="4857" max="4857" width="5.69921875" style="1" customWidth="1"/>
    <col min="4858" max="4858" width="4.09765625" style="1" customWidth="1"/>
    <col min="4859" max="4859" width="20.69921875" style="1" customWidth="1"/>
    <col min="4860" max="4860" width="8.5" style="1" customWidth="1"/>
    <col min="4861" max="4861" width="7.09765625" style="1" bestFit="1" customWidth="1"/>
    <col min="4862" max="4862" width="5" style="1" bestFit="1" customWidth="1"/>
    <col min="4863" max="4863" width="8.19921875" style="1" bestFit="1" customWidth="1"/>
    <col min="4864" max="4864" width="9.19921875" style="1" bestFit="1" customWidth="1"/>
    <col min="4865" max="4866" width="6.69921875" style="1" bestFit="1" customWidth="1"/>
    <col min="4867" max="4869" width="5" style="1" bestFit="1" customWidth="1"/>
    <col min="4870" max="4870" width="15.09765625" style="1" bestFit="1" customWidth="1"/>
    <col min="4871" max="4871" width="9" style="1"/>
    <col min="4872" max="4872" width="5.3984375" style="1" bestFit="1" customWidth="1"/>
    <col min="4873" max="4873" width="5" style="1" bestFit="1" customWidth="1"/>
    <col min="4874" max="4875" width="5.8984375" style="1" bestFit="1" customWidth="1"/>
    <col min="4876" max="5100" width="9" style="1"/>
    <col min="5101" max="5101" width="4" style="1" customWidth="1"/>
    <col min="5102" max="5102" width="4.3984375" style="1" bestFit="1" customWidth="1"/>
    <col min="5103" max="5103" width="13.09765625" style="1" bestFit="1" customWidth="1"/>
    <col min="5104" max="5104" width="23.69921875" style="1" bestFit="1" customWidth="1"/>
    <col min="5105" max="5105" width="30.59765625" style="1" bestFit="1" customWidth="1"/>
    <col min="5106" max="5106" width="6.69921875" style="1" bestFit="1" customWidth="1"/>
    <col min="5107" max="5107" width="16.19921875" style="1" bestFit="1" customWidth="1"/>
    <col min="5108" max="5108" width="5" style="1" customWidth="1"/>
    <col min="5109" max="5109" width="11.09765625" style="1" bestFit="1" customWidth="1"/>
    <col min="5110" max="5110" width="7.09765625" style="1" bestFit="1" customWidth="1"/>
    <col min="5111" max="5111" width="5" style="1" bestFit="1" customWidth="1"/>
    <col min="5112" max="5112" width="5.19921875" style="1" customWidth="1"/>
    <col min="5113" max="5113" width="5.69921875" style="1" customWidth="1"/>
    <col min="5114" max="5114" width="4.09765625" style="1" customWidth="1"/>
    <col min="5115" max="5115" width="20.69921875" style="1" customWidth="1"/>
    <col min="5116" max="5116" width="8.5" style="1" customWidth="1"/>
    <col min="5117" max="5117" width="7.09765625" style="1" bestFit="1" customWidth="1"/>
    <col min="5118" max="5118" width="5" style="1" bestFit="1" customWidth="1"/>
    <col min="5119" max="5119" width="8.19921875" style="1" bestFit="1" customWidth="1"/>
    <col min="5120" max="5120" width="9.19921875" style="1" bestFit="1" customWidth="1"/>
    <col min="5121" max="5122" width="6.69921875" style="1" bestFit="1" customWidth="1"/>
    <col min="5123" max="5125" width="5" style="1" bestFit="1" customWidth="1"/>
    <col min="5126" max="5126" width="15.09765625" style="1" bestFit="1" customWidth="1"/>
    <col min="5127" max="5127" width="9" style="1"/>
    <col min="5128" max="5128" width="5.3984375" style="1" bestFit="1" customWidth="1"/>
    <col min="5129" max="5129" width="5" style="1" bestFit="1" customWidth="1"/>
    <col min="5130" max="5131" width="5.8984375" style="1" bestFit="1" customWidth="1"/>
    <col min="5132" max="5356" width="9" style="1"/>
    <col min="5357" max="5357" width="4" style="1" customWidth="1"/>
    <col min="5358" max="5358" width="4.3984375" style="1" bestFit="1" customWidth="1"/>
    <col min="5359" max="5359" width="13.09765625" style="1" bestFit="1" customWidth="1"/>
    <col min="5360" max="5360" width="23.69921875" style="1" bestFit="1" customWidth="1"/>
    <col min="5361" max="5361" width="30.59765625" style="1" bestFit="1" customWidth="1"/>
    <col min="5362" max="5362" width="6.69921875" style="1" bestFit="1" customWidth="1"/>
    <col min="5363" max="5363" width="16.19921875" style="1" bestFit="1" customWidth="1"/>
    <col min="5364" max="5364" width="5" style="1" customWidth="1"/>
    <col min="5365" max="5365" width="11.09765625" style="1" bestFit="1" customWidth="1"/>
    <col min="5366" max="5366" width="7.09765625" style="1" bestFit="1" customWidth="1"/>
    <col min="5367" max="5367" width="5" style="1" bestFit="1" customWidth="1"/>
    <col min="5368" max="5368" width="5.19921875" style="1" customWidth="1"/>
    <col min="5369" max="5369" width="5.69921875" style="1" customWidth="1"/>
    <col min="5370" max="5370" width="4.09765625" style="1" customWidth="1"/>
    <col min="5371" max="5371" width="20.69921875" style="1" customWidth="1"/>
    <col min="5372" max="5372" width="8.5" style="1" customWidth="1"/>
    <col min="5373" max="5373" width="7.09765625" style="1" bestFit="1" customWidth="1"/>
    <col min="5374" max="5374" width="5" style="1" bestFit="1" customWidth="1"/>
    <col min="5375" max="5375" width="8.19921875" style="1" bestFit="1" customWidth="1"/>
    <col min="5376" max="5376" width="9.19921875" style="1" bestFit="1" customWidth="1"/>
    <col min="5377" max="5378" width="6.69921875" style="1" bestFit="1" customWidth="1"/>
    <col min="5379" max="5381" width="5" style="1" bestFit="1" customWidth="1"/>
    <col min="5382" max="5382" width="15.09765625" style="1" bestFit="1" customWidth="1"/>
    <col min="5383" max="5383" width="9" style="1"/>
    <col min="5384" max="5384" width="5.3984375" style="1" bestFit="1" customWidth="1"/>
    <col min="5385" max="5385" width="5" style="1" bestFit="1" customWidth="1"/>
    <col min="5386" max="5387" width="5.8984375" style="1" bestFit="1" customWidth="1"/>
    <col min="5388" max="5612" width="9" style="1"/>
    <col min="5613" max="5613" width="4" style="1" customWidth="1"/>
    <col min="5614" max="5614" width="4.3984375" style="1" bestFit="1" customWidth="1"/>
    <col min="5615" max="5615" width="13.09765625" style="1" bestFit="1" customWidth="1"/>
    <col min="5616" max="5616" width="23.69921875" style="1" bestFit="1" customWidth="1"/>
    <col min="5617" max="5617" width="30.59765625" style="1" bestFit="1" customWidth="1"/>
    <col min="5618" max="5618" width="6.69921875" style="1" bestFit="1" customWidth="1"/>
    <col min="5619" max="5619" width="16.19921875" style="1" bestFit="1" customWidth="1"/>
    <col min="5620" max="5620" width="5" style="1" customWidth="1"/>
    <col min="5621" max="5621" width="11.09765625" style="1" bestFit="1" customWidth="1"/>
    <col min="5622" max="5622" width="7.09765625" style="1" bestFit="1" customWidth="1"/>
    <col min="5623" max="5623" width="5" style="1" bestFit="1" customWidth="1"/>
    <col min="5624" max="5624" width="5.19921875" style="1" customWidth="1"/>
    <col min="5625" max="5625" width="5.69921875" style="1" customWidth="1"/>
    <col min="5626" max="5626" width="4.09765625" style="1" customWidth="1"/>
    <col min="5627" max="5627" width="20.69921875" style="1" customWidth="1"/>
    <col min="5628" max="5628" width="8.5" style="1" customWidth="1"/>
    <col min="5629" max="5629" width="7.09765625" style="1" bestFit="1" customWidth="1"/>
    <col min="5630" max="5630" width="5" style="1" bestFit="1" customWidth="1"/>
    <col min="5631" max="5631" width="8.19921875" style="1" bestFit="1" customWidth="1"/>
    <col min="5632" max="5632" width="9.19921875" style="1" bestFit="1" customWidth="1"/>
    <col min="5633" max="5634" width="6.69921875" style="1" bestFit="1" customWidth="1"/>
    <col min="5635" max="5637" width="5" style="1" bestFit="1" customWidth="1"/>
    <col min="5638" max="5638" width="15.09765625" style="1" bestFit="1" customWidth="1"/>
    <col min="5639" max="5639" width="9" style="1"/>
    <col min="5640" max="5640" width="5.3984375" style="1" bestFit="1" customWidth="1"/>
    <col min="5641" max="5641" width="5" style="1" bestFit="1" customWidth="1"/>
    <col min="5642" max="5643" width="5.8984375" style="1" bestFit="1" customWidth="1"/>
    <col min="5644" max="5868" width="9" style="1"/>
    <col min="5869" max="5869" width="4" style="1" customWidth="1"/>
    <col min="5870" max="5870" width="4.3984375" style="1" bestFit="1" customWidth="1"/>
    <col min="5871" max="5871" width="13.09765625" style="1" bestFit="1" customWidth="1"/>
    <col min="5872" max="5872" width="23.69921875" style="1" bestFit="1" customWidth="1"/>
    <col min="5873" max="5873" width="30.59765625" style="1" bestFit="1" customWidth="1"/>
    <col min="5874" max="5874" width="6.69921875" style="1" bestFit="1" customWidth="1"/>
    <col min="5875" max="5875" width="16.19921875" style="1" bestFit="1" customWidth="1"/>
    <col min="5876" max="5876" width="5" style="1" customWidth="1"/>
    <col min="5877" max="5877" width="11.09765625" style="1" bestFit="1" customWidth="1"/>
    <col min="5878" max="5878" width="7.09765625" style="1" bestFit="1" customWidth="1"/>
    <col min="5879" max="5879" width="5" style="1" bestFit="1" customWidth="1"/>
    <col min="5880" max="5880" width="5.19921875" style="1" customWidth="1"/>
    <col min="5881" max="5881" width="5.69921875" style="1" customWidth="1"/>
    <col min="5882" max="5882" width="4.09765625" style="1" customWidth="1"/>
    <col min="5883" max="5883" width="20.69921875" style="1" customWidth="1"/>
    <col min="5884" max="5884" width="8.5" style="1" customWidth="1"/>
    <col min="5885" max="5885" width="7.09765625" style="1" bestFit="1" customWidth="1"/>
    <col min="5886" max="5886" width="5" style="1" bestFit="1" customWidth="1"/>
    <col min="5887" max="5887" width="8.19921875" style="1" bestFit="1" customWidth="1"/>
    <col min="5888" max="5888" width="9.19921875" style="1" bestFit="1" customWidth="1"/>
    <col min="5889" max="5890" width="6.69921875" style="1" bestFit="1" customWidth="1"/>
    <col min="5891" max="5893" width="5" style="1" bestFit="1" customWidth="1"/>
    <col min="5894" max="5894" width="15.09765625" style="1" bestFit="1" customWidth="1"/>
    <col min="5895" max="5895" width="9" style="1"/>
    <col min="5896" max="5896" width="5.3984375" style="1" bestFit="1" customWidth="1"/>
    <col min="5897" max="5897" width="5" style="1" bestFit="1" customWidth="1"/>
    <col min="5898" max="5899" width="5.8984375" style="1" bestFit="1" customWidth="1"/>
    <col min="5900" max="6124" width="9" style="1"/>
    <col min="6125" max="6125" width="4" style="1" customWidth="1"/>
    <col min="6126" max="6126" width="4.3984375" style="1" bestFit="1" customWidth="1"/>
    <col min="6127" max="6127" width="13.09765625" style="1" bestFit="1" customWidth="1"/>
    <col min="6128" max="6128" width="23.69921875" style="1" bestFit="1" customWidth="1"/>
    <col min="6129" max="6129" width="30.59765625" style="1" bestFit="1" customWidth="1"/>
    <col min="6130" max="6130" width="6.69921875" style="1" bestFit="1" customWidth="1"/>
    <col min="6131" max="6131" width="16.19921875" style="1" bestFit="1" customWidth="1"/>
    <col min="6132" max="6132" width="5" style="1" customWidth="1"/>
    <col min="6133" max="6133" width="11.09765625" style="1" bestFit="1" customWidth="1"/>
    <col min="6134" max="6134" width="7.09765625" style="1" bestFit="1" customWidth="1"/>
    <col min="6135" max="6135" width="5" style="1" bestFit="1" customWidth="1"/>
    <col min="6136" max="6136" width="5.19921875" style="1" customWidth="1"/>
    <col min="6137" max="6137" width="5.69921875" style="1" customWidth="1"/>
    <col min="6138" max="6138" width="4.09765625" style="1" customWidth="1"/>
    <col min="6139" max="6139" width="20.69921875" style="1" customWidth="1"/>
    <col min="6140" max="6140" width="8.5" style="1" customWidth="1"/>
    <col min="6141" max="6141" width="7.09765625" style="1" bestFit="1" customWidth="1"/>
    <col min="6142" max="6142" width="5" style="1" bestFit="1" customWidth="1"/>
    <col min="6143" max="6143" width="8.19921875" style="1" bestFit="1" customWidth="1"/>
    <col min="6144" max="6144" width="9.19921875" style="1" bestFit="1" customWidth="1"/>
    <col min="6145" max="6146" width="6.69921875" style="1" bestFit="1" customWidth="1"/>
    <col min="6147" max="6149" width="5" style="1" bestFit="1" customWidth="1"/>
    <col min="6150" max="6150" width="15.09765625" style="1" bestFit="1" customWidth="1"/>
    <col min="6151" max="6151" width="9" style="1"/>
    <col min="6152" max="6152" width="5.3984375" style="1" bestFit="1" customWidth="1"/>
    <col min="6153" max="6153" width="5" style="1" bestFit="1" customWidth="1"/>
    <col min="6154" max="6155" width="5.8984375" style="1" bestFit="1" customWidth="1"/>
    <col min="6156" max="6380" width="9" style="1"/>
    <col min="6381" max="6381" width="4" style="1" customWidth="1"/>
    <col min="6382" max="6382" width="4.3984375" style="1" bestFit="1" customWidth="1"/>
    <col min="6383" max="6383" width="13.09765625" style="1" bestFit="1" customWidth="1"/>
    <col min="6384" max="6384" width="23.69921875" style="1" bestFit="1" customWidth="1"/>
    <col min="6385" max="6385" width="30.59765625" style="1" bestFit="1" customWidth="1"/>
    <col min="6386" max="6386" width="6.69921875" style="1" bestFit="1" customWidth="1"/>
    <col min="6387" max="6387" width="16.19921875" style="1" bestFit="1" customWidth="1"/>
    <col min="6388" max="6388" width="5" style="1" customWidth="1"/>
    <col min="6389" max="6389" width="11.09765625" style="1" bestFit="1" customWidth="1"/>
    <col min="6390" max="6390" width="7.09765625" style="1" bestFit="1" customWidth="1"/>
    <col min="6391" max="6391" width="5" style="1" bestFit="1" customWidth="1"/>
    <col min="6392" max="6392" width="5.19921875" style="1" customWidth="1"/>
    <col min="6393" max="6393" width="5.69921875" style="1" customWidth="1"/>
    <col min="6394" max="6394" width="4.09765625" style="1" customWidth="1"/>
    <col min="6395" max="6395" width="20.69921875" style="1" customWidth="1"/>
    <col min="6396" max="6396" width="8.5" style="1" customWidth="1"/>
    <col min="6397" max="6397" width="7.09765625" style="1" bestFit="1" customWidth="1"/>
    <col min="6398" max="6398" width="5" style="1" bestFit="1" customWidth="1"/>
    <col min="6399" max="6399" width="8.19921875" style="1" bestFit="1" customWidth="1"/>
    <col min="6400" max="6400" width="9.19921875" style="1" bestFit="1" customWidth="1"/>
    <col min="6401" max="6402" width="6.69921875" style="1" bestFit="1" customWidth="1"/>
    <col min="6403" max="6405" width="5" style="1" bestFit="1" customWidth="1"/>
    <col min="6406" max="6406" width="15.09765625" style="1" bestFit="1" customWidth="1"/>
    <col min="6407" max="6407" width="9" style="1"/>
    <col min="6408" max="6408" width="5.3984375" style="1" bestFit="1" customWidth="1"/>
    <col min="6409" max="6409" width="5" style="1" bestFit="1" customWidth="1"/>
    <col min="6410" max="6411" width="5.8984375" style="1" bestFit="1" customWidth="1"/>
    <col min="6412" max="6636" width="9" style="1"/>
    <col min="6637" max="6637" width="4" style="1" customWidth="1"/>
    <col min="6638" max="6638" width="4.3984375" style="1" bestFit="1" customWidth="1"/>
    <col min="6639" max="6639" width="13.09765625" style="1" bestFit="1" customWidth="1"/>
    <col min="6640" max="6640" width="23.69921875" style="1" bestFit="1" customWidth="1"/>
    <col min="6641" max="6641" width="30.59765625" style="1" bestFit="1" customWidth="1"/>
    <col min="6642" max="6642" width="6.69921875" style="1" bestFit="1" customWidth="1"/>
    <col min="6643" max="6643" width="16.19921875" style="1" bestFit="1" customWidth="1"/>
    <col min="6644" max="6644" width="5" style="1" customWidth="1"/>
    <col min="6645" max="6645" width="11.09765625" style="1" bestFit="1" customWidth="1"/>
    <col min="6646" max="6646" width="7.09765625" style="1" bestFit="1" customWidth="1"/>
    <col min="6647" max="6647" width="5" style="1" bestFit="1" customWidth="1"/>
    <col min="6648" max="6648" width="5.19921875" style="1" customWidth="1"/>
    <col min="6649" max="6649" width="5.69921875" style="1" customWidth="1"/>
    <col min="6650" max="6650" width="4.09765625" style="1" customWidth="1"/>
    <col min="6651" max="6651" width="20.69921875" style="1" customWidth="1"/>
    <col min="6652" max="6652" width="8.5" style="1" customWidth="1"/>
    <col min="6653" max="6653" width="7.09765625" style="1" bestFit="1" customWidth="1"/>
    <col min="6654" max="6654" width="5" style="1" bestFit="1" customWidth="1"/>
    <col min="6655" max="6655" width="8.19921875" style="1" bestFit="1" customWidth="1"/>
    <col min="6656" max="6656" width="9.19921875" style="1" bestFit="1" customWidth="1"/>
    <col min="6657" max="6658" width="6.69921875" style="1" bestFit="1" customWidth="1"/>
    <col min="6659" max="6661" width="5" style="1" bestFit="1" customWidth="1"/>
    <col min="6662" max="6662" width="15.09765625" style="1" bestFit="1" customWidth="1"/>
    <col min="6663" max="6663" width="9" style="1"/>
    <col min="6664" max="6664" width="5.3984375" style="1" bestFit="1" customWidth="1"/>
    <col min="6665" max="6665" width="5" style="1" bestFit="1" customWidth="1"/>
    <col min="6666" max="6667" width="5.8984375" style="1" bestFit="1" customWidth="1"/>
    <col min="6668" max="6892" width="9" style="1"/>
    <col min="6893" max="6893" width="4" style="1" customWidth="1"/>
    <col min="6894" max="6894" width="4.3984375" style="1" bestFit="1" customWidth="1"/>
    <col min="6895" max="6895" width="13.09765625" style="1" bestFit="1" customWidth="1"/>
    <col min="6896" max="6896" width="23.69921875" style="1" bestFit="1" customWidth="1"/>
    <col min="6897" max="6897" width="30.59765625" style="1" bestFit="1" customWidth="1"/>
    <col min="6898" max="6898" width="6.69921875" style="1" bestFit="1" customWidth="1"/>
    <col min="6899" max="6899" width="16.19921875" style="1" bestFit="1" customWidth="1"/>
    <col min="6900" max="6900" width="5" style="1" customWidth="1"/>
    <col min="6901" max="6901" width="11.09765625" style="1" bestFit="1" customWidth="1"/>
    <col min="6902" max="6902" width="7.09765625" style="1" bestFit="1" customWidth="1"/>
    <col min="6903" max="6903" width="5" style="1" bestFit="1" customWidth="1"/>
    <col min="6904" max="6904" width="5.19921875" style="1" customWidth="1"/>
    <col min="6905" max="6905" width="5.69921875" style="1" customWidth="1"/>
    <col min="6906" max="6906" width="4.09765625" style="1" customWidth="1"/>
    <col min="6907" max="6907" width="20.69921875" style="1" customWidth="1"/>
    <col min="6908" max="6908" width="8.5" style="1" customWidth="1"/>
    <col min="6909" max="6909" width="7.09765625" style="1" bestFit="1" customWidth="1"/>
    <col min="6910" max="6910" width="5" style="1" bestFit="1" customWidth="1"/>
    <col min="6911" max="6911" width="8.19921875" style="1" bestFit="1" customWidth="1"/>
    <col min="6912" max="6912" width="9.19921875" style="1" bestFit="1" customWidth="1"/>
    <col min="6913" max="6914" width="6.69921875" style="1" bestFit="1" customWidth="1"/>
    <col min="6915" max="6917" width="5" style="1" bestFit="1" customWidth="1"/>
    <col min="6918" max="6918" width="15.09765625" style="1" bestFit="1" customWidth="1"/>
    <col min="6919" max="6919" width="9" style="1"/>
    <col min="6920" max="6920" width="5.3984375" style="1" bestFit="1" customWidth="1"/>
    <col min="6921" max="6921" width="5" style="1" bestFit="1" customWidth="1"/>
    <col min="6922" max="6923" width="5.8984375" style="1" bestFit="1" customWidth="1"/>
    <col min="6924" max="7148" width="9" style="1"/>
    <col min="7149" max="7149" width="4" style="1" customWidth="1"/>
    <col min="7150" max="7150" width="4.3984375" style="1" bestFit="1" customWidth="1"/>
    <col min="7151" max="7151" width="13.09765625" style="1" bestFit="1" customWidth="1"/>
    <col min="7152" max="7152" width="23.69921875" style="1" bestFit="1" customWidth="1"/>
    <col min="7153" max="7153" width="30.59765625" style="1" bestFit="1" customWidth="1"/>
    <col min="7154" max="7154" width="6.69921875" style="1" bestFit="1" customWidth="1"/>
    <col min="7155" max="7155" width="16.19921875" style="1" bestFit="1" customWidth="1"/>
    <col min="7156" max="7156" width="5" style="1" customWidth="1"/>
    <col min="7157" max="7157" width="11.09765625" style="1" bestFit="1" customWidth="1"/>
    <col min="7158" max="7158" width="7.09765625" style="1" bestFit="1" customWidth="1"/>
    <col min="7159" max="7159" width="5" style="1" bestFit="1" customWidth="1"/>
    <col min="7160" max="7160" width="5.19921875" style="1" customWidth="1"/>
    <col min="7161" max="7161" width="5.69921875" style="1" customWidth="1"/>
    <col min="7162" max="7162" width="4.09765625" style="1" customWidth="1"/>
    <col min="7163" max="7163" width="20.69921875" style="1" customWidth="1"/>
    <col min="7164" max="7164" width="8.5" style="1" customWidth="1"/>
    <col min="7165" max="7165" width="7.09765625" style="1" bestFit="1" customWidth="1"/>
    <col min="7166" max="7166" width="5" style="1" bestFit="1" customWidth="1"/>
    <col min="7167" max="7167" width="8.19921875" style="1" bestFit="1" customWidth="1"/>
    <col min="7168" max="7168" width="9.19921875" style="1" bestFit="1" customWidth="1"/>
    <col min="7169" max="7170" width="6.69921875" style="1" bestFit="1" customWidth="1"/>
    <col min="7171" max="7173" width="5" style="1" bestFit="1" customWidth="1"/>
    <col min="7174" max="7174" width="15.09765625" style="1" bestFit="1" customWidth="1"/>
    <col min="7175" max="7175" width="9" style="1"/>
    <col min="7176" max="7176" width="5.3984375" style="1" bestFit="1" customWidth="1"/>
    <col min="7177" max="7177" width="5" style="1" bestFit="1" customWidth="1"/>
    <col min="7178" max="7179" width="5.8984375" style="1" bestFit="1" customWidth="1"/>
    <col min="7180" max="7404" width="9" style="1"/>
    <col min="7405" max="7405" width="4" style="1" customWidth="1"/>
    <col min="7406" max="7406" width="4.3984375" style="1" bestFit="1" customWidth="1"/>
    <col min="7407" max="7407" width="13.09765625" style="1" bestFit="1" customWidth="1"/>
    <col min="7408" max="7408" width="23.69921875" style="1" bestFit="1" customWidth="1"/>
    <col min="7409" max="7409" width="30.59765625" style="1" bestFit="1" customWidth="1"/>
    <col min="7410" max="7410" width="6.69921875" style="1" bestFit="1" customWidth="1"/>
    <col min="7411" max="7411" width="16.19921875" style="1" bestFit="1" customWidth="1"/>
    <col min="7412" max="7412" width="5" style="1" customWidth="1"/>
    <col min="7413" max="7413" width="11.09765625" style="1" bestFit="1" customWidth="1"/>
    <col min="7414" max="7414" width="7.09765625" style="1" bestFit="1" customWidth="1"/>
    <col min="7415" max="7415" width="5" style="1" bestFit="1" customWidth="1"/>
    <col min="7416" max="7416" width="5.19921875" style="1" customWidth="1"/>
    <col min="7417" max="7417" width="5.69921875" style="1" customWidth="1"/>
    <col min="7418" max="7418" width="4.09765625" style="1" customWidth="1"/>
    <col min="7419" max="7419" width="20.69921875" style="1" customWidth="1"/>
    <col min="7420" max="7420" width="8.5" style="1" customWidth="1"/>
    <col min="7421" max="7421" width="7.09765625" style="1" bestFit="1" customWidth="1"/>
    <col min="7422" max="7422" width="5" style="1" bestFit="1" customWidth="1"/>
    <col min="7423" max="7423" width="8.19921875" style="1" bestFit="1" customWidth="1"/>
    <col min="7424" max="7424" width="9.19921875" style="1" bestFit="1" customWidth="1"/>
    <col min="7425" max="7426" width="6.69921875" style="1" bestFit="1" customWidth="1"/>
    <col min="7427" max="7429" width="5" style="1" bestFit="1" customWidth="1"/>
    <col min="7430" max="7430" width="15.09765625" style="1" bestFit="1" customWidth="1"/>
    <col min="7431" max="7431" width="9" style="1"/>
    <col min="7432" max="7432" width="5.3984375" style="1" bestFit="1" customWidth="1"/>
    <col min="7433" max="7433" width="5" style="1" bestFit="1" customWidth="1"/>
    <col min="7434" max="7435" width="5.8984375" style="1" bestFit="1" customWidth="1"/>
    <col min="7436" max="7660" width="9" style="1"/>
    <col min="7661" max="7661" width="4" style="1" customWidth="1"/>
    <col min="7662" max="7662" width="4.3984375" style="1" bestFit="1" customWidth="1"/>
    <col min="7663" max="7663" width="13.09765625" style="1" bestFit="1" customWidth="1"/>
    <col min="7664" max="7664" width="23.69921875" style="1" bestFit="1" customWidth="1"/>
    <col min="7665" max="7665" width="30.59765625" style="1" bestFit="1" customWidth="1"/>
    <col min="7666" max="7666" width="6.69921875" style="1" bestFit="1" customWidth="1"/>
    <col min="7667" max="7667" width="16.19921875" style="1" bestFit="1" customWidth="1"/>
    <col min="7668" max="7668" width="5" style="1" customWidth="1"/>
    <col min="7669" max="7669" width="11.09765625" style="1" bestFit="1" customWidth="1"/>
    <col min="7670" max="7670" width="7.09765625" style="1" bestFit="1" customWidth="1"/>
    <col min="7671" max="7671" width="5" style="1" bestFit="1" customWidth="1"/>
    <col min="7672" max="7672" width="5.19921875" style="1" customWidth="1"/>
    <col min="7673" max="7673" width="5.69921875" style="1" customWidth="1"/>
    <col min="7674" max="7674" width="4.09765625" style="1" customWidth="1"/>
    <col min="7675" max="7675" width="20.69921875" style="1" customWidth="1"/>
    <col min="7676" max="7676" width="8.5" style="1" customWidth="1"/>
    <col min="7677" max="7677" width="7.09765625" style="1" bestFit="1" customWidth="1"/>
    <col min="7678" max="7678" width="5" style="1" bestFit="1" customWidth="1"/>
    <col min="7679" max="7679" width="8.19921875" style="1" bestFit="1" customWidth="1"/>
    <col min="7680" max="7680" width="9.19921875" style="1" bestFit="1" customWidth="1"/>
    <col min="7681" max="7682" width="6.69921875" style="1" bestFit="1" customWidth="1"/>
    <col min="7683" max="7685" width="5" style="1" bestFit="1" customWidth="1"/>
    <col min="7686" max="7686" width="15.09765625" style="1" bestFit="1" customWidth="1"/>
    <col min="7687" max="7687" width="9" style="1"/>
    <col min="7688" max="7688" width="5.3984375" style="1" bestFit="1" customWidth="1"/>
    <col min="7689" max="7689" width="5" style="1" bestFit="1" customWidth="1"/>
    <col min="7690" max="7691" width="5.8984375" style="1" bestFit="1" customWidth="1"/>
    <col min="7692" max="7916" width="9" style="1"/>
    <col min="7917" max="7917" width="4" style="1" customWidth="1"/>
    <col min="7918" max="7918" width="4.3984375" style="1" bestFit="1" customWidth="1"/>
    <col min="7919" max="7919" width="13.09765625" style="1" bestFit="1" customWidth="1"/>
    <col min="7920" max="7920" width="23.69921875" style="1" bestFit="1" customWidth="1"/>
    <col min="7921" max="7921" width="30.59765625" style="1" bestFit="1" customWidth="1"/>
    <col min="7922" max="7922" width="6.69921875" style="1" bestFit="1" customWidth="1"/>
    <col min="7923" max="7923" width="16.19921875" style="1" bestFit="1" customWidth="1"/>
    <col min="7924" max="7924" width="5" style="1" customWidth="1"/>
    <col min="7925" max="7925" width="11.09765625" style="1" bestFit="1" customWidth="1"/>
    <col min="7926" max="7926" width="7.09765625" style="1" bestFit="1" customWidth="1"/>
    <col min="7927" max="7927" width="5" style="1" bestFit="1" customWidth="1"/>
    <col min="7928" max="7928" width="5.19921875" style="1" customWidth="1"/>
    <col min="7929" max="7929" width="5.69921875" style="1" customWidth="1"/>
    <col min="7930" max="7930" width="4.09765625" style="1" customWidth="1"/>
    <col min="7931" max="7931" width="20.69921875" style="1" customWidth="1"/>
    <col min="7932" max="7932" width="8.5" style="1" customWidth="1"/>
    <col min="7933" max="7933" width="7.09765625" style="1" bestFit="1" customWidth="1"/>
    <col min="7934" max="7934" width="5" style="1" bestFit="1" customWidth="1"/>
    <col min="7935" max="7935" width="8.19921875" style="1" bestFit="1" customWidth="1"/>
    <col min="7936" max="7936" width="9.19921875" style="1" bestFit="1" customWidth="1"/>
    <col min="7937" max="7938" width="6.69921875" style="1" bestFit="1" customWidth="1"/>
    <col min="7939" max="7941" width="5" style="1" bestFit="1" customWidth="1"/>
    <col min="7942" max="7942" width="15.09765625" style="1" bestFit="1" customWidth="1"/>
    <col min="7943" max="7943" width="9" style="1"/>
    <col min="7944" max="7944" width="5.3984375" style="1" bestFit="1" customWidth="1"/>
    <col min="7945" max="7945" width="5" style="1" bestFit="1" customWidth="1"/>
    <col min="7946" max="7947" width="5.8984375" style="1" bestFit="1" customWidth="1"/>
    <col min="7948" max="8172" width="9" style="1"/>
    <col min="8173" max="8173" width="4" style="1" customWidth="1"/>
    <col min="8174" max="8174" width="4.3984375" style="1" bestFit="1" customWidth="1"/>
    <col min="8175" max="8175" width="13.09765625" style="1" bestFit="1" customWidth="1"/>
    <col min="8176" max="8176" width="23.69921875" style="1" bestFit="1" customWidth="1"/>
    <col min="8177" max="8177" width="30.59765625" style="1" bestFit="1" customWidth="1"/>
    <col min="8178" max="8178" width="6.69921875" style="1" bestFit="1" customWidth="1"/>
    <col min="8179" max="8179" width="16.19921875" style="1" bestFit="1" customWidth="1"/>
    <col min="8180" max="8180" width="5" style="1" customWidth="1"/>
    <col min="8181" max="8181" width="11.09765625" style="1" bestFit="1" customWidth="1"/>
    <col min="8182" max="8182" width="7.09765625" style="1" bestFit="1" customWidth="1"/>
    <col min="8183" max="8183" width="5" style="1" bestFit="1" customWidth="1"/>
    <col min="8184" max="8184" width="5.19921875" style="1" customWidth="1"/>
    <col min="8185" max="8185" width="5.69921875" style="1" customWidth="1"/>
    <col min="8186" max="8186" width="4.09765625" style="1" customWidth="1"/>
    <col min="8187" max="8187" width="20.69921875" style="1" customWidth="1"/>
    <col min="8188" max="8188" width="8.5" style="1" customWidth="1"/>
    <col min="8189" max="8189" width="7.09765625" style="1" bestFit="1" customWidth="1"/>
    <col min="8190" max="8190" width="5" style="1" bestFit="1" customWidth="1"/>
    <col min="8191" max="8191" width="8.19921875" style="1" bestFit="1" customWidth="1"/>
    <col min="8192" max="8192" width="9.19921875" style="1" bestFit="1" customWidth="1"/>
    <col min="8193" max="8194" width="6.69921875" style="1" bestFit="1" customWidth="1"/>
    <col min="8195" max="8197" width="5" style="1" bestFit="1" customWidth="1"/>
    <col min="8198" max="8198" width="15.09765625" style="1" bestFit="1" customWidth="1"/>
    <col min="8199" max="8199" width="9" style="1"/>
    <col min="8200" max="8200" width="5.3984375" style="1" bestFit="1" customWidth="1"/>
    <col min="8201" max="8201" width="5" style="1" bestFit="1" customWidth="1"/>
    <col min="8202" max="8203" width="5.8984375" style="1" bestFit="1" customWidth="1"/>
    <col min="8204" max="8428" width="9" style="1"/>
    <col min="8429" max="8429" width="4" style="1" customWidth="1"/>
    <col min="8430" max="8430" width="4.3984375" style="1" bestFit="1" customWidth="1"/>
    <col min="8431" max="8431" width="13.09765625" style="1" bestFit="1" customWidth="1"/>
    <col min="8432" max="8432" width="23.69921875" style="1" bestFit="1" customWidth="1"/>
    <col min="8433" max="8433" width="30.59765625" style="1" bestFit="1" customWidth="1"/>
    <col min="8434" max="8434" width="6.69921875" style="1" bestFit="1" customWidth="1"/>
    <col min="8435" max="8435" width="16.19921875" style="1" bestFit="1" customWidth="1"/>
    <col min="8436" max="8436" width="5" style="1" customWidth="1"/>
    <col min="8437" max="8437" width="11.09765625" style="1" bestFit="1" customWidth="1"/>
    <col min="8438" max="8438" width="7.09765625" style="1" bestFit="1" customWidth="1"/>
    <col min="8439" max="8439" width="5" style="1" bestFit="1" customWidth="1"/>
    <col min="8440" max="8440" width="5.19921875" style="1" customWidth="1"/>
    <col min="8441" max="8441" width="5.69921875" style="1" customWidth="1"/>
    <col min="8442" max="8442" width="4.09765625" style="1" customWidth="1"/>
    <col min="8443" max="8443" width="20.69921875" style="1" customWidth="1"/>
    <col min="8444" max="8444" width="8.5" style="1" customWidth="1"/>
    <col min="8445" max="8445" width="7.09765625" style="1" bestFit="1" customWidth="1"/>
    <col min="8446" max="8446" width="5" style="1" bestFit="1" customWidth="1"/>
    <col min="8447" max="8447" width="8.19921875" style="1" bestFit="1" customWidth="1"/>
    <col min="8448" max="8448" width="9.19921875" style="1" bestFit="1" customWidth="1"/>
    <col min="8449" max="8450" width="6.69921875" style="1" bestFit="1" customWidth="1"/>
    <col min="8451" max="8453" width="5" style="1" bestFit="1" customWidth="1"/>
    <col min="8454" max="8454" width="15.09765625" style="1" bestFit="1" customWidth="1"/>
    <col min="8455" max="8455" width="9" style="1"/>
    <col min="8456" max="8456" width="5.3984375" style="1" bestFit="1" customWidth="1"/>
    <col min="8457" max="8457" width="5" style="1" bestFit="1" customWidth="1"/>
    <col min="8458" max="8459" width="5.8984375" style="1" bestFit="1" customWidth="1"/>
    <col min="8460" max="8684" width="9" style="1"/>
    <col min="8685" max="8685" width="4" style="1" customWidth="1"/>
    <col min="8686" max="8686" width="4.3984375" style="1" bestFit="1" customWidth="1"/>
    <col min="8687" max="8687" width="13.09765625" style="1" bestFit="1" customWidth="1"/>
    <col min="8688" max="8688" width="23.69921875" style="1" bestFit="1" customWidth="1"/>
    <col min="8689" max="8689" width="30.59765625" style="1" bestFit="1" customWidth="1"/>
    <col min="8690" max="8690" width="6.69921875" style="1" bestFit="1" customWidth="1"/>
    <col min="8691" max="8691" width="16.19921875" style="1" bestFit="1" customWidth="1"/>
    <col min="8692" max="8692" width="5" style="1" customWidth="1"/>
    <col min="8693" max="8693" width="11.09765625" style="1" bestFit="1" customWidth="1"/>
    <col min="8694" max="8694" width="7.09765625" style="1" bestFit="1" customWidth="1"/>
    <col min="8695" max="8695" width="5" style="1" bestFit="1" customWidth="1"/>
    <col min="8696" max="8696" width="5.19921875" style="1" customWidth="1"/>
    <col min="8697" max="8697" width="5.69921875" style="1" customWidth="1"/>
    <col min="8698" max="8698" width="4.09765625" style="1" customWidth="1"/>
    <col min="8699" max="8699" width="20.69921875" style="1" customWidth="1"/>
    <col min="8700" max="8700" width="8.5" style="1" customWidth="1"/>
    <col min="8701" max="8701" width="7.09765625" style="1" bestFit="1" customWidth="1"/>
    <col min="8702" max="8702" width="5" style="1" bestFit="1" customWidth="1"/>
    <col min="8703" max="8703" width="8.19921875" style="1" bestFit="1" customWidth="1"/>
    <col min="8704" max="8704" width="9.19921875" style="1" bestFit="1" customWidth="1"/>
    <col min="8705" max="8706" width="6.69921875" style="1" bestFit="1" customWidth="1"/>
    <col min="8707" max="8709" width="5" style="1" bestFit="1" customWidth="1"/>
    <col min="8710" max="8710" width="15.09765625" style="1" bestFit="1" customWidth="1"/>
    <col min="8711" max="8711" width="9" style="1"/>
    <col min="8712" max="8712" width="5.3984375" style="1" bestFit="1" customWidth="1"/>
    <col min="8713" max="8713" width="5" style="1" bestFit="1" customWidth="1"/>
    <col min="8714" max="8715" width="5.8984375" style="1" bestFit="1" customWidth="1"/>
    <col min="8716" max="8940" width="9" style="1"/>
    <col min="8941" max="8941" width="4" style="1" customWidth="1"/>
    <col min="8942" max="8942" width="4.3984375" style="1" bestFit="1" customWidth="1"/>
    <col min="8943" max="8943" width="13.09765625" style="1" bestFit="1" customWidth="1"/>
    <col min="8944" max="8944" width="23.69921875" style="1" bestFit="1" customWidth="1"/>
    <col min="8945" max="8945" width="30.59765625" style="1" bestFit="1" customWidth="1"/>
    <col min="8946" max="8946" width="6.69921875" style="1" bestFit="1" customWidth="1"/>
    <col min="8947" max="8947" width="16.19921875" style="1" bestFit="1" customWidth="1"/>
    <col min="8948" max="8948" width="5" style="1" customWidth="1"/>
    <col min="8949" max="8949" width="11.09765625" style="1" bestFit="1" customWidth="1"/>
    <col min="8950" max="8950" width="7.09765625" style="1" bestFit="1" customWidth="1"/>
    <col min="8951" max="8951" width="5" style="1" bestFit="1" customWidth="1"/>
    <col min="8952" max="8952" width="5.19921875" style="1" customWidth="1"/>
    <col min="8953" max="8953" width="5.69921875" style="1" customWidth="1"/>
    <col min="8954" max="8954" width="4.09765625" style="1" customWidth="1"/>
    <col min="8955" max="8955" width="20.69921875" style="1" customWidth="1"/>
    <col min="8956" max="8956" width="8.5" style="1" customWidth="1"/>
    <col min="8957" max="8957" width="7.09765625" style="1" bestFit="1" customWidth="1"/>
    <col min="8958" max="8958" width="5" style="1" bestFit="1" customWidth="1"/>
    <col min="8959" max="8959" width="8.19921875" style="1" bestFit="1" customWidth="1"/>
    <col min="8960" max="8960" width="9.19921875" style="1" bestFit="1" customWidth="1"/>
    <col min="8961" max="8962" width="6.69921875" style="1" bestFit="1" customWidth="1"/>
    <col min="8963" max="8965" width="5" style="1" bestFit="1" customWidth="1"/>
    <col min="8966" max="8966" width="15.09765625" style="1" bestFit="1" customWidth="1"/>
    <col min="8967" max="8967" width="9" style="1"/>
    <col min="8968" max="8968" width="5.3984375" style="1" bestFit="1" customWidth="1"/>
    <col min="8969" max="8969" width="5" style="1" bestFit="1" customWidth="1"/>
    <col min="8970" max="8971" width="5.8984375" style="1" bestFit="1" customWidth="1"/>
    <col min="8972" max="9196" width="9" style="1"/>
    <col min="9197" max="9197" width="4" style="1" customWidth="1"/>
    <col min="9198" max="9198" width="4.3984375" style="1" bestFit="1" customWidth="1"/>
    <col min="9199" max="9199" width="13.09765625" style="1" bestFit="1" customWidth="1"/>
    <col min="9200" max="9200" width="23.69921875" style="1" bestFit="1" customWidth="1"/>
    <col min="9201" max="9201" width="30.59765625" style="1" bestFit="1" customWidth="1"/>
    <col min="9202" max="9202" width="6.69921875" style="1" bestFit="1" customWidth="1"/>
    <col min="9203" max="9203" width="16.19921875" style="1" bestFit="1" customWidth="1"/>
    <col min="9204" max="9204" width="5" style="1" customWidth="1"/>
    <col min="9205" max="9205" width="11.09765625" style="1" bestFit="1" customWidth="1"/>
    <col min="9206" max="9206" width="7.09765625" style="1" bestFit="1" customWidth="1"/>
    <col min="9207" max="9207" width="5" style="1" bestFit="1" customWidth="1"/>
    <col min="9208" max="9208" width="5.19921875" style="1" customWidth="1"/>
    <col min="9209" max="9209" width="5.69921875" style="1" customWidth="1"/>
    <col min="9210" max="9210" width="4.09765625" style="1" customWidth="1"/>
    <col min="9211" max="9211" width="20.69921875" style="1" customWidth="1"/>
    <col min="9212" max="9212" width="8.5" style="1" customWidth="1"/>
    <col min="9213" max="9213" width="7.09765625" style="1" bestFit="1" customWidth="1"/>
    <col min="9214" max="9214" width="5" style="1" bestFit="1" customWidth="1"/>
    <col min="9215" max="9215" width="8.19921875" style="1" bestFit="1" customWidth="1"/>
    <col min="9216" max="9216" width="9.19921875" style="1" bestFit="1" customWidth="1"/>
    <col min="9217" max="9218" width="6.69921875" style="1" bestFit="1" customWidth="1"/>
    <col min="9219" max="9221" width="5" style="1" bestFit="1" customWidth="1"/>
    <col min="9222" max="9222" width="15.09765625" style="1" bestFit="1" customWidth="1"/>
    <col min="9223" max="9223" width="9" style="1"/>
    <col min="9224" max="9224" width="5.3984375" style="1" bestFit="1" customWidth="1"/>
    <col min="9225" max="9225" width="5" style="1" bestFit="1" customWidth="1"/>
    <col min="9226" max="9227" width="5.8984375" style="1" bestFit="1" customWidth="1"/>
    <col min="9228" max="9452" width="9" style="1"/>
    <col min="9453" max="9453" width="4" style="1" customWidth="1"/>
    <col min="9454" max="9454" width="4.3984375" style="1" bestFit="1" customWidth="1"/>
    <col min="9455" max="9455" width="13.09765625" style="1" bestFit="1" customWidth="1"/>
    <col min="9456" max="9456" width="23.69921875" style="1" bestFit="1" customWidth="1"/>
    <col min="9457" max="9457" width="30.59765625" style="1" bestFit="1" customWidth="1"/>
    <col min="9458" max="9458" width="6.69921875" style="1" bestFit="1" customWidth="1"/>
    <col min="9459" max="9459" width="16.19921875" style="1" bestFit="1" customWidth="1"/>
    <col min="9460" max="9460" width="5" style="1" customWidth="1"/>
    <col min="9461" max="9461" width="11.09765625" style="1" bestFit="1" customWidth="1"/>
    <col min="9462" max="9462" width="7.09765625" style="1" bestFit="1" customWidth="1"/>
    <col min="9463" max="9463" width="5" style="1" bestFit="1" customWidth="1"/>
    <col min="9464" max="9464" width="5.19921875" style="1" customWidth="1"/>
    <col min="9465" max="9465" width="5.69921875" style="1" customWidth="1"/>
    <col min="9466" max="9466" width="4.09765625" style="1" customWidth="1"/>
    <col min="9467" max="9467" width="20.69921875" style="1" customWidth="1"/>
    <col min="9468" max="9468" width="8.5" style="1" customWidth="1"/>
    <col min="9469" max="9469" width="7.09765625" style="1" bestFit="1" customWidth="1"/>
    <col min="9470" max="9470" width="5" style="1" bestFit="1" customWidth="1"/>
    <col min="9471" max="9471" width="8.19921875" style="1" bestFit="1" customWidth="1"/>
    <col min="9472" max="9472" width="9.19921875" style="1" bestFit="1" customWidth="1"/>
    <col min="9473" max="9474" width="6.69921875" style="1" bestFit="1" customWidth="1"/>
    <col min="9475" max="9477" width="5" style="1" bestFit="1" customWidth="1"/>
    <col min="9478" max="9478" width="15.09765625" style="1" bestFit="1" customWidth="1"/>
    <col min="9479" max="9479" width="9" style="1"/>
    <col min="9480" max="9480" width="5.3984375" style="1" bestFit="1" customWidth="1"/>
    <col min="9481" max="9481" width="5" style="1" bestFit="1" customWidth="1"/>
    <col min="9482" max="9483" width="5.8984375" style="1" bestFit="1" customWidth="1"/>
    <col min="9484" max="9708" width="9" style="1"/>
    <col min="9709" max="9709" width="4" style="1" customWidth="1"/>
    <col min="9710" max="9710" width="4.3984375" style="1" bestFit="1" customWidth="1"/>
    <col min="9711" max="9711" width="13.09765625" style="1" bestFit="1" customWidth="1"/>
    <col min="9712" max="9712" width="23.69921875" style="1" bestFit="1" customWidth="1"/>
    <col min="9713" max="9713" width="30.59765625" style="1" bestFit="1" customWidth="1"/>
    <col min="9714" max="9714" width="6.69921875" style="1" bestFit="1" customWidth="1"/>
    <col min="9715" max="9715" width="16.19921875" style="1" bestFit="1" customWidth="1"/>
    <col min="9716" max="9716" width="5" style="1" customWidth="1"/>
    <col min="9717" max="9717" width="11.09765625" style="1" bestFit="1" customWidth="1"/>
    <col min="9718" max="9718" width="7.09765625" style="1" bestFit="1" customWidth="1"/>
    <col min="9719" max="9719" width="5" style="1" bestFit="1" customWidth="1"/>
    <col min="9720" max="9720" width="5.19921875" style="1" customWidth="1"/>
    <col min="9721" max="9721" width="5.69921875" style="1" customWidth="1"/>
    <col min="9722" max="9722" width="4.09765625" style="1" customWidth="1"/>
    <col min="9723" max="9723" width="20.69921875" style="1" customWidth="1"/>
    <col min="9724" max="9724" width="8.5" style="1" customWidth="1"/>
    <col min="9725" max="9725" width="7.09765625" style="1" bestFit="1" customWidth="1"/>
    <col min="9726" max="9726" width="5" style="1" bestFit="1" customWidth="1"/>
    <col min="9727" max="9727" width="8.19921875" style="1" bestFit="1" customWidth="1"/>
    <col min="9728" max="9728" width="9.19921875" style="1" bestFit="1" customWidth="1"/>
    <col min="9729" max="9730" width="6.69921875" style="1" bestFit="1" customWidth="1"/>
    <col min="9731" max="9733" width="5" style="1" bestFit="1" customWidth="1"/>
    <col min="9734" max="9734" width="15.09765625" style="1" bestFit="1" customWidth="1"/>
    <col min="9735" max="9735" width="9" style="1"/>
    <col min="9736" max="9736" width="5.3984375" style="1" bestFit="1" customWidth="1"/>
    <col min="9737" max="9737" width="5" style="1" bestFit="1" customWidth="1"/>
    <col min="9738" max="9739" width="5.8984375" style="1" bestFit="1" customWidth="1"/>
    <col min="9740" max="9964" width="9" style="1"/>
    <col min="9965" max="9965" width="4" style="1" customWidth="1"/>
    <col min="9966" max="9966" width="4.3984375" style="1" bestFit="1" customWidth="1"/>
    <col min="9967" max="9967" width="13.09765625" style="1" bestFit="1" customWidth="1"/>
    <col min="9968" max="9968" width="23.69921875" style="1" bestFit="1" customWidth="1"/>
    <col min="9969" max="9969" width="30.59765625" style="1" bestFit="1" customWidth="1"/>
    <col min="9970" max="9970" width="6.69921875" style="1" bestFit="1" customWidth="1"/>
    <col min="9971" max="9971" width="16.19921875" style="1" bestFit="1" customWidth="1"/>
    <col min="9972" max="9972" width="5" style="1" customWidth="1"/>
    <col min="9973" max="9973" width="11.09765625" style="1" bestFit="1" customWidth="1"/>
    <col min="9974" max="9974" width="7.09765625" style="1" bestFit="1" customWidth="1"/>
    <col min="9975" max="9975" width="5" style="1" bestFit="1" customWidth="1"/>
    <col min="9976" max="9976" width="5.19921875" style="1" customWidth="1"/>
    <col min="9977" max="9977" width="5.69921875" style="1" customWidth="1"/>
    <col min="9978" max="9978" width="4.09765625" style="1" customWidth="1"/>
    <col min="9979" max="9979" width="20.69921875" style="1" customWidth="1"/>
    <col min="9980" max="9980" width="8.5" style="1" customWidth="1"/>
    <col min="9981" max="9981" width="7.09765625" style="1" bestFit="1" customWidth="1"/>
    <col min="9982" max="9982" width="5" style="1" bestFit="1" customWidth="1"/>
    <col min="9983" max="9983" width="8.19921875" style="1" bestFit="1" customWidth="1"/>
    <col min="9984" max="9984" width="9.19921875" style="1" bestFit="1" customWidth="1"/>
    <col min="9985" max="9986" width="6.69921875" style="1" bestFit="1" customWidth="1"/>
    <col min="9987" max="9989" width="5" style="1" bestFit="1" customWidth="1"/>
    <col min="9990" max="9990" width="15.09765625" style="1" bestFit="1" customWidth="1"/>
    <col min="9991" max="9991" width="9" style="1"/>
    <col min="9992" max="9992" width="5.3984375" style="1" bestFit="1" customWidth="1"/>
    <col min="9993" max="9993" width="5" style="1" bestFit="1" customWidth="1"/>
    <col min="9994" max="9995" width="5.8984375" style="1" bestFit="1" customWidth="1"/>
    <col min="9996" max="10220" width="9" style="1"/>
    <col min="10221" max="10221" width="4" style="1" customWidth="1"/>
    <col min="10222" max="10222" width="4.3984375" style="1" bestFit="1" customWidth="1"/>
    <col min="10223" max="10223" width="13.09765625" style="1" bestFit="1" customWidth="1"/>
    <col min="10224" max="10224" width="23.69921875" style="1" bestFit="1" customWidth="1"/>
    <col min="10225" max="10225" width="30.59765625" style="1" bestFit="1" customWidth="1"/>
    <col min="10226" max="10226" width="6.69921875" style="1" bestFit="1" customWidth="1"/>
    <col min="10227" max="10227" width="16.19921875" style="1" bestFit="1" customWidth="1"/>
    <col min="10228" max="10228" width="5" style="1" customWidth="1"/>
    <col min="10229" max="10229" width="11.09765625" style="1" bestFit="1" customWidth="1"/>
    <col min="10230" max="10230" width="7.09765625" style="1" bestFit="1" customWidth="1"/>
    <col min="10231" max="10231" width="5" style="1" bestFit="1" customWidth="1"/>
    <col min="10232" max="10232" width="5.19921875" style="1" customWidth="1"/>
    <col min="10233" max="10233" width="5.69921875" style="1" customWidth="1"/>
    <col min="10234" max="10234" width="4.09765625" style="1" customWidth="1"/>
    <col min="10235" max="10235" width="20.69921875" style="1" customWidth="1"/>
    <col min="10236" max="10236" width="8.5" style="1" customWidth="1"/>
    <col min="10237" max="10237" width="7.09765625" style="1" bestFit="1" customWidth="1"/>
    <col min="10238" max="10238" width="5" style="1" bestFit="1" customWidth="1"/>
    <col min="10239" max="10239" width="8.19921875" style="1" bestFit="1" customWidth="1"/>
    <col min="10240" max="10240" width="9.19921875" style="1" bestFit="1" customWidth="1"/>
    <col min="10241" max="10242" width="6.69921875" style="1" bestFit="1" customWidth="1"/>
    <col min="10243" max="10245" width="5" style="1" bestFit="1" customWidth="1"/>
    <col min="10246" max="10246" width="15.09765625" style="1" bestFit="1" customWidth="1"/>
    <col min="10247" max="10247" width="9" style="1"/>
    <col min="10248" max="10248" width="5.3984375" style="1" bestFit="1" customWidth="1"/>
    <col min="10249" max="10249" width="5" style="1" bestFit="1" customWidth="1"/>
    <col min="10250" max="10251" width="5.8984375" style="1" bestFit="1" customWidth="1"/>
    <col min="10252" max="10476" width="9" style="1"/>
    <col min="10477" max="10477" width="4" style="1" customWidth="1"/>
    <col min="10478" max="10478" width="4.3984375" style="1" bestFit="1" customWidth="1"/>
    <col min="10479" max="10479" width="13.09765625" style="1" bestFit="1" customWidth="1"/>
    <col min="10480" max="10480" width="23.69921875" style="1" bestFit="1" customWidth="1"/>
    <col min="10481" max="10481" width="30.59765625" style="1" bestFit="1" customWidth="1"/>
    <col min="10482" max="10482" width="6.69921875" style="1" bestFit="1" customWidth="1"/>
    <col min="10483" max="10483" width="16.19921875" style="1" bestFit="1" customWidth="1"/>
    <col min="10484" max="10484" width="5" style="1" customWidth="1"/>
    <col min="10485" max="10485" width="11.09765625" style="1" bestFit="1" customWidth="1"/>
    <col min="10486" max="10486" width="7.09765625" style="1" bestFit="1" customWidth="1"/>
    <col min="10487" max="10487" width="5" style="1" bestFit="1" customWidth="1"/>
    <col min="10488" max="10488" width="5.19921875" style="1" customWidth="1"/>
    <col min="10489" max="10489" width="5.69921875" style="1" customWidth="1"/>
    <col min="10490" max="10490" width="4.09765625" style="1" customWidth="1"/>
    <col min="10491" max="10491" width="20.69921875" style="1" customWidth="1"/>
    <col min="10492" max="10492" width="8.5" style="1" customWidth="1"/>
    <col min="10493" max="10493" width="7.09765625" style="1" bestFit="1" customWidth="1"/>
    <col min="10494" max="10494" width="5" style="1" bestFit="1" customWidth="1"/>
    <col min="10495" max="10495" width="8.19921875" style="1" bestFit="1" customWidth="1"/>
    <col min="10496" max="10496" width="9.19921875" style="1" bestFit="1" customWidth="1"/>
    <col min="10497" max="10498" width="6.69921875" style="1" bestFit="1" customWidth="1"/>
    <col min="10499" max="10501" width="5" style="1" bestFit="1" customWidth="1"/>
    <col min="10502" max="10502" width="15.09765625" style="1" bestFit="1" customWidth="1"/>
    <col min="10503" max="10503" width="9" style="1"/>
    <col min="10504" max="10504" width="5.3984375" style="1" bestFit="1" customWidth="1"/>
    <col min="10505" max="10505" width="5" style="1" bestFit="1" customWidth="1"/>
    <col min="10506" max="10507" width="5.8984375" style="1" bestFit="1" customWidth="1"/>
    <col min="10508" max="10732" width="9" style="1"/>
    <col min="10733" max="10733" width="4" style="1" customWidth="1"/>
    <col min="10734" max="10734" width="4.3984375" style="1" bestFit="1" customWidth="1"/>
    <col min="10735" max="10735" width="13.09765625" style="1" bestFit="1" customWidth="1"/>
    <col min="10736" max="10736" width="23.69921875" style="1" bestFit="1" customWidth="1"/>
    <col min="10737" max="10737" width="30.59765625" style="1" bestFit="1" customWidth="1"/>
    <col min="10738" max="10738" width="6.69921875" style="1" bestFit="1" customWidth="1"/>
    <col min="10739" max="10739" width="16.19921875" style="1" bestFit="1" customWidth="1"/>
    <col min="10740" max="10740" width="5" style="1" customWidth="1"/>
    <col min="10741" max="10741" width="11.09765625" style="1" bestFit="1" customWidth="1"/>
    <col min="10742" max="10742" width="7.09765625" style="1" bestFit="1" customWidth="1"/>
    <col min="10743" max="10743" width="5" style="1" bestFit="1" customWidth="1"/>
    <col min="10744" max="10744" width="5.19921875" style="1" customWidth="1"/>
    <col min="10745" max="10745" width="5.69921875" style="1" customWidth="1"/>
    <col min="10746" max="10746" width="4.09765625" style="1" customWidth="1"/>
    <col min="10747" max="10747" width="20.69921875" style="1" customWidth="1"/>
    <col min="10748" max="10748" width="8.5" style="1" customWidth="1"/>
    <col min="10749" max="10749" width="7.09765625" style="1" bestFit="1" customWidth="1"/>
    <col min="10750" max="10750" width="5" style="1" bestFit="1" customWidth="1"/>
    <col min="10751" max="10751" width="8.19921875" style="1" bestFit="1" customWidth="1"/>
    <col min="10752" max="10752" width="9.19921875" style="1" bestFit="1" customWidth="1"/>
    <col min="10753" max="10754" width="6.69921875" style="1" bestFit="1" customWidth="1"/>
    <col min="10755" max="10757" width="5" style="1" bestFit="1" customWidth="1"/>
    <col min="10758" max="10758" width="15.09765625" style="1" bestFit="1" customWidth="1"/>
    <col min="10759" max="10759" width="9" style="1"/>
    <col min="10760" max="10760" width="5.3984375" style="1" bestFit="1" customWidth="1"/>
    <col min="10761" max="10761" width="5" style="1" bestFit="1" customWidth="1"/>
    <col min="10762" max="10763" width="5.8984375" style="1" bestFit="1" customWidth="1"/>
    <col min="10764" max="10988" width="9" style="1"/>
    <col min="10989" max="10989" width="4" style="1" customWidth="1"/>
    <col min="10990" max="10990" width="4.3984375" style="1" bestFit="1" customWidth="1"/>
    <col min="10991" max="10991" width="13.09765625" style="1" bestFit="1" customWidth="1"/>
    <col min="10992" max="10992" width="23.69921875" style="1" bestFit="1" customWidth="1"/>
    <col min="10993" max="10993" width="30.59765625" style="1" bestFit="1" customWidth="1"/>
    <col min="10994" max="10994" width="6.69921875" style="1" bestFit="1" customWidth="1"/>
    <col min="10995" max="10995" width="16.19921875" style="1" bestFit="1" customWidth="1"/>
    <col min="10996" max="10996" width="5" style="1" customWidth="1"/>
    <col min="10997" max="10997" width="11.09765625" style="1" bestFit="1" customWidth="1"/>
    <col min="10998" max="10998" width="7.09765625" style="1" bestFit="1" customWidth="1"/>
    <col min="10999" max="10999" width="5" style="1" bestFit="1" customWidth="1"/>
    <col min="11000" max="11000" width="5.19921875" style="1" customWidth="1"/>
    <col min="11001" max="11001" width="5.69921875" style="1" customWidth="1"/>
    <col min="11002" max="11002" width="4.09765625" style="1" customWidth="1"/>
    <col min="11003" max="11003" width="20.69921875" style="1" customWidth="1"/>
    <col min="11004" max="11004" width="8.5" style="1" customWidth="1"/>
    <col min="11005" max="11005" width="7.09765625" style="1" bestFit="1" customWidth="1"/>
    <col min="11006" max="11006" width="5" style="1" bestFit="1" customWidth="1"/>
    <col min="11007" max="11007" width="8.19921875" style="1" bestFit="1" customWidth="1"/>
    <col min="11008" max="11008" width="9.19921875" style="1" bestFit="1" customWidth="1"/>
    <col min="11009" max="11010" width="6.69921875" style="1" bestFit="1" customWidth="1"/>
    <col min="11011" max="11013" width="5" style="1" bestFit="1" customWidth="1"/>
    <col min="11014" max="11014" width="15.09765625" style="1" bestFit="1" customWidth="1"/>
    <col min="11015" max="11015" width="9" style="1"/>
    <col min="11016" max="11016" width="5.3984375" style="1" bestFit="1" customWidth="1"/>
    <col min="11017" max="11017" width="5" style="1" bestFit="1" customWidth="1"/>
    <col min="11018" max="11019" width="5.8984375" style="1" bestFit="1" customWidth="1"/>
    <col min="11020" max="11244" width="9" style="1"/>
    <col min="11245" max="11245" width="4" style="1" customWidth="1"/>
    <col min="11246" max="11246" width="4.3984375" style="1" bestFit="1" customWidth="1"/>
    <col min="11247" max="11247" width="13.09765625" style="1" bestFit="1" customWidth="1"/>
    <col min="11248" max="11248" width="23.69921875" style="1" bestFit="1" customWidth="1"/>
    <col min="11249" max="11249" width="30.59765625" style="1" bestFit="1" customWidth="1"/>
    <col min="11250" max="11250" width="6.69921875" style="1" bestFit="1" customWidth="1"/>
    <col min="11251" max="11251" width="16.19921875" style="1" bestFit="1" customWidth="1"/>
    <col min="11252" max="11252" width="5" style="1" customWidth="1"/>
    <col min="11253" max="11253" width="11.09765625" style="1" bestFit="1" customWidth="1"/>
    <col min="11254" max="11254" width="7.09765625" style="1" bestFit="1" customWidth="1"/>
    <col min="11255" max="11255" width="5" style="1" bestFit="1" customWidth="1"/>
    <col min="11256" max="11256" width="5.19921875" style="1" customWidth="1"/>
    <col min="11257" max="11257" width="5.69921875" style="1" customWidth="1"/>
    <col min="11258" max="11258" width="4.09765625" style="1" customWidth="1"/>
    <col min="11259" max="11259" width="20.69921875" style="1" customWidth="1"/>
    <col min="11260" max="11260" width="8.5" style="1" customWidth="1"/>
    <col min="11261" max="11261" width="7.09765625" style="1" bestFit="1" customWidth="1"/>
    <col min="11262" max="11262" width="5" style="1" bestFit="1" customWidth="1"/>
    <col min="11263" max="11263" width="8.19921875" style="1" bestFit="1" customWidth="1"/>
    <col min="11264" max="11264" width="9.19921875" style="1" bestFit="1" customWidth="1"/>
    <col min="11265" max="11266" width="6.69921875" style="1" bestFit="1" customWidth="1"/>
    <col min="11267" max="11269" width="5" style="1" bestFit="1" customWidth="1"/>
    <col min="11270" max="11270" width="15.09765625" style="1" bestFit="1" customWidth="1"/>
    <col min="11271" max="11271" width="9" style="1"/>
    <col min="11272" max="11272" width="5.3984375" style="1" bestFit="1" customWidth="1"/>
    <col min="11273" max="11273" width="5" style="1" bestFit="1" customWidth="1"/>
    <col min="11274" max="11275" width="5.8984375" style="1" bestFit="1" customWidth="1"/>
    <col min="11276" max="11500" width="9" style="1"/>
    <col min="11501" max="11501" width="4" style="1" customWidth="1"/>
    <col min="11502" max="11502" width="4.3984375" style="1" bestFit="1" customWidth="1"/>
    <col min="11503" max="11503" width="13.09765625" style="1" bestFit="1" customWidth="1"/>
    <col min="11504" max="11504" width="23.69921875" style="1" bestFit="1" customWidth="1"/>
    <col min="11505" max="11505" width="30.59765625" style="1" bestFit="1" customWidth="1"/>
    <col min="11506" max="11506" width="6.69921875" style="1" bestFit="1" customWidth="1"/>
    <col min="11507" max="11507" width="16.19921875" style="1" bestFit="1" customWidth="1"/>
    <col min="11508" max="11508" width="5" style="1" customWidth="1"/>
    <col min="11509" max="11509" width="11.09765625" style="1" bestFit="1" customWidth="1"/>
    <col min="11510" max="11510" width="7.09765625" style="1" bestFit="1" customWidth="1"/>
    <col min="11511" max="11511" width="5" style="1" bestFit="1" customWidth="1"/>
    <col min="11512" max="11512" width="5.19921875" style="1" customWidth="1"/>
    <col min="11513" max="11513" width="5.69921875" style="1" customWidth="1"/>
    <col min="11514" max="11514" width="4.09765625" style="1" customWidth="1"/>
    <col min="11515" max="11515" width="20.69921875" style="1" customWidth="1"/>
    <col min="11516" max="11516" width="8.5" style="1" customWidth="1"/>
    <col min="11517" max="11517" width="7.09765625" style="1" bestFit="1" customWidth="1"/>
    <col min="11518" max="11518" width="5" style="1" bestFit="1" customWidth="1"/>
    <col min="11519" max="11519" width="8.19921875" style="1" bestFit="1" customWidth="1"/>
    <col min="11520" max="11520" width="9.19921875" style="1" bestFit="1" customWidth="1"/>
    <col min="11521" max="11522" width="6.69921875" style="1" bestFit="1" customWidth="1"/>
    <col min="11523" max="11525" width="5" style="1" bestFit="1" customWidth="1"/>
    <col min="11526" max="11526" width="15.09765625" style="1" bestFit="1" customWidth="1"/>
    <col min="11527" max="11527" width="9" style="1"/>
    <col min="11528" max="11528" width="5.3984375" style="1" bestFit="1" customWidth="1"/>
    <col min="11529" max="11529" width="5" style="1" bestFit="1" customWidth="1"/>
    <col min="11530" max="11531" width="5.8984375" style="1" bestFit="1" customWidth="1"/>
    <col min="11532" max="11756" width="9" style="1"/>
    <col min="11757" max="11757" width="4" style="1" customWidth="1"/>
    <col min="11758" max="11758" width="4.3984375" style="1" bestFit="1" customWidth="1"/>
    <col min="11759" max="11759" width="13.09765625" style="1" bestFit="1" customWidth="1"/>
    <col min="11760" max="11760" width="23.69921875" style="1" bestFit="1" customWidth="1"/>
    <col min="11761" max="11761" width="30.59765625" style="1" bestFit="1" customWidth="1"/>
    <col min="11762" max="11762" width="6.69921875" style="1" bestFit="1" customWidth="1"/>
    <col min="11763" max="11763" width="16.19921875" style="1" bestFit="1" customWidth="1"/>
    <col min="11764" max="11764" width="5" style="1" customWidth="1"/>
    <col min="11765" max="11765" width="11.09765625" style="1" bestFit="1" customWidth="1"/>
    <col min="11766" max="11766" width="7.09765625" style="1" bestFit="1" customWidth="1"/>
    <col min="11767" max="11767" width="5" style="1" bestFit="1" customWidth="1"/>
    <col min="11768" max="11768" width="5.19921875" style="1" customWidth="1"/>
    <col min="11769" max="11769" width="5.69921875" style="1" customWidth="1"/>
    <col min="11770" max="11770" width="4.09765625" style="1" customWidth="1"/>
    <col min="11771" max="11771" width="20.69921875" style="1" customWidth="1"/>
    <col min="11772" max="11772" width="8.5" style="1" customWidth="1"/>
    <col min="11773" max="11773" width="7.09765625" style="1" bestFit="1" customWidth="1"/>
    <col min="11774" max="11774" width="5" style="1" bestFit="1" customWidth="1"/>
    <col min="11775" max="11775" width="8.19921875" style="1" bestFit="1" customWidth="1"/>
    <col min="11776" max="11776" width="9.19921875" style="1" bestFit="1" customWidth="1"/>
    <col min="11777" max="11778" width="6.69921875" style="1" bestFit="1" customWidth="1"/>
    <col min="11779" max="11781" width="5" style="1" bestFit="1" customWidth="1"/>
    <col min="11782" max="11782" width="15.09765625" style="1" bestFit="1" customWidth="1"/>
    <col min="11783" max="11783" width="9" style="1"/>
    <col min="11784" max="11784" width="5.3984375" style="1" bestFit="1" customWidth="1"/>
    <col min="11785" max="11785" width="5" style="1" bestFit="1" customWidth="1"/>
    <col min="11786" max="11787" width="5.8984375" style="1" bestFit="1" customWidth="1"/>
    <col min="11788" max="12012" width="9" style="1"/>
    <col min="12013" max="12013" width="4" style="1" customWidth="1"/>
    <col min="12014" max="12014" width="4.3984375" style="1" bestFit="1" customWidth="1"/>
    <col min="12015" max="12015" width="13.09765625" style="1" bestFit="1" customWidth="1"/>
    <col min="12016" max="12016" width="23.69921875" style="1" bestFit="1" customWidth="1"/>
    <col min="12017" max="12017" width="30.59765625" style="1" bestFit="1" customWidth="1"/>
    <col min="12018" max="12018" width="6.69921875" style="1" bestFit="1" customWidth="1"/>
    <col min="12019" max="12019" width="16.19921875" style="1" bestFit="1" customWidth="1"/>
    <col min="12020" max="12020" width="5" style="1" customWidth="1"/>
    <col min="12021" max="12021" width="11.09765625" style="1" bestFit="1" customWidth="1"/>
    <col min="12022" max="12022" width="7.09765625" style="1" bestFit="1" customWidth="1"/>
    <col min="12023" max="12023" width="5" style="1" bestFit="1" customWidth="1"/>
    <col min="12024" max="12024" width="5.19921875" style="1" customWidth="1"/>
    <col min="12025" max="12025" width="5.69921875" style="1" customWidth="1"/>
    <col min="12026" max="12026" width="4.09765625" style="1" customWidth="1"/>
    <col min="12027" max="12027" width="20.69921875" style="1" customWidth="1"/>
    <col min="12028" max="12028" width="8.5" style="1" customWidth="1"/>
    <col min="12029" max="12029" width="7.09765625" style="1" bestFit="1" customWidth="1"/>
    <col min="12030" max="12030" width="5" style="1" bestFit="1" customWidth="1"/>
    <col min="12031" max="12031" width="8.19921875" style="1" bestFit="1" customWidth="1"/>
    <col min="12032" max="12032" width="9.19921875" style="1" bestFit="1" customWidth="1"/>
    <col min="12033" max="12034" width="6.69921875" style="1" bestFit="1" customWidth="1"/>
    <col min="12035" max="12037" width="5" style="1" bestFit="1" customWidth="1"/>
    <col min="12038" max="12038" width="15.09765625" style="1" bestFit="1" customWidth="1"/>
    <col min="12039" max="12039" width="9" style="1"/>
    <col min="12040" max="12040" width="5.3984375" style="1" bestFit="1" customWidth="1"/>
    <col min="12041" max="12041" width="5" style="1" bestFit="1" customWidth="1"/>
    <col min="12042" max="12043" width="5.8984375" style="1" bestFit="1" customWidth="1"/>
    <col min="12044" max="12268" width="9" style="1"/>
    <col min="12269" max="12269" width="4" style="1" customWidth="1"/>
    <col min="12270" max="12270" width="4.3984375" style="1" bestFit="1" customWidth="1"/>
    <col min="12271" max="12271" width="13.09765625" style="1" bestFit="1" customWidth="1"/>
    <col min="12272" max="12272" width="23.69921875" style="1" bestFit="1" customWidth="1"/>
    <col min="12273" max="12273" width="30.59765625" style="1" bestFit="1" customWidth="1"/>
    <col min="12274" max="12274" width="6.69921875" style="1" bestFit="1" customWidth="1"/>
    <col min="12275" max="12275" width="16.19921875" style="1" bestFit="1" customWidth="1"/>
    <col min="12276" max="12276" width="5" style="1" customWidth="1"/>
    <col min="12277" max="12277" width="11.09765625" style="1" bestFit="1" customWidth="1"/>
    <col min="12278" max="12278" width="7.09765625" style="1" bestFit="1" customWidth="1"/>
    <col min="12279" max="12279" width="5" style="1" bestFit="1" customWidth="1"/>
    <col min="12280" max="12280" width="5.19921875" style="1" customWidth="1"/>
    <col min="12281" max="12281" width="5.69921875" style="1" customWidth="1"/>
    <col min="12282" max="12282" width="4.09765625" style="1" customWidth="1"/>
    <col min="12283" max="12283" width="20.69921875" style="1" customWidth="1"/>
    <col min="12284" max="12284" width="8.5" style="1" customWidth="1"/>
    <col min="12285" max="12285" width="7.09765625" style="1" bestFit="1" customWidth="1"/>
    <col min="12286" max="12286" width="5" style="1" bestFit="1" customWidth="1"/>
    <col min="12287" max="12287" width="8.19921875" style="1" bestFit="1" customWidth="1"/>
    <col min="12288" max="12288" width="9.19921875" style="1" bestFit="1" customWidth="1"/>
    <col min="12289" max="12290" width="6.69921875" style="1" bestFit="1" customWidth="1"/>
    <col min="12291" max="12293" width="5" style="1" bestFit="1" customWidth="1"/>
    <col min="12294" max="12294" width="15.09765625" style="1" bestFit="1" customWidth="1"/>
    <col min="12295" max="12295" width="9" style="1"/>
    <col min="12296" max="12296" width="5.3984375" style="1" bestFit="1" customWidth="1"/>
    <col min="12297" max="12297" width="5" style="1" bestFit="1" customWidth="1"/>
    <col min="12298" max="12299" width="5.8984375" style="1" bestFit="1" customWidth="1"/>
    <col min="12300" max="12524" width="9" style="1"/>
    <col min="12525" max="12525" width="4" style="1" customWidth="1"/>
    <col min="12526" max="12526" width="4.3984375" style="1" bestFit="1" customWidth="1"/>
    <col min="12527" max="12527" width="13.09765625" style="1" bestFit="1" customWidth="1"/>
    <col min="12528" max="12528" width="23.69921875" style="1" bestFit="1" customWidth="1"/>
    <col min="12529" max="12529" width="30.59765625" style="1" bestFit="1" customWidth="1"/>
    <col min="12530" max="12530" width="6.69921875" style="1" bestFit="1" customWidth="1"/>
    <col min="12531" max="12531" width="16.19921875" style="1" bestFit="1" customWidth="1"/>
    <col min="12532" max="12532" width="5" style="1" customWidth="1"/>
    <col min="12533" max="12533" width="11.09765625" style="1" bestFit="1" customWidth="1"/>
    <col min="12534" max="12534" width="7.09765625" style="1" bestFit="1" customWidth="1"/>
    <col min="12535" max="12535" width="5" style="1" bestFit="1" customWidth="1"/>
    <col min="12536" max="12536" width="5.19921875" style="1" customWidth="1"/>
    <col min="12537" max="12537" width="5.69921875" style="1" customWidth="1"/>
    <col min="12538" max="12538" width="4.09765625" style="1" customWidth="1"/>
    <col min="12539" max="12539" width="20.69921875" style="1" customWidth="1"/>
    <col min="12540" max="12540" width="8.5" style="1" customWidth="1"/>
    <col min="12541" max="12541" width="7.09765625" style="1" bestFit="1" customWidth="1"/>
    <col min="12542" max="12542" width="5" style="1" bestFit="1" customWidth="1"/>
    <col min="12543" max="12543" width="8.19921875" style="1" bestFit="1" customWidth="1"/>
    <col min="12544" max="12544" width="9.19921875" style="1" bestFit="1" customWidth="1"/>
    <col min="12545" max="12546" width="6.69921875" style="1" bestFit="1" customWidth="1"/>
    <col min="12547" max="12549" width="5" style="1" bestFit="1" customWidth="1"/>
    <col min="12550" max="12550" width="15.09765625" style="1" bestFit="1" customWidth="1"/>
    <col min="12551" max="12551" width="9" style="1"/>
    <col min="12552" max="12552" width="5.3984375" style="1" bestFit="1" customWidth="1"/>
    <col min="12553" max="12553" width="5" style="1" bestFit="1" customWidth="1"/>
    <col min="12554" max="12555" width="5.8984375" style="1" bestFit="1" customWidth="1"/>
    <col min="12556" max="12780" width="9" style="1"/>
    <col min="12781" max="12781" width="4" style="1" customWidth="1"/>
    <col min="12782" max="12782" width="4.3984375" style="1" bestFit="1" customWidth="1"/>
    <col min="12783" max="12783" width="13.09765625" style="1" bestFit="1" customWidth="1"/>
    <col min="12784" max="12784" width="23.69921875" style="1" bestFit="1" customWidth="1"/>
    <col min="12785" max="12785" width="30.59765625" style="1" bestFit="1" customWidth="1"/>
    <col min="12786" max="12786" width="6.69921875" style="1" bestFit="1" customWidth="1"/>
    <col min="12787" max="12787" width="16.19921875" style="1" bestFit="1" customWidth="1"/>
    <col min="12788" max="12788" width="5" style="1" customWidth="1"/>
    <col min="12789" max="12789" width="11.09765625" style="1" bestFit="1" customWidth="1"/>
    <col min="12790" max="12790" width="7.09765625" style="1" bestFit="1" customWidth="1"/>
    <col min="12791" max="12791" width="5" style="1" bestFit="1" customWidth="1"/>
    <col min="12792" max="12792" width="5.19921875" style="1" customWidth="1"/>
    <col min="12793" max="12793" width="5.69921875" style="1" customWidth="1"/>
    <col min="12794" max="12794" width="4.09765625" style="1" customWidth="1"/>
    <col min="12795" max="12795" width="20.69921875" style="1" customWidth="1"/>
    <col min="12796" max="12796" width="8.5" style="1" customWidth="1"/>
    <col min="12797" max="12797" width="7.09765625" style="1" bestFit="1" customWidth="1"/>
    <col min="12798" max="12798" width="5" style="1" bestFit="1" customWidth="1"/>
    <col min="12799" max="12799" width="8.19921875" style="1" bestFit="1" customWidth="1"/>
    <col min="12800" max="12800" width="9.19921875" style="1" bestFit="1" customWidth="1"/>
    <col min="12801" max="12802" width="6.69921875" style="1" bestFit="1" customWidth="1"/>
    <col min="12803" max="12805" width="5" style="1" bestFit="1" customWidth="1"/>
    <col min="12806" max="12806" width="15.09765625" style="1" bestFit="1" customWidth="1"/>
    <col min="12807" max="12807" width="9" style="1"/>
    <col min="12808" max="12808" width="5.3984375" style="1" bestFit="1" customWidth="1"/>
    <col min="12809" max="12809" width="5" style="1" bestFit="1" customWidth="1"/>
    <col min="12810" max="12811" width="5.8984375" style="1" bestFit="1" customWidth="1"/>
    <col min="12812" max="13036" width="9" style="1"/>
    <col min="13037" max="13037" width="4" style="1" customWidth="1"/>
    <col min="13038" max="13038" width="4.3984375" style="1" bestFit="1" customWidth="1"/>
    <col min="13039" max="13039" width="13.09765625" style="1" bestFit="1" customWidth="1"/>
    <col min="13040" max="13040" width="23.69921875" style="1" bestFit="1" customWidth="1"/>
    <col min="13041" max="13041" width="30.59765625" style="1" bestFit="1" customWidth="1"/>
    <col min="13042" max="13042" width="6.69921875" style="1" bestFit="1" customWidth="1"/>
    <col min="13043" max="13043" width="16.19921875" style="1" bestFit="1" customWidth="1"/>
    <col min="13044" max="13044" width="5" style="1" customWidth="1"/>
    <col min="13045" max="13045" width="11.09765625" style="1" bestFit="1" customWidth="1"/>
    <col min="13046" max="13046" width="7.09765625" style="1" bestFit="1" customWidth="1"/>
    <col min="13047" max="13047" width="5" style="1" bestFit="1" customWidth="1"/>
    <col min="13048" max="13048" width="5.19921875" style="1" customWidth="1"/>
    <col min="13049" max="13049" width="5.69921875" style="1" customWidth="1"/>
    <col min="13050" max="13050" width="4.09765625" style="1" customWidth="1"/>
    <col min="13051" max="13051" width="20.69921875" style="1" customWidth="1"/>
    <col min="13052" max="13052" width="8.5" style="1" customWidth="1"/>
    <col min="13053" max="13053" width="7.09765625" style="1" bestFit="1" customWidth="1"/>
    <col min="13054" max="13054" width="5" style="1" bestFit="1" customWidth="1"/>
    <col min="13055" max="13055" width="8.19921875" style="1" bestFit="1" customWidth="1"/>
    <col min="13056" max="13056" width="9.19921875" style="1" bestFit="1" customWidth="1"/>
    <col min="13057" max="13058" width="6.69921875" style="1" bestFit="1" customWidth="1"/>
    <col min="13059" max="13061" width="5" style="1" bestFit="1" customWidth="1"/>
    <col min="13062" max="13062" width="15.09765625" style="1" bestFit="1" customWidth="1"/>
    <col min="13063" max="13063" width="9" style="1"/>
    <col min="13064" max="13064" width="5.3984375" style="1" bestFit="1" customWidth="1"/>
    <col min="13065" max="13065" width="5" style="1" bestFit="1" customWidth="1"/>
    <col min="13066" max="13067" width="5.8984375" style="1" bestFit="1" customWidth="1"/>
    <col min="13068" max="13292" width="9" style="1"/>
    <col min="13293" max="13293" width="4" style="1" customWidth="1"/>
    <col min="13294" max="13294" width="4.3984375" style="1" bestFit="1" customWidth="1"/>
    <col min="13295" max="13295" width="13.09765625" style="1" bestFit="1" customWidth="1"/>
    <col min="13296" max="13296" width="23.69921875" style="1" bestFit="1" customWidth="1"/>
    <col min="13297" max="13297" width="30.59765625" style="1" bestFit="1" customWidth="1"/>
    <col min="13298" max="13298" width="6.69921875" style="1" bestFit="1" customWidth="1"/>
    <col min="13299" max="13299" width="16.19921875" style="1" bestFit="1" customWidth="1"/>
    <col min="13300" max="13300" width="5" style="1" customWidth="1"/>
    <col min="13301" max="13301" width="11.09765625" style="1" bestFit="1" customWidth="1"/>
    <col min="13302" max="13302" width="7.09765625" style="1" bestFit="1" customWidth="1"/>
    <col min="13303" max="13303" width="5" style="1" bestFit="1" customWidth="1"/>
    <col min="13304" max="13304" width="5.19921875" style="1" customWidth="1"/>
    <col min="13305" max="13305" width="5.69921875" style="1" customWidth="1"/>
    <col min="13306" max="13306" width="4.09765625" style="1" customWidth="1"/>
    <col min="13307" max="13307" width="20.69921875" style="1" customWidth="1"/>
    <col min="13308" max="13308" width="8.5" style="1" customWidth="1"/>
    <col min="13309" max="13309" width="7.09765625" style="1" bestFit="1" customWidth="1"/>
    <col min="13310" max="13310" width="5" style="1" bestFit="1" customWidth="1"/>
    <col min="13311" max="13311" width="8.19921875" style="1" bestFit="1" customWidth="1"/>
    <col min="13312" max="13312" width="9.19921875" style="1" bestFit="1" customWidth="1"/>
    <col min="13313" max="13314" width="6.69921875" style="1" bestFit="1" customWidth="1"/>
    <col min="13315" max="13317" width="5" style="1" bestFit="1" customWidth="1"/>
    <col min="13318" max="13318" width="15.09765625" style="1" bestFit="1" customWidth="1"/>
    <col min="13319" max="13319" width="9" style="1"/>
    <col min="13320" max="13320" width="5.3984375" style="1" bestFit="1" customWidth="1"/>
    <col min="13321" max="13321" width="5" style="1" bestFit="1" customWidth="1"/>
    <col min="13322" max="13323" width="5.8984375" style="1" bestFit="1" customWidth="1"/>
    <col min="13324" max="13548" width="9" style="1"/>
    <col min="13549" max="13549" width="4" style="1" customWidth="1"/>
    <col min="13550" max="13550" width="4.3984375" style="1" bestFit="1" customWidth="1"/>
    <col min="13551" max="13551" width="13.09765625" style="1" bestFit="1" customWidth="1"/>
    <col min="13552" max="13552" width="23.69921875" style="1" bestFit="1" customWidth="1"/>
    <col min="13553" max="13553" width="30.59765625" style="1" bestFit="1" customWidth="1"/>
    <col min="13554" max="13554" width="6.69921875" style="1" bestFit="1" customWidth="1"/>
    <col min="13555" max="13555" width="16.19921875" style="1" bestFit="1" customWidth="1"/>
    <col min="13556" max="13556" width="5" style="1" customWidth="1"/>
    <col min="13557" max="13557" width="11.09765625" style="1" bestFit="1" customWidth="1"/>
    <col min="13558" max="13558" width="7.09765625" style="1" bestFit="1" customWidth="1"/>
    <col min="13559" max="13559" width="5" style="1" bestFit="1" customWidth="1"/>
    <col min="13560" max="13560" width="5.19921875" style="1" customWidth="1"/>
    <col min="13561" max="13561" width="5.69921875" style="1" customWidth="1"/>
    <col min="13562" max="13562" width="4.09765625" style="1" customWidth="1"/>
    <col min="13563" max="13563" width="20.69921875" style="1" customWidth="1"/>
    <col min="13564" max="13564" width="8.5" style="1" customWidth="1"/>
    <col min="13565" max="13565" width="7.09765625" style="1" bestFit="1" customWidth="1"/>
    <col min="13566" max="13566" width="5" style="1" bestFit="1" customWidth="1"/>
    <col min="13567" max="13567" width="8.19921875" style="1" bestFit="1" customWidth="1"/>
    <col min="13568" max="13568" width="9.19921875" style="1" bestFit="1" customWidth="1"/>
    <col min="13569" max="13570" width="6.69921875" style="1" bestFit="1" customWidth="1"/>
    <col min="13571" max="13573" width="5" style="1" bestFit="1" customWidth="1"/>
    <col min="13574" max="13574" width="15.09765625" style="1" bestFit="1" customWidth="1"/>
    <col min="13575" max="13575" width="9" style="1"/>
    <col min="13576" max="13576" width="5.3984375" style="1" bestFit="1" customWidth="1"/>
    <col min="13577" max="13577" width="5" style="1" bestFit="1" customWidth="1"/>
    <col min="13578" max="13579" width="5.8984375" style="1" bestFit="1" customWidth="1"/>
    <col min="13580" max="13804" width="9" style="1"/>
    <col min="13805" max="13805" width="4" style="1" customWidth="1"/>
    <col min="13806" max="13806" width="4.3984375" style="1" bestFit="1" customWidth="1"/>
    <col min="13807" max="13807" width="13.09765625" style="1" bestFit="1" customWidth="1"/>
    <col min="13808" max="13808" width="23.69921875" style="1" bestFit="1" customWidth="1"/>
    <col min="13809" max="13809" width="30.59765625" style="1" bestFit="1" customWidth="1"/>
    <col min="13810" max="13810" width="6.69921875" style="1" bestFit="1" customWidth="1"/>
    <col min="13811" max="13811" width="16.19921875" style="1" bestFit="1" customWidth="1"/>
    <col min="13812" max="13812" width="5" style="1" customWidth="1"/>
    <col min="13813" max="13813" width="11.09765625" style="1" bestFit="1" customWidth="1"/>
    <col min="13814" max="13814" width="7.09765625" style="1" bestFit="1" customWidth="1"/>
    <col min="13815" max="13815" width="5" style="1" bestFit="1" customWidth="1"/>
    <col min="13816" max="13816" width="5.19921875" style="1" customWidth="1"/>
    <col min="13817" max="13817" width="5.69921875" style="1" customWidth="1"/>
    <col min="13818" max="13818" width="4.09765625" style="1" customWidth="1"/>
    <col min="13819" max="13819" width="20.69921875" style="1" customWidth="1"/>
    <col min="13820" max="13820" width="8.5" style="1" customWidth="1"/>
    <col min="13821" max="13821" width="7.09765625" style="1" bestFit="1" customWidth="1"/>
    <col min="13822" max="13822" width="5" style="1" bestFit="1" customWidth="1"/>
    <col min="13823" max="13823" width="8.19921875" style="1" bestFit="1" customWidth="1"/>
    <col min="13824" max="13824" width="9.19921875" style="1" bestFit="1" customWidth="1"/>
    <col min="13825" max="13826" width="6.69921875" style="1" bestFit="1" customWidth="1"/>
    <col min="13827" max="13829" width="5" style="1" bestFit="1" customWidth="1"/>
    <col min="13830" max="13830" width="15.09765625" style="1" bestFit="1" customWidth="1"/>
    <col min="13831" max="13831" width="9" style="1"/>
    <col min="13832" max="13832" width="5.3984375" style="1" bestFit="1" customWidth="1"/>
    <col min="13833" max="13833" width="5" style="1" bestFit="1" customWidth="1"/>
    <col min="13834" max="13835" width="5.8984375" style="1" bestFit="1" customWidth="1"/>
    <col min="13836" max="14060" width="9" style="1"/>
    <col min="14061" max="14061" width="4" style="1" customWidth="1"/>
    <col min="14062" max="14062" width="4.3984375" style="1" bestFit="1" customWidth="1"/>
    <col min="14063" max="14063" width="13.09765625" style="1" bestFit="1" customWidth="1"/>
    <col min="14064" max="14064" width="23.69921875" style="1" bestFit="1" customWidth="1"/>
    <col min="14065" max="14065" width="30.59765625" style="1" bestFit="1" customWidth="1"/>
    <col min="14066" max="14066" width="6.69921875" style="1" bestFit="1" customWidth="1"/>
    <col min="14067" max="14067" width="16.19921875" style="1" bestFit="1" customWidth="1"/>
    <col min="14068" max="14068" width="5" style="1" customWidth="1"/>
    <col min="14069" max="14069" width="11.09765625" style="1" bestFit="1" customWidth="1"/>
    <col min="14070" max="14070" width="7.09765625" style="1" bestFit="1" customWidth="1"/>
    <col min="14071" max="14071" width="5" style="1" bestFit="1" customWidth="1"/>
    <col min="14072" max="14072" width="5.19921875" style="1" customWidth="1"/>
    <col min="14073" max="14073" width="5.69921875" style="1" customWidth="1"/>
    <col min="14074" max="14074" width="4.09765625" style="1" customWidth="1"/>
    <col min="14075" max="14075" width="20.69921875" style="1" customWidth="1"/>
    <col min="14076" max="14076" width="8.5" style="1" customWidth="1"/>
    <col min="14077" max="14077" width="7.09765625" style="1" bestFit="1" customWidth="1"/>
    <col min="14078" max="14078" width="5" style="1" bestFit="1" customWidth="1"/>
    <col min="14079" max="14079" width="8.19921875" style="1" bestFit="1" customWidth="1"/>
    <col min="14080" max="14080" width="9.19921875" style="1" bestFit="1" customWidth="1"/>
    <col min="14081" max="14082" width="6.69921875" style="1" bestFit="1" customWidth="1"/>
    <col min="14083" max="14085" width="5" style="1" bestFit="1" customWidth="1"/>
    <col min="14086" max="14086" width="15.09765625" style="1" bestFit="1" customWidth="1"/>
    <col min="14087" max="14087" width="9" style="1"/>
    <col min="14088" max="14088" width="5.3984375" style="1" bestFit="1" customWidth="1"/>
    <col min="14089" max="14089" width="5" style="1" bestFit="1" customWidth="1"/>
    <col min="14090" max="14091" width="5.8984375" style="1" bestFit="1" customWidth="1"/>
    <col min="14092" max="14316" width="9" style="1"/>
    <col min="14317" max="14317" width="4" style="1" customWidth="1"/>
    <col min="14318" max="14318" width="4.3984375" style="1" bestFit="1" customWidth="1"/>
    <col min="14319" max="14319" width="13.09765625" style="1" bestFit="1" customWidth="1"/>
    <col min="14320" max="14320" width="23.69921875" style="1" bestFit="1" customWidth="1"/>
    <col min="14321" max="14321" width="30.59765625" style="1" bestFit="1" customWidth="1"/>
    <col min="14322" max="14322" width="6.69921875" style="1" bestFit="1" customWidth="1"/>
    <col min="14323" max="14323" width="16.19921875" style="1" bestFit="1" customWidth="1"/>
    <col min="14324" max="14324" width="5" style="1" customWidth="1"/>
    <col min="14325" max="14325" width="11.09765625" style="1" bestFit="1" customWidth="1"/>
    <col min="14326" max="14326" width="7.09765625" style="1" bestFit="1" customWidth="1"/>
    <col min="14327" max="14327" width="5" style="1" bestFit="1" customWidth="1"/>
    <col min="14328" max="14328" width="5.19921875" style="1" customWidth="1"/>
    <col min="14329" max="14329" width="5.69921875" style="1" customWidth="1"/>
    <col min="14330" max="14330" width="4.09765625" style="1" customWidth="1"/>
    <col min="14331" max="14331" width="20.69921875" style="1" customWidth="1"/>
    <col min="14332" max="14332" width="8.5" style="1" customWidth="1"/>
    <col min="14333" max="14333" width="7.09765625" style="1" bestFit="1" customWidth="1"/>
    <col min="14334" max="14334" width="5" style="1" bestFit="1" customWidth="1"/>
    <col min="14335" max="14335" width="8.19921875" style="1" bestFit="1" customWidth="1"/>
    <col min="14336" max="14336" width="9.19921875" style="1" bestFit="1" customWidth="1"/>
    <col min="14337" max="14338" width="6.69921875" style="1" bestFit="1" customWidth="1"/>
    <col min="14339" max="14341" width="5" style="1" bestFit="1" customWidth="1"/>
    <col min="14342" max="14342" width="15.09765625" style="1" bestFit="1" customWidth="1"/>
    <col min="14343" max="14343" width="9" style="1"/>
    <col min="14344" max="14344" width="5.3984375" style="1" bestFit="1" customWidth="1"/>
    <col min="14345" max="14345" width="5" style="1" bestFit="1" customWidth="1"/>
    <col min="14346" max="14347" width="5.8984375" style="1" bestFit="1" customWidth="1"/>
    <col min="14348" max="14572" width="9" style="1"/>
    <col min="14573" max="14573" width="4" style="1" customWidth="1"/>
    <col min="14574" max="14574" width="4.3984375" style="1" bestFit="1" customWidth="1"/>
    <col min="14575" max="14575" width="13.09765625" style="1" bestFit="1" customWidth="1"/>
    <col min="14576" max="14576" width="23.69921875" style="1" bestFit="1" customWidth="1"/>
    <col min="14577" max="14577" width="30.59765625" style="1" bestFit="1" customWidth="1"/>
    <col min="14578" max="14578" width="6.69921875" style="1" bestFit="1" customWidth="1"/>
    <col min="14579" max="14579" width="16.19921875" style="1" bestFit="1" customWidth="1"/>
    <col min="14580" max="14580" width="5" style="1" customWidth="1"/>
    <col min="14581" max="14581" width="11.09765625" style="1" bestFit="1" customWidth="1"/>
    <col min="14582" max="14582" width="7.09765625" style="1" bestFit="1" customWidth="1"/>
    <col min="14583" max="14583" width="5" style="1" bestFit="1" customWidth="1"/>
    <col min="14584" max="14584" width="5.19921875" style="1" customWidth="1"/>
    <col min="14585" max="14585" width="5.69921875" style="1" customWidth="1"/>
    <col min="14586" max="14586" width="4.09765625" style="1" customWidth="1"/>
    <col min="14587" max="14587" width="20.69921875" style="1" customWidth="1"/>
    <col min="14588" max="14588" width="8.5" style="1" customWidth="1"/>
    <col min="14589" max="14589" width="7.09765625" style="1" bestFit="1" customWidth="1"/>
    <col min="14590" max="14590" width="5" style="1" bestFit="1" customWidth="1"/>
    <col min="14591" max="14591" width="8.19921875" style="1" bestFit="1" customWidth="1"/>
    <col min="14592" max="14592" width="9.19921875" style="1" bestFit="1" customWidth="1"/>
    <col min="14593" max="14594" width="6.69921875" style="1" bestFit="1" customWidth="1"/>
    <col min="14595" max="14597" width="5" style="1" bestFit="1" customWidth="1"/>
    <col min="14598" max="14598" width="15.09765625" style="1" bestFit="1" customWidth="1"/>
    <col min="14599" max="14599" width="9" style="1"/>
    <col min="14600" max="14600" width="5.3984375" style="1" bestFit="1" customWidth="1"/>
    <col min="14601" max="14601" width="5" style="1" bestFit="1" customWidth="1"/>
    <col min="14602" max="14603" width="5.8984375" style="1" bestFit="1" customWidth="1"/>
    <col min="14604" max="14828" width="9" style="1"/>
    <col min="14829" max="14829" width="4" style="1" customWidth="1"/>
    <col min="14830" max="14830" width="4.3984375" style="1" bestFit="1" customWidth="1"/>
    <col min="14831" max="14831" width="13.09765625" style="1" bestFit="1" customWidth="1"/>
    <col min="14832" max="14832" width="23.69921875" style="1" bestFit="1" customWidth="1"/>
    <col min="14833" max="14833" width="30.59765625" style="1" bestFit="1" customWidth="1"/>
    <col min="14834" max="14834" width="6.69921875" style="1" bestFit="1" customWidth="1"/>
    <col min="14835" max="14835" width="16.19921875" style="1" bestFit="1" customWidth="1"/>
    <col min="14836" max="14836" width="5" style="1" customWidth="1"/>
    <col min="14837" max="14837" width="11.09765625" style="1" bestFit="1" customWidth="1"/>
    <col min="14838" max="14838" width="7.09765625" style="1" bestFit="1" customWidth="1"/>
    <col min="14839" max="14839" width="5" style="1" bestFit="1" customWidth="1"/>
    <col min="14840" max="14840" width="5.19921875" style="1" customWidth="1"/>
    <col min="14841" max="14841" width="5.69921875" style="1" customWidth="1"/>
    <col min="14842" max="14842" width="4.09765625" style="1" customWidth="1"/>
    <col min="14843" max="14843" width="20.69921875" style="1" customWidth="1"/>
    <col min="14844" max="14844" width="8.5" style="1" customWidth="1"/>
    <col min="14845" max="14845" width="7.09765625" style="1" bestFit="1" customWidth="1"/>
    <col min="14846" max="14846" width="5" style="1" bestFit="1" customWidth="1"/>
    <col min="14847" max="14847" width="8.19921875" style="1" bestFit="1" customWidth="1"/>
    <col min="14848" max="14848" width="9.19921875" style="1" bestFit="1" customWidth="1"/>
    <col min="14849" max="14850" width="6.69921875" style="1" bestFit="1" customWidth="1"/>
    <col min="14851" max="14853" width="5" style="1" bestFit="1" customWidth="1"/>
    <col min="14854" max="14854" width="15.09765625" style="1" bestFit="1" customWidth="1"/>
    <col min="14855" max="14855" width="9" style="1"/>
    <col min="14856" max="14856" width="5.3984375" style="1" bestFit="1" customWidth="1"/>
    <col min="14857" max="14857" width="5" style="1" bestFit="1" customWidth="1"/>
    <col min="14858" max="14859" width="5.8984375" style="1" bestFit="1" customWidth="1"/>
    <col min="14860" max="15084" width="9" style="1"/>
    <col min="15085" max="15085" width="4" style="1" customWidth="1"/>
    <col min="15086" max="15086" width="4.3984375" style="1" bestFit="1" customWidth="1"/>
    <col min="15087" max="15087" width="13.09765625" style="1" bestFit="1" customWidth="1"/>
    <col min="15088" max="15088" width="23.69921875" style="1" bestFit="1" customWidth="1"/>
    <col min="15089" max="15089" width="30.59765625" style="1" bestFit="1" customWidth="1"/>
    <col min="15090" max="15090" width="6.69921875" style="1" bestFit="1" customWidth="1"/>
    <col min="15091" max="15091" width="16.19921875" style="1" bestFit="1" customWidth="1"/>
    <col min="15092" max="15092" width="5" style="1" customWidth="1"/>
    <col min="15093" max="15093" width="11.09765625" style="1" bestFit="1" customWidth="1"/>
    <col min="15094" max="15094" width="7.09765625" style="1" bestFit="1" customWidth="1"/>
    <col min="15095" max="15095" width="5" style="1" bestFit="1" customWidth="1"/>
    <col min="15096" max="15096" width="5.19921875" style="1" customWidth="1"/>
    <col min="15097" max="15097" width="5.69921875" style="1" customWidth="1"/>
    <col min="15098" max="15098" width="4.09765625" style="1" customWidth="1"/>
    <col min="15099" max="15099" width="20.69921875" style="1" customWidth="1"/>
    <col min="15100" max="15100" width="8.5" style="1" customWidth="1"/>
    <col min="15101" max="15101" width="7.09765625" style="1" bestFit="1" customWidth="1"/>
    <col min="15102" max="15102" width="5" style="1" bestFit="1" customWidth="1"/>
    <col min="15103" max="15103" width="8.19921875" style="1" bestFit="1" customWidth="1"/>
    <col min="15104" max="15104" width="9.19921875" style="1" bestFit="1" customWidth="1"/>
    <col min="15105" max="15106" width="6.69921875" style="1" bestFit="1" customWidth="1"/>
    <col min="15107" max="15109" width="5" style="1" bestFit="1" customWidth="1"/>
    <col min="15110" max="15110" width="15.09765625" style="1" bestFit="1" customWidth="1"/>
    <col min="15111" max="15111" width="9" style="1"/>
    <col min="15112" max="15112" width="5.3984375" style="1" bestFit="1" customWidth="1"/>
    <col min="15113" max="15113" width="5" style="1" bestFit="1" customWidth="1"/>
    <col min="15114" max="15115" width="5.8984375" style="1" bestFit="1" customWidth="1"/>
    <col min="15116" max="15340" width="9" style="1"/>
    <col min="15341" max="15341" width="4" style="1" customWidth="1"/>
    <col min="15342" max="15342" width="4.3984375" style="1" bestFit="1" customWidth="1"/>
    <col min="15343" max="15343" width="13.09765625" style="1" bestFit="1" customWidth="1"/>
    <col min="15344" max="15344" width="23.69921875" style="1" bestFit="1" customWidth="1"/>
    <col min="15345" max="15345" width="30.59765625" style="1" bestFit="1" customWidth="1"/>
    <col min="15346" max="15346" width="6.69921875" style="1" bestFit="1" customWidth="1"/>
    <col min="15347" max="15347" width="16.19921875" style="1" bestFit="1" customWidth="1"/>
    <col min="15348" max="15348" width="5" style="1" customWidth="1"/>
    <col min="15349" max="15349" width="11.09765625" style="1" bestFit="1" customWidth="1"/>
    <col min="15350" max="15350" width="7.09765625" style="1" bestFit="1" customWidth="1"/>
    <col min="15351" max="15351" width="5" style="1" bestFit="1" customWidth="1"/>
    <col min="15352" max="15352" width="5.19921875" style="1" customWidth="1"/>
    <col min="15353" max="15353" width="5.69921875" style="1" customWidth="1"/>
    <col min="15354" max="15354" width="4.09765625" style="1" customWidth="1"/>
    <col min="15355" max="15355" width="20.69921875" style="1" customWidth="1"/>
    <col min="15356" max="15356" width="8.5" style="1" customWidth="1"/>
    <col min="15357" max="15357" width="7.09765625" style="1" bestFit="1" customWidth="1"/>
    <col min="15358" max="15358" width="5" style="1" bestFit="1" customWidth="1"/>
    <col min="15359" max="15359" width="8.19921875" style="1" bestFit="1" customWidth="1"/>
    <col min="15360" max="15360" width="9.19921875" style="1" bestFit="1" customWidth="1"/>
    <col min="15361" max="15362" width="6.69921875" style="1" bestFit="1" customWidth="1"/>
    <col min="15363" max="15365" width="5" style="1" bestFit="1" customWidth="1"/>
    <col min="15366" max="15366" width="15.09765625" style="1" bestFit="1" customWidth="1"/>
    <col min="15367" max="15367" width="9" style="1"/>
    <col min="15368" max="15368" width="5.3984375" style="1" bestFit="1" customWidth="1"/>
    <col min="15369" max="15369" width="5" style="1" bestFit="1" customWidth="1"/>
    <col min="15370" max="15371" width="5.8984375" style="1" bestFit="1" customWidth="1"/>
    <col min="15372" max="15596" width="9" style="1"/>
    <col min="15597" max="15597" width="4" style="1" customWidth="1"/>
    <col min="15598" max="15598" width="4.3984375" style="1" bestFit="1" customWidth="1"/>
    <col min="15599" max="15599" width="13.09765625" style="1" bestFit="1" customWidth="1"/>
    <col min="15600" max="15600" width="23.69921875" style="1" bestFit="1" customWidth="1"/>
    <col min="15601" max="15601" width="30.59765625" style="1" bestFit="1" customWidth="1"/>
    <col min="15602" max="15602" width="6.69921875" style="1" bestFit="1" customWidth="1"/>
    <col min="15603" max="15603" width="16.19921875" style="1" bestFit="1" customWidth="1"/>
    <col min="15604" max="15604" width="5" style="1" customWidth="1"/>
    <col min="15605" max="15605" width="11.09765625" style="1" bestFit="1" customWidth="1"/>
    <col min="15606" max="15606" width="7.09765625" style="1" bestFit="1" customWidth="1"/>
    <col min="15607" max="15607" width="5" style="1" bestFit="1" customWidth="1"/>
    <col min="15608" max="15608" width="5.19921875" style="1" customWidth="1"/>
    <col min="15609" max="15609" width="5.69921875" style="1" customWidth="1"/>
    <col min="15610" max="15610" width="4.09765625" style="1" customWidth="1"/>
    <col min="15611" max="15611" width="20.69921875" style="1" customWidth="1"/>
    <col min="15612" max="15612" width="8.5" style="1" customWidth="1"/>
    <col min="15613" max="15613" width="7.09765625" style="1" bestFit="1" customWidth="1"/>
    <col min="15614" max="15614" width="5" style="1" bestFit="1" customWidth="1"/>
    <col min="15615" max="15615" width="8.19921875" style="1" bestFit="1" customWidth="1"/>
    <col min="15616" max="15616" width="9.19921875" style="1" bestFit="1" customWidth="1"/>
    <col min="15617" max="15618" width="6.69921875" style="1" bestFit="1" customWidth="1"/>
    <col min="15619" max="15621" width="5" style="1" bestFit="1" customWidth="1"/>
    <col min="15622" max="15622" width="15.09765625" style="1" bestFit="1" customWidth="1"/>
    <col min="15623" max="15623" width="9" style="1"/>
    <col min="15624" max="15624" width="5.3984375" style="1" bestFit="1" customWidth="1"/>
    <col min="15625" max="15625" width="5" style="1" bestFit="1" customWidth="1"/>
    <col min="15626" max="15627" width="5.8984375" style="1" bestFit="1" customWidth="1"/>
    <col min="15628" max="15852" width="9" style="1"/>
    <col min="15853" max="15853" width="4" style="1" customWidth="1"/>
    <col min="15854" max="15854" width="4.3984375" style="1" bestFit="1" customWidth="1"/>
    <col min="15855" max="15855" width="13.09765625" style="1" bestFit="1" customWidth="1"/>
    <col min="15856" max="15856" width="23.69921875" style="1" bestFit="1" customWidth="1"/>
    <col min="15857" max="15857" width="30.59765625" style="1" bestFit="1" customWidth="1"/>
    <col min="15858" max="15858" width="6.69921875" style="1" bestFit="1" customWidth="1"/>
    <col min="15859" max="15859" width="16.19921875" style="1" bestFit="1" customWidth="1"/>
    <col min="15860" max="15860" width="5" style="1" customWidth="1"/>
    <col min="15861" max="15861" width="11.09765625" style="1" bestFit="1" customWidth="1"/>
    <col min="15862" max="15862" width="7.09765625" style="1" bestFit="1" customWidth="1"/>
    <col min="15863" max="15863" width="5" style="1" bestFit="1" customWidth="1"/>
    <col min="15864" max="15864" width="5.19921875" style="1" customWidth="1"/>
    <col min="15865" max="15865" width="5.69921875" style="1" customWidth="1"/>
    <col min="15866" max="15866" width="4.09765625" style="1" customWidth="1"/>
    <col min="15867" max="15867" width="20.69921875" style="1" customWidth="1"/>
    <col min="15868" max="15868" width="8.5" style="1" customWidth="1"/>
    <col min="15869" max="15869" width="7.09765625" style="1" bestFit="1" customWidth="1"/>
    <col min="15870" max="15870" width="5" style="1" bestFit="1" customWidth="1"/>
    <col min="15871" max="15871" width="8.19921875" style="1" bestFit="1" customWidth="1"/>
    <col min="15872" max="15872" width="9.19921875" style="1" bestFit="1" customWidth="1"/>
    <col min="15873" max="15874" width="6.69921875" style="1" bestFit="1" customWidth="1"/>
    <col min="15875" max="15877" width="5" style="1" bestFit="1" customWidth="1"/>
    <col min="15878" max="15878" width="15.09765625" style="1" bestFit="1" customWidth="1"/>
    <col min="15879" max="15879" width="9" style="1"/>
    <col min="15880" max="15880" width="5.3984375" style="1" bestFit="1" customWidth="1"/>
    <col min="15881" max="15881" width="5" style="1" bestFit="1" customWidth="1"/>
    <col min="15882" max="15883" width="5.8984375" style="1" bestFit="1" customWidth="1"/>
    <col min="15884" max="16108" width="9" style="1"/>
    <col min="16109" max="16109" width="4" style="1" customWidth="1"/>
    <col min="16110" max="16110" width="4.3984375" style="1" bestFit="1" customWidth="1"/>
    <col min="16111" max="16111" width="13.09765625" style="1" bestFit="1" customWidth="1"/>
    <col min="16112" max="16112" width="23.69921875" style="1" bestFit="1" customWidth="1"/>
    <col min="16113" max="16113" width="30.59765625" style="1" bestFit="1" customWidth="1"/>
    <col min="16114" max="16114" width="6.69921875" style="1" bestFit="1" customWidth="1"/>
    <col min="16115" max="16115" width="16.19921875" style="1" bestFit="1" customWidth="1"/>
    <col min="16116" max="16116" width="5" style="1" customWidth="1"/>
    <col min="16117" max="16117" width="11.09765625" style="1" bestFit="1" customWidth="1"/>
    <col min="16118" max="16118" width="7.09765625" style="1" bestFit="1" customWidth="1"/>
    <col min="16119" max="16119" width="5" style="1" bestFit="1" customWidth="1"/>
    <col min="16120" max="16120" width="5.19921875" style="1" customWidth="1"/>
    <col min="16121" max="16121" width="5.69921875" style="1" customWidth="1"/>
    <col min="16122" max="16122" width="4.09765625" style="1" customWidth="1"/>
    <col min="16123" max="16123" width="20.69921875" style="1" customWidth="1"/>
    <col min="16124" max="16124" width="8.5" style="1" customWidth="1"/>
    <col min="16125" max="16125" width="7.09765625" style="1" bestFit="1" customWidth="1"/>
    <col min="16126" max="16126" width="5" style="1" bestFit="1" customWidth="1"/>
    <col min="16127" max="16127" width="8.19921875" style="1" bestFit="1" customWidth="1"/>
    <col min="16128" max="16128" width="9.19921875" style="1" bestFit="1" customWidth="1"/>
    <col min="16129" max="16130" width="6.69921875" style="1" bestFit="1" customWidth="1"/>
    <col min="16131" max="16133" width="5" style="1" bestFit="1" customWidth="1"/>
    <col min="16134" max="16134" width="15.09765625" style="1" bestFit="1" customWidth="1"/>
    <col min="16135" max="16135" width="9" style="1"/>
    <col min="16136" max="16136" width="5.3984375" style="1" bestFit="1" customWidth="1"/>
    <col min="16137" max="16137" width="5" style="1" bestFit="1" customWidth="1"/>
    <col min="16138" max="16139" width="5.8984375" style="1" bestFit="1" customWidth="1"/>
    <col min="16140" max="16384" width="9" style="1"/>
  </cols>
  <sheetData>
    <row r="1" spans="2:35" ht="16.2" thickBot="1" x14ac:dyDescent="0.3"/>
    <row r="2" spans="2:35" ht="33" customHeight="1" x14ac:dyDescent="0.25">
      <c r="B2" s="309" t="s">
        <v>9</v>
      </c>
      <c r="C2" s="310"/>
      <c r="D2" s="311"/>
      <c r="E2" s="71" t="s">
        <v>404</v>
      </c>
      <c r="F2" s="315" t="s">
        <v>59</v>
      </c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07" t="s">
        <v>10</v>
      </c>
      <c r="AD2" s="307"/>
      <c r="AE2" s="41" t="s">
        <v>829</v>
      </c>
      <c r="AI2" s="2"/>
    </row>
    <row r="3" spans="2:35" ht="33" customHeight="1" thickBot="1" x14ac:dyDescent="0.3">
      <c r="B3" s="312" t="s">
        <v>8</v>
      </c>
      <c r="C3" s="313"/>
      <c r="D3" s="314"/>
      <c r="E3" s="40" t="s">
        <v>824</v>
      </c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08" t="s">
        <v>11</v>
      </c>
      <c r="AD3" s="308"/>
      <c r="AE3" s="42" t="s">
        <v>826</v>
      </c>
    </row>
    <row r="4" spans="2:35" s="2" customFormat="1" ht="16.5" customHeight="1" x14ac:dyDescent="0.25">
      <c r="B4" s="296" t="s">
        <v>0</v>
      </c>
      <c r="C4" s="298" t="s">
        <v>63</v>
      </c>
      <c r="D4" s="298" t="s">
        <v>64</v>
      </c>
      <c r="E4" s="300" t="s">
        <v>65</v>
      </c>
      <c r="F4" s="300" t="s">
        <v>66</v>
      </c>
      <c r="G4" s="298" t="s">
        <v>67</v>
      </c>
      <c r="H4" s="300" t="s">
        <v>68</v>
      </c>
      <c r="I4" s="302" t="s">
        <v>388</v>
      </c>
      <c r="J4" s="332" t="s">
        <v>389</v>
      </c>
      <c r="K4" s="333"/>
      <c r="L4" s="333"/>
      <c r="M4" s="333"/>
      <c r="N4" s="333"/>
      <c r="O4" s="333"/>
      <c r="P4" s="333"/>
      <c r="Q4" s="333"/>
      <c r="R4" s="334"/>
      <c r="S4" s="329" t="s">
        <v>390</v>
      </c>
      <c r="T4" s="330"/>
      <c r="U4" s="331"/>
      <c r="V4" s="327" t="s">
        <v>391</v>
      </c>
      <c r="W4" s="324" t="s">
        <v>392</v>
      </c>
      <c r="X4" s="325"/>
      <c r="Y4" s="326"/>
      <c r="Z4" s="321" t="s">
        <v>393</v>
      </c>
      <c r="AA4" s="322"/>
      <c r="AB4" s="322"/>
      <c r="AC4" s="322"/>
      <c r="AD4" s="323"/>
      <c r="AE4" s="319" t="s">
        <v>5</v>
      </c>
    </row>
    <row r="5" spans="2:35" s="2" customFormat="1" ht="31.2" x14ac:dyDescent="0.25">
      <c r="B5" s="297"/>
      <c r="C5" s="299"/>
      <c r="D5" s="299"/>
      <c r="E5" s="301"/>
      <c r="F5" s="301"/>
      <c r="G5" s="299"/>
      <c r="H5" s="301"/>
      <c r="I5" s="303"/>
      <c r="J5" s="54" t="s">
        <v>50</v>
      </c>
      <c r="K5" s="55" t="s">
        <v>51</v>
      </c>
      <c r="L5" s="55" t="s">
        <v>69</v>
      </c>
      <c r="M5" s="55" t="s">
        <v>52</v>
      </c>
      <c r="N5" s="55" t="s">
        <v>53</v>
      </c>
      <c r="O5" s="55" t="s">
        <v>54</v>
      </c>
      <c r="P5" s="55" t="s">
        <v>55</v>
      </c>
      <c r="Q5" s="55" t="s">
        <v>56</v>
      </c>
      <c r="R5" s="55" t="s">
        <v>57</v>
      </c>
      <c r="S5" s="50" t="s">
        <v>2</v>
      </c>
      <c r="T5" s="51" t="s">
        <v>3</v>
      </c>
      <c r="U5" s="56" t="s">
        <v>4</v>
      </c>
      <c r="V5" s="328"/>
      <c r="W5" s="52" t="s">
        <v>2</v>
      </c>
      <c r="X5" s="53" t="s">
        <v>3</v>
      </c>
      <c r="Y5" s="57" t="s">
        <v>4</v>
      </c>
      <c r="Z5" s="43" t="s">
        <v>60</v>
      </c>
      <c r="AA5" s="6" t="s">
        <v>61</v>
      </c>
      <c r="AB5" s="6" t="s">
        <v>6</v>
      </c>
      <c r="AC5" s="6" t="s">
        <v>7</v>
      </c>
      <c r="AD5" s="6" t="s">
        <v>62</v>
      </c>
      <c r="AE5" s="320"/>
    </row>
    <row r="6" spans="2:35" s="2" customFormat="1" x14ac:dyDescent="0.25">
      <c r="B6" s="170"/>
      <c r="C6" s="317" t="s">
        <v>405</v>
      </c>
      <c r="D6" s="171"/>
      <c r="E6" s="172"/>
      <c r="F6" s="166"/>
      <c r="G6" s="171"/>
      <c r="H6" s="166"/>
      <c r="I6" s="164"/>
      <c r="J6" s="54"/>
      <c r="K6" s="55"/>
      <c r="L6" s="55"/>
      <c r="M6" s="55"/>
      <c r="N6" s="55"/>
      <c r="O6" s="55"/>
      <c r="P6" s="55"/>
      <c r="Q6" s="55"/>
      <c r="R6" s="55"/>
      <c r="S6" s="50"/>
      <c r="T6" s="51"/>
      <c r="U6" s="56"/>
      <c r="V6" s="46"/>
      <c r="W6" s="52"/>
      <c r="X6" s="53"/>
      <c r="Y6" s="57"/>
      <c r="Z6" s="43"/>
      <c r="AA6" s="6"/>
      <c r="AB6" s="6"/>
      <c r="AC6" s="6"/>
      <c r="AD6" s="6"/>
      <c r="AE6" s="165"/>
    </row>
    <row r="7" spans="2:35" s="2" customFormat="1" x14ac:dyDescent="0.25">
      <c r="B7" s="170"/>
      <c r="C7" s="318"/>
      <c r="D7" s="171"/>
      <c r="E7" s="172"/>
      <c r="F7" s="167"/>
      <c r="G7" s="171"/>
      <c r="H7" s="167"/>
      <c r="I7" s="169"/>
      <c r="J7" s="54"/>
      <c r="K7" s="55"/>
      <c r="L7" s="55"/>
      <c r="M7" s="55"/>
      <c r="N7" s="55"/>
      <c r="O7" s="55"/>
      <c r="P7" s="55"/>
      <c r="Q7" s="55"/>
      <c r="R7" s="55"/>
      <c r="S7" s="50"/>
      <c r="T7" s="51"/>
      <c r="U7" s="56"/>
      <c r="V7" s="46"/>
      <c r="W7" s="52"/>
      <c r="X7" s="53"/>
      <c r="Y7" s="57"/>
      <c r="Z7" s="43"/>
      <c r="AA7" s="6"/>
      <c r="AB7" s="6"/>
      <c r="AC7" s="6"/>
      <c r="AD7" s="6"/>
      <c r="AE7" s="168"/>
    </row>
    <row r="8" spans="2:35" s="2" customFormat="1" x14ac:dyDescent="0.25">
      <c r="B8" s="170"/>
      <c r="C8" s="299"/>
      <c r="D8" s="171"/>
      <c r="E8" s="172"/>
      <c r="F8" s="166"/>
      <c r="G8" s="171"/>
      <c r="H8" s="166"/>
      <c r="I8" s="164"/>
      <c r="J8" s="54"/>
      <c r="K8" s="55"/>
      <c r="L8" s="55"/>
      <c r="M8" s="55"/>
      <c r="N8" s="55"/>
      <c r="O8" s="55"/>
      <c r="P8" s="55"/>
      <c r="Q8" s="55"/>
      <c r="R8" s="55"/>
      <c r="S8" s="50"/>
      <c r="T8" s="51"/>
      <c r="U8" s="56"/>
      <c r="V8" s="46"/>
      <c r="W8" s="52"/>
      <c r="X8" s="53"/>
      <c r="Y8" s="57"/>
      <c r="Z8" s="43"/>
      <c r="AA8" s="6"/>
      <c r="AB8" s="6"/>
      <c r="AC8" s="6"/>
      <c r="AD8" s="6"/>
      <c r="AE8" s="165"/>
    </row>
    <row r="9" spans="2:35" x14ac:dyDescent="0.25">
      <c r="B9" s="9"/>
      <c r="C9" s="304" t="s">
        <v>554</v>
      </c>
      <c r="D9" s="290" t="s">
        <v>547</v>
      </c>
      <c r="E9" s="290" t="s">
        <v>83</v>
      </c>
      <c r="F9" s="293" t="s">
        <v>544</v>
      </c>
      <c r="G9" s="290" t="s">
        <v>84</v>
      </c>
      <c r="H9" s="5" t="s">
        <v>85</v>
      </c>
      <c r="I9" s="5" t="s">
        <v>401</v>
      </c>
      <c r="J9" s="173"/>
      <c r="K9" s="173"/>
      <c r="L9" s="173"/>
      <c r="M9" s="173" t="s">
        <v>86</v>
      </c>
      <c r="N9" s="173"/>
      <c r="O9" s="5"/>
      <c r="P9" s="5"/>
      <c r="Q9" s="5"/>
      <c r="R9" s="48"/>
      <c r="S9" s="61">
        <v>2</v>
      </c>
      <c r="T9" s="62">
        <v>2</v>
      </c>
      <c r="U9" s="14" t="str">
        <f>IF(AND(S9*T9&gt;=16,S9*T9&lt;=20),"매우높음",IF(AND(S9*T9&gt;=11,S9*T9&lt;=15),"높음",IF(AND(S9*T9&gt;=6,S9*T9&lt;=10),"보통",IF(AND(S9*T9&gt;=1,S9*T9&lt;=5),"낮음"))))</f>
        <v>낮음</v>
      </c>
      <c r="V9" s="46" t="s">
        <v>411</v>
      </c>
      <c r="W9" s="61">
        <v>2</v>
      </c>
      <c r="X9" s="62">
        <v>2</v>
      </c>
      <c r="Y9" s="14" t="s">
        <v>406</v>
      </c>
      <c r="Z9" s="197" t="s">
        <v>819</v>
      </c>
      <c r="AA9" s="173"/>
      <c r="AB9" s="63"/>
      <c r="AC9" s="63" t="s">
        <v>820</v>
      </c>
      <c r="AD9" s="63" t="s">
        <v>823</v>
      </c>
      <c r="AE9" s="64"/>
    </row>
    <row r="10" spans="2:35" x14ac:dyDescent="0.25">
      <c r="B10" s="9"/>
      <c r="C10" s="305"/>
      <c r="D10" s="292"/>
      <c r="E10" s="292"/>
      <c r="F10" s="294"/>
      <c r="G10" s="292"/>
      <c r="H10" s="5" t="s">
        <v>87</v>
      </c>
      <c r="I10" s="5" t="s">
        <v>402</v>
      </c>
      <c r="J10" s="173"/>
      <c r="K10" s="173"/>
      <c r="L10" s="173"/>
      <c r="M10" s="173" t="s">
        <v>86</v>
      </c>
      <c r="N10" s="173"/>
      <c r="O10" s="5"/>
      <c r="P10" s="5"/>
      <c r="Q10" s="5"/>
      <c r="R10" s="48"/>
      <c r="S10" s="61">
        <v>2</v>
      </c>
      <c r="T10" s="62">
        <v>3</v>
      </c>
      <c r="U10" s="14" t="str">
        <f>IF(AND(S10*T10&gt;=16,S10*T10&lt;=20),"매우높음",IF(AND(S10*T10&gt;=11,S10*T10&lt;=15),"높음",IF(AND(S10*T10&gt;=6,S10*T10&lt;=10),"보통",IF(AND(S10*T10&gt;=1,S10*T10&lt;=5),"낮음"))))</f>
        <v>보통</v>
      </c>
      <c r="V10" s="46" t="s">
        <v>412</v>
      </c>
      <c r="W10" s="61">
        <v>2</v>
      </c>
      <c r="X10" s="62">
        <v>2</v>
      </c>
      <c r="Y10" s="14" t="s">
        <v>406</v>
      </c>
      <c r="Z10" s="197" t="s">
        <v>819</v>
      </c>
      <c r="AA10" s="173"/>
      <c r="AB10" s="63"/>
      <c r="AC10" s="63" t="s">
        <v>820</v>
      </c>
      <c r="AD10" s="63" t="s">
        <v>823</v>
      </c>
      <c r="AE10" s="64"/>
    </row>
    <row r="11" spans="2:35" x14ac:dyDescent="0.25">
      <c r="B11" s="9"/>
      <c r="C11" s="305"/>
      <c r="D11" s="292"/>
      <c r="E11" s="292"/>
      <c r="F11" s="295"/>
      <c r="G11" s="292"/>
      <c r="H11" s="5" t="s">
        <v>88</v>
      </c>
      <c r="I11" s="5" t="s">
        <v>395</v>
      </c>
      <c r="J11" s="173" t="s">
        <v>86</v>
      </c>
      <c r="K11" s="173" t="s">
        <v>86</v>
      </c>
      <c r="L11" s="173"/>
      <c r="M11" s="173"/>
      <c r="N11" s="173"/>
      <c r="O11" s="5"/>
      <c r="P11" s="5"/>
      <c r="Q11" s="5"/>
      <c r="R11" s="48"/>
      <c r="S11" s="61">
        <v>2</v>
      </c>
      <c r="T11" s="62">
        <v>2</v>
      </c>
      <c r="U11" s="14" t="str">
        <f>IF(AND(S11*T11&gt;=16,S11*T11&lt;=20),"매우높음",IF(AND(S11*T11&gt;=11,S11*T11&lt;=15),"높음",IF(AND(S11*T11&gt;=6,S11*T11&lt;=10),"보통",IF(AND(S11*T11&gt;=1,S11*T11&lt;=5),"낮음"))))</f>
        <v>낮음</v>
      </c>
      <c r="V11" s="46" t="s">
        <v>413</v>
      </c>
      <c r="W11" s="61">
        <v>2</v>
      </c>
      <c r="X11" s="62">
        <v>2</v>
      </c>
      <c r="Y11" s="14" t="s">
        <v>406</v>
      </c>
      <c r="Z11" s="197" t="s">
        <v>819</v>
      </c>
      <c r="AA11" s="173"/>
      <c r="AB11" s="63"/>
      <c r="AC11" s="63" t="s">
        <v>820</v>
      </c>
      <c r="AD11" s="63" t="s">
        <v>823</v>
      </c>
      <c r="AE11" s="64"/>
    </row>
    <row r="12" spans="2:35" x14ac:dyDescent="0.25">
      <c r="B12" s="9"/>
      <c r="C12" s="305"/>
      <c r="D12" s="292"/>
      <c r="E12" s="292"/>
      <c r="F12" s="293" t="s">
        <v>545</v>
      </c>
      <c r="G12" s="292"/>
      <c r="H12" s="5" t="s">
        <v>89</v>
      </c>
      <c r="I12" s="5" t="s">
        <v>395</v>
      </c>
      <c r="J12" s="63" t="s">
        <v>58</v>
      </c>
      <c r="K12" s="63" t="s">
        <v>58</v>
      </c>
      <c r="L12" s="63" t="s">
        <v>58</v>
      </c>
      <c r="M12" s="5"/>
      <c r="N12" s="5"/>
      <c r="O12" s="5"/>
      <c r="P12" s="63"/>
      <c r="Q12" s="5"/>
      <c r="R12" s="48"/>
      <c r="S12" s="61">
        <v>3</v>
      </c>
      <c r="T12" s="62">
        <v>2</v>
      </c>
      <c r="U12" s="14" t="str">
        <f>IF(AND(S12*T12&gt;=16,S12*T12&lt;=20),"매우높음",IF(AND(S12*T12&gt;=11,S12*T12&lt;=15),"높음",IF(AND(S12*T12&gt;=6,S12*T12&lt;=10),"보통",IF(AND(S12*T12&gt;=1,S12*T12&lt;=5),"낮음"))))</f>
        <v>보통</v>
      </c>
      <c r="V12" s="46" t="s">
        <v>77</v>
      </c>
      <c r="W12" s="61">
        <v>1</v>
      </c>
      <c r="X12" s="62">
        <v>2</v>
      </c>
      <c r="Y12" s="14" t="s">
        <v>406</v>
      </c>
      <c r="Z12" s="197" t="s">
        <v>819</v>
      </c>
      <c r="AA12" s="173"/>
      <c r="AB12" s="63"/>
      <c r="AC12" s="63" t="s">
        <v>820</v>
      </c>
      <c r="AD12" s="63" t="s">
        <v>823</v>
      </c>
      <c r="AE12" s="64"/>
    </row>
    <row r="13" spans="2:35" x14ac:dyDescent="0.25">
      <c r="B13" s="9"/>
      <c r="C13" s="305"/>
      <c r="D13" s="292"/>
      <c r="E13" s="291"/>
      <c r="F13" s="295"/>
      <c r="G13" s="292"/>
      <c r="H13" s="5" t="s">
        <v>90</v>
      </c>
      <c r="I13" s="5" t="s">
        <v>398</v>
      </c>
      <c r="J13" s="63" t="s">
        <v>58</v>
      </c>
      <c r="K13" s="63" t="s">
        <v>58</v>
      </c>
      <c r="L13" s="63" t="s">
        <v>58</v>
      </c>
      <c r="M13" s="5"/>
      <c r="N13" s="5"/>
      <c r="O13" s="5"/>
      <c r="P13" s="63"/>
      <c r="Q13" s="5"/>
      <c r="R13" s="48"/>
      <c r="S13" s="61">
        <v>3</v>
      </c>
      <c r="T13" s="62">
        <v>2</v>
      </c>
      <c r="U13" s="14" t="s">
        <v>70</v>
      </c>
      <c r="V13" s="46" t="s">
        <v>414</v>
      </c>
      <c r="W13" s="61">
        <v>1</v>
      </c>
      <c r="X13" s="62">
        <v>3</v>
      </c>
      <c r="Y13" s="14" t="s">
        <v>406</v>
      </c>
      <c r="Z13" s="197" t="s">
        <v>819</v>
      </c>
      <c r="AA13" s="173"/>
      <c r="AB13" s="63"/>
      <c r="AC13" s="63" t="s">
        <v>820</v>
      </c>
      <c r="AD13" s="63" t="s">
        <v>823</v>
      </c>
      <c r="AE13" s="64"/>
    </row>
    <row r="14" spans="2:35" ht="15.6" customHeight="1" x14ac:dyDescent="0.25">
      <c r="B14" s="9"/>
      <c r="C14" s="305"/>
      <c r="D14" s="292"/>
      <c r="E14" s="290" t="s">
        <v>546</v>
      </c>
      <c r="F14" s="293" t="s">
        <v>91</v>
      </c>
      <c r="G14" s="292"/>
      <c r="H14" s="5" t="s">
        <v>71</v>
      </c>
      <c r="I14" s="5" t="s">
        <v>401</v>
      </c>
      <c r="J14" s="63" t="s">
        <v>58</v>
      </c>
      <c r="K14" s="63" t="s">
        <v>58</v>
      </c>
      <c r="L14" s="63" t="s">
        <v>58</v>
      </c>
      <c r="M14" s="5"/>
      <c r="N14" s="5"/>
      <c r="O14" s="5"/>
      <c r="P14" s="63" t="s">
        <v>58</v>
      </c>
      <c r="Q14" s="5"/>
      <c r="R14" s="48"/>
      <c r="S14" s="61">
        <v>2</v>
      </c>
      <c r="T14" s="62">
        <v>1</v>
      </c>
      <c r="U14" s="14" t="str">
        <f t="shared" ref="U14:U44" si="0">IF(AND(S14*T14&gt;=16,S14*T14&lt;=20),"매우높음",IF(AND(S14*T14&gt;=11,S14*T14&lt;=15),"높음",IF(AND(S14*T14&gt;=6,S14*T14&lt;=10),"보통",IF(AND(S14*T14&gt;=1,S14*T14&lt;=5),"낮음"))))</f>
        <v>낮음</v>
      </c>
      <c r="V14" s="46" t="s">
        <v>825</v>
      </c>
      <c r="W14" s="61">
        <v>2</v>
      </c>
      <c r="X14" s="62">
        <v>4</v>
      </c>
      <c r="Y14" s="14" t="s">
        <v>416</v>
      </c>
      <c r="Z14" s="197" t="s">
        <v>819</v>
      </c>
      <c r="AA14" s="173"/>
      <c r="AB14" s="63"/>
      <c r="AC14" s="63" t="s">
        <v>820</v>
      </c>
      <c r="AD14" s="63" t="s">
        <v>823</v>
      </c>
      <c r="AE14" s="64"/>
    </row>
    <row r="15" spans="2:35" x14ac:dyDescent="0.25">
      <c r="B15" s="9"/>
      <c r="C15" s="305"/>
      <c r="D15" s="292"/>
      <c r="E15" s="292"/>
      <c r="F15" s="294"/>
      <c r="G15" s="292"/>
      <c r="H15" s="5" t="s">
        <v>92</v>
      </c>
      <c r="I15" s="5" t="s">
        <v>394</v>
      </c>
      <c r="J15" s="63"/>
      <c r="K15" s="63"/>
      <c r="L15" s="63"/>
      <c r="M15" s="5"/>
      <c r="N15" s="5"/>
      <c r="O15" s="5"/>
      <c r="P15" s="63" t="s">
        <v>58</v>
      </c>
      <c r="Q15" s="5"/>
      <c r="R15" s="48"/>
      <c r="S15" s="61">
        <v>3</v>
      </c>
      <c r="T15" s="62">
        <v>2</v>
      </c>
      <c r="U15" s="14" t="str">
        <f t="shared" si="0"/>
        <v>보통</v>
      </c>
      <c r="V15" s="46" t="s">
        <v>74</v>
      </c>
      <c r="W15" s="61">
        <v>2</v>
      </c>
      <c r="X15" s="62">
        <v>3</v>
      </c>
      <c r="Y15" s="14" t="s">
        <v>416</v>
      </c>
      <c r="Z15" s="197" t="s">
        <v>819</v>
      </c>
      <c r="AA15" s="173"/>
      <c r="AB15" s="63"/>
      <c r="AC15" s="63" t="s">
        <v>820</v>
      </c>
      <c r="AD15" s="63" t="s">
        <v>823</v>
      </c>
      <c r="AE15" s="64"/>
    </row>
    <row r="16" spans="2:35" x14ac:dyDescent="0.25">
      <c r="B16" s="9"/>
      <c r="C16" s="305"/>
      <c r="D16" s="292"/>
      <c r="E16" s="292"/>
      <c r="F16" s="294"/>
      <c r="G16" s="292"/>
      <c r="H16" s="5" t="s">
        <v>93</v>
      </c>
      <c r="I16" s="5" t="s">
        <v>397</v>
      </c>
      <c r="J16" s="63" t="s">
        <v>58</v>
      </c>
      <c r="K16" s="63" t="s">
        <v>58</v>
      </c>
      <c r="L16" s="63" t="s">
        <v>58</v>
      </c>
      <c r="M16" s="5"/>
      <c r="N16" s="5"/>
      <c r="O16" s="5"/>
      <c r="P16" s="63"/>
      <c r="Q16" s="5"/>
      <c r="R16" s="48"/>
      <c r="S16" s="61">
        <v>3</v>
      </c>
      <c r="T16" s="62">
        <v>1</v>
      </c>
      <c r="U16" s="14" t="str">
        <f t="shared" si="0"/>
        <v>낮음</v>
      </c>
      <c r="V16" s="46" t="s">
        <v>73</v>
      </c>
      <c r="W16" s="61">
        <v>2</v>
      </c>
      <c r="X16" s="62">
        <v>3</v>
      </c>
      <c r="Y16" s="14" t="s">
        <v>416</v>
      </c>
      <c r="Z16" s="197" t="s">
        <v>819</v>
      </c>
      <c r="AA16" s="173"/>
      <c r="AB16" s="63"/>
      <c r="AC16" s="63" t="s">
        <v>820</v>
      </c>
      <c r="AD16" s="63" t="s">
        <v>823</v>
      </c>
      <c r="AE16" s="64"/>
    </row>
    <row r="17" spans="2:31" x14ac:dyDescent="0.25">
      <c r="B17" s="9"/>
      <c r="C17" s="305"/>
      <c r="D17" s="292"/>
      <c r="E17" s="292"/>
      <c r="F17" s="295"/>
      <c r="G17" s="292"/>
      <c r="H17" s="5" t="s">
        <v>94</v>
      </c>
      <c r="I17" s="5" t="s">
        <v>396</v>
      </c>
      <c r="J17" s="63" t="s">
        <v>58</v>
      </c>
      <c r="K17" s="63" t="s">
        <v>58</v>
      </c>
      <c r="L17" s="63" t="s">
        <v>58</v>
      </c>
      <c r="M17" s="5"/>
      <c r="N17" s="5"/>
      <c r="O17" s="5"/>
      <c r="P17" s="63"/>
      <c r="Q17" s="5"/>
      <c r="R17" s="48"/>
      <c r="S17" s="61">
        <v>4</v>
      </c>
      <c r="T17" s="62">
        <v>2</v>
      </c>
      <c r="U17" s="14" t="str">
        <f t="shared" si="0"/>
        <v>보통</v>
      </c>
      <c r="V17" s="46" t="s">
        <v>72</v>
      </c>
      <c r="W17" s="61">
        <v>1</v>
      </c>
      <c r="X17" s="62">
        <v>1</v>
      </c>
      <c r="Y17" s="14" t="s">
        <v>406</v>
      </c>
      <c r="Z17" s="197" t="s">
        <v>819</v>
      </c>
      <c r="AA17" s="173"/>
      <c r="AB17" s="63"/>
      <c r="AC17" s="63" t="s">
        <v>820</v>
      </c>
      <c r="AD17" s="63" t="s">
        <v>823</v>
      </c>
      <c r="AE17" s="64"/>
    </row>
    <row r="18" spans="2:31" x14ac:dyDescent="0.25">
      <c r="B18" s="9"/>
      <c r="C18" s="305"/>
      <c r="D18" s="292"/>
      <c r="E18" s="292"/>
      <c r="F18" s="293" t="s">
        <v>95</v>
      </c>
      <c r="G18" s="292"/>
      <c r="H18" s="5" t="s">
        <v>75</v>
      </c>
      <c r="I18" s="5" t="s">
        <v>395</v>
      </c>
      <c r="J18" s="63" t="s">
        <v>58</v>
      </c>
      <c r="K18" s="63" t="s">
        <v>58</v>
      </c>
      <c r="L18" s="63" t="s">
        <v>58</v>
      </c>
      <c r="M18" s="5"/>
      <c r="N18" s="5"/>
      <c r="O18" s="5"/>
      <c r="P18" s="63"/>
      <c r="Q18" s="5"/>
      <c r="R18" s="48"/>
      <c r="S18" s="61">
        <v>3</v>
      </c>
      <c r="T18" s="62">
        <v>3</v>
      </c>
      <c r="U18" s="14" t="str">
        <f t="shared" si="0"/>
        <v>보통</v>
      </c>
      <c r="V18" s="46" t="s">
        <v>77</v>
      </c>
      <c r="W18" s="61">
        <v>1</v>
      </c>
      <c r="X18" s="62">
        <v>1</v>
      </c>
      <c r="Y18" s="14" t="s">
        <v>406</v>
      </c>
      <c r="Z18" s="197" t="s">
        <v>819</v>
      </c>
      <c r="AA18" s="173"/>
      <c r="AB18" s="63"/>
      <c r="AC18" s="63" t="s">
        <v>820</v>
      </c>
      <c r="AD18" s="63" t="s">
        <v>823</v>
      </c>
      <c r="AE18" s="64"/>
    </row>
    <row r="19" spans="2:31" x14ac:dyDescent="0.25">
      <c r="B19" s="9"/>
      <c r="C19" s="305"/>
      <c r="D19" s="292"/>
      <c r="E19" s="292"/>
      <c r="F19" s="295"/>
      <c r="G19" s="292"/>
      <c r="H19" s="5" t="s">
        <v>76</v>
      </c>
      <c r="I19" s="5" t="s">
        <v>398</v>
      </c>
      <c r="J19" s="63" t="s">
        <v>58</v>
      </c>
      <c r="K19" s="63" t="s">
        <v>58</v>
      </c>
      <c r="L19" s="63" t="s">
        <v>58</v>
      </c>
      <c r="M19" s="5"/>
      <c r="N19" s="5"/>
      <c r="O19" s="5"/>
      <c r="P19" s="63"/>
      <c r="Q19" s="5"/>
      <c r="R19" s="48"/>
      <c r="S19" s="61">
        <v>3</v>
      </c>
      <c r="T19" s="62">
        <v>3</v>
      </c>
      <c r="U19" s="14" t="s">
        <v>70</v>
      </c>
      <c r="V19" s="46" t="s">
        <v>414</v>
      </c>
      <c r="W19" s="61">
        <v>2</v>
      </c>
      <c r="X19" s="62">
        <v>2</v>
      </c>
      <c r="Y19" s="14" t="s">
        <v>406</v>
      </c>
      <c r="Z19" s="197" t="s">
        <v>819</v>
      </c>
      <c r="AA19" s="173"/>
      <c r="AB19" s="63"/>
      <c r="AC19" s="63" t="s">
        <v>820</v>
      </c>
      <c r="AD19" s="63" t="s">
        <v>823</v>
      </c>
      <c r="AE19" s="64"/>
    </row>
    <row r="20" spans="2:31" x14ac:dyDescent="0.25">
      <c r="B20" s="9"/>
      <c r="C20" s="305"/>
      <c r="D20" s="292"/>
      <c r="E20" s="292"/>
      <c r="F20" s="293" t="s">
        <v>96</v>
      </c>
      <c r="G20" s="292"/>
      <c r="H20" s="5" t="s">
        <v>79</v>
      </c>
      <c r="I20" s="5" t="s">
        <v>401</v>
      </c>
      <c r="J20" s="63" t="s">
        <v>58</v>
      </c>
      <c r="K20" s="63" t="s">
        <v>58</v>
      </c>
      <c r="L20" s="63"/>
      <c r="M20" s="63" t="s">
        <v>58</v>
      </c>
      <c r="N20" s="63" t="s">
        <v>58</v>
      </c>
      <c r="O20" s="5"/>
      <c r="P20" s="5"/>
      <c r="Q20" s="5"/>
      <c r="R20" s="48"/>
      <c r="S20" s="61">
        <v>2</v>
      </c>
      <c r="T20" s="62">
        <v>4</v>
      </c>
      <c r="U20" s="14" t="str">
        <f t="shared" si="0"/>
        <v>보통</v>
      </c>
      <c r="V20" s="46" t="s">
        <v>407</v>
      </c>
      <c r="W20" s="61">
        <v>2</v>
      </c>
      <c r="X20" s="62">
        <v>2</v>
      </c>
      <c r="Y20" s="14" t="s">
        <v>406</v>
      </c>
      <c r="Z20" s="197" t="s">
        <v>819</v>
      </c>
      <c r="AA20" s="173"/>
      <c r="AB20" s="63"/>
      <c r="AC20" s="63" t="s">
        <v>820</v>
      </c>
      <c r="AD20" s="63" t="s">
        <v>823</v>
      </c>
      <c r="AE20" s="64"/>
    </row>
    <row r="21" spans="2:31" ht="46.8" x14ac:dyDescent="0.25">
      <c r="B21" s="9"/>
      <c r="C21" s="305"/>
      <c r="D21" s="292"/>
      <c r="E21" s="292"/>
      <c r="F21" s="295"/>
      <c r="G21" s="292"/>
      <c r="H21" s="5" t="s">
        <v>78</v>
      </c>
      <c r="I21" s="5" t="s">
        <v>399</v>
      </c>
      <c r="J21" s="63" t="s">
        <v>58</v>
      </c>
      <c r="K21" s="63" t="s">
        <v>58</v>
      </c>
      <c r="L21" s="63"/>
      <c r="M21" s="63" t="s">
        <v>58</v>
      </c>
      <c r="N21" s="63" t="s">
        <v>58</v>
      </c>
      <c r="O21" s="5"/>
      <c r="P21" s="5"/>
      <c r="Q21" s="5"/>
      <c r="R21" s="48"/>
      <c r="S21" s="61">
        <v>2</v>
      </c>
      <c r="T21" s="62">
        <v>4</v>
      </c>
      <c r="U21" s="14" t="str">
        <f t="shared" si="0"/>
        <v>보통</v>
      </c>
      <c r="V21" s="46" t="s">
        <v>408</v>
      </c>
      <c r="W21" s="61">
        <v>2</v>
      </c>
      <c r="X21" s="62">
        <v>2</v>
      </c>
      <c r="Y21" s="14" t="s">
        <v>406</v>
      </c>
      <c r="Z21" s="197" t="s">
        <v>819</v>
      </c>
      <c r="AA21" s="173"/>
      <c r="AB21" s="63"/>
      <c r="AC21" s="63" t="s">
        <v>820</v>
      </c>
      <c r="AD21" s="63" t="s">
        <v>823</v>
      </c>
      <c r="AE21" s="64"/>
    </row>
    <row r="22" spans="2:31" ht="31.2" x14ac:dyDescent="0.25">
      <c r="B22" s="9"/>
      <c r="C22" s="305"/>
      <c r="D22" s="292"/>
      <c r="E22" s="292"/>
      <c r="F22" s="293" t="s">
        <v>97</v>
      </c>
      <c r="G22" s="292"/>
      <c r="H22" s="5" t="s">
        <v>98</v>
      </c>
      <c r="I22" s="5" t="s">
        <v>400</v>
      </c>
      <c r="J22" s="63"/>
      <c r="K22" s="63" t="s">
        <v>58</v>
      </c>
      <c r="L22" s="63"/>
      <c r="M22" s="63" t="s">
        <v>58</v>
      </c>
      <c r="N22" s="63" t="s">
        <v>58</v>
      </c>
      <c r="O22" s="5"/>
      <c r="P22" s="5"/>
      <c r="Q22" s="5"/>
      <c r="R22" s="48"/>
      <c r="S22" s="61">
        <v>2</v>
      </c>
      <c r="T22" s="62">
        <v>4</v>
      </c>
      <c r="U22" s="14" t="str">
        <f t="shared" si="0"/>
        <v>보통</v>
      </c>
      <c r="V22" s="46" t="s">
        <v>409</v>
      </c>
      <c r="W22" s="61">
        <v>2</v>
      </c>
      <c r="X22" s="62">
        <v>2</v>
      </c>
      <c r="Y22" s="14" t="s">
        <v>406</v>
      </c>
      <c r="Z22" s="197" t="s">
        <v>819</v>
      </c>
      <c r="AA22" s="173"/>
      <c r="AB22" s="63"/>
      <c r="AC22" s="63" t="s">
        <v>820</v>
      </c>
      <c r="AD22" s="63" t="s">
        <v>823</v>
      </c>
      <c r="AE22" s="64"/>
    </row>
    <row r="23" spans="2:31" ht="31.2" x14ac:dyDescent="0.25">
      <c r="B23" s="9"/>
      <c r="C23" s="305"/>
      <c r="D23" s="291"/>
      <c r="E23" s="291"/>
      <c r="F23" s="295"/>
      <c r="G23" s="291"/>
      <c r="H23" s="5" t="s">
        <v>99</v>
      </c>
      <c r="I23" s="5" t="s">
        <v>399</v>
      </c>
      <c r="J23" s="63" t="s">
        <v>58</v>
      </c>
      <c r="K23" s="63" t="s">
        <v>58</v>
      </c>
      <c r="L23" s="63"/>
      <c r="M23" s="63" t="s">
        <v>58</v>
      </c>
      <c r="N23" s="63" t="s">
        <v>58</v>
      </c>
      <c r="O23" s="5"/>
      <c r="P23" s="5"/>
      <c r="Q23" s="5"/>
      <c r="R23" s="48"/>
      <c r="S23" s="61">
        <v>2</v>
      </c>
      <c r="T23" s="62">
        <v>4</v>
      </c>
      <c r="U23" s="14" t="str">
        <f t="shared" si="0"/>
        <v>보통</v>
      </c>
      <c r="V23" s="46" t="s">
        <v>410</v>
      </c>
      <c r="W23" s="61">
        <v>2</v>
      </c>
      <c r="X23" s="62">
        <v>2</v>
      </c>
      <c r="Y23" s="14" t="s">
        <v>406</v>
      </c>
      <c r="Z23" s="197" t="s">
        <v>819</v>
      </c>
      <c r="AA23" s="173"/>
      <c r="AB23" s="63"/>
      <c r="AC23" s="63" t="s">
        <v>820</v>
      </c>
      <c r="AD23" s="63" t="s">
        <v>823</v>
      </c>
      <c r="AE23" s="64"/>
    </row>
    <row r="24" spans="2:31" x14ac:dyDescent="0.25">
      <c r="B24" s="9"/>
      <c r="C24" s="305"/>
      <c r="D24" s="290" t="s">
        <v>548</v>
      </c>
      <c r="E24" s="290" t="s">
        <v>83</v>
      </c>
      <c r="F24" s="293" t="s">
        <v>549</v>
      </c>
      <c r="G24" s="290" t="s">
        <v>84</v>
      </c>
      <c r="H24" s="5" t="s">
        <v>85</v>
      </c>
      <c r="I24" s="5" t="s">
        <v>401</v>
      </c>
      <c r="J24" s="173"/>
      <c r="K24" s="173"/>
      <c r="L24" s="173"/>
      <c r="M24" s="173" t="s">
        <v>86</v>
      </c>
      <c r="N24" s="173"/>
      <c r="O24" s="5"/>
      <c r="P24" s="5"/>
      <c r="Q24" s="5"/>
      <c r="R24" s="48"/>
      <c r="S24" s="61">
        <v>2</v>
      </c>
      <c r="T24" s="62">
        <v>2</v>
      </c>
      <c r="U24" s="14" t="str">
        <f>IF(AND(S24*T24&gt;=16,S24*T24&lt;=20),"매우높음",IF(AND(S24*T24&gt;=11,S24*T24&lt;=15),"높음",IF(AND(S24*T24&gt;=6,S24*T24&lt;=10),"보통",IF(AND(S24*T24&gt;=1,S24*T24&lt;=5),"낮음"))))</f>
        <v>낮음</v>
      </c>
      <c r="V24" s="46" t="s">
        <v>411</v>
      </c>
      <c r="W24" s="61">
        <v>2</v>
      </c>
      <c r="X24" s="62">
        <v>2</v>
      </c>
      <c r="Y24" s="14" t="s">
        <v>406</v>
      </c>
      <c r="Z24" s="197" t="s">
        <v>819</v>
      </c>
      <c r="AA24" s="173"/>
      <c r="AB24" s="63"/>
      <c r="AC24" s="63" t="s">
        <v>820</v>
      </c>
      <c r="AD24" s="63" t="s">
        <v>827</v>
      </c>
      <c r="AE24" s="64"/>
    </row>
    <row r="25" spans="2:31" x14ac:dyDescent="0.25">
      <c r="B25" s="9"/>
      <c r="C25" s="305"/>
      <c r="D25" s="292"/>
      <c r="E25" s="292"/>
      <c r="F25" s="294"/>
      <c r="G25" s="292"/>
      <c r="H25" s="5" t="s">
        <v>87</v>
      </c>
      <c r="I25" s="5" t="s">
        <v>402</v>
      </c>
      <c r="J25" s="173"/>
      <c r="K25" s="173"/>
      <c r="L25" s="173"/>
      <c r="M25" s="173" t="s">
        <v>86</v>
      </c>
      <c r="N25" s="173"/>
      <c r="O25" s="5"/>
      <c r="P25" s="5"/>
      <c r="Q25" s="5"/>
      <c r="R25" s="48"/>
      <c r="S25" s="61">
        <v>2</v>
      </c>
      <c r="T25" s="62">
        <v>3</v>
      </c>
      <c r="U25" s="14" t="str">
        <f>IF(AND(S25*T25&gt;=16,S25*T25&lt;=20),"매우높음",IF(AND(S25*T25&gt;=11,S25*T25&lt;=15),"높음",IF(AND(S25*T25&gt;=6,S25*T25&lt;=10),"보통",IF(AND(S25*T25&gt;=1,S25*T25&lt;=5),"낮음"))))</f>
        <v>보통</v>
      </c>
      <c r="V25" s="46" t="s">
        <v>412</v>
      </c>
      <c r="W25" s="61">
        <v>2</v>
      </c>
      <c r="X25" s="62">
        <v>2</v>
      </c>
      <c r="Y25" s="14" t="s">
        <v>406</v>
      </c>
      <c r="Z25" s="197" t="s">
        <v>819</v>
      </c>
      <c r="AA25" s="173"/>
      <c r="AB25" s="63"/>
      <c r="AC25" s="63" t="s">
        <v>820</v>
      </c>
      <c r="AD25" s="63" t="s">
        <v>827</v>
      </c>
      <c r="AE25" s="64"/>
    </row>
    <row r="26" spans="2:31" x14ac:dyDescent="0.25">
      <c r="B26" s="9"/>
      <c r="C26" s="305"/>
      <c r="D26" s="292"/>
      <c r="E26" s="292"/>
      <c r="F26" s="295"/>
      <c r="G26" s="292"/>
      <c r="H26" s="5" t="s">
        <v>88</v>
      </c>
      <c r="I26" s="5" t="s">
        <v>395</v>
      </c>
      <c r="J26" s="173" t="s">
        <v>86</v>
      </c>
      <c r="K26" s="173" t="s">
        <v>86</v>
      </c>
      <c r="L26" s="173"/>
      <c r="M26" s="173"/>
      <c r="N26" s="173"/>
      <c r="O26" s="5"/>
      <c r="P26" s="5"/>
      <c r="Q26" s="5"/>
      <c r="R26" s="48"/>
      <c r="S26" s="61">
        <v>2</v>
      </c>
      <c r="T26" s="62">
        <v>2</v>
      </c>
      <c r="U26" s="14" t="str">
        <f>IF(AND(S26*T26&gt;=16,S26*T26&lt;=20),"매우높음",IF(AND(S26*T26&gt;=11,S26*T26&lt;=15),"높음",IF(AND(S26*T26&gt;=6,S26*T26&lt;=10),"보통",IF(AND(S26*T26&gt;=1,S26*T26&lt;=5),"낮음"))))</f>
        <v>낮음</v>
      </c>
      <c r="V26" s="46" t="s">
        <v>413</v>
      </c>
      <c r="W26" s="61">
        <v>2</v>
      </c>
      <c r="X26" s="62">
        <v>2</v>
      </c>
      <c r="Y26" s="14" t="s">
        <v>406</v>
      </c>
      <c r="Z26" s="197" t="s">
        <v>819</v>
      </c>
      <c r="AA26" s="173"/>
      <c r="AB26" s="63"/>
      <c r="AC26" s="63" t="s">
        <v>820</v>
      </c>
      <c r="AD26" s="63" t="s">
        <v>827</v>
      </c>
      <c r="AE26" s="64"/>
    </row>
    <row r="27" spans="2:31" x14ac:dyDescent="0.25">
      <c r="B27" s="9"/>
      <c r="C27" s="305"/>
      <c r="D27" s="292"/>
      <c r="E27" s="292"/>
      <c r="F27" s="293" t="s">
        <v>550</v>
      </c>
      <c r="G27" s="292"/>
      <c r="H27" s="5" t="s">
        <v>89</v>
      </c>
      <c r="I27" s="5" t="s">
        <v>395</v>
      </c>
      <c r="J27" s="63" t="s">
        <v>58</v>
      </c>
      <c r="K27" s="63" t="s">
        <v>58</v>
      </c>
      <c r="L27" s="63" t="s">
        <v>58</v>
      </c>
      <c r="M27" s="5"/>
      <c r="N27" s="5"/>
      <c r="O27" s="5"/>
      <c r="P27" s="63"/>
      <c r="Q27" s="5"/>
      <c r="R27" s="48"/>
      <c r="S27" s="61">
        <v>3</v>
      </c>
      <c r="T27" s="62">
        <v>2</v>
      </c>
      <c r="U27" s="14" t="str">
        <f>IF(AND(S27*T27&gt;=16,S27*T27&lt;=20),"매우높음",IF(AND(S27*T27&gt;=11,S27*T27&lt;=15),"높음",IF(AND(S27*T27&gt;=6,S27*T27&lt;=10),"보통",IF(AND(S27*T27&gt;=1,S27*T27&lt;=5),"낮음"))))</f>
        <v>보통</v>
      </c>
      <c r="V27" s="46" t="s">
        <v>77</v>
      </c>
      <c r="W27" s="61">
        <v>1</v>
      </c>
      <c r="X27" s="62">
        <v>2</v>
      </c>
      <c r="Y27" s="14" t="s">
        <v>406</v>
      </c>
      <c r="Z27" s="197" t="s">
        <v>819</v>
      </c>
      <c r="AA27" s="173"/>
      <c r="AB27" s="63"/>
      <c r="AC27" s="63" t="s">
        <v>820</v>
      </c>
      <c r="AD27" s="63" t="s">
        <v>827</v>
      </c>
      <c r="AE27" s="64"/>
    </row>
    <row r="28" spans="2:31" x14ac:dyDescent="0.25">
      <c r="B28" s="9"/>
      <c r="C28" s="305"/>
      <c r="D28" s="292"/>
      <c r="E28" s="291"/>
      <c r="F28" s="295"/>
      <c r="G28" s="292"/>
      <c r="H28" s="5" t="s">
        <v>90</v>
      </c>
      <c r="I28" s="5" t="s">
        <v>398</v>
      </c>
      <c r="J28" s="63" t="s">
        <v>58</v>
      </c>
      <c r="K28" s="63" t="s">
        <v>58</v>
      </c>
      <c r="L28" s="63" t="s">
        <v>58</v>
      </c>
      <c r="M28" s="5"/>
      <c r="N28" s="5"/>
      <c r="O28" s="5"/>
      <c r="P28" s="63"/>
      <c r="Q28" s="5"/>
      <c r="R28" s="48"/>
      <c r="S28" s="61">
        <v>3</v>
      </c>
      <c r="T28" s="62">
        <v>2</v>
      </c>
      <c r="U28" s="14" t="s">
        <v>70</v>
      </c>
      <c r="V28" s="46" t="s">
        <v>414</v>
      </c>
      <c r="W28" s="61">
        <v>1</v>
      </c>
      <c r="X28" s="62">
        <v>3</v>
      </c>
      <c r="Y28" s="14" t="s">
        <v>406</v>
      </c>
      <c r="Z28" s="197" t="s">
        <v>819</v>
      </c>
      <c r="AA28" s="173"/>
      <c r="AB28" s="63"/>
      <c r="AC28" s="63" t="s">
        <v>820</v>
      </c>
      <c r="AD28" s="63" t="s">
        <v>827</v>
      </c>
      <c r="AE28" s="64"/>
    </row>
    <row r="29" spans="2:31" ht="15.6" customHeight="1" x14ac:dyDescent="0.25">
      <c r="B29" s="9"/>
      <c r="C29" s="305"/>
      <c r="D29" s="292"/>
      <c r="E29" s="290" t="s">
        <v>553</v>
      </c>
      <c r="F29" s="293" t="s">
        <v>551</v>
      </c>
      <c r="G29" s="292"/>
      <c r="H29" s="5" t="s">
        <v>71</v>
      </c>
      <c r="I29" s="5" t="s">
        <v>401</v>
      </c>
      <c r="J29" s="63" t="s">
        <v>58</v>
      </c>
      <c r="K29" s="63" t="s">
        <v>58</v>
      </c>
      <c r="L29" s="63" t="s">
        <v>58</v>
      </c>
      <c r="M29" s="5"/>
      <c r="N29" s="5"/>
      <c r="O29" s="5"/>
      <c r="P29" s="63" t="s">
        <v>58</v>
      </c>
      <c r="Q29" s="5"/>
      <c r="R29" s="48"/>
      <c r="S29" s="61">
        <v>2</v>
      </c>
      <c r="T29" s="62">
        <v>1</v>
      </c>
      <c r="U29" s="14" t="str">
        <f t="shared" ref="U29:U33" si="1">IF(AND(S29*T29&gt;=16,S29*T29&lt;=20),"매우높음",IF(AND(S29*T29&gt;=11,S29*T29&lt;=15),"높음",IF(AND(S29*T29&gt;=6,S29*T29&lt;=10),"보통",IF(AND(S29*T29&gt;=1,S29*T29&lt;=5),"낮음"))))</f>
        <v>낮음</v>
      </c>
      <c r="V29" s="46" t="s">
        <v>415</v>
      </c>
      <c r="W29" s="61">
        <v>2</v>
      </c>
      <c r="X29" s="62">
        <v>4</v>
      </c>
      <c r="Y29" s="14" t="s">
        <v>416</v>
      </c>
      <c r="Z29" s="197" t="s">
        <v>819</v>
      </c>
      <c r="AA29" s="173"/>
      <c r="AB29" s="63"/>
      <c r="AC29" s="63" t="s">
        <v>820</v>
      </c>
      <c r="AD29" s="63" t="s">
        <v>827</v>
      </c>
      <c r="AE29" s="64"/>
    </row>
    <row r="30" spans="2:31" x14ac:dyDescent="0.25">
      <c r="B30" s="9"/>
      <c r="C30" s="305"/>
      <c r="D30" s="292"/>
      <c r="E30" s="292"/>
      <c r="F30" s="294"/>
      <c r="G30" s="292"/>
      <c r="H30" s="5" t="s">
        <v>92</v>
      </c>
      <c r="I30" s="5" t="s">
        <v>394</v>
      </c>
      <c r="J30" s="63"/>
      <c r="K30" s="63"/>
      <c r="L30" s="63"/>
      <c r="M30" s="5"/>
      <c r="N30" s="5"/>
      <c r="O30" s="5"/>
      <c r="P30" s="63" t="s">
        <v>58</v>
      </c>
      <c r="Q30" s="5"/>
      <c r="R30" s="48"/>
      <c r="S30" s="61">
        <v>3</v>
      </c>
      <c r="T30" s="62">
        <v>2</v>
      </c>
      <c r="U30" s="14" t="str">
        <f t="shared" si="1"/>
        <v>보통</v>
      </c>
      <c r="V30" s="46" t="s">
        <v>74</v>
      </c>
      <c r="W30" s="61">
        <v>2</v>
      </c>
      <c r="X30" s="62">
        <v>3</v>
      </c>
      <c r="Y30" s="14" t="s">
        <v>416</v>
      </c>
      <c r="Z30" s="197" t="s">
        <v>819</v>
      </c>
      <c r="AA30" s="173"/>
      <c r="AB30" s="63"/>
      <c r="AC30" s="63" t="s">
        <v>820</v>
      </c>
      <c r="AD30" s="63" t="s">
        <v>827</v>
      </c>
      <c r="AE30" s="64"/>
    </row>
    <row r="31" spans="2:31" x14ac:dyDescent="0.25">
      <c r="B31" s="9"/>
      <c r="C31" s="305"/>
      <c r="D31" s="292"/>
      <c r="E31" s="292"/>
      <c r="F31" s="294"/>
      <c r="G31" s="292"/>
      <c r="H31" s="5" t="s">
        <v>93</v>
      </c>
      <c r="I31" s="5" t="s">
        <v>397</v>
      </c>
      <c r="J31" s="63" t="s">
        <v>58</v>
      </c>
      <c r="K31" s="63" t="s">
        <v>58</v>
      </c>
      <c r="L31" s="63" t="s">
        <v>58</v>
      </c>
      <c r="M31" s="5"/>
      <c r="N31" s="5"/>
      <c r="O31" s="5"/>
      <c r="P31" s="63"/>
      <c r="Q31" s="5"/>
      <c r="R31" s="48"/>
      <c r="S31" s="61">
        <v>3</v>
      </c>
      <c r="T31" s="62">
        <v>1</v>
      </c>
      <c r="U31" s="14" t="str">
        <f t="shared" si="1"/>
        <v>낮음</v>
      </c>
      <c r="V31" s="46" t="s">
        <v>73</v>
      </c>
      <c r="W31" s="61">
        <v>2</v>
      </c>
      <c r="X31" s="62">
        <v>3</v>
      </c>
      <c r="Y31" s="14" t="s">
        <v>416</v>
      </c>
      <c r="Z31" s="197" t="s">
        <v>819</v>
      </c>
      <c r="AA31" s="173"/>
      <c r="AB31" s="63"/>
      <c r="AC31" s="63" t="s">
        <v>820</v>
      </c>
      <c r="AD31" s="63" t="s">
        <v>827</v>
      </c>
      <c r="AE31" s="64"/>
    </row>
    <row r="32" spans="2:31" x14ac:dyDescent="0.25">
      <c r="B32" s="9"/>
      <c r="C32" s="305"/>
      <c r="D32" s="292"/>
      <c r="E32" s="292"/>
      <c r="F32" s="295"/>
      <c r="G32" s="292"/>
      <c r="H32" s="5" t="s">
        <v>94</v>
      </c>
      <c r="I32" s="5" t="s">
        <v>396</v>
      </c>
      <c r="J32" s="63" t="s">
        <v>58</v>
      </c>
      <c r="K32" s="63" t="s">
        <v>58</v>
      </c>
      <c r="L32" s="63" t="s">
        <v>58</v>
      </c>
      <c r="M32" s="5"/>
      <c r="N32" s="5"/>
      <c r="O32" s="5"/>
      <c r="P32" s="63"/>
      <c r="Q32" s="5"/>
      <c r="R32" s="48"/>
      <c r="S32" s="61">
        <v>4</v>
      </c>
      <c r="T32" s="62">
        <v>2</v>
      </c>
      <c r="U32" s="14" t="str">
        <f t="shared" si="1"/>
        <v>보통</v>
      </c>
      <c r="V32" s="46" t="s">
        <v>72</v>
      </c>
      <c r="W32" s="61">
        <v>1</v>
      </c>
      <c r="X32" s="62">
        <v>1</v>
      </c>
      <c r="Y32" s="14" t="s">
        <v>406</v>
      </c>
      <c r="Z32" s="197" t="s">
        <v>819</v>
      </c>
      <c r="AA32" s="173"/>
      <c r="AB32" s="63"/>
      <c r="AC32" s="63" t="s">
        <v>820</v>
      </c>
      <c r="AD32" s="63" t="s">
        <v>827</v>
      </c>
      <c r="AE32" s="64"/>
    </row>
    <row r="33" spans="2:31" x14ac:dyDescent="0.25">
      <c r="B33" s="9"/>
      <c r="C33" s="305"/>
      <c r="D33" s="292"/>
      <c r="E33" s="292"/>
      <c r="F33" s="293" t="s">
        <v>552</v>
      </c>
      <c r="G33" s="292"/>
      <c r="H33" s="5" t="s">
        <v>75</v>
      </c>
      <c r="I33" s="5" t="s">
        <v>395</v>
      </c>
      <c r="J33" s="63" t="s">
        <v>58</v>
      </c>
      <c r="K33" s="63" t="s">
        <v>58</v>
      </c>
      <c r="L33" s="63" t="s">
        <v>58</v>
      </c>
      <c r="M33" s="5"/>
      <c r="N33" s="5"/>
      <c r="O33" s="5"/>
      <c r="P33" s="63"/>
      <c r="Q33" s="5"/>
      <c r="R33" s="48"/>
      <c r="S33" s="61">
        <v>3</v>
      </c>
      <c r="T33" s="62">
        <v>3</v>
      </c>
      <c r="U33" s="14" t="str">
        <f t="shared" si="1"/>
        <v>보통</v>
      </c>
      <c r="V33" s="46" t="s">
        <v>77</v>
      </c>
      <c r="W33" s="61">
        <v>1</v>
      </c>
      <c r="X33" s="62">
        <v>1</v>
      </c>
      <c r="Y33" s="14" t="s">
        <v>406</v>
      </c>
      <c r="Z33" s="197" t="s">
        <v>819</v>
      </c>
      <c r="AA33" s="173"/>
      <c r="AB33" s="63"/>
      <c r="AC33" s="63" t="s">
        <v>820</v>
      </c>
      <c r="AD33" s="63" t="s">
        <v>827</v>
      </c>
      <c r="AE33" s="64"/>
    </row>
    <row r="34" spans="2:31" x14ac:dyDescent="0.25">
      <c r="B34" s="9"/>
      <c r="C34" s="305"/>
      <c r="D34" s="292"/>
      <c r="E34" s="292"/>
      <c r="F34" s="295"/>
      <c r="G34" s="292"/>
      <c r="H34" s="5" t="s">
        <v>76</v>
      </c>
      <c r="I34" s="5" t="s">
        <v>398</v>
      </c>
      <c r="J34" s="63" t="s">
        <v>58</v>
      </c>
      <c r="K34" s="63" t="s">
        <v>58</v>
      </c>
      <c r="L34" s="63" t="s">
        <v>58</v>
      </c>
      <c r="M34" s="5"/>
      <c r="N34" s="5"/>
      <c r="O34" s="5"/>
      <c r="P34" s="63"/>
      <c r="Q34" s="5"/>
      <c r="R34" s="48"/>
      <c r="S34" s="61">
        <v>3</v>
      </c>
      <c r="T34" s="62">
        <v>3</v>
      </c>
      <c r="U34" s="14" t="s">
        <v>70</v>
      </c>
      <c r="V34" s="46" t="s">
        <v>414</v>
      </c>
      <c r="W34" s="61">
        <v>2</v>
      </c>
      <c r="X34" s="62">
        <v>2</v>
      </c>
      <c r="Y34" s="14" t="s">
        <v>406</v>
      </c>
      <c r="Z34" s="197" t="s">
        <v>819</v>
      </c>
      <c r="AA34" s="173"/>
      <c r="AB34" s="63"/>
      <c r="AC34" s="63" t="s">
        <v>820</v>
      </c>
      <c r="AD34" s="63" t="s">
        <v>827</v>
      </c>
      <c r="AE34" s="64"/>
    </row>
    <row r="35" spans="2:31" x14ac:dyDescent="0.25">
      <c r="B35" s="9"/>
      <c r="C35" s="305"/>
      <c r="D35" s="292"/>
      <c r="E35" s="292"/>
      <c r="F35" s="293" t="s">
        <v>96</v>
      </c>
      <c r="G35" s="292"/>
      <c r="H35" s="5" t="s">
        <v>79</v>
      </c>
      <c r="I35" s="5" t="s">
        <v>401</v>
      </c>
      <c r="J35" s="63" t="s">
        <v>58</v>
      </c>
      <c r="K35" s="63" t="s">
        <v>58</v>
      </c>
      <c r="L35" s="63"/>
      <c r="M35" s="63" t="s">
        <v>58</v>
      </c>
      <c r="N35" s="63" t="s">
        <v>58</v>
      </c>
      <c r="O35" s="5"/>
      <c r="P35" s="5"/>
      <c r="Q35" s="5"/>
      <c r="R35" s="48"/>
      <c r="S35" s="61">
        <v>2</v>
      </c>
      <c r="T35" s="62">
        <v>4</v>
      </c>
      <c r="U35" s="14" t="str">
        <f t="shared" ref="U35:U38" si="2">IF(AND(S35*T35&gt;=16,S35*T35&lt;=20),"매우높음",IF(AND(S35*T35&gt;=11,S35*T35&lt;=15),"높음",IF(AND(S35*T35&gt;=6,S35*T35&lt;=10),"보통",IF(AND(S35*T35&gt;=1,S35*T35&lt;=5),"낮음"))))</f>
        <v>보통</v>
      </c>
      <c r="V35" s="46" t="s">
        <v>407</v>
      </c>
      <c r="W35" s="61">
        <v>2</v>
      </c>
      <c r="X35" s="62">
        <v>2</v>
      </c>
      <c r="Y35" s="14" t="s">
        <v>406</v>
      </c>
      <c r="Z35" s="197" t="s">
        <v>819</v>
      </c>
      <c r="AA35" s="173"/>
      <c r="AB35" s="63"/>
      <c r="AC35" s="63" t="s">
        <v>820</v>
      </c>
      <c r="AD35" s="63" t="s">
        <v>827</v>
      </c>
      <c r="AE35" s="64"/>
    </row>
    <row r="36" spans="2:31" ht="46.8" x14ac:dyDescent="0.25">
      <c r="B36" s="9"/>
      <c r="C36" s="305"/>
      <c r="D36" s="292"/>
      <c r="E36" s="292"/>
      <c r="F36" s="295"/>
      <c r="G36" s="292"/>
      <c r="H36" s="5" t="s">
        <v>78</v>
      </c>
      <c r="I36" s="5" t="s">
        <v>399</v>
      </c>
      <c r="J36" s="63" t="s">
        <v>58</v>
      </c>
      <c r="K36" s="63" t="s">
        <v>58</v>
      </c>
      <c r="L36" s="63"/>
      <c r="M36" s="63" t="s">
        <v>58</v>
      </c>
      <c r="N36" s="63" t="s">
        <v>58</v>
      </c>
      <c r="O36" s="5"/>
      <c r="P36" s="5"/>
      <c r="Q36" s="5"/>
      <c r="R36" s="48"/>
      <c r="S36" s="61">
        <v>2</v>
      </c>
      <c r="T36" s="62">
        <v>4</v>
      </c>
      <c r="U36" s="14" t="str">
        <f t="shared" si="2"/>
        <v>보통</v>
      </c>
      <c r="V36" s="46" t="s">
        <v>408</v>
      </c>
      <c r="W36" s="61">
        <v>2</v>
      </c>
      <c r="X36" s="62">
        <v>2</v>
      </c>
      <c r="Y36" s="14" t="s">
        <v>406</v>
      </c>
      <c r="Z36" s="197" t="s">
        <v>819</v>
      </c>
      <c r="AA36" s="173"/>
      <c r="AB36" s="63"/>
      <c r="AC36" s="63" t="s">
        <v>820</v>
      </c>
      <c r="AD36" s="63" t="s">
        <v>827</v>
      </c>
      <c r="AE36" s="64"/>
    </row>
    <row r="37" spans="2:31" ht="31.2" x14ac:dyDescent="0.25">
      <c r="B37" s="9"/>
      <c r="C37" s="305"/>
      <c r="D37" s="292"/>
      <c r="E37" s="292"/>
      <c r="F37" s="293" t="s">
        <v>97</v>
      </c>
      <c r="G37" s="292"/>
      <c r="H37" s="5" t="s">
        <v>98</v>
      </c>
      <c r="I37" s="5" t="s">
        <v>400</v>
      </c>
      <c r="J37" s="63"/>
      <c r="K37" s="63" t="s">
        <v>58</v>
      </c>
      <c r="L37" s="63"/>
      <c r="M37" s="63" t="s">
        <v>58</v>
      </c>
      <c r="N37" s="63" t="s">
        <v>58</v>
      </c>
      <c r="O37" s="5"/>
      <c r="P37" s="5"/>
      <c r="Q37" s="5"/>
      <c r="R37" s="48"/>
      <c r="S37" s="61">
        <v>2</v>
      </c>
      <c r="T37" s="62">
        <v>4</v>
      </c>
      <c r="U37" s="14" t="str">
        <f t="shared" si="2"/>
        <v>보통</v>
      </c>
      <c r="V37" s="46" t="s">
        <v>409</v>
      </c>
      <c r="W37" s="61">
        <v>2</v>
      </c>
      <c r="X37" s="62">
        <v>2</v>
      </c>
      <c r="Y37" s="14" t="s">
        <v>406</v>
      </c>
      <c r="Z37" s="197" t="s">
        <v>819</v>
      </c>
      <c r="AA37" s="173"/>
      <c r="AB37" s="63"/>
      <c r="AC37" s="63" t="s">
        <v>820</v>
      </c>
      <c r="AD37" s="63" t="s">
        <v>827</v>
      </c>
      <c r="AE37" s="64"/>
    </row>
    <row r="38" spans="2:31" ht="31.2" x14ac:dyDescent="0.25">
      <c r="B38" s="9"/>
      <c r="C38" s="306"/>
      <c r="D38" s="291"/>
      <c r="E38" s="291"/>
      <c r="F38" s="295"/>
      <c r="G38" s="291"/>
      <c r="H38" s="5" t="s">
        <v>99</v>
      </c>
      <c r="I38" s="5" t="s">
        <v>399</v>
      </c>
      <c r="J38" s="63" t="s">
        <v>58</v>
      </c>
      <c r="K38" s="63" t="s">
        <v>58</v>
      </c>
      <c r="L38" s="63"/>
      <c r="M38" s="63" t="s">
        <v>58</v>
      </c>
      <c r="N38" s="63" t="s">
        <v>58</v>
      </c>
      <c r="O38" s="5"/>
      <c r="P38" s="5"/>
      <c r="Q38" s="5"/>
      <c r="R38" s="48"/>
      <c r="S38" s="61">
        <v>2</v>
      </c>
      <c r="T38" s="62">
        <v>4</v>
      </c>
      <c r="U38" s="14" t="str">
        <f t="shared" si="2"/>
        <v>보통</v>
      </c>
      <c r="V38" s="46" t="s">
        <v>410</v>
      </c>
      <c r="W38" s="61">
        <v>2</v>
      </c>
      <c r="X38" s="62">
        <v>2</v>
      </c>
      <c r="Y38" s="14" t="s">
        <v>406</v>
      </c>
      <c r="Z38" s="197" t="s">
        <v>819</v>
      </c>
      <c r="AA38" s="173"/>
      <c r="AB38" s="63"/>
      <c r="AC38" s="63" t="s">
        <v>820</v>
      </c>
      <c r="AD38" s="63" t="s">
        <v>827</v>
      </c>
      <c r="AE38" s="64"/>
    </row>
    <row r="39" spans="2:31" x14ac:dyDescent="0.25">
      <c r="B39" s="9"/>
      <c r="C39" s="290" t="s">
        <v>1</v>
      </c>
      <c r="D39" s="290" t="s">
        <v>100</v>
      </c>
      <c r="E39" s="290" t="s">
        <v>101</v>
      </c>
      <c r="F39" s="173" t="s">
        <v>114</v>
      </c>
      <c r="G39" s="173" t="s">
        <v>103</v>
      </c>
      <c r="H39" s="5" t="s">
        <v>104</v>
      </c>
      <c r="I39" s="5" t="s">
        <v>394</v>
      </c>
      <c r="J39" s="5"/>
      <c r="K39" s="5"/>
      <c r="L39" s="5"/>
      <c r="M39" s="5"/>
      <c r="N39" s="5"/>
      <c r="O39" s="5"/>
      <c r="P39" s="5"/>
      <c r="Q39" s="173" t="s">
        <v>58</v>
      </c>
      <c r="R39" s="48"/>
      <c r="S39" s="44">
        <v>2</v>
      </c>
      <c r="T39" s="13">
        <v>3</v>
      </c>
      <c r="U39" s="14" t="str">
        <f t="shared" si="0"/>
        <v>보통</v>
      </c>
      <c r="V39" s="46" t="s">
        <v>105</v>
      </c>
      <c r="W39" s="44">
        <v>1</v>
      </c>
      <c r="X39" s="13">
        <v>2</v>
      </c>
      <c r="Y39" s="14" t="str">
        <f t="shared" ref="Y39:Y44" si="3">IF(AND(W39*X39&gt;=16,W39*X39&lt;=20),"매우높음",IF(AND(W39*X39&gt;=11,W39*X39&lt;=15),"높음",IF(AND(W39*X39&gt;=6,W39*X39&lt;=10),"보통",IF(AND(W39*X39&gt;=1,W39*X39&lt;=5),"낮음"))))</f>
        <v>낮음</v>
      </c>
      <c r="Z39" s="197" t="s">
        <v>819</v>
      </c>
      <c r="AA39" s="173"/>
      <c r="AB39" s="58"/>
      <c r="AC39" s="63" t="s">
        <v>820</v>
      </c>
      <c r="AD39" s="63" t="s">
        <v>828</v>
      </c>
      <c r="AE39" s="7"/>
    </row>
    <row r="40" spans="2:31" x14ac:dyDescent="0.25">
      <c r="B40" s="9"/>
      <c r="C40" s="292"/>
      <c r="D40" s="292"/>
      <c r="E40" s="291"/>
      <c r="F40" s="173" t="s">
        <v>102</v>
      </c>
      <c r="G40" s="173" t="s">
        <v>106</v>
      </c>
      <c r="H40" s="5" t="s">
        <v>107</v>
      </c>
      <c r="I40" s="5" t="s">
        <v>394</v>
      </c>
      <c r="J40" s="5"/>
      <c r="K40" s="5"/>
      <c r="L40" s="5"/>
      <c r="M40" s="5"/>
      <c r="N40" s="5"/>
      <c r="O40" s="5"/>
      <c r="P40" s="173" t="s">
        <v>58</v>
      </c>
      <c r="Q40" s="5"/>
      <c r="R40" s="48"/>
      <c r="S40" s="44">
        <v>2</v>
      </c>
      <c r="T40" s="13">
        <v>3</v>
      </c>
      <c r="U40" s="14" t="str">
        <f t="shared" si="0"/>
        <v>보통</v>
      </c>
      <c r="V40" s="46" t="s">
        <v>108</v>
      </c>
      <c r="W40" s="44">
        <v>1</v>
      </c>
      <c r="X40" s="13">
        <v>2</v>
      </c>
      <c r="Y40" s="14" t="str">
        <f t="shared" si="3"/>
        <v>낮음</v>
      </c>
      <c r="Z40" s="197" t="s">
        <v>819</v>
      </c>
      <c r="AA40" s="173"/>
      <c r="AB40" s="58"/>
      <c r="AC40" s="63" t="s">
        <v>820</v>
      </c>
      <c r="AD40" s="63" t="s">
        <v>828</v>
      </c>
      <c r="AE40" s="7"/>
    </row>
    <row r="41" spans="2:31" x14ac:dyDescent="0.25">
      <c r="B41" s="9"/>
      <c r="C41" s="292"/>
      <c r="D41" s="292"/>
      <c r="E41" s="290" t="s">
        <v>109</v>
      </c>
      <c r="F41" s="173" t="s">
        <v>115</v>
      </c>
      <c r="G41" s="173" t="s">
        <v>103</v>
      </c>
      <c r="H41" s="5" t="s">
        <v>104</v>
      </c>
      <c r="I41" s="5" t="s">
        <v>394</v>
      </c>
      <c r="J41" s="5"/>
      <c r="K41" s="5"/>
      <c r="L41" s="5"/>
      <c r="M41" s="5"/>
      <c r="N41" s="5"/>
      <c r="O41" s="5"/>
      <c r="P41" s="5"/>
      <c r="Q41" s="173" t="s">
        <v>58</v>
      </c>
      <c r="R41" s="48"/>
      <c r="S41" s="44">
        <v>2</v>
      </c>
      <c r="T41" s="13">
        <v>3</v>
      </c>
      <c r="U41" s="14" t="str">
        <f t="shared" si="0"/>
        <v>보통</v>
      </c>
      <c r="V41" s="46" t="s">
        <v>105</v>
      </c>
      <c r="W41" s="44">
        <v>1</v>
      </c>
      <c r="X41" s="13">
        <v>2</v>
      </c>
      <c r="Y41" s="14" t="str">
        <f t="shared" si="3"/>
        <v>낮음</v>
      </c>
      <c r="Z41" s="197" t="s">
        <v>819</v>
      </c>
      <c r="AA41" s="173"/>
      <c r="AB41" s="58"/>
      <c r="AC41" s="63" t="s">
        <v>820</v>
      </c>
      <c r="AD41" s="63" t="s">
        <v>828</v>
      </c>
      <c r="AE41" s="7"/>
    </row>
    <row r="42" spans="2:31" x14ac:dyDescent="0.25">
      <c r="B42" s="9"/>
      <c r="C42" s="292"/>
      <c r="D42" s="291"/>
      <c r="E42" s="291"/>
      <c r="F42" s="173" t="s">
        <v>109</v>
      </c>
      <c r="G42" s="173"/>
      <c r="H42" s="5" t="s">
        <v>110</v>
      </c>
      <c r="I42" s="5" t="s">
        <v>403</v>
      </c>
      <c r="J42" s="173" t="s">
        <v>58</v>
      </c>
      <c r="K42" s="5"/>
      <c r="L42" s="5"/>
      <c r="M42" s="5"/>
      <c r="N42" s="5"/>
      <c r="O42" s="5"/>
      <c r="P42" s="5"/>
      <c r="Q42" s="5"/>
      <c r="R42" s="48"/>
      <c r="S42" s="44">
        <v>2</v>
      </c>
      <c r="T42" s="13">
        <v>3</v>
      </c>
      <c r="U42" s="14" t="str">
        <f t="shared" si="0"/>
        <v>보통</v>
      </c>
      <c r="V42" s="67" t="s">
        <v>111</v>
      </c>
      <c r="W42" s="44">
        <v>1</v>
      </c>
      <c r="X42" s="13">
        <v>2</v>
      </c>
      <c r="Y42" s="14" t="str">
        <f t="shared" si="3"/>
        <v>낮음</v>
      </c>
      <c r="Z42" s="197" t="s">
        <v>819</v>
      </c>
      <c r="AA42" s="173"/>
      <c r="AB42" s="58"/>
      <c r="AC42" s="63" t="s">
        <v>820</v>
      </c>
      <c r="AD42" s="63" t="s">
        <v>828</v>
      </c>
      <c r="AE42" s="7"/>
    </row>
    <row r="43" spans="2:31" x14ac:dyDescent="0.25">
      <c r="B43" s="9"/>
      <c r="C43" s="292"/>
      <c r="D43" s="290" t="s">
        <v>112</v>
      </c>
      <c r="E43" s="290" t="s">
        <v>101</v>
      </c>
      <c r="F43" s="173" t="s">
        <v>114</v>
      </c>
      <c r="G43" s="173" t="s">
        <v>103</v>
      </c>
      <c r="H43" s="5" t="s">
        <v>104</v>
      </c>
      <c r="I43" s="5" t="s">
        <v>394</v>
      </c>
      <c r="J43" s="5"/>
      <c r="K43" s="5"/>
      <c r="L43" s="5"/>
      <c r="M43" s="5"/>
      <c r="N43" s="5"/>
      <c r="O43" s="5"/>
      <c r="P43" s="5"/>
      <c r="Q43" s="173" t="s">
        <v>58</v>
      </c>
      <c r="R43" s="48"/>
      <c r="S43" s="44">
        <v>2</v>
      </c>
      <c r="T43" s="13">
        <v>3</v>
      </c>
      <c r="U43" s="14" t="str">
        <f t="shared" si="0"/>
        <v>보통</v>
      </c>
      <c r="V43" s="46" t="s">
        <v>113</v>
      </c>
      <c r="W43" s="44">
        <v>1</v>
      </c>
      <c r="X43" s="13">
        <v>2</v>
      </c>
      <c r="Y43" s="14" t="str">
        <f t="shared" si="3"/>
        <v>낮음</v>
      </c>
      <c r="Z43" s="197" t="s">
        <v>819</v>
      </c>
      <c r="AA43" s="173"/>
      <c r="AB43" s="58"/>
      <c r="AC43" s="63" t="s">
        <v>820</v>
      </c>
      <c r="AD43" s="63" t="s">
        <v>828</v>
      </c>
      <c r="AE43" s="7"/>
    </row>
    <row r="44" spans="2:31" ht="36" customHeight="1" x14ac:dyDescent="0.25">
      <c r="B44" s="9"/>
      <c r="C44" s="291"/>
      <c r="D44" s="291"/>
      <c r="E44" s="291"/>
      <c r="F44" s="173" t="s">
        <v>102</v>
      </c>
      <c r="G44" s="173" t="s">
        <v>106</v>
      </c>
      <c r="H44" s="5" t="s">
        <v>107</v>
      </c>
      <c r="I44" s="5" t="s">
        <v>394</v>
      </c>
      <c r="J44" s="5"/>
      <c r="K44" s="5"/>
      <c r="L44" s="5"/>
      <c r="M44" s="5"/>
      <c r="N44" s="5"/>
      <c r="O44" s="5"/>
      <c r="P44" s="173" t="s">
        <v>58</v>
      </c>
      <c r="Q44" s="5"/>
      <c r="R44" s="48"/>
      <c r="S44" s="44">
        <v>2</v>
      </c>
      <c r="T44" s="13">
        <v>3</v>
      </c>
      <c r="U44" s="14" t="str">
        <f t="shared" si="0"/>
        <v>보통</v>
      </c>
      <c r="V44" s="46" t="s">
        <v>108</v>
      </c>
      <c r="W44" s="44">
        <v>1</v>
      </c>
      <c r="X44" s="13">
        <v>2</v>
      </c>
      <c r="Y44" s="14" t="str">
        <f t="shared" si="3"/>
        <v>낮음</v>
      </c>
      <c r="Z44" s="197" t="s">
        <v>819</v>
      </c>
      <c r="AA44" s="173"/>
      <c r="AB44" s="58"/>
      <c r="AC44" s="63" t="s">
        <v>820</v>
      </c>
      <c r="AD44" s="63" t="s">
        <v>828</v>
      </c>
      <c r="AE44" s="7"/>
    </row>
    <row r="45" spans="2:31" ht="15.6" customHeight="1" thickBot="1" x14ac:dyDescent="0.3">
      <c r="B45" s="10"/>
      <c r="C45" s="65"/>
      <c r="D45" s="65"/>
      <c r="E45" s="11"/>
      <c r="F45" s="12"/>
      <c r="G45" s="11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49"/>
      <c r="S45" s="45"/>
      <c r="T45" s="16"/>
      <c r="U45" s="15"/>
      <c r="V45" s="47"/>
      <c r="W45" s="45"/>
      <c r="X45" s="16"/>
      <c r="Y45" s="15"/>
      <c r="Z45" s="59"/>
      <c r="AA45" s="60"/>
      <c r="AB45" s="60"/>
      <c r="AC45" s="60"/>
      <c r="AD45" s="60"/>
      <c r="AE45" s="8"/>
    </row>
    <row r="46" spans="2:31" ht="15.6" customHeight="1" x14ac:dyDescent="0.25"/>
    <row r="47" spans="2:31" ht="19.2" x14ac:dyDescent="0.25">
      <c r="F47" s="66"/>
    </row>
    <row r="55" spans="6:6" ht="15.6" customHeight="1" x14ac:dyDescent="0.25"/>
    <row r="56" spans="6:6" ht="22.5" customHeight="1" x14ac:dyDescent="0.25"/>
    <row r="59" spans="6:6" ht="25.5" customHeight="1" x14ac:dyDescent="0.25"/>
    <row r="62" spans="6:6" ht="15.6" customHeight="1" x14ac:dyDescent="0.25">
      <c r="F62" s="68"/>
    </row>
    <row r="63" spans="6:6" ht="15.6" customHeight="1" x14ac:dyDescent="0.25"/>
    <row r="64" spans="6:6" ht="15.6" customHeight="1" x14ac:dyDescent="0.25">
      <c r="F64" s="68"/>
    </row>
    <row r="65" ht="15.6" customHeight="1" x14ac:dyDescent="0.25"/>
    <row r="66" ht="15.6" customHeight="1" x14ac:dyDescent="0.25"/>
    <row r="67" ht="15.6" customHeight="1" x14ac:dyDescent="0.25"/>
    <row r="68" ht="15.6" customHeight="1" x14ac:dyDescent="0.25"/>
    <row r="69" ht="15.6" customHeight="1" x14ac:dyDescent="0.25"/>
    <row r="70" ht="15.6" customHeight="1" x14ac:dyDescent="0.25"/>
    <row r="71" ht="15.6" customHeight="1" x14ac:dyDescent="0.25"/>
    <row r="72" ht="15.6" customHeight="1" x14ac:dyDescent="0.25"/>
    <row r="73" ht="15.6" customHeight="1" x14ac:dyDescent="0.25"/>
    <row r="74" ht="15.6" customHeight="1" x14ac:dyDescent="0.25"/>
    <row r="75" ht="15.6" customHeight="1" x14ac:dyDescent="0.25"/>
    <row r="76" ht="15.6" customHeight="1" x14ac:dyDescent="0.25"/>
    <row r="77" ht="15.6" customHeight="1" x14ac:dyDescent="0.25"/>
    <row r="78" ht="15.6" customHeight="1" x14ac:dyDescent="0.25"/>
    <row r="79" ht="15.6" customHeight="1" x14ac:dyDescent="0.25"/>
  </sheetData>
  <mergeCells count="47">
    <mergeCell ref="D39:D42"/>
    <mergeCell ref="D43:D44"/>
    <mergeCell ref="C4:C5"/>
    <mergeCell ref="C6:C8"/>
    <mergeCell ref="AE4:AE5"/>
    <mergeCell ref="Z4:AD4"/>
    <mergeCell ref="W4:Y4"/>
    <mergeCell ref="F4:F5"/>
    <mergeCell ref="G4:G5"/>
    <mergeCell ref="V4:V5"/>
    <mergeCell ref="H4:H5"/>
    <mergeCell ref="S4:U4"/>
    <mergeCell ref="J4:R4"/>
    <mergeCell ref="C39:C44"/>
    <mergeCell ref="E39:E40"/>
    <mergeCell ref="E41:E42"/>
    <mergeCell ref="AC2:AD2"/>
    <mergeCell ref="AC3:AD3"/>
    <mergeCell ref="B2:D2"/>
    <mergeCell ref="B3:D3"/>
    <mergeCell ref="F2:AB3"/>
    <mergeCell ref="B4:B5"/>
    <mergeCell ref="D4:D5"/>
    <mergeCell ref="E4:E5"/>
    <mergeCell ref="F35:F36"/>
    <mergeCell ref="I4:I5"/>
    <mergeCell ref="G24:G38"/>
    <mergeCell ref="E29:E38"/>
    <mergeCell ref="F33:F34"/>
    <mergeCell ref="F22:F23"/>
    <mergeCell ref="D9:D23"/>
    <mergeCell ref="E9:E13"/>
    <mergeCell ref="E14:E23"/>
    <mergeCell ref="D24:D38"/>
    <mergeCell ref="C9:C38"/>
    <mergeCell ref="F37:F38"/>
    <mergeCell ref="F29:F32"/>
    <mergeCell ref="E43:E44"/>
    <mergeCell ref="G9:G23"/>
    <mergeCell ref="F9:F11"/>
    <mergeCell ref="F12:F13"/>
    <mergeCell ref="F14:F17"/>
    <mergeCell ref="F18:F19"/>
    <mergeCell ref="F20:F21"/>
    <mergeCell ref="F27:F28"/>
    <mergeCell ref="F24:F26"/>
    <mergeCell ref="E24:E28"/>
  </mergeCells>
  <phoneticPr fontId="3" type="noConversion"/>
  <dataValidations count="11">
    <dataValidation type="list" allowBlank="1" showInputMessage="1" showErrorMessage="1" sqref="IH65387:IH65388 ALV65387:ALV65388 ABZ65387:ABZ65388 SD65387:SD65388 WUT982891:WUT982892 WKX982891:WKX982892 WBB982891:WBB982892 VRF982891:VRF982892 VHJ982891:VHJ982892 UXN982891:UXN982892 UNR982891:UNR982892 UDV982891:UDV982892 TTZ982891:TTZ982892 TKD982891:TKD982892 TAH982891:TAH982892 SQL982891:SQL982892 SGP982891:SGP982892 RWT982891:RWT982892 RMX982891:RMX982892 RDB982891:RDB982892 QTF982891:QTF982892 QJJ982891:QJJ982892 PZN982891:PZN982892 PPR982891:PPR982892 PFV982891:PFV982892 OVZ982891:OVZ982892 OMD982891:OMD982892 OCH982891:OCH982892 NSL982891:NSL982892 NIP982891:NIP982892 MYT982891:MYT982892 MOX982891:MOX982892 MFB982891:MFB982892 LVF982891:LVF982892 LLJ982891:LLJ982892 LBN982891:LBN982892 KRR982891:KRR982892 KHV982891:KHV982892 JXZ982891:JXZ982892 JOD982891:JOD982892 JEH982891:JEH982892 IUL982891:IUL982892 IKP982891:IKP982892 IAT982891:IAT982892 HQX982891:HQX982892 HHB982891:HHB982892 GXF982891:GXF982892 GNJ982891:GNJ982892 GDN982891:GDN982892 FTR982891:FTR982892 FJV982891:FJV982892 EZZ982891:EZZ982892 EQD982891:EQD982892 EGH982891:EGH982892 DWL982891:DWL982892 DMP982891:DMP982892 DCT982891:DCT982892 CSX982891:CSX982892 CJB982891:CJB982892 BZF982891:BZF982892 BPJ982891:BPJ982892 BFN982891:BFN982892 AVR982891:AVR982892 ALV982891:ALV982892 ABZ982891:ABZ982892 SD982891:SD982892 IH982891:IH982892 WUT917355:WUT917356 WKX917355:WKX917356 WBB917355:WBB917356 VRF917355:VRF917356 VHJ917355:VHJ917356 UXN917355:UXN917356 UNR917355:UNR917356 UDV917355:UDV917356 TTZ917355:TTZ917356 TKD917355:TKD917356 TAH917355:TAH917356 SQL917355:SQL917356 SGP917355:SGP917356 RWT917355:RWT917356 RMX917355:RMX917356 RDB917355:RDB917356 QTF917355:QTF917356 QJJ917355:QJJ917356 PZN917355:PZN917356 PPR917355:PPR917356 PFV917355:PFV917356 OVZ917355:OVZ917356 OMD917355:OMD917356 OCH917355:OCH917356 NSL917355:NSL917356 NIP917355:NIP917356 MYT917355:MYT917356 MOX917355:MOX917356 MFB917355:MFB917356 LVF917355:LVF917356 LLJ917355:LLJ917356 LBN917355:LBN917356 KRR917355:KRR917356 KHV917355:KHV917356 JXZ917355:JXZ917356 JOD917355:JOD917356 JEH917355:JEH917356 IUL917355:IUL917356 IKP917355:IKP917356 IAT917355:IAT917356 HQX917355:HQX917356 HHB917355:HHB917356 GXF917355:GXF917356 GNJ917355:GNJ917356 GDN917355:GDN917356 FTR917355:FTR917356 FJV917355:FJV917356 EZZ917355:EZZ917356 EQD917355:EQD917356 EGH917355:EGH917356 DWL917355:DWL917356 DMP917355:DMP917356 DCT917355:DCT917356 CSX917355:CSX917356 CJB917355:CJB917356 BZF917355:BZF917356 BPJ917355:BPJ917356 BFN917355:BFN917356 AVR917355:AVR917356 ALV917355:ALV917356 ABZ917355:ABZ917356 SD917355:SD917356 IH917355:IH917356 WUT851819:WUT851820 WKX851819:WKX851820 WBB851819:WBB851820 VRF851819:VRF851820 VHJ851819:VHJ851820 UXN851819:UXN851820 UNR851819:UNR851820 UDV851819:UDV851820 TTZ851819:TTZ851820 TKD851819:TKD851820 TAH851819:TAH851820 SQL851819:SQL851820 SGP851819:SGP851820 RWT851819:RWT851820 RMX851819:RMX851820 RDB851819:RDB851820 QTF851819:QTF851820 QJJ851819:QJJ851820 PZN851819:PZN851820 PPR851819:PPR851820 PFV851819:PFV851820 OVZ851819:OVZ851820 OMD851819:OMD851820 OCH851819:OCH851820 NSL851819:NSL851820 NIP851819:NIP851820 MYT851819:MYT851820 MOX851819:MOX851820 MFB851819:MFB851820 LVF851819:LVF851820 LLJ851819:LLJ851820 LBN851819:LBN851820 KRR851819:KRR851820 KHV851819:KHV851820 JXZ851819:JXZ851820 JOD851819:JOD851820 JEH851819:JEH851820 IUL851819:IUL851820 IKP851819:IKP851820 IAT851819:IAT851820 HQX851819:HQX851820 HHB851819:HHB851820 GXF851819:GXF851820 GNJ851819:GNJ851820 GDN851819:GDN851820 FTR851819:FTR851820 FJV851819:FJV851820 EZZ851819:EZZ851820 EQD851819:EQD851820 EGH851819:EGH851820 DWL851819:DWL851820 DMP851819:DMP851820 DCT851819:DCT851820 CSX851819:CSX851820 CJB851819:CJB851820 BZF851819:BZF851820 BPJ851819:BPJ851820 BFN851819:BFN851820 AVR851819:AVR851820 ALV851819:ALV851820 ABZ851819:ABZ851820 SD851819:SD851820 IH851819:IH851820 WUT786283:WUT786284 WKX786283:WKX786284 WBB786283:WBB786284 VRF786283:VRF786284 VHJ786283:VHJ786284 UXN786283:UXN786284 UNR786283:UNR786284 UDV786283:UDV786284 TTZ786283:TTZ786284 TKD786283:TKD786284 TAH786283:TAH786284 SQL786283:SQL786284 SGP786283:SGP786284 RWT786283:RWT786284 RMX786283:RMX786284 RDB786283:RDB786284 QTF786283:QTF786284 QJJ786283:QJJ786284 PZN786283:PZN786284 PPR786283:PPR786284 PFV786283:PFV786284 OVZ786283:OVZ786284 OMD786283:OMD786284 OCH786283:OCH786284 NSL786283:NSL786284 NIP786283:NIP786284 MYT786283:MYT786284 MOX786283:MOX786284 MFB786283:MFB786284 LVF786283:LVF786284 LLJ786283:LLJ786284 LBN786283:LBN786284 KRR786283:KRR786284 KHV786283:KHV786284 JXZ786283:JXZ786284 JOD786283:JOD786284 JEH786283:JEH786284 IUL786283:IUL786284 IKP786283:IKP786284 IAT786283:IAT786284 HQX786283:HQX786284 HHB786283:HHB786284 GXF786283:GXF786284 GNJ786283:GNJ786284 GDN786283:GDN786284 FTR786283:FTR786284 FJV786283:FJV786284 EZZ786283:EZZ786284 EQD786283:EQD786284 EGH786283:EGH786284 DWL786283:DWL786284 DMP786283:DMP786284 DCT786283:DCT786284 CSX786283:CSX786284 CJB786283:CJB786284 BZF786283:BZF786284 BPJ786283:BPJ786284 BFN786283:BFN786284 AVR786283:AVR786284 ALV786283:ALV786284 ABZ786283:ABZ786284 SD786283:SD786284 IH786283:IH786284 WUT720747:WUT720748 WKX720747:WKX720748 WBB720747:WBB720748 VRF720747:VRF720748 VHJ720747:VHJ720748 UXN720747:UXN720748 UNR720747:UNR720748 UDV720747:UDV720748 TTZ720747:TTZ720748 TKD720747:TKD720748 TAH720747:TAH720748 SQL720747:SQL720748 SGP720747:SGP720748 RWT720747:RWT720748 RMX720747:RMX720748 RDB720747:RDB720748 QTF720747:QTF720748 QJJ720747:QJJ720748 PZN720747:PZN720748 PPR720747:PPR720748 PFV720747:PFV720748 OVZ720747:OVZ720748 OMD720747:OMD720748 OCH720747:OCH720748 NSL720747:NSL720748 NIP720747:NIP720748 MYT720747:MYT720748 MOX720747:MOX720748 MFB720747:MFB720748 LVF720747:LVF720748 LLJ720747:LLJ720748 LBN720747:LBN720748 KRR720747:KRR720748 KHV720747:KHV720748 JXZ720747:JXZ720748 JOD720747:JOD720748 JEH720747:JEH720748 IUL720747:IUL720748 IKP720747:IKP720748 IAT720747:IAT720748 HQX720747:HQX720748 HHB720747:HHB720748 GXF720747:GXF720748 GNJ720747:GNJ720748 GDN720747:GDN720748 FTR720747:FTR720748 FJV720747:FJV720748 EZZ720747:EZZ720748 EQD720747:EQD720748 EGH720747:EGH720748 DWL720747:DWL720748 DMP720747:DMP720748 DCT720747:DCT720748 CSX720747:CSX720748 CJB720747:CJB720748 BZF720747:BZF720748 BPJ720747:BPJ720748 BFN720747:BFN720748 AVR720747:AVR720748 ALV720747:ALV720748 ABZ720747:ABZ720748 SD720747:SD720748 IH720747:IH720748 WUT655211:WUT655212 WKX655211:WKX655212 WBB655211:WBB655212 VRF655211:VRF655212 VHJ655211:VHJ655212 UXN655211:UXN655212 UNR655211:UNR655212 UDV655211:UDV655212 TTZ655211:TTZ655212 TKD655211:TKD655212 TAH655211:TAH655212 SQL655211:SQL655212 SGP655211:SGP655212 RWT655211:RWT655212 RMX655211:RMX655212 RDB655211:RDB655212 QTF655211:QTF655212 QJJ655211:QJJ655212 PZN655211:PZN655212 PPR655211:PPR655212 PFV655211:PFV655212 OVZ655211:OVZ655212 OMD655211:OMD655212 OCH655211:OCH655212 NSL655211:NSL655212 NIP655211:NIP655212 MYT655211:MYT655212 MOX655211:MOX655212 MFB655211:MFB655212 LVF655211:LVF655212 LLJ655211:LLJ655212 LBN655211:LBN655212 KRR655211:KRR655212 KHV655211:KHV655212 JXZ655211:JXZ655212 JOD655211:JOD655212 JEH655211:JEH655212 IUL655211:IUL655212 IKP655211:IKP655212 IAT655211:IAT655212 HQX655211:HQX655212 HHB655211:HHB655212 GXF655211:GXF655212 GNJ655211:GNJ655212 GDN655211:GDN655212 FTR655211:FTR655212 FJV655211:FJV655212 EZZ655211:EZZ655212 EQD655211:EQD655212 EGH655211:EGH655212 DWL655211:DWL655212 DMP655211:DMP655212 DCT655211:DCT655212 CSX655211:CSX655212 CJB655211:CJB655212 BZF655211:BZF655212 BPJ655211:BPJ655212 BFN655211:BFN655212 AVR655211:AVR655212 ALV655211:ALV655212 ABZ655211:ABZ655212 SD655211:SD655212 IH655211:IH655212 WUT589675:WUT589676 WKX589675:WKX589676 WBB589675:WBB589676 VRF589675:VRF589676 VHJ589675:VHJ589676 UXN589675:UXN589676 UNR589675:UNR589676 UDV589675:UDV589676 TTZ589675:TTZ589676 TKD589675:TKD589676 TAH589675:TAH589676 SQL589675:SQL589676 SGP589675:SGP589676 RWT589675:RWT589676 RMX589675:RMX589676 RDB589675:RDB589676 QTF589675:QTF589676 QJJ589675:QJJ589676 PZN589675:PZN589676 PPR589675:PPR589676 PFV589675:PFV589676 OVZ589675:OVZ589676 OMD589675:OMD589676 OCH589675:OCH589676 NSL589675:NSL589676 NIP589675:NIP589676 MYT589675:MYT589676 MOX589675:MOX589676 MFB589675:MFB589676 LVF589675:LVF589676 LLJ589675:LLJ589676 LBN589675:LBN589676 KRR589675:KRR589676 KHV589675:KHV589676 JXZ589675:JXZ589676 JOD589675:JOD589676 JEH589675:JEH589676 IUL589675:IUL589676 IKP589675:IKP589676 IAT589675:IAT589676 HQX589675:HQX589676 HHB589675:HHB589676 GXF589675:GXF589676 GNJ589675:GNJ589676 GDN589675:GDN589676 FTR589675:FTR589676 FJV589675:FJV589676 EZZ589675:EZZ589676 EQD589675:EQD589676 EGH589675:EGH589676 DWL589675:DWL589676 DMP589675:DMP589676 DCT589675:DCT589676 CSX589675:CSX589676 CJB589675:CJB589676 BZF589675:BZF589676 BPJ589675:BPJ589676 BFN589675:BFN589676 AVR589675:AVR589676 ALV589675:ALV589676 ABZ589675:ABZ589676 SD589675:SD589676 IH589675:IH589676 WUT524139:WUT524140 WKX524139:WKX524140 WBB524139:WBB524140 VRF524139:VRF524140 VHJ524139:VHJ524140 UXN524139:UXN524140 UNR524139:UNR524140 UDV524139:UDV524140 TTZ524139:TTZ524140 TKD524139:TKD524140 TAH524139:TAH524140 SQL524139:SQL524140 SGP524139:SGP524140 RWT524139:RWT524140 RMX524139:RMX524140 RDB524139:RDB524140 QTF524139:QTF524140 QJJ524139:QJJ524140 PZN524139:PZN524140 PPR524139:PPR524140 PFV524139:PFV524140 OVZ524139:OVZ524140 OMD524139:OMD524140 OCH524139:OCH524140 NSL524139:NSL524140 NIP524139:NIP524140 MYT524139:MYT524140 MOX524139:MOX524140 MFB524139:MFB524140 LVF524139:LVF524140 LLJ524139:LLJ524140 LBN524139:LBN524140 KRR524139:KRR524140 KHV524139:KHV524140 JXZ524139:JXZ524140 JOD524139:JOD524140 JEH524139:JEH524140 IUL524139:IUL524140 IKP524139:IKP524140 IAT524139:IAT524140 HQX524139:HQX524140 HHB524139:HHB524140 GXF524139:GXF524140 GNJ524139:GNJ524140 GDN524139:GDN524140 FTR524139:FTR524140 FJV524139:FJV524140 EZZ524139:EZZ524140 EQD524139:EQD524140 EGH524139:EGH524140 DWL524139:DWL524140 DMP524139:DMP524140 DCT524139:DCT524140 CSX524139:CSX524140 CJB524139:CJB524140 BZF524139:BZF524140 BPJ524139:BPJ524140 BFN524139:BFN524140 AVR524139:AVR524140 ALV524139:ALV524140 ABZ524139:ABZ524140 SD524139:SD524140 IH524139:IH524140 WUT458603:WUT458604 WKX458603:WKX458604 WBB458603:WBB458604 VRF458603:VRF458604 VHJ458603:VHJ458604 UXN458603:UXN458604 UNR458603:UNR458604 UDV458603:UDV458604 TTZ458603:TTZ458604 TKD458603:TKD458604 TAH458603:TAH458604 SQL458603:SQL458604 SGP458603:SGP458604 RWT458603:RWT458604 RMX458603:RMX458604 RDB458603:RDB458604 QTF458603:QTF458604 QJJ458603:QJJ458604 PZN458603:PZN458604 PPR458603:PPR458604 PFV458603:PFV458604 OVZ458603:OVZ458604 OMD458603:OMD458604 OCH458603:OCH458604 NSL458603:NSL458604 NIP458603:NIP458604 MYT458603:MYT458604 MOX458603:MOX458604 MFB458603:MFB458604 LVF458603:LVF458604 LLJ458603:LLJ458604 LBN458603:LBN458604 KRR458603:KRR458604 KHV458603:KHV458604 JXZ458603:JXZ458604 JOD458603:JOD458604 JEH458603:JEH458604 IUL458603:IUL458604 IKP458603:IKP458604 IAT458603:IAT458604 HQX458603:HQX458604 HHB458603:HHB458604 GXF458603:GXF458604 GNJ458603:GNJ458604 GDN458603:GDN458604 FTR458603:FTR458604 FJV458603:FJV458604 EZZ458603:EZZ458604 EQD458603:EQD458604 EGH458603:EGH458604 DWL458603:DWL458604 DMP458603:DMP458604 DCT458603:DCT458604 CSX458603:CSX458604 CJB458603:CJB458604 BZF458603:BZF458604 BPJ458603:BPJ458604 BFN458603:BFN458604 AVR458603:AVR458604 ALV458603:ALV458604 ABZ458603:ABZ458604 SD458603:SD458604 IH458603:IH458604 WUT393067:WUT393068 WKX393067:WKX393068 WBB393067:WBB393068 VRF393067:VRF393068 VHJ393067:VHJ393068 UXN393067:UXN393068 UNR393067:UNR393068 UDV393067:UDV393068 TTZ393067:TTZ393068 TKD393067:TKD393068 TAH393067:TAH393068 SQL393067:SQL393068 SGP393067:SGP393068 RWT393067:RWT393068 RMX393067:RMX393068 RDB393067:RDB393068 QTF393067:QTF393068 QJJ393067:QJJ393068 PZN393067:PZN393068 PPR393067:PPR393068 PFV393067:PFV393068 OVZ393067:OVZ393068 OMD393067:OMD393068 OCH393067:OCH393068 NSL393067:NSL393068 NIP393067:NIP393068 MYT393067:MYT393068 MOX393067:MOX393068 MFB393067:MFB393068 LVF393067:LVF393068 LLJ393067:LLJ393068 LBN393067:LBN393068 KRR393067:KRR393068 KHV393067:KHV393068 JXZ393067:JXZ393068 JOD393067:JOD393068 JEH393067:JEH393068 IUL393067:IUL393068 IKP393067:IKP393068 IAT393067:IAT393068 HQX393067:HQX393068 HHB393067:HHB393068 GXF393067:GXF393068 GNJ393067:GNJ393068 GDN393067:GDN393068 FTR393067:FTR393068 FJV393067:FJV393068 EZZ393067:EZZ393068 EQD393067:EQD393068 EGH393067:EGH393068 DWL393067:DWL393068 DMP393067:DMP393068 DCT393067:DCT393068 CSX393067:CSX393068 CJB393067:CJB393068 BZF393067:BZF393068 BPJ393067:BPJ393068 BFN393067:BFN393068 AVR393067:AVR393068 ALV393067:ALV393068 ABZ393067:ABZ393068 SD393067:SD393068 IH393067:IH393068 WUT327531:WUT327532 WKX327531:WKX327532 WBB327531:WBB327532 VRF327531:VRF327532 VHJ327531:VHJ327532 UXN327531:UXN327532 UNR327531:UNR327532 UDV327531:UDV327532 TTZ327531:TTZ327532 TKD327531:TKD327532 TAH327531:TAH327532 SQL327531:SQL327532 SGP327531:SGP327532 RWT327531:RWT327532 RMX327531:RMX327532 RDB327531:RDB327532 QTF327531:QTF327532 QJJ327531:QJJ327532 PZN327531:PZN327532 PPR327531:PPR327532 PFV327531:PFV327532 OVZ327531:OVZ327532 OMD327531:OMD327532 OCH327531:OCH327532 NSL327531:NSL327532 NIP327531:NIP327532 MYT327531:MYT327532 MOX327531:MOX327532 MFB327531:MFB327532 LVF327531:LVF327532 LLJ327531:LLJ327532 LBN327531:LBN327532 KRR327531:KRR327532 KHV327531:KHV327532 JXZ327531:JXZ327532 JOD327531:JOD327532 JEH327531:JEH327532 IUL327531:IUL327532 IKP327531:IKP327532 IAT327531:IAT327532 HQX327531:HQX327532 HHB327531:HHB327532 GXF327531:GXF327532 GNJ327531:GNJ327532 GDN327531:GDN327532 FTR327531:FTR327532 FJV327531:FJV327532 EZZ327531:EZZ327532 EQD327531:EQD327532 EGH327531:EGH327532 DWL327531:DWL327532 DMP327531:DMP327532 DCT327531:DCT327532 CSX327531:CSX327532 CJB327531:CJB327532 BZF327531:BZF327532 BPJ327531:BPJ327532 BFN327531:BFN327532 AVR327531:AVR327532 ALV327531:ALV327532 ABZ327531:ABZ327532 SD327531:SD327532 IH327531:IH327532 WUT261995:WUT261996 WKX261995:WKX261996 WBB261995:WBB261996 VRF261995:VRF261996 VHJ261995:VHJ261996 UXN261995:UXN261996 UNR261995:UNR261996 UDV261995:UDV261996 TTZ261995:TTZ261996 TKD261995:TKD261996 TAH261995:TAH261996 SQL261995:SQL261996 SGP261995:SGP261996 RWT261995:RWT261996 RMX261995:RMX261996 RDB261995:RDB261996 QTF261995:QTF261996 QJJ261995:QJJ261996 PZN261995:PZN261996 PPR261995:PPR261996 PFV261995:PFV261996 OVZ261995:OVZ261996 OMD261995:OMD261996 OCH261995:OCH261996 NSL261995:NSL261996 NIP261995:NIP261996 MYT261995:MYT261996 MOX261995:MOX261996 MFB261995:MFB261996 LVF261995:LVF261996 LLJ261995:LLJ261996 LBN261995:LBN261996 KRR261995:KRR261996 KHV261995:KHV261996 JXZ261995:JXZ261996 JOD261995:JOD261996 JEH261995:JEH261996 IUL261995:IUL261996 IKP261995:IKP261996 IAT261995:IAT261996 HQX261995:HQX261996 HHB261995:HHB261996 GXF261995:GXF261996 GNJ261995:GNJ261996 GDN261995:GDN261996 FTR261995:FTR261996 FJV261995:FJV261996 EZZ261995:EZZ261996 EQD261995:EQD261996 EGH261995:EGH261996 DWL261995:DWL261996 DMP261995:DMP261996 DCT261995:DCT261996 CSX261995:CSX261996 CJB261995:CJB261996 BZF261995:BZF261996 BPJ261995:BPJ261996 BFN261995:BFN261996 AVR261995:AVR261996 ALV261995:ALV261996 ABZ261995:ABZ261996 SD261995:SD261996 IH261995:IH261996 WUT196459:WUT196460 WKX196459:WKX196460 WBB196459:WBB196460 VRF196459:VRF196460 VHJ196459:VHJ196460 UXN196459:UXN196460 UNR196459:UNR196460 UDV196459:UDV196460 TTZ196459:TTZ196460 TKD196459:TKD196460 TAH196459:TAH196460 SQL196459:SQL196460 SGP196459:SGP196460 RWT196459:RWT196460 RMX196459:RMX196460 RDB196459:RDB196460 QTF196459:QTF196460 QJJ196459:QJJ196460 PZN196459:PZN196460 PPR196459:PPR196460 PFV196459:PFV196460 OVZ196459:OVZ196460 OMD196459:OMD196460 OCH196459:OCH196460 NSL196459:NSL196460 NIP196459:NIP196460 MYT196459:MYT196460 MOX196459:MOX196460 MFB196459:MFB196460 LVF196459:LVF196460 LLJ196459:LLJ196460 LBN196459:LBN196460 KRR196459:KRR196460 KHV196459:KHV196460 JXZ196459:JXZ196460 JOD196459:JOD196460 JEH196459:JEH196460 IUL196459:IUL196460 IKP196459:IKP196460 IAT196459:IAT196460 HQX196459:HQX196460 HHB196459:HHB196460 GXF196459:GXF196460 GNJ196459:GNJ196460 GDN196459:GDN196460 FTR196459:FTR196460 FJV196459:FJV196460 EZZ196459:EZZ196460 EQD196459:EQD196460 EGH196459:EGH196460 DWL196459:DWL196460 DMP196459:DMP196460 DCT196459:DCT196460 CSX196459:CSX196460 CJB196459:CJB196460 BZF196459:BZF196460 BPJ196459:BPJ196460 BFN196459:BFN196460 AVR196459:AVR196460 ALV196459:ALV196460 ABZ196459:ABZ196460 SD196459:SD196460 IH196459:IH196460 WUT130923:WUT130924 WKX130923:WKX130924 WBB130923:WBB130924 VRF130923:VRF130924 VHJ130923:VHJ130924 UXN130923:UXN130924 UNR130923:UNR130924 UDV130923:UDV130924 TTZ130923:TTZ130924 TKD130923:TKD130924 TAH130923:TAH130924 SQL130923:SQL130924 SGP130923:SGP130924 RWT130923:RWT130924 RMX130923:RMX130924 RDB130923:RDB130924 QTF130923:QTF130924 QJJ130923:QJJ130924 PZN130923:PZN130924 PPR130923:PPR130924 PFV130923:PFV130924 OVZ130923:OVZ130924 OMD130923:OMD130924 OCH130923:OCH130924 NSL130923:NSL130924 NIP130923:NIP130924 MYT130923:MYT130924 MOX130923:MOX130924 MFB130923:MFB130924 LVF130923:LVF130924 LLJ130923:LLJ130924 LBN130923:LBN130924 KRR130923:KRR130924 KHV130923:KHV130924 JXZ130923:JXZ130924 JOD130923:JOD130924 JEH130923:JEH130924 IUL130923:IUL130924 IKP130923:IKP130924 IAT130923:IAT130924 HQX130923:HQX130924 HHB130923:HHB130924 GXF130923:GXF130924 GNJ130923:GNJ130924 GDN130923:GDN130924 FTR130923:FTR130924 FJV130923:FJV130924 EZZ130923:EZZ130924 EQD130923:EQD130924 EGH130923:EGH130924 DWL130923:DWL130924 DMP130923:DMP130924 DCT130923:DCT130924 CSX130923:CSX130924 CJB130923:CJB130924 BZF130923:BZF130924 BPJ130923:BPJ130924 BFN130923:BFN130924 AVR130923:AVR130924 ALV130923:ALV130924 ABZ130923:ABZ130924 SD130923:SD130924 IH130923:IH130924 WUT65387:WUT65388 WKX65387:WKX65388 WBB65387:WBB65388 VRF65387:VRF65388 VHJ65387:VHJ65388 UXN65387:UXN65388 UNR65387:UNR65388 UDV65387:UDV65388 TTZ65387:TTZ65388 TKD65387:TKD65388 TAH65387:TAH65388 SQL65387:SQL65388 SGP65387:SGP65388 RWT65387:RWT65388 RMX65387:RMX65388 RDB65387:RDB65388 QTF65387:QTF65388 QJJ65387:QJJ65388 PZN65387:PZN65388 PPR65387:PPR65388 PFV65387:PFV65388 OVZ65387:OVZ65388 OMD65387:OMD65388 OCH65387:OCH65388 NSL65387:NSL65388 NIP65387:NIP65388 MYT65387:MYT65388 MOX65387:MOX65388 MFB65387:MFB65388 LVF65387:LVF65388 LLJ65387:LLJ65388 LBN65387:LBN65388 KRR65387:KRR65388 KHV65387:KHV65388 JXZ65387:JXZ65388 JOD65387:JOD65388 JEH65387:JEH65388 IUL65387:IUL65388 IKP65387:IKP65388 IAT65387:IAT65388 HQX65387:HQX65388 HHB65387:HHB65388 GXF65387:GXF65388 GNJ65387:GNJ65388 GDN65387:GDN65388 FTR65387:FTR65388 FJV65387:FJV65388 EZZ65387:EZZ65388 EQD65387:EQD65388 EGH65387:EGH65388 DWL65387:DWL65388 DMP65387:DMP65388 DCT65387:DCT65388 CSX65387:CSX65388 CJB65387:CJB65388 BZF65387:BZF65388 BPJ65387:BPJ65388 BFN65387:BFN65388 AVR65387:AVR65388 WUT9:WUT80 WKX9:WKX80 WBB9:WBB80 VRF9:VRF80 VHJ9:VHJ80 UXN9:UXN80 UNR9:UNR80 UDV9:UDV80 TTZ9:TTZ80 TKD9:TKD80 TAH9:TAH80 SQL9:SQL80 SGP9:SGP80 RWT9:RWT80 RMX9:RMX80 RDB9:RDB80 QTF9:QTF80 QJJ9:QJJ80 PZN9:PZN80 PPR9:PPR80 PFV9:PFV80 OVZ9:OVZ80 OMD9:OMD80 OCH9:OCH80 NSL9:NSL80 NIP9:NIP80 MYT9:MYT80 MOX9:MOX80 MFB9:MFB80 LVF9:LVF80 LLJ9:LLJ80 LBN9:LBN80 KRR9:KRR80 KHV9:KHV80 JXZ9:JXZ80 JOD9:JOD80 JEH9:JEH80 IUL9:IUL80 IKP9:IKP80 IAT9:IAT80 HQX9:HQX80 HHB9:HHB80 GXF9:GXF80 GNJ9:GNJ80 GDN9:GDN80 FTR9:FTR80 FJV9:FJV80 EZZ9:EZZ80 EQD9:EQD80 EGH9:EGH80 DWL9:DWL80 DMP9:DMP80 DCT9:DCT80 CSX9:CSX80 CJB9:CJB80 BZF9:BZF80 BPJ9:BPJ80 BFN9:BFN80 AVR9:AVR80 ALV9:ALV80 ABZ9:ABZ80 SD9:SD80 IH9:IH80">
      <formula1>"정상,비정상"</formula1>
    </dataValidation>
    <dataValidation type="list" allowBlank="1" showInputMessage="1" showErrorMessage="1" sqref="IO65387:IO65388 ACG65387:ACG65388 SK65387:SK65388 WVA982891:WVA982892 WLE982891:WLE982892 WBI982891:WBI982892 VRM982891:VRM982892 VHQ982891:VHQ982892 UXU982891:UXU982892 UNY982891:UNY982892 UEC982891:UEC982892 TUG982891:TUG982892 TKK982891:TKK982892 TAO982891:TAO982892 SQS982891:SQS982892 SGW982891:SGW982892 RXA982891:RXA982892 RNE982891:RNE982892 RDI982891:RDI982892 QTM982891:QTM982892 QJQ982891:QJQ982892 PZU982891:PZU982892 PPY982891:PPY982892 PGC982891:PGC982892 OWG982891:OWG982892 OMK982891:OMK982892 OCO982891:OCO982892 NSS982891:NSS982892 NIW982891:NIW982892 MZA982891:MZA982892 MPE982891:MPE982892 MFI982891:MFI982892 LVM982891:LVM982892 LLQ982891:LLQ982892 LBU982891:LBU982892 KRY982891:KRY982892 KIC982891:KIC982892 JYG982891:JYG982892 JOK982891:JOK982892 JEO982891:JEO982892 IUS982891:IUS982892 IKW982891:IKW982892 IBA982891:IBA982892 HRE982891:HRE982892 HHI982891:HHI982892 GXM982891:GXM982892 GNQ982891:GNQ982892 GDU982891:GDU982892 FTY982891:FTY982892 FKC982891:FKC982892 FAG982891:FAG982892 EQK982891:EQK982892 EGO982891:EGO982892 DWS982891:DWS982892 DMW982891:DMW982892 DDA982891:DDA982892 CTE982891:CTE982892 CJI982891:CJI982892 BZM982891:BZM982892 BPQ982891:BPQ982892 BFU982891:BFU982892 AVY982891:AVY982892 AMC982891:AMC982892 ACG982891:ACG982892 SK982891:SK982892 IO982891:IO982892 WVA917355:WVA917356 WLE917355:WLE917356 WBI917355:WBI917356 VRM917355:VRM917356 VHQ917355:VHQ917356 UXU917355:UXU917356 UNY917355:UNY917356 UEC917355:UEC917356 TUG917355:TUG917356 TKK917355:TKK917356 TAO917355:TAO917356 SQS917355:SQS917356 SGW917355:SGW917356 RXA917355:RXA917356 RNE917355:RNE917356 RDI917355:RDI917356 QTM917355:QTM917356 QJQ917355:QJQ917356 PZU917355:PZU917356 PPY917355:PPY917356 PGC917355:PGC917356 OWG917355:OWG917356 OMK917355:OMK917356 OCO917355:OCO917356 NSS917355:NSS917356 NIW917355:NIW917356 MZA917355:MZA917356 MPE917355:MPE917356 MFI917355:MFI917356 LVM917355:LVM917356 LLQ917355:LLQ917356 LBU917355:LBU917356 KRY917355:KRY917356 KIC917355:KIC917356 JYG917355:JYG917356 JOK917355:JOK917356 JEO917355:JEO917356 IUS917355:IUS917356 IKW917355:IKW917356 IBA917355:IBA917356 HRE917355:HRE917356 HHI917355:HHI917356 GXM917355:GXM917356 GNQ917355:GNQ917356 GDU917355:GDU917356 FTY917355:FTY917356 FKC917355:FKC917356 FAG917355:FAG917356 EQK917355:EQK917356 EGO917355:EGO917356 DWS917355:DWS917356 DMW917355:DMW917356 DDA917355:DDA917356 CTE917355:CTE917356 CJI917355:CJI917356 BZM917355:BZM917356 BPQ917355:BPQ917356 BFU917355:BFU917356 AVY917355:AVY917356 AMC917355:AMC917356 ACG917355:ACG917356 SK917355:SK917356 IO917355:IO917356 WVA851819:WVA851820 WLE851819:WLE851820 WBI851819:WBI851820 VRM851819:VRM851820 VHQ851819:VHQ851820 UXU851819:UXU851820 UNY851819:UNY851820 UEC851819:UEC851820 TUG851819:TUG851820 TKK851819:TKK851820 TAO851819:TAO851820 SQS851819:SQS851820 SGW851819:SGW851820 RXA851819:RXA851820 RNE851819:RNE851820 RDI851819:RDI851820 QTM851819:QTM851820 QJQ851819:QJQ851820 PZU851819:PZU851820 PPY851819:PPY851820 PGC851819:PGC851820 OWG851819:OWG851820 OMK851819:OMK851820 OCO851819:OCO851820 NSS851819:NSS851820 NIW851819:NIW851820 MZA851819:MZA851820 MPE851819:MPE851820 MFI851819:MFI851820 LVM851819:LVM851820 LLQ851819:LLQ851820 LBU851819:LBU851820 KRY851819:KRY851820 KIC851819:KIC851820 JYG851819:JYG851820 JOK851819:JOK851820 JEO851819:JEO851820 IUS851819:IUS851820 IKW851819:IKW851820 IBA851819:IBA851820 HRE851819:HRE851820 HHI851819:HHI851820 GXM851819:GXM851820 GNQ851819:GNQ851820 GDU851819:GDU851820 FTY851819:FTY851820 FKC851819:FKC851820 FAG851819:FAG851820 EQK851819:EQK851820 EGO851819:EGO851820 DWS851819:DWS851820 DMW851819:DMW851820 DDA851819:DDA851820 CTE851819:CTE851820 CJI851819:CJI851820 BZM851819:BZM851820 BPQ851819:BPQ851820 BFU851819:BFU851820 AVY851819:AVY851820 AMC851819:AMC851820 ACG851819:ACG851820 SK851819:SK851820 IO851819:IO851820 WVA786283:WVA786284 WLE786283:WLE786284 WBI786283:WBI786284 VRM786283:VRM786284 VHQ786283:VHQ786284 UXU786283:UXU786284 UNY786283:UNY786284 UEC786283:UEC786284 TUG786283:TUG786284 TKK786283:TKK786284 TAO786283:TAO786284 SQS786283:SQS786284 SGW786283:SGW786284 RXA786283:RXA786284 RNE786283:RNE786284 RDI786283:RDI786284 QTM786283:QTM786284 QJQ786283:QJQ786284 PZU786283:PZU786284 PPY786283:PPY786284 PGC786283:PGC786284 OWG786283:OWG786284 OMK786283:OMK786284 OCO786283:OCO786284 NSS786283:NSS786284 NIW786283:NIW786284 MZA786283:MZA786284 MPE786283:MPE786284 MFI786283:MFI786284 LVM786283:LVM786284 LLQ786283:LLQ786284 LBU786283:LBU786284 KRY786283:KRY786284 KIC786283:KIC786284 JYG786283:JYG786284 JOK786283:JOK786284 JEO786283:JEO786284 IUS786283:IUS786284 IKW786283:IKW786284 IBA786283:IBA786284 HRE786283:HRE786284 HHI786283:HHI786284 GXM786283:GXM786284 GNQ786283:GNQ786284 GDU786283:GDU786284 FTY786283:FTY786284 FKC786283:FKC786284 FAG786283:FAG786284 EQK786283:EQK786284 EGO786283:EGO786284 DWS786283:DWS786284 DMW786283:DMW786284 DDA786283:DDA786284 CTE786283:CTE786284 CJI786283:CJI786284 BZM786283:BZM786284 BPQ786283:BPQ786284 BFU786283:BFU786284 AVY786283:AVY786284 AMC786283:AMC786284 ACG786283:ACG786284 SK786283:SK786284 IO786283:IO786284 WVA720747:WVA720748 WLE720747:WLE720748 WBI720747:WBI720748 VRM720747:VRM720748 VHQ720747:VHQ720748 UXU720747:UXU720748 UNY720747:UNY720748 UEC720747:UEC720748 TUG720747:TUG720748 TKK720747:TKK720748 TAO720747:TAO720748 SQS720747:SQS720748 SGW720747:SGW720748 RXA720747:RXA720748 RNE720747:RNE720748 RDI720747:RDI720748 QTM720747:QTM720748 QJQ720747:QJQ720748 PZU720747:PZU720748 PPY720747:PPY720748 PGC720747:PGC720748 OWG720747:OWG720748 OMK720747:OMK720748 OCO720747:OCO720748 NSS720747:NSS720748 NIW720747:NIW720748 MZA720747:MZA720748 MPE720747:MPE720748 MFI720747:MFI720748 LVM720747:LVM720748 LLQ720747:LLQ720748 LBU720747:LBU720748 KRY720747:KRY720748 KIC720747:KIC720748 JYG720747:JYG720748 JOK720747:JOK720748 JEO720747:JEO720748 IUS720747:IUS720748 IKW720747:IKW720748 IBA720747:IBA720748 HRE720747:HRE720748 HHI720747:HHI720748 GXM720747:GXM720748 GNQ720747:GNQ720748 GDU720747:GDU720748 FTY720747:FTY720748 FKC720747:FKC720748 FAG720747:FAG720748 EQK720747:EQK720748 EGO720747:EGO720748 DWS720747:DWS720748 DMW720747:DMW720748 DDA720747:DDA720748 CTE720747:CTE720748 CJI720747:CJI720748 BZM720747:BZM720748 BPQ720747:BPQ720748 BFU720747:BFU720748 AVY720747:AVY720748 AMC720747:AMC720748 ACG720747:ACG720748 SK720747:SK720748 IO720747:IO720748 WVA655211:WVA655212 WLE655211:WLE655212 WBI655211:WBI655212 VRM655211:VRM655212 VHQ655211:VHQ655212 UXU655211:UXU655212 UNY655211:UNY655212 UEC655211:UEC655212 TUG655211:TUG655212 TKK655211:TKK655212 TAO655211:TAO655212 SQS655211:SQS655212 SGW655211:SGW655212 RXA655211:RXA655212 RNE655211:RNE655212 RDI655211:RDI655212 QTM655211:QTM655212 QJQ655211:QJQ655212 PZU655211:PZU655212 PPY655211:PPY655212 PGC655211:PGC655212 OWG655211:OWG655212 OMK655211:OMK655212 OCO655211:OCO655212 NSS655211:NSS655212 NIW655211:NIW655212 MZA655211:MZA655212 MPE655211:MPE655212 MFI655211:MFI655212 LVM655211:LVM655212 LLQ655211:LLQ655212 LBU655211:LBU655212 KRY655211:KRY655212 KIC655211:KIC655212 JYG655211:JYG655212 JOK655211:JOK655212 JEO655211:JEO655212 IUS655211:IUS655212 IKW655211:IKW655212 IBA655211:IBA655212 HRE655211:HRE655212 HHI655211:HHI655212 GXM655211:GXM655212 GNQ655211:GNQ655212 GDU655211:GDU655212 FTY655211:FTY655212 FKC655211:FKC655212 FAG655211:FAG655212 EQK655211:EQK655212 EGO655211:EGO655212 DWS655211:DWS655212 DMW655211:DMW655212 DDA655211:DDA655212 CTE655211:CTE655212 CJI655211:CJI655212 BZM655211:BZM655212 BPQ655211:BPQ655212 BFU655211:BFU655212 AVY655211:AVY655212 AMC655211:AMC655212 ACG655211:ACG655212 SK655211:SK655212 IO655211:IO655212 WVA589675:WVA589676 WLE589675:WLE589676 WBI589675:WBI589676 VRM589675:VRM589676 VHQ589675:VHQ589676 UXU589675:UXU589676 UNY589675:UNY589676 UEC589675:UEC589676 TUG589675:TUG589676 TKK589675:TKK589676 TAO589675:TAO589676 SQS589675:SQS589676 SGW589675:SGW589676 RXA589675:RXA589676 RNE589675:RNE589676 RDI589675:RDI589676 QTM589675:QTM589676 QJQ589675:QJQ589676 PZU589675:PZU589676 PPY589675:PPY589676 PGC589675:PGC589676 OWG589675:OWG589676 OMK589675:OMK589676 OCO589675:OCO589676 NSS589675:NSS589676 NIW589675:NIW589676 MZA589675:MZA589676 MPE589675:MPE589676 MFI589675:MFI589676 LVM589675:LVM589676 LLQ589675:LLQ589676 LBU589675:LBU589676 KRY589675:KRY589676 KIC589675:KIC589676 JYG589675:JYG589676 JOK589675:JOK589676 JEO589675:JEO589676 IUS589675:IUS589676 IKW589675:IKW589676 IBA589675:IBA589676 HRE589675:HRE589676 HHI589675:HHI589676 GXM589675:GXM589676 GNQ589675:GNQ589676 GDU589675:GDU589676 FTY589675:FTY589676 FKC589675:FKC589676 FAG589675:FAG589676 EQK589675:EQK589676 EGO589675:EGO589676 DWS589675:DWS589676 DMW589675:DMW589676 DDA589675:DDA589676 CTE589675:CTE589676 CJI589675:CJI589676 BZM589675:BZM589676 BPQ589675:BPQ589676 BFU589675:BFU589676 AVY589675:AVY589676 AMC589675:AMC589676 ACG589675:ACG589676 SK589675:SK589676 IO589675:IO589676 WVA524139:WVA524140 WLE524139:WLE524140 WBI524139:WBI524140 VRM524139:VRM524140 VHQ524139:VHQ524140 UXU524139:UXU524140 UNY524139:UNY524140 UEC524139:UEC524140 TUG524139:TUG524140 TKK524139:TKK524140 TAO524139:TAO524140 SQS524139:SQS524140 SGW524139:SGW524140 RXA524139:RXA524140 RNE524139:RNE524140 RDI524139:RDI524140 QTM524139:QTM524140 QJQ524139:QJQ524140 PZU524139:PZU524140 PPY524139:PPY524140 PGC524139:PGC524140 OWG524139:OWG524140 OMK524139:OMK524140 OCO524139:OCO524140 NSS524139:NSS524140 NIW524139:NIW524140 MZA524139:MZA524140 MPE524139:MPE524140 MFI524139:MFI524140 LVM524139:LVM524140 LLQ524139:LLQ524140 LBU524139:LBU524140 KRY524139:KRY524140 KIC524139:KIC524140 JYG524139:JYG524140 JOK524139:JOK524140 JEO524139:JEO524140 IUS524139:IUS524140 IKW524139:IKW524140 IBA524139:IBA524140 HRE524139:HRE524140 HHI524139:HHI524140 GXM524139:GXM524140 GNQ524139:GNQ524140 GDU524139:GDU524140 FTY524139:FTY524140 FKC524139:FKC524140 FAG524139:FAG524140 EQK524139:EQK524140 EGO524139:EGO524140 DWS524139:DWS524140 DMW524139:DMW524140 DDA524139:DDA524140 CTE524139:CTE524140 CJI524139:CJI524140 BZM524139:BZM524140 BPQ524139:BPQ524140 BFU524139:BFU524140 AVY524139:AVY524140 AMC524139:AMC524140 ACG524139:ACG524140 SK524139:SK524140 IO524139:IO524140 WVA458603:WVA458604 WLE458603:WLE458604 WBI458603:WBI458604 VRM458603:VRM458604 VHQ458603:VHQ458604 UXU458603:UXU458604 UNY458603:UNY458604 UEC458603:UEC458604 TUG458603:TUG458604 TKK458603:TKK458604 TAO458603:TAO458604 SQS458603:SQS458604 SGW458603:SGW458604 RXA458603:RXA458604 RNE458603:RNE458604 RDI458603:RDI458604 QTM458603:QTM458604 QJQ458603:QJQ458604 PZU458603:PZU458604 PPY458603:PPY458604 PGC458603:PGC458604 OWG458603:OWG458604 OMK458603:OMK458604 OCO458603:OCO458604 NSS458603:NSS458604 NIW458603:NIW458604 MZA458603:MZA458604 MPE458603:MPE458604 MFI458603:MFI458604 LVM458603:LVM458604 LLQ458603:LLQ458604 LBU458603:LBU458604 KRY458603:KRY458604 KIC458603:KIC458604 JYG458603:JYG458604 JOK458603:JOK458604 JEO458603:JEO458604 IUS458603:IUS458604 IKW458603:IKW458604 IBA458603:IBA458604 HRE458603:HRE458604 HHI458603:HHI458604 GXM458603:GXM458604 GNQ458603:GNQ458604 GDU458603:GDU458604 FTY458603:FTY458604 FKC458603:FKC458604 FAG458603:FAG458604 EQK458603:EQK458604 EGO458603:EGO458604 DWS458603:DWS458604 DMW458603:DMW458604 DDA458603:DDA458604 CTE458603:CTE458604 CJI458603:CJI458604 BZM458603:BZM458604 BPQ458603:BPQ458604 BFU458603:BFU458604 AVY458603:AVY458604 AMC458603:AMC458604 ACG458603:ACG458604 SK458603:SK458604 IO458603:IO458604 WVA393067:WVA393068 WLE393067:WLE393068 WBI393067:WBI393068 VRM393067:VRM393068 VHQ393067:VHQ393068 UXU393067:UXU393068 UNY393067:UNY393068 UEC393067:UEC393068 TUG393067:TUG393068 TKK393067:TKK393068 TAO393067:TAO393068 SQS393067:SQS393068 SGW393067:SGW393068 RXA393067:RXA393068 RNE393067:RNE393068 RDI393067:RDI393068 QTM393067:QTM393068 QJQ393067:QJQ393068 PZU393067:PZU393068 PPY393067:PPY393068 PGC393067:PGC393068 OWG393067:OWG393068 OMK393067:OMK393068 OCO393067:OCO393068 NSS393067:NSS393068 NIW393067:NIW393068 MZA393067:MZA393068 MPE393067:MPE393068 MFI393067:MFI393068 LVM393067:LVM393068 LLQ393067:LLQ393068 LBU393067:LBU393068 KRY393067:KRY393068 KIC393067:KIC393068 JYG393067:JYG393068 JOK393067:JOK393068 JEO393067:JEO393068 IUS393067:IUS393068 IKW393067:IKW393068 IBA393067:IBA393068 HRE393067:HRE393068 HHI393067:HHI393068 GXM393067:GXM393068 GNQ393067:GNQ393068 GDU393067:GDU393068 FTY393067:FTY393068 FKC393067:FKC393068 FAG393067:FAG393068 EQK393067:EQK393068 EGO393067:EGO393068 DWS393067:DWS393068 DMW393067:DMW393068 DDA393067:DDA393068 CTE393067:CTE393068 CJI393067:CJI393068 BZM393067:BZM393068 BPQ393067:BPQ393068 BFU393067:BFU393068 AVY393067:AVY393068 AMC393067:AMC393068 ACG393067:ACG393068 SK393067:SK393068 IO393067:IO393068 WVA327531:WVA327532 WLE327531:WLE327532 WBI327531:WBI327532 VRM327531:VRM327532 VHQ327531:VHQ327532 UXU327531:UXU327532 UNY327531:UNY327532 UEC327531:UEC327532 TUG327531:TUG327532 TKK327531:TKK327532 TAO327531:TAO327532 SQS327531:SQS327532 SGW327531:SGW327532 RXA327531:RXA327532 RNE327531:RNE327532 RDI327531:RDI327532 QTM327531:QTM327532 QJQ327531:QJQ327532 PZU327531:PZU327532 PPY327531:PPY327532 PGC327531:PGC327532 OWG327531:OWG327532 OMK327531:OMK327532 OCO327531:OCO327532 NSS327531:NSS327532 NIW327531:NIW327532 MZA327531:MZA327532 MPE327531:MPE327532 MFI327531:MFI327532 LVM327531:LVM327532 LLQ327531:LLQ327532 LBU327531:LBU327532 KRY327531:KRY327532 KIC327531:KIC327532 JYG327531:JYG327532 JOK327531:JOK327532 JEO327531:JEO327532 IUS327531:IUS327532 IKW327531:IKW327532 IBA327531:IBA327532 HRE327531:HRE327532 HHI327531:HHI327532 GXM327531:GXM327532 GNQ327531:GNQ327532 GDU327531:GDU327532 FTY327531:FTY327532 FKC327531:FKC327532 FAG327531:FAG327532 EQK327531:EQK327532 EGO327531:EGO327532 DWS327531:DWS327532 DMW327531:DMW327532 DDA327531:DDA327532 CTE327531:CTE327532 CJI327531:CJI327532 BZM327531:BZM327532 BPQ327531:BPQ327532 BFU327531:BFU327532 AVY327531:AVY327532 AMC327531:AMC327532 ACG327531:ACG327532 SK327531:SK327532 IO327531:IO327532 WVA261995:WVA261996 WLE261995:WLE261996 WBI261995:WBI261996 VRM261995:VRM261996 VHQ261995:VHQ261996 UXU261995:UXU261996 UNY261995:UNY261996 UEC261995:UEC261996 TUG261995:TUG261996 TKK261995:TKK261996 TAO261995:TAO261996 SQS261995:SQS261996 SGW261995:SGW261996 RXA261995:RXA261996 RNE261995:RNE261996 RDI261995:RDI261996 QTM261995:QTM261996 QJQ261995:QJQ261996 PZU261995:PZU261996 PPY261995:PPY261996 PGC261995:PGC261996 OWG261995:OWG261996 OMK261995:OMK261996 OCO261995:OCO261996 NSS261995:NSS261996 NIW261995:NIW261996 MZA261995:MZA261996 MPE261995:MPE261996 MFI261995:MFI261996 LVM261995:LVM261996 LLQ261995:LLQ261996 LBU261995:LBU261996 KRY261995:KRY261996 KIC261995:KIC261996 JYG261995:JYG261996 JOK261995:JOK261996 JEO261995:JEO261996 IUS261995:IUS261996 IKW261995:IKW261996 IBA261995:IBA261996 HRE261995:HRE261996 HHI261995:HHI261996 GXM261995:GXM261996 GNQ261995:GNQ261996 GDU261995:GDU261996 FTY261995:FTY261996 FKC261995:FKC261996 FAG261995:FAG261996 EQK261995:EQK261996 EGO261995:EGO261996 DWS261995:DWS261996 DMW261995:DMW261996 DDA261995:DDA261996 CTE261995:CTE261996 CJI261995:CJI261996 BZM261995:BZM261996 BPQ261995:BPQ261996 BFU261995:BFU261996 AVY261995:AVY261996 AMC261995:AMC261996 ACG261995:ACG261996 SK261995:SK261996 IO261995:IO261996 WVA196459:WVA196460 WLE196459:WLE196460 WBI196459:WBI196460 VRM196459:VRM196460 VHQ196459:VHQ196460 UXU196459:UXU196460 UNY196459:UNY196460 UEC196459:UEC196460 TUG196459:TUG196460 TKK196459:TKK196460 TAO196459:TAO196460 SQS196459:SQS196460 SGW196459:SGW196460 RXA196459:RXA196460 RNE196459:RNE196460 RDI196459:RDI196460 QTM196459:QTM196460 QJQ196459:QJQ196460 PZU196459:PZU196460 PPY196459:PPY196460 PGC196459:PGC196460 OWG196459:OWG196460 OMK196459:OMK196460 OCO196459:OCO196460 NSS196459:NSS196460 NIW196459:NIW196460 MZA196459:MZA196460 MPE196459:MPE196460 MFI196459:MFI196460 LVM196459:LVM196460 LLQ196459:LLQ196460 LBU196459:LBU196460 KRY196459:KRY196460 KIC196459:KIC196460 JYG196459:JYG196460 JOK196459:JOK196460 JEO196459:JEO196460 IUS196459:IUS196460 IKW196459:IKW196460 IBA196459:IBA196460 HRE196459:HRE196460 HHI196459:HHI196460 GXM196459:GXM196460 GNQ196459:GNQ196460 GDU196459:GDU196460 FTY196459:FTY196460 FKC196459:FKC196460 FAG196459:FAG196460 EQK196459:EQK196460 EGO196459:EGO196460 DWS196459:DWS196460 DMW196459:DMW196460 DDA196459:DDA196460 CTE196459:CTE196460 CJI196459:CJI196460 BZM196459:BZM196460 BPQ196459:BPQ196460 BFU196459:BFU196460 AVY196459:AVY196460 AMC196459:AMC196460 ACG196459:ACG196460 SK196459:SK196460 IO196459:IO196460 WVA130923:WVA130924 WLE130923:WLE130924 WBI130923:WBI130924 VRM130923:VRM130924 VHQ130923:VHQ130924 UXU130923:UXU130924 UNY130923:UNY130924 UEC130923:UEC130924 TUG130923:TUG130924 TKK130923:TKK130924 TAO130923:TAO130924 SQS130923:SQS130924 SGW130923:SGW130924 RXA130923:RXA130924 RNE130923:RNE130924 RDI130923:RDI130924 QTM130923:QTM130924 QJQ130923:QJQ130924 PZU130923:PZU130924 PPY130923:PPY130924 PGC130923:PGC130924 OWG130923:OWG130924 OMK130923:OMK130924 OCO130923:OCO130924 NSS130923:NSS130924 NIW130923:NIW130924 MZA130923:MZA130924 MPE130923:MPE130924 MFI130923:MFI130924 LVM130923:LVM130924 LLQ130923:LLQ130924 LBU130923:LBU130924 KRY130923:KRY130924 KIC130923:KIC130924 JYG130923:JYG130924 JOK130923:JOK130924 JEO130923:JEO130924 IUS130923:IUS130924 IKW130923:IKW130924 IBA130923:IBA130924 HRE130923:HRE130924 HHI130923:HHI130924 GXM130923:GXM130924 GNQ130923:GNQ130924 GDU130923:GDU130924 FTY130923:FTY130924 FKC130923:FKC130924 FAG130923:FAG130924 EQK130923:EQK130924 EGO130923:EGO130924 DWS130923:DWS130924 DMW130923:DMW130924 DDA130923:DDA130924 CTE130923:CTE130924 CJI130923:CJI130924 BZM130923:BZM130924 BPQ130923:BPQ130924 BFU130923:BFU130924 AVY130923:AVY130924 AMC130923:AMC130924 ACG130923:ACG130924 SK130923:SK130924 IO130923:IO130924 WVA65387:WVA65388 WLE65387:WLE65388 WBI65387:WBI65388 VRM65387:VRM65388 VHQ65387:VHQ65388 UXU65387:UXU65388 UNY65387:UNY65388 UEC65387:UEC65388 TUG65387:TUG65388 TKK65387:TKK65388 TAO65387:TAO65388 SQS65387:SQS65388 SGW65387:SGW65388 RXA65387:RXA65388 RNE65387:RNE65388 RDI65387:RDI65388 QTM65387:QTM65388 QJQ65387:QJQ65388 PZU65387:PZU65388 PPY65387:PPY65388 PGC65387:PGC65388 OWG65387:OWG65388 OMK65387:OMK65388 OCO65387:OCO65388 NSS65387:NSS65388 NIW65387:NIW65388 MZA65387:MZA65388 MPE65387:MPE65388 MFI65387:MFI65388 LVM65387:LVM65388 LLQ65387:LLQ65388 LBU65387:LBU65388 KRY65387:KRY65388 KIC65387:KIC65388 JYG65387:JYG65388 JOK65387:JOK65388 JEO65387:JEO65388 IUS65387:IUS65388 IKW65387:IKW65388 IBA65387:IBA65388 HRE65387:HRE65388 HHI65387:HHI65388 GXM65387:GXM65388 GNQ65387:GNQ65388 GDU65387:GDU65388 FTY65387:FTY65388 FKC65387:FKC65388 FAG65387:FAG65388 EQK65387:EQK65388 EGO65387:EGO65388 DWS65387:DWS65388 DMW65387:DMW65388 DDA65387:DDA65388 CTE65387:CTE65388 CJI65387:CJI65388 BZM65387:BZM65388 BPQ65387:BPQ65388 BFU65387:BFU65388 AVY65387:AVY65388 AMC65387:AMC65388 WLE9:WLE80 WBI9:WBI80 VRM9:VRM80 VHQ9:VHQ80 UXU9:UXU80 UNY9:UNY80 UEC9:UEC80 TUG9:TUG80 TKK9:TKK80 TAO9:TAO80 SQS9:SQS80 SGW9:SGW80 RXA9:RXA80 RNE9:RNE80 RDI9:RDI80 QTM9:QTM80 QJQ9:QJQ80 PZU9:PZU80 PPY9:PPY80 PGC9:PGC80 OWG9:OWG80 OMK9:OMK80 OCO9:OCO80 NSS9:NSS80 NIW9:NIW80 MZA9:MZA80 MPE9:MPE80 MFI9:MFI80 LVM9:LVM80 LLQ9:LLQ80 LBU9:LBU80 KRY9:KRY80 KIC9:KIC80 JYG9:JYG80 JOK9:JOK80 JEO9:JEO80 IUS9:IUS80 IKW9:IKW80 IBA9:IBA80 HRE9:HRE80 HHI9:HHI80 GXM9:GXM80 GNQ9:GNQ80 GDU9:GDU80 FTY9:FTY80 FKC9:FKC80 FAG9:FAG80 EQK9:EQK80 EGO9:EGO80 DWS9:DWS80 DMW9:DMW80 DDA9:DDA80 CTE9:CTE80 CJI9:CJI80 BZM9:BZM80 BPQ9:BPQ80 BFU9:BFU80 AVY9:AVY80 AMC9:AMC80 ACG9:ACG80 SK9:SK80 IO9:IO80 WVA9:WVA80">
      <formula1>"없음,산재,공상,화재,폭발,환경,기타"</formula1>
    </dataValidation>
    <dataValidation type="list" allowBlank="1" showInputMessage="1" showErrorMessage="1" sqref="IZ65387:IZ65388 ACR65387:ACR65388 SV65387:SV65388 WVL982891:WVL982892 WLP982891:WLP982892 WBT982891:WBT982892 VRX982891:VRX982892 VIB982891:VIB982892 UYF982891:UYF982892 UOJ982891:UOJ982892 UEN982891:UEN982892 TUR982891:TUR982892 TKV982891:TKV982892 TAZ982891:TAZ982892 SRD982891:SRD982892 SHH982891:SHH982892 RXL982891:RXL982892 RNP982891:RNP982892 RDT982891:RDT982892 QTX982891:QTX982892 QKB982891:QKB982892 QAF982891:QAF982892 PQJ982891:PQJ982892 PGN982891:PGN982892 OWR982891:OWR982892 OMV982891:OMV982892 OCZ982891:OCZ982892 NTD982891:NTD982892 NJH982891:NJH982892 MZL982891:MZL982892 MPP982891:MPP982892 MFT982891:MFT982892 LVX982891:LVX982892 LMB982891:LMB982892 LCF982891:LCF982892 KSJ982891:KSJ982892 KIN982891:KIN982892 JYR982891:JYR982892 JOV982891:JOV982892 JEZ982891:JEZ982892 IVD982891:IVD982892 ILH982891:ILH982892 IBL982891:IBL982892 HRP982891:HRP982892 HHT982891:HHT982892 GXX982891:GXX982892 GOB982891:GOB982892 GEF982891:GEF982892 FUJ982891:FUJ982892 FKN982891:FKN982892 FAR982891:FAR982892 EQV982891:EQV982892 EGZ982891:EGZ982892 DXD982891:DXD982892 DNH982891:DNH982892 DDL982891:DDL982892 CTP982891:CTP982892 CJT982891:CJT982892 BZX982891:BZX982892 BQB982891:BQB982892 BGF982891:BGF982892 AWJ982891:AWJ982892 AMN982891:AMN982892 ACR982891:ACR982892 SV982891:SV982892 IZ982891:IZ982892 WVL917355:WVL917356 WLP917355:WLP917356 WBT917355:WBT917356 VRX917355:VRX917356 VIB917355:VIB917356 UYF917355:UYF917356 UOJ917355:UOJ917356 UEN917355:UEN917356 TUR917355:TUR917356 TKV917355:TKV917356 TAZ917355:TAZ917356 SRD917355:SRD917356 SHH917355:SHH917356 RXL917355:RXL917356 RNP917355:RNP917356 RDT917355:RDT917356 QTX917355:QTX917356 QKB917355:QKB917356 QAF917355:QAF917356 PQJ917355:PQJ917356 PGN917355:PGN917356 OWR917355:OWR917356 OMV917355:OMV917356 OCZ917355:OCZ917356 NTD917355:NTD917356 NJH917355:NJH917356 MZL917355:MZL917356 MPP917355:MPP917356 MFT917355:MFT917356 LVX917355:LVX917356 LMB917355:LMB917356 LCF917355:LCF917356 KSJ917355:KSJ917356 KIN917355:KIN917356 JYR917355:JYR917356 JOV917355:JOV917356 JEZ917355:JEZ917356 IVD917355:IVD917356 ILH917355:ILH917356 IBL917355:IBL917356 HRP917355:HRP917356 HHT917355:HHT917356 GXX917355:GXX917356 GOB917355:GOB917356 GEF917355:GEF917356 FUJ917355:FUJ917356 FKN917355:FKN917356 FAR917355:FAR917356 EQV917355:EQV917356 EGZ917355:EGZ917356 DXD917355:DXD917356 DNH917355:DNH917356 DDL917355:DDL917356 CTP917355:CTP917356 CJT917355:CJT917356 BZX917355:BZX917356 BQB917355:BQB917356 BGF917355:BGF917356 AWJ917355:AWJ917356 AMN917355:AMN917356 ACR917355:ACR917356 SV917355:SV917356 IZ917355:IZ917356 WVL851819:WVL851820 WLP851819:WLP851820 WBT851819:WBT851820 VRX851819:VRX851820 VIB851819:VIB851820 UYF851819:UYF851820 UOJ851819:UOJ851820 UEN851819:UEN851820 TUR851819:TUR851820 TKV851819:TKV851820 TAZ851819:TAZ851820 SRD851819:SRD851820 SHH851819:SHH851820 RXL851819:RXL851820 RNP851819:RNP851820 RDT851819:RDT851820 QTX851819:QTX851820 QKB851819:QKB851820 QAF851819:QAF851820 PQJ851819:PQJ851820 PGN851819:PGN851820 OWR851819:OWR851820 OMV851819:OMV851820 OCZ851819:OCZ851820 NTD851819:NTD851820 NJH851819:NJH851820 MZL851819:MZL851820 MPP851819:MPP851820 MFT851819:MFT851820 LVX851819:LVX851820 LMB851819:LMB851820 LCF851819:LCF851820 KSJ851819:KSJ851820 KIN851819:KIN851820 JYR851819:JYR851820 JOV851819:JOV851820 JEZ851819:JEZ851820 IVD851819:IVD851820 ILH851819:ILH851820 IBL851819:IBL851820 HRP851819:HRP851820 HHT851819:HHT851820 GXX851819:GXX851820 GOB851819:GOB851820 GEF851819:GEF851820 FUJ851819:FUJ851820 FKN851819:FKN851820 FAR851819:FAR851820 EQV851819:EQV851820 EGZ851819:EGZ851820 DXD851819:DXD851820 DNH851819:DNH851820 DDL851819:DDL851820 CTP851819:CTP851820 CJT851819:CJT851820 BZX851819:BZX851820 BQB851819:BQB851820 BGF851819:BGF851820 AWJ851819:AWJ851820 AMN851819:AMN851820 ACR851819:ACR851820 SV851819:SV851820 IZ851819:IZ851820 WVL786283:WVL786284 WLP786283:WLP786284 WBT786283:WBT786284 VRX786283:VRX786284 VIB786283:VIB786284 UYF786283:UYF786284 UOJ786283:UOJ786284 UEN786283:UEN786284 TUR786283:TUR786284 TKV786283:TKV786284 TAZ786283:TAZ786284 SRD786283:SRD786284 SHH786283:SHH786284 RXL786283:RXL786284 RNP786283:RNP786284 RDT786283:RDT786284 QTX786283:QTX786284 QKB786283:QKB786284 QAF786283:QAF786284 PQJ786283:PQJ786284 PGN786283:PGN786284 OWR786283:OWR786284 OMV786283:OMV786284 OCZ786283:OCZ786284 NTD786283:NTD786284 NJH786283:NJH786284 MZL786283:MZL786284 MPP786283:MPP786284 MFT786283:MFT786284 LVX786283:LVX786284 LMB786283:LMB786284 LCF786283:LCF786284 KSJ786283:KSJ786284 KIN786283:KIN786284 JYR786283:JYR786284 JOV786283:JOV786284 JEZ786283:JEZ786284 IVD786283:IVD786284 ILH786283:ILH786284 IBL786283:IBL786284 HRP786283:HRP786284 HHT786283:HHT786284 GXX786283:GXX786284 GOB786283:GOB786284 GEF786283:GEF786284 FUJ786283:FUJ786284 FKN786283:FKN786284 FAR786283:FAR786284 EQV786283:EQV786284 EGZ786283:EGZ786284 DXD786283:DXD786284 DNH786283:DNH786284 DDL786283:DDL786284 CTP786283:CTP786284 CJT786283:CJT786284 BZX786283:BZX786284 BQB786283:BQB786284 BGF786283:BGF786284 AWJ786283:AWJ786284 AMN786283:AMN786284 ACR786283:ACR786284 SV786283:SV786284 IZ786283:IZ786284 WVL720747:WVL720748 WLP720747:WLP720748 WBT720747:WBT720748 VRX720747:VRX720748 VIB720747:VIB720748 UYF720747:UYF720748 UOJ720747:UOJ720748 UEN720747:UEN720748 TUR720747:TUR720748 TKV720747:TKV720748 TAZ720747:TAZ720748 SRD720747:SRD720748 SHH720747:SHH720748 RXL720747:RXL720748 RNP720747:RNP720748 RDT720747:RDT720748 QTX720747:QTX720748 QKB720747:QKB720748 QAF720747:QAF720748 PQJ720747:PQJ720748 PGN720747:PGN720748 OWR720747:OWR720748 OMV720747:OMV720748 OCZ720747:OCZ720748 NTD720747:NTD720748 NJH720747:NJH720748 MZL720747:MZL720748 MPP720747:MPP720748 MFT720747:MFT720748 LVX720747:LVX720748 LMB720747:LMB720748 LCF720747:LCF720748 KSJ720747:KSJ720748 KIN720747:KIN720748 JYR720747:JYR720748 JOV720747:JOV720748 JEZ720747:JEZ720748 IVD720747:IVD720748 ILH720747:ILH720748 IBL720747:IBL720748 HRP720747:HRP720748 HHT720747:HHT720748 GXX720747:GXX720748 GOB720747:GOB720748 GEF720747:GEF720748 FUJ720747:FUJ720748 FKN720747:FKN720748 FAR720747:FAR720748 EQV720747:EQV720748 EGZ720747:EGZ720748 DXD720747:DXD720748 DNH720747:DNH720748 DDL720747:DDL720748 CTP720747:CTP720748 CJT720747:CJT720748 BZX720747:BZX720748 BQB720747:BQB720748 BGF720747:BGF720748 AWJ720747:AWJ720748 AMN720747:AMN720748 ACR720747:ACR720748 SV720747:SV720748 IZ720747:IZ720748 WVL655211:WVL655212 WLP655211:WLP655212 WBT655211:WBT655212 VRX655211:VRX655212 VIB655211:VIB655212 UYF655211:UYF655212 UOJ655211:UOJ655212 UEN655211:UEN655212 TUR655211:TUR655212 TKV655211:TKV655212 TAZ655211:TAZ655212 SRD655211:SRD655212 SHH655211:SHH655212 RXL655211:RXL655212 RNP655211:RNP655212 RDT655211:RDT655212 QTX655211:QTX655212 QKB655211:QKB655212 QAF655211:QAF655212 PQJ655211:PQJ655212 PGN655211:PGN655212 OWR655211:OWR655212 OMV655211:OMV655212 OCZ655211:OCZ655212 NTD655211:NTD655212 NJH655211:NJH655212 MZL655211:MZL655212 MPP655211:MPP655212 MFT655211:MFT655212 LVX655211:LVX655212 LMB655211:LMB655212 LCF655211:LCF655212 KSJ655211:KSJ655212 KIN655211:KIN655212 JYR655211:JYR655212 JOV655211:JOV655212 JEZ655211:JEZ655212 IVD655211:IVD655212 ILH655211:ILH655212 IBL655211:IBL655212 HRP655211:HRP655212 HHT655211:HHT655212 GXX655211:GXX655212 GOB655211:GOB655212 GEF655211:GEF655212 FUJ655211:FUJ655212 FKN655211:FKN655212 FAR655211:FAR655212 EQV655211:EQV655212 EGZ655211:EGZ655212 DXD655211:DXD655212 DNH655211:DNH655212 DDL655211:DDL655212 CTP655211:CTP655212 CJT655211:CJT655212 BZX655211:BZX655212 BQB655211:BQB655212 BGF655211:BGF655212 AWJ655211:AWJ655212 AMN655211:AMN655212 ACR655211:ACR655212 SV655211:SV655212 IZ655211:IZ655212 WVL589675:WVL589676 WLP589675:WLP589676 WBT589675:WBT589676 VRX589675:VRX589676 VIB589675:VIB589676 UYF589675:UYF589676 UOJ589675:UOJ589676 UEN589675:UEN589676 TUR589675:TUR589676 TKV589675:TKV589676 TAZ589675:TAZ589676 SRD589675:SRD589676 SHH589675:SHH589676 RXL589675:RXL589676 RNP589675:RNP589676 RDT589675:RDT589676 QTX589675:QTX589676 QKB589675:QKB589676 QAF589675:QAF589676 PQJ589675:PQJ589676 PGN589675:PGN589676 OWR589675:OWR589676 OMV589675:OMV589676 OCZ589675:OCZ589676 NTD589675:NTD589676 NJH589675:NJH589676 MZL589675:MZL589676 MPP589675:MPP589676 MFT589675:MFT589676 LVX589675:LVX589676 LMB589675:LMB589676 LCF589675:LCF589676 KSJ589675:KSJ589676 KIN589675:KIN589676 JYR589675:JYR589676 JOV589675:JOV589676 JEZ589675:JEZ589676 IVD589675:IVD589676 ILH589675:ILH589676 IBL589675:IBL589676 HRP589675:HRP589676 HHT589675:HHT589676 GXX589675:GXX589676 GOB589675:GOB589676 GEF589675:GEF589676 FUJ589675:FUJ589676 FKN589675:FKN589676 FAR589675:FAR589676 EQV589675:EQV589676 EGZ589675:EGZ589676 DXD589675:DXD589676 DNH589675:DNH589676 DDL589675:DDL589676 CTP589675:CTP589676 CJT589675:CJT589676 BZX589675:BZX589676 BQB589675:BQB589676 BGF589675:BGF589676 AWJ589675:AWJ589676 AMN589675:AMN589676 ACR589675:ACR589676 SV589675:SV589676 IZ589675:IZ589676 WVL524139:WVL524140 WLP524139:WLP524140 WBT524139:WBT524140 VRX524139:VRX524140 VIB524139:VIB524140 UYF524139:UYF524140 UOJ524139:UOJ524140 UEN524139:UEN524140 TUR524139:TUR524140 TKV524139:TKV524140 TAZ524139:TAZ524140 SRD524139:SRD524140 SHH524139:SHH524140 RXL524139:RXL524140 RNP524139:RNP524140 RDT524139:RDT524140 QTX524139:QTX524140 QKB524139:QKB524140 QAF524139:QAF524140 PQJ524139:PQJ524140 PGN524139:PGN524140 OWR524139:OWR524140 OMV524139:OMV524140 OCZ524139:OCZ524140 NTD524139:NTD524140 NJH524139:NJH524140 MZL524139:MZL524140 MPP524139:MPP524140 MFT524139:MFT524140 LVX524139:LVX524140 LMB524139:LMB524140 LCF524139:LCF524140 KSJ524139:KSJ524140 KIN524139:KIN524140 JYR524139:JYR524140 JOV524139:JOV524140 JEZ524139:JEZ524140 IVD524139:IVD524140 ILH524139:ILH524140 IBL524139:IBL524140 HRP524139:HRP524140 HHT524139:HHT524140 GXX524139:GXX524140 GOB524139:GOB524140 GEF524139:GEF524140 FUJ524139:FUJ524140 FKN524139:FKN524140 FAR524139:FAR524140 EQV524139:EQV524140 EGZ524139:EGZ524140 DXD524139:DXD524140 DNH524139:DNH524140 DDL524139:DDL524140 CTP524139:CTP524140 CJT524139:CJT524140 BZX524139:BZX524140 BQB524139:BQB524140 BGF524139:BGF524140 AWJ524139:AWJ524140 AMN524139:AMN524140 ACR524139:ACR524140 SV524139:SV524140 IZ524139:IZ524140 WVL458603:WVL458604 WLP458603:WLP458604 WBT458603:WBT458604 VRX458603:VRX458604 VIB458603:VIB458604 UYF458603:UYF458604 UOJ458603:UOJ458604 UEN458603:UEN458604 TUR458603:TUR458604 TKV458603:TKV458604 TAZ458603:TAZ458604 SRD458603:SRD458604 SHH458603:SHH458604 RXL458603:RXL458604 RNP458603:RNP458604 RDT458603:RDT458604 QTX458603:QTX458604 QKB458603:QKB458604 QAF458603:QAF458604 PQJ458603:PQJ458604 PGN458603:PGN458604 OWR458603:OWR458604 OMV458603:OMV458604 OCZ458603:OCZ458604 NTD458603:NTD458604 NJH458603:NJH458604 MZL458603:MZL458604 MPP458603:MPP458604 MFT458603:MFT458604 LVX458603:LVX458604 LMB458603:LMB458604 LCF458603:LCF458604 KSJ458603:KSJ458604 KIN458603:KIN458604 JYR458603:JYR458604 JOV458603:JOV458604 JEZ458603:JEZ458604 IVD458603:IVD458604 ILH458603:ILH458604 IBL458603:IBL458604 HRP458603:HRP458604 HHT458603:HHT458604 GXX458603:GXX458604 GOB458603:GOB458604 GEF458603:GEF458604 FUJ458603:FUJ458604 FKN458603:FKN458604 FAR458603:FAR458604 EQV458603:EQV458604 EGZ458603:EGZ458604 DXD458603:DXD458604 DNH458603:DNH458604 DDL458603:DDL458604 CTP458603:CTP458604 CJT458603:CJT458604 BZX458603:BZX458604 BQB458603:BQB458604 BGF458603:BGF458604 AWJ458603:AWJ458604 AMN458603:AMN458604 ACR458603:ACR458604 SV458603:SV458604 IZ458603:IZ458604 WVL393067:WVL393068 WLP393067:WLP393068 WBT393067:WBT393068 VRX393067:VRX393068 VIB393067:VIB393068 UYF393067:UYF393068 UOJ393067:UOJ393068 UEN393067:UEN393068 TUR393067:TUR393068 TKV393067:TKV393068 TAZ393067:TAZ393068 SRD393067:SRD393068 SHH393067:SHH393068 RXL393067:RXL393068 RNP393067:RNP393068 RDT393067:RDT393068 QTX393067:QTX393068 QKB393067:QKB393068 QAF393067:QAF393068 PQJ393067:PQJ393068 PGN393067:PGN393068 OWR393067:OWR393068 OMV393067:OMV393068 OCZ393067:OCZ393068 NTD393067:NTD393068 NJH393067:NJH393068 MZL393067:MZL393068 MPP393067:MPP393068 MFT393067:MFT393068 LVX393067:LVX393068 LMB393067:LMB393068 LCF393067:LCF393068 KSJ393067:KSJ393068 KIN393067:KIN393068 JYR393067:JYR393068 JOV393067:JOV393068 JEZ393067:JEZ393068 IVD393067:IVD393068 ILH393067:ILH393068 IBL393067:IBL393068 HRP393067:HRP393068 HHT393067:HHT393068 GXX393067:GXX393068 GOB393067:GOB393068 GEF393067:GEF393068 FUJ393067:FUJ393068 FKN393067:FKN393068 FAR393067:FAR393068 EQV393067:EQV393068 EGZ393067:EGZ393068 DXD393067:DXD393068 DNH393067:DNH393068 DDL393067:DDL393068 CTP393067:CTP393068 CJT393067:CJT393068 BZX393067:BZX393068 BQB393067:BQB393068 BGF393067:BGF393068 AWJ393067:AWJ393068 AMN393067:AMN393068 ACR393067:ACR393068 SV393067:SV393068 IZ393067:IZ393068 WVL327531:WVL327532 WLP327531:WLP327532 WBT327531:WBT327532 VRX327531:VRX327532 VIB327531:VIB327532 UYF327531:UYF327532 UOJ327531:UOJ327532 UEN327531:UEN327532 TUR327531:TUR327532 TKV327531:TKV327532 TAZ327531:TAZ327532 SRD327531:SRD327532 SHH327531:SHH327532 RXL327531:RXL327532 RNP327531:RNP327532 RDT327531:RDT327532 QTX327531:QTX327532 QKB327531:QKB327532 QAF327531:QAF327532 PQJ327531:PQJ327532 PGN327531:PGN327532 OWR327531:OWR327532 OMV327531:OMV327532 OCZ327531:OCZ327532 NTD327531:NTD327532 NJH327531:NJH327532 MZL327531:MZL327532 MPP327531:MPP327532 MFT327531:MFT327532 LVX327531:LVX327532 LMB327531:LMB327532 LCF327531:LCF327532 KSJ327531:KSJ327532 KIN327531:KIN327532 JYR327531:JYR327532 JOV327531:JOV327532 JEZ327531:JEZ327532 IVD327531:IVD327532 ILH327531:ILH327532 IBL327531:IBL327532 HRP327531:HRP327532 HHT327531:HHT327532 GXX327531:GXX327532 GOB327531:GOB327532 GEF327531:GEF327532 FUJ327531:FUJ327532 FKN327531:FKN327532 FAR327531:FAR327532 EQV327531:EQV327532 EGZ327531:EGZ327532 DXD327531:DXD327532 DNH327531:DNH327532 DDL327531:DDL327532 CTP327531:CTP327532 CJT327531:CJT327532 BZX327531:BZX327532 BQB327531:BQB327532 BGF327531:BGF327532 AWJ327531:AWJ327532 AMN327531:AMN327532 ACR327531:ACR327532 SV327531:SV327532 IZ327531:IZ327532 WVL261995:WVL261996 WLP261995:WLP261996 WBT261995:WBT261996 VRX261995:VRX261996 VIB261995:VIB261996 UYF261995:UYF261996 UOJ261995:UOJ261996 UEN261995:UEN261996 TUR261995:TUR261996 TKV261995:TKV261996 TAZ261995:TAZ261996 SRD261995:SRD261996 SHH261995:SHH261996 RXL261995:RXL261996 RNP261995:RNP261996 RDT261995:RDT261996 QTX261995:QTX261996 QKB261995:QKB261996 QAF261995:QAF261996 PQJ261995:PQJ261996 PGN261995:PGN261996 OWR261995:OWR261996 OMV261995:OMV261996 OCZ261995:OCZ261996 NTD261995:NTD261996 NJH261995:NJH261996 MZL261995:MZL261996 MPP261995:MPP261996 MFT261995:MFT261996 LVX261995:LVX261996 LMB261995:LMB261996 LCF261995:LCF261996 KSJ261995:KSJ261996 KIN261995:KIN261996 JYR261995:JYR261996 JOV261995:JOV261996 JEZ261995:JEZ261996 IVD261995:IVD261996 ILH261995:ILH261996 IBL261995:IBL261996 HRP261995:HRP261996 HHT261995:HHT261996 GXX261995:GXX261996 GOB261995:GOB261996 GEF261995:GEF261996 FUJ261995:FUJ261996 FKN261995:FKN261996 FAR261995:FAR261996 EQV261995:EQV261996 EGZ261995:EGZ261996 DXD261995:DXD261996 DNH261995:DNH261996 DDL261995:DDL261996 CTP261995:CTP261996 CJT261995:CJT261996 BZX261995:BZX261996 BQB261995:BQB261996 BGF261995:BGF261996 AWJ261995:AWJ261996 AMN261995:AMN261996 ACR261995:ACR261996 SV261995:SV261996 IZ261995:IZ261996 WVL196459:WVL196460 WLP196459:WLP196460 WBT196459:WBT196460 VRX196459:VRX196460 VIB196459:VIB196460 UYF196459:UYF196460 UOJ196459:UOJ196460 UEN196459:UEN196460 TUR196459:TUR196460 TKV196459:TKV196460 TAZ196459:TAZ196460 SRD196459:SRD196460 SHH196459:SHH196460 RXL196459:RXL196460 RNP196459:RNP196460 RDT196459:RDT196460 QTX196459:QTX196460 QKB196459:QKB196460 QAF196459:QAF196460 PQJ196459:PQJ196460 PGN196459:PGN196460 OWR196459:OWR196460 OMV196459:OMV196460 OCZ196459:OCZ196460 NTD196459:NTD196460 NJH196459:NJH196460 MZL196459:MZL196460 MPP196459:MPP196460 MFT196459:MFT196460 LVX196459:LVX196460 LMB196459:LMB196460 LCF196459:LCF196460 KSJ196459:KSJ196460 KIN196459:KIN196460 JYR196459:JYR196460 JOV196459:JOV196460 JEZ196459:JEZ196460 IVD196459:IVD196460 ILH196459:ILH196460 IBL196459:IBL196460 HRP196459:HRP196460 HHT196459:HHT196460 GXX196459:GXX196460 GOB196459:GOB196460 GEF196459:GEF196460 FUJ196459:FUJ196460 FKN196459:FKN196460 FAR196459:FAR196460 EQV196459:EQV196460 EGZ196459:EGZ196460 DXD196459:DXD196460 DNH196459:DNH196460 DDL196459:DDL196460 CTP196459:CTP196460 CJT196459:CJT196460 BZX196459:BZX196460 BQB196459:BQB196460 BGF196459:BGF196460 AWJ196459:AWJ196460 AMN196459:AMN196460 ACR196459:ACR196460 SV196459:SV196460 IZ196459:IZ196460 WVL130923:WVL130924 WLP130923:WLP130924 WBT130923:WBT130924 VRX130923:VRX130924 VIB130923:VIB130924 UYF130923:UYF130924 UOJ130923:UOJ130924 UEN130923:UEN130924 TUR130923:TUR130924 TKV130923:TKV130924 TAZ130923:TAZ130924 SRD130923:SRD130924 SHH130923:SHH130924 RXL130923:RXL130924 RNP130923:RNP130924 RDT130923:RDT130924 QTX130923:QTX130924 QKB130923:QKB130924 QAF130923:QAF130924 PQJ130923:PQJ130924 PGN130923:PGN130924 OWR130923:OWR130924 OMV130923:OMV130924 OCZ130923:OCZ130924 NTD130923:NTD130924 NJH130923:NJH130924 MZL130923:MZL130924 MPP130923:MPP130924 MFT130923:MFT130924 LVX130923:LVX130924 LMB130923:LMB130924 LCF130923:LCF130924 KSJ130923:KSJ130924 KIN130923:KIN130924 JYR130923:JYR130924 JOV130923:JOV130924 JEZ130923:JEZ130924 IVD130923:IVD130924 ILH130923:ILH130924 IBL130923:IBL130924 HRP130923:HRP130924 HHT130923:HHT130924 GXX130923:GXX130924 GOB130923:GOB130924 GEF130923:GEF130924 FUJ130923:FUJ130924 FKN130923:FKN130924 FAR130923:FAR130924 EQV130923:EQV130924 EGZ130923:EGZ130924 DXD130923:DXD130924 DNH130923:DNH130924 DDL130923:DDL130924 CTP130923:CTP130924 CJT130923:CJT130924 BZX130923:BZX130924 BQB130923:BQB130924 BGF130923:BGF130924 AWJ130923:AWJ130924 AMN130923:AMN130924 ACR130923:ACR130924 SV130923:SV130924 IZ130923:IZ130924 WVL65387:WVL65388 WLP65387:WLP65388 WBT65387:WBT65388 VRX65387:VRX65388 VIB65387:VIB65388 UYF65387:UYF65388 UOJ65387:UOJ65388 UEN65387:UEN65388 TUR65387:TUR65388 TKV65387:TKV65388 TAZ65387:TAZ65388 SRD65387:SRD65388 SHH65387:SHH65388 RXL65387:RXL65388 RNP65387:RNP65388 RDT65387:RDT65388 QTX65387:QTX65388 QKB65387:QKB65388 QAF65387:QAF65388 PQJ65387:PQJ65388 PGN65387:PGN65388 OWR65387:OWR65388 OMV65387:OMV65388 OCZ65387:OCZ65388 NTD65387:NTD65388 NJH65387:NJH65388 MZL65387:MZL65388 MPP65387:MPP65388 MFT65387:MFT65388 LVX65387:LVX65388 LMB65387:LMB65388 LCF65387:LCF65388 KSJ65387:KSJ65388 KIN65387:KIN65388 JYR65387:JYR65388 JOV65387:JOV65388 JEZ65387:JEZ65388 IVD65387:IVD65388 ILH65387:ILH65388 IBL65387:IBL65388 HRP65387:HRP65388 HHT65387:HHT65388 GXX65387:GXX65388 GOB65387:GOB65388 GEF65387:GEF65388 FUJ65387:FUJ65388 FKN65387:FKN65388 FAR65387:FAR65388 EQV65387:EQV65388 EGZ65387:EGZ65388 DXD65387:DXD65388 DNH65387:DNH65388 DDL65387:DDL65388 CTP65387:CTP65388 CJT65387:CJT65388 BZX65387:BZX65388 BQB65387:BQB65388 BGF65387:BGF65388 AWJ65387:AWJ65388 AMN65387:AMN65388 VRX9:VRX80 VIB9:VIB80 UYF9:UYF80 UOJ9:UOJ80 UEN9:UEN80 TUR9:TUR80 TKV9:TKV80 TAZ9:TAZ80 SRD9:SRD80 SHH9:SHH80 RXL9:RXL80 RNP9:RNP80 RDT9:RDT80 QTX9:QTX80 QKB9:QKB80 QAF9:QAF80 PQJ9:PQJ80 PGN9:PGN80 OWR9:OWR80 OMV9:OMV80 OCZ9:OCZ80 NTD9:NTD80 NJH9:NJH80 MZL9:MZL80 MPP9:MPP80 MFT9:MFT80 LVX9:LVX80 LMB9:LMB80 LCF9:LCF80 KSJ9:KSJ80 KIN9:KIN80 JYR9:JYR80 JOV9:JOV80 JEZ9:JEZ80 IVD9:IVD80 ILH9:ILH80 IBL9:IBL80 HRP9:HRP80 HHT9:HHT80 GXX9:GXX80 GOB9:GOB80 GEF9:GEF80 FUJ9:FUJ80 FKN9:FKN80 FAR9:FAR80 EQV9:EQV80 EGZ9:EGZ80 DXD9:DXD80 DNH9:DNH80 DDL9:DDL80 CTP9:CTP80 CJT9:CJT80 BZX9:BZX80 BQB9:BQB80 BGF9:BGF80 AWJ9:AWJ80 AMN9:AMN80 ACR9:ACR80 SV9:SV80 IZ9:IZ80 WBT9:WBT80 WLP9:WLP80 WVL9:WVL80">
      <formula1>"주전,2교대,3교대"</formula1>
    </dataValidation>
    <dataValidation type="list" allowBlank="1" showInputMessage="1" showErrorMessage="1" sqref="WUY982891:WUY982893 WLC982891:WLC982893 WBG982891:WBG982893 VRK982891:VRK982893 VHO982891:VHO982893 UXS982891:UXS982893 UNW982891:UNW982893 UEA982891:UEA982893 TUE982891:TUE982893 TKI982891:TKI982893 TAM982891:TAM982893 SQQ982891:SQQ982893 SGU982891:SGU982893 RWY982891:RWY982893 RNC982891:RNC982893 RDG982891:RDG982893 QTK982891:QTK982893 QJO982891:QJO982893 PZS982891:PZS982893 PPW982891:PPW982893 PGA982891:PGA982893 OWE982891:OWE982893 OMI982891:OMI982893 OCM982891:OCM982893 NSQ982891:NSQ982893 NIU982891:NIU982893 MYY982891:MYY982893 MPC982891:MPC982893 MFG982891:MFG982893 LVK982891:LVK982893 LLO982891:LLO982893 LBS982891:LBS982893 KRW982891:KRW982893 KIA982891:KIA982893 JYE982891:JYE982893 JOI982891:JOI982893 JEM982891:JEM982893 IUQ982891:IUQ982893 IKU982891:IKU982893 IAY982891:IAY982893 HRC982891:HRC982893 HHG982891:HHG982893 GXK982891:GXK982893 GNO982891:GNO982893 GDS982891:GDS982893 FTW982891:FTW982893 FKA982891:FKA982893 FAE982891:FAE982893 EQI982891:EQI982893 EGM982891:EGM982893 DWQ982891:DWQ982893 DMU982891:DMU982893 DCY982891:DCY982893 CTC982891:CTC982893 CJG982891:CJG982893 BZK982891:BZK982893 BPO982891:BPO982893 BFS982891:BFS982893 AVW982891:AVW982893 AMA982891:AMA982893 ACE982891:ACE982893 SI982891:SI982893 IM982891:IM982893 WUY917355:WUY917357 WLC917355:WLC917357 WBG917355:WBG917357 VRK917355:VRK917357 VHO917355:VHO917357 UXS917355:UXS917357 UNW917355:UNW917357 UEA917355:UEA917357 TUE917355:TUE917357 TKI917355:TKI917357 TAM917355:TAM917357 SQQ917355:SQQ917357 SGU917355:SGU917357 RWY917355:RWY917357 RNC917355:RNC917357 RDG917355:RDG917357 QTK917355:QTK917357 QJO917355:QJO917357 PZS917355:PZS917357 PPW917355:PPW917357 PGA917355:PGA917357 OWE917355:OWE917357 OMI917355:OMI917357 OCM917355:OCM917357 NSQ917355:NSQ917357 NIU917355:NIU917357 MYY917355:MYY917357 MPC917355:MPC917357 MFG917355:MFG917357 LVK917355:LVK917357 LLO917355:LLO917357 LBS917355:LBS917357 KRW917355:KRW917357 KIA917355:KIA917357 JYE917355:JYE917357 JOI917355:JOI917357 JEM917355:JEM917357 IUQ917355:IUQ917357 IKU917355:IKU917357 IAY917355:IAY917357 HRC917355:HRC917357 HHG917355:HHG917357 GXK917355:GXK917357 GNO917355:GNO917357 GDS917355:GDS917357 FTW917355:FTW917357 FKA917355:FKA917357 FAE917355:FAE917357 EQI917355:EQI917357 EGM917355:EGM917357 DWQ917355:DWQ917357 DMU917355:DMU917357 DCY917355:DCY917357 CTC917355:CTC917357 CJG917355:CJG917357 BZK917355:BZK917357 BPO917355:BPO917357 BFS917355:BFS917357 AVW917355:AVW917357 AMA917355:AMA917357 ACE917355:ACE917357 SI917355:SI917357 IM917355:IM917357 WUY851819:WUY851821 WLC851819:WLC851821 WBG851819:WBG851821 VRK851819:VRK851821 VHO851819:VHO851821 UXS851819:UXS851821 UNW851819:UNW851821 UEA851819:UEA851821 TUE851819:TUE851821 TKI851819:TKI851821 TAM851819:TAM851821 SQQ851819:SQQ851821 SGU851819:SGU851821 RWY851819:RWY851821 RNC851819:RNC851821 RDG851819:RDG851821 QTK851819:QTK851821 QJO851819:QJO851821 PZS851819:PZS851821 PPW851819:PPW851821 PGA851819:PGA851821 OWE851819:OWE851821 OMI851819:OMI851821 OCM851819:OCM851821 NSQ851819:NSQ851821 NIU851819:NIU851821 MYY851819:MYY851821 MPC851819:MPC851821 MFG851819:MFG851821 LVK851819:LVK851821 LLO851819:LLO851821 LBS851819:LBS851821 KRW851819:KRW851821 KIA851819:KIA851821 JYE851819:JYE851821 JOI851819:JOI851821 JEM851819:JEM851821 IUQ851819:IUQ851821 IKU851819:IKU851821 IAY851819:IAY851821 HRC851819:HRC851821 HHG851819:HHG851821 GXK851819:GXK851821 GNO851819:GNO851821 GDS851819:GDS851821 FTW851819:FTW851821 FKA851819:FKA851821 FAE851819:FAE851821 EQI851819:EQI851821 EGM851819:EGM851821 DWQ851819:DWQ851821 DMU851819:DMU851821 DCY851819:DCY851821 CTC851819:CTC851821 CJG851819:CJG851821 BZK851819:BZK851821 BPO851819:BPO851821 BFS851819:BFS851821 AVW851819:AVW851821 AMA851819:AMA851821 ACE851819:ACE851821 SI851819:SI851821 IM851819:IM851821 WUY786283:WUY786285 WLC786283:WLC786285 WBG786283:WBG786285 VRK786283:VRK786285 VHO786283:VHO786285 UXS786283:UXS786285 UNW786283:UNW786285 UEA786283:UEA786285 TUE786283:TUE786285 TKI786283:TKI786285 TAM786283:TAM786285 SQQ786283:SQQ786285 SGU786283:SGU786285 RWY786283:RWY786285 RNC786283:RNC786285 RDG786283:RDG786285 QTK786283:QTK786285 QJO786283:QJO786285 PZS786283:PZS786285 PPW786283:PPW786285 PGA786283:PGA786285 OWE786283:OWE786285 OMI786283:OMI786285 OCM786283:OCM786285 NSQ786283:NSQ786285 NIU786283:NIU786285 MYY786283:MYY786285 MPC786283:MPC786285 MFG786283:MFG786285 LVK786283:LVK786285 LLO786283:LLO786285 LBS786283:LBS786285 KRW786283:KRW786285 KIA786283:KIA786285 JYE786283:JYE786285 JOI786283:JOI786285 JEM786283:JEM786285 IUQ786283:IUQ786285 IKU786283:IKU786285 IAY786283:IAY786285 HRC786283:HRC786285 HHG786283:HHG786285 GXK786283:GXK786285 GNO786283:GNO786285 GDS786283:GDS786285 FTW786283:FTW786285 FKA786283:FKA786285 FAE786283:FAE786285 EQI786283:EQI786285 EGM786283:EGM786285 DWQ786283:DWQ786285 DMU786283:DMU786285 DCY786283:DCY786285 CTC786283:CTC786285 CJG786283:CJG786285 BZK786283:BZK786285 BPO786283:BPO786285 BFS786283:BFS786285 AVW786283:AVW786285 AMA786283:AMA786285 ACE786283:ACE786285 SI786283:SI786285 IM786283:IM786285 WUY720747:WUY720749 WLC720747:WLC720749 WBG720747:WBG720749 VRK720747:VRK720749 VHO720747:VHO720749 UXS720747:UXS720749 UNW720747:UNW720749 UEA720747:UEA720749 TUE720747:TUE720749 TKI720747:TKI720749 TAM720747:TAM720749 SQQ720747:SQQ720749 SGU720747:SGU720749 RWY720747:RWY720749 RNC720747:RNC720749 RDG720747:RDG720749 QTK720747:QTK720749 QJO720747:QJO720749 PZS720747:PZS720749 PPW720747:PPW720749 PGA720747:PGA720749 OWE720747:OWE720749 OMI720747:OMI720749 OCM720747:OCM720749 NSQ720747:NSQ720749 NIU720747:NIU720749 MYY720747:MYY720749 MPC720747:MPC720749 MFG720747:MFG720749 LVK720747:LVK720749 LLO720747:LLO720749 LBS720747:LBS720749 KRW720747:KRW720749 KIA720747:KIA720749 JYE720747:JYE720749 JOI720747:JOI720749 JEM720747:JEM720749 IUQ720747:IUQ720749 IKU720747:IKU720749 IAY720747:IAY720749 HRC720747:HRC720749 HHG720747:HHG720749 GXK720747:GXK720749 GNO720747:GNO720749 GDS720747:GDS720749 FTW720747:FTW720749 FKA720747:FKA720749 FAE720747:FAE720749 EQI720747:EQI720749 EGM720747:EGM720749 DWQ720747:DWQ720749 DMU720747:DMU720749 DCY720747:DCY720749 CTC720747:CTC720749 CJG720747:CJG720749 BZK720747:BZK720749 BPO720747:BPO720749 BFS720747:BFS720749 AVW720747:AVW720749 AMA720747:AMA720749 ACE720747:ACE720749 SI720747:SI720749 IM720747:IM720749 WUY655211:WUY655213 WLC655211:WLC655213 WBG655211:WBG655213 VRK655211:VRK655213 VHO655211:VHO655213 UXS655211:UXS655213 UNW655211:UNW655213 UEA655211:UEA655213 TUE655211:TUE655213 TKI655211:TKI655213 TAM655211:TAM655213 SQQ655211:SQQ655213 SGU655211:SGU655213 RWY655211:RWY655213 RNC655211:RNC655213 RDG655211:RDG655213 QTK655211:QTK655213 QJO655211:QJO655213 PZS655211:PZS655213 PPW655211:PPW655213 PGA655211:PGA655213 OWE655211:OWE655213 OMI655211:OMI655213 OCM655211:OCM655213 NSQ655211:NSQ655213 NIU655211:NIU655213 MYY655211:MYY655213 MPC655211:MPC655213 MFG655211:MFG655213 LVK655211:LVK655213 LLO655211:LLO655213 LBS655211:LBS655213 KRW655211:KRW655213 KIA655211:KIA655213 JYE655211:JYE655213 JOI655211:JOI655213 JEM655211:JEM655213 IUQ655211:IUQ655213 IKU655211:IKU655213 IAY655211:IAY655213 HRC655211:HRC655213 HHG655211:HHG655213 GXK655211:GXK655213 GNO655211:GNO655213 GDS655211:GDS655213 FTW655211:FTW655213 FKA655211:FKA655213 FAE655211:FAE655213 EQI655211:EQI655213 EGM655211:EGM655213 DWQ655211:DWQ655213 DMU655211:DMU655213 DCY655211:DCY655213 CTC655211:CTC655213 CJG655211:CJG655213 BZK655211:BZK655213 BPO655211:BPO655213 BFS655211:BFS655213 AVW655211:AVW655213 AMA655211:AMA655213 ACE655211:ACE655213 SI655211:SI655213 IM655211:IM655213 WUY589675:WUY589677 WLC589675:WLC589677 WBG589675:WBG589677 VRK589675:VRK589677 VHO589675:VHO589677 UXS589675:UXS589677 UNW589675:UNW589677 UEA589675:UEA589677 TUE589675:TUE589677 TKI589675:TKI589677 TAM589675:TAM589677 SQQ589675:SQQ589677 SGU589675:SGU589677 RWY589675:RWY589677 RNC589675:RNC589677 RDG589675:RDG589677 QTK589675:QTK589677 QJO589675:QJO589677 PZS589675:PZS589677 PPW589675:PPW589677 PGA589675:PGA589677 OWE589675:OWE589677 OMI589675:OMI589677 OCM589675:OCM589677 NSQ589675:NSQ589677 NIU589675:NIU589677 MYY589675:MYY589677 MPC589675:MPC589677 MFG589675:MFG589677 LVK589675:LVK589677 LLO589675:LLO589677 LBS589675:LBS589677 KRW589675:KRW589677 KIA589675:KIA589677 JYE589675:JYE589677 JOI589675:JOI589677 JEM589675:JEM589677 IUQ589675:IUQ589677 IKU589675:IKU589677 IAY589675:IAY589677 HRC589675:HRC589677 HHG589675:HHG589677 GXK589675:GXK589677 GNO589675:GNO589677 GDS589675:GDS589677 FTW589675:FTW589677 FKA589675:FKA589677 FAE589675:FAE589677 EQI589675:EQI589677 EGM589675:EGM589677 DWQ589675:DWQ589677 DMU589675:DMU589677 DCY589675:DCY589677 CTC589675:CTC589677 CJG589675:CJG589677 BZK589675:BZK589677 BPO589675:BPO589677 BFS589675:BFS589677 AVW589675:AVW589677 AMA589675:AMA589677 ACE589675:ACE589677 SI589675:SI589677 IM589675:IM589677 WUY524139:WUY524141 WLC524139:WLC524141 WBG524139:WBG524141 VRK524139:VRK524141 VHO524139:VHO524141 UXS524139:UXS524141 UNW524139:UNW524141 UEA524139:UEA524141 TUE524139:TUE524141 TKI524139:TKI524141 TAM524139:TAM524141 SQQ524139:SQQ524141 SGU524139:SGU524141 RWY524139:RWY524141 RNC524139:RNC524141 RDG524139:RDG524141 QTK524139:QTK524141 QJO524139:QJO524141 PZS524139:PZS524141 PPW524139:PPW524141 PGA524139:PGA524141 OWE524139:OWE524141 OMI524139:OMI524141 OCM524139:OCM524141 NSQ524139:NSQ524141 NIU524139:NIU524141 MYY524139:MYY524141 MPC524139:MPC524141 MFG524139:MFG524141 LVK524139:LVK524141 LLO524139:LLO524141 LBS524139:LBS524141 KRW524139:KRW524141 KIA524139:KIA524141 JYE524139:JYE524141 JOI524139:JOI524141 JEM524139:JEM524141 IUQ524139:IUQ524141 IKU524139:IKU524141 IAY524139:IAY524141 HRC524139:HRC524141 HHG524139:HHG524141 GXK524139:GXK524141 GNO524139:GNO524141 GDS524139:GDS524141 FTW524139:FTW524141 FKA524139:FKA524141 FAE524139:FAE524141 EQI524139:EQI524141 EGM524139:EGM524141 DWQ524139:DWQ524141 DMU524139:DMU524141 DCY524139:DCY524141 CTC524139:CTC524141 CJG524139:CJG524141 BZK524139:BZK524141 BPO524139:BPO524141 BFS524139:BFS524141 AVW524139:AVW524141 AMA524139:AMA524141 ACE524139:ACE524141 SI524139:SI524141 IM524139:IM524141 WUY458603:WUY458605 WLC458603:WLC458605 WBG458603:WBG458605 VRK458603:VRK458605 VHO458603:VHO458605 UXS458603:UXS458605 UNW458603:UNW458605 UEA458603:UEA458605 TUE458603:TUE458605 TKI458603:TKI458605 TAM458603:TAM458605 SQQ458603:SQQ458605 SGU458603:SGU458605 RWY458603:RWY458605 RNC458603:RNC458605 RDG458603:RDG458605 QTK458603:QTK458605 QJO458603:QJO458605 PZS458603:PZS458605 PPW458603:PPW458605 PGA458603:PGA458605 OWE458603:OWE458605 OMI458603:OMI458605 OCM458603:OCM458605 NSQ458603:NSQ458605 NIU458603:NIU458605 MYY458603:MYY458605 MPC458603:MPC458605 MFG458603:MFG458605 LVK458603:LVK458605 LLO458603:LLO458605 LBS458603:LBS458605 KRW458603:KRW458605 KIA458603:KIA458605 JYE458603:JYE458605 JOI458603:JOI458605 JEM458603:JEM458605 IUQ458603:IUQ458605 IKU458603:IKU458605 IAY458603:IAY458605 HRC458603:HRC458605 HHG458603:HHG458605 GXK458603:GXK458605 GNO458603:GNO458605 GDS458603:GDS458605 FTW458603:FTW458605 FKA458603:FKA458605 FAE458603:FAE458605 EQI458603:EQI458605 EGM458603:EGM458605 DWQ458603:DWQ458605 DMU458603:DMU458605 DCY458603:DCY458605 CTC458603:CTC458605 CJG458603:CJG458605 BZK458603:BZK458605 BPO458603:BPO458605 BFS458603:BFS458605 AVW458603:AVW458605 AMA458603:AMA458605 ACE458603:ACE458605 SI458603:SI458605 IM458603:IM458605 WUY393067:WUY393069 WLC393067:WLC393069 WBG393067:WBG393069 VRK393067:VRK393069 VHO393067:VHO393069 UXS393067:UXS393069 UNW393067:UNW393069 UEA393067:UEA393069 TUE393067:TUE393069 TKI393067:TKI393069 TAM393067:TAM393069 SQQ393067:SQQ393069 SGU393067:SGU393069 RWY393067:RWY393069 RNC393067:RNC393069 RDG393067:RDG393069 QTK393067:QTK393069 QJO393067:QJO393069 PZS393067:PZS393069 PPW393067:PPW393069 PGA393067:PGA393069 OWE393067:OWE393069 OMI393067:OMI393069 OCM393067:OCM393069 NSQ393067:NSQ393069 NIU393067:NIU393069 MYY393067:MYY393069 MPC393067:MPC393069 MFG393067:MFG393069 LVK393067:LVK393069 LLO393067:LLO393069 LBS393067:LBS393069 KRW393067:KRW393069 KIA393067:KIA393069 JYE393067:JYE393069 JOI393067:JOI393069 JEM393067:JEM393069 IUQ393067:IUQ393069 IKU393067:IKU393069 IAY393067:IAY393069 HRC393067:HRC393069 HHG393067:HHG393069 GXK393067:GXK393069 GNO393067:GNO393069 GDS393067:GDS393069 FTW393067:FTW393069 FKA393067:FKA393069 FAE393067:FAE393069 EQI393067:EQI393069 EGM393067:EGM393069 DWQ393067:DWQ393069 DMU393067:DMU393069 DCY393067:DCY393069 CTC393067:CTC393069 CJG393067:CJG393069 BZK393067:BZK393069 BPO393067:BPO393069 BFS393067:BFS393069 AVW393067:AVW393069 AMA393067:AMA393069 ACE393067:ACE393069 SI393067:SI393069 IM393067:IM393069 WUY327531:WUY327533 WLC327531:WLC327533 WBG327531:WBG327533 VRK327531:VRK327533 VHO327531:VHO327533 UXS327531:UXS327533 UNW327531:UNW327533 UEA327531:UEA327533 TUE327531:TUE327533 TKI327531:TKI327533 TAM327531:TAM327533 SQQ327531:SQQ327533 SGU327531:SGU327533 RWY327531:RWY327533 RNC327531:RNC327533 RDG327531:RDG327533 QTK327531:QTK327533 QJO327531:QJO327533 PZS327531:PZS327533 PPW327531:PPW327533 PGA327531:PGA327533 OWE327531:OWE327533 OMI327531:OMI327533 OCM327531:OCM327533 NSQ327531:NSQ327533 NIU327531:NIU327533 MYY327531:MYY327533 MPC327531:MPC327533 MFG327531:MFG327533 LVK327531:LVK327533 LLO327531:LLO327533 LBS327531:LBS327533 KRW327531:KRW327533 KIA327531:KIA327533 JYE327531:JYE327533 JOI327531:JOI327533 JEM327531:JEM327533 IUQ327531:IUQ327533 IKU327531:IKU327533 IAY327531:IAY327533 HRC327531:HRC327533 HHG327531:HHG327533 GXK327531:GXK327533 GNO327531:GNO327533 GDS327531:GDS327533 FTW327531:FTW327533 FKA327531:FKA327533 FAE327531:FAE327533 EQI327531:EQI327533 EGM327531:EGM327533 DWQ327531:DWQ327533 DMU327531:DMU327533 DCY327531:DCY327533 CTC327531:CTC327533 CJG327531:CJG327533 BZK327531:BZK327533 BPO327531:BPO327533 BFS327531:BFS327533 AVW327531:AVW327533 AMA327531:AMA327533 ACE327531:ACE327533 SI327531:SI327533 IM327531:IM327533 WUY261995:WUY261997 WLC261995:WLC261997 WBG261995:WBG261997 VRK261995:VRK261997 VHO261995:VHO261997 UXS261995:UXS261997 UNW261995:UNW261997 UEA261995:UEA261997 TUE261995:TUE261997 TKI261995:TKI261997 TAM261995:TAM261997 SQQ261995:SQQ261997 SGU261995:SGU261997 RWY261995:RWY261997 RNC261995:RNC261997 RDG261995:RDG261997 QTK261995:QTK261997 QJO261995:QJO261997 PZS261995:PZS261997 PPW261995:PPW261997 PGA261995:PGA261997 OWE261995:OWE261997 OMI261995:OMI261997 OCM261995:OCM261997 NSQ261995:NSQ261997 NIU261995:NIU261997 MYY261995:MYY261997 MPC261995:MPC261997 MFG261995:MFG261997 LVK261995:LVK261997 LLO261995:LLO261997 LBS261995:LBS261997 KRW261995:KRW261997 KIA261995:KIA261997 JYE261995:JYE261997 JOI261995:JOI261997 JEM261995:JEM261997 IUQ261995:IUQ261997 IKU261995:IKU261997 IAY261995:IAY261997 HRC261995:HRC261997 HHG261995:HHG261997 GXK261995:GXK261997 GNO261995:GNO261997 GDS261995:GDS261997 FTW261995:FTW261997 FKA261995:FKA261997 FAE261995:FAE261997 EQI261995:EQI261997 EGM261995:EGM261997 DWQ261995:DWQ261997 DMU261995:DMU261997 DCY261995:DCY261997 CTC261995:CTC261997 CJG261995:CJG261997 BZK261995:BZK261997 BPO261995:BPO261997 BFS261995:BFS261997 AVW261995:AVW261997 AMA261995:AMA261997 ACE261995:ACE261997 SI261995:SI261997 IM261995:IM261997 WUY196459:WUY196461 WLC196459:WLC196461 WBG196459:WBG196461 VRK196459:VRK196461 VHO196459:VHO196461 UXS196459:UXS196461 UNW196459:UNW196461 UEA196459:UEA196461 TUE196459:TUE196461 TKI196459:TKI196461 TAM196459:TAM196461 SQQ196459:SQQ196461 SGU196459:SGU196461 RWY196459:RWY196461 RNC196459:RNC196461 RDG196459:RDG196461 QTK196459:QTK196461 QJO196459:QJO196461 PZS196459:PZS196461 PPW196459:PPW196461 PGA196459:PGA196461 OWE196459:OWE196461 OMI196459:OMI196461 OCM196459:OCM196461 NSQ196459:NSQ196461 NIU196459:NIU196461 MYY196459:MYY196461 MPC196459:MPC196461 MFG196459:MFG196461 LVK196459:LVK196461 LLO196459:LLO196461 LBS196459:LBS196461 KRW196459:KRW196461 KIA196459:KIA196461 JYE196459:JYE196461 JOI196459:JOI196461 JEM196459:JEM196461 IUQ196459:IUQ196461 IKU196459:IKU196461 IAY196459:IAY196461 HRC196459:HRC196461 HHG196459:HHG196461 GXK196459:GXK196461 GNO196459:GNO196461 GDS196459:GDS196461 FTW196459:FTW196461 FKA196459:FKA196461 FAE196459:FAE196461 EQI196459:EQI196461 EGM196459:EGM196461 DWQ196459:DWQ196461 DMU196459:DMU196461 DCY196459:DCY196461 CTC196459:CTC196461 CJG196459:CJG196461 BZK196459:BZK196461 BPO196459:BPO196461 BFS196459:BFS196461 AVW196459:AVW196461 AMA196459:AMA196461 ACE196459:ACE196461 SI196459:SI196461 IM196459:IM196461 WUY130923:WUY130925 WLC130923:WLC130925 WBG130923:WBG130925 VRK130923:VRK130925 VHO130923:VHO130925 UXS130923:UXS130925 UNW130923:UNW130925 UEA130923:UEA130925 TUE130923:TUE130925 TKI130923:TKI130925 TAM130923:TAM130925 SQQ130923:SQQ130925 SGU130923:SGU130925 RWY130923:RWY130925 RNC130923:RNC130925 RDG130923:RDG130925 QTK130923:QTK130925 QJO130923:QJO130925 PZS130923:PZS130925 PPW130923:PPW130925 PGA130923:PGA130925 OWE130923:OWE130925 OMI130923:OMI130925 OCM130923:OCM130925 NSQ130923:NSQ130925 NIU130923:NIU130925 MYY130923:MYY130925 MPC130923:MPC130925 MFG130923:MFG130925 LVK130923:LVK130925 LLO130923:LLO130925 LBS130923:LBS130925 KRW130923:KRW130925 KIA130923:KIA130925 JYE130923:JYE130925 JOI130923:JOI130925 JEM130923:JEM130925 IUQ130923:IUQ130925 IKU130923:IKU130925 IAY130923:IAY130925 HRC130923:HRC130925 HHG130923:HHG130925 GXK130923:GXK130925 GNO130923:GNO130925 GDS130923:GDS130925 FTW130923:FTW130925 FKA130923:FKA130925 FAE130923:FAE130925 EQI130923:EQI130925 EGM130923:EGM130925 DWQ130923:DWQ130925 DMU130923:DMU130925 DCY130923:DCY130925 CTC130923:CTC130925 CJG130923:CJG130925 BZK130923:BZK130925 BPO130923:BPO130925 BFS130923:BFS130925 AVW130923:AVW130925 AMA130923:AMA130925 ACE130923:ACE130925 SI130923:SI130925 IM130923:IM130925 WUY65387:WUY65389 WLC65387:WLC65389 WBG65387:WBG65389 VRK65387:VRK65389 VHO65387:VHO65389 UXS65387:UXS65389 UNW65387:UNW65389 UEA65387:UEA65389 TUE65387:TUE65389 TKI65387:TKI65389 TAM65387:TAM65389 SQQ65387:SQQ65389 SGU65387:SGU65389 RWY65387:RWY65389 RNC65387:RNC65389 RDG65387:RDG65389 QTK65387:QTK65389 QJO65387:QJO65389 PZS65387:PZS65389 PPW65387:PPW65389 PGA65387:PGA65389 OWE65387:OWE65389 OMI65387:OMI65389 OCM65387:OCM65389 NSQ65387:NSQ65389 NIU65387:NIU65389 MYY65387:MYY65389 MPC65387:MPC65389 MFG65387:MFG65389 LVK65387:LVK65389 LLO65387:LLO65389 LBS65387:LBS65389 KRW65387:KRW65389 KIA65387:KIA65389 JYE65387:JYE65389 JOI65387:JOI65389 JEM65387:JEM65389 IUQ65387:IUQ65389 IKU65387:IKU65389 IAY65387:IAY65389 HRC65387:HRC65389 HHG65387:HHG65389 GXK65387:GXK65389 GNO65387:GNO65389 GDS65387:GDS65389 FTW65387:FTW65389 FKA65387:FKA65389 FAE65387:FAE65389 EQI65387:EQI65389 EGM65387:EGM65389 DWQ65387:DWQ65389 DMU65387:DMU65389 DCY65387:DCY65389 CTC65387:CTC65389 CJG65387:CJG65389 BZK65387:BZK65389 BPO65387:BPO65389 BFS65387:BFS65389 AVW65387:AVW65389 AMA65387:AMA65389 ACE65387:ACE65389 SI65387:SI65389 IM65387:IM65389 WUY9:WUY80 WLC9:WLC80 WBG9:WBG80 VRK9:VRK80 VHO9:VHO80 UXS9:UXS80 UNW9:UNW80 UEA9:UEA80 TUE9:TUE80 TKI9:TKI80 TAM9:TAM80 SQQ9:SQQ80 SGU9:SGU80 RWY9:RWY80 RNC9:RNC80 RDG9:RDG80 QTK9:QTK80 QJO9:QJO80 PZS9:PZS80 PPW9:PPW80 PGA9:PGA80 OWE9:OWE80 OMI9:OMI80 OCM9:OCM80 NSQ9:NSQ80 NIU9:NIU80 MYY9:MYY80 MPC9:MPC80 MFG9:MFG80 LVK9:LVK80 LLO9:LLO80 LBS9:LBS80 KRW9:KRW80 KIA9:KIA80 JYE9:JYE80 JOI9:JOI80 JEM9:JEM80 IUQ9:IUQ80 IKU9:IKU80 IAY9:IAY80 HRC9:HRC80 HHG9:HHG80 GXK9:GXK80 GNO9:GNO80 GDS9:GDS80 FTW9:FTW80 FKA9:FKA80 FAE9:FAE80 EQI9:EQI80 EGM9:EGM80 DWQ9:DWQ80 DMU9:DMU80 DCY9:DCY80 CTC9:CTC80 CJG9:CJG80 BZK9:BZK80 BPO9:BPO80 BFS9:BFS80 AVW9:AVW80 AMA9:AMA80 ACE9:ACE80 SI9:SI80 IM9:IM80">
      <formula1>"㎏,ℓ,㎥,톤"</formula1>
    </dataValidation>
    <dataValidation type="list" allowBlank="1" showInputMessage="1" showErrorMessage="1" sqref="WLS982891:WLS982892 WBW982891:WBW982892 VSA982891:VSA982892 VIE982891:VIE982892 UYI982891:UYI982892 UOM982891:UOM982892 UEQ982891:UEQ982892 TUU982891:TUU982892 TKY982891:TKY982892 TBC982891:TBC982892 SRG982891:SRG982892 SHK982891:SHK982892 RXO982891:RXO982892 RNS982891:RNS982892 RDW982891:RDW982892 QUA982891:QUA982892 QKE982891:QKE982892 QAI982891:QAI982892 PQM982891:PQM982892 PGQ982891:PGQ982892 OWU982891:OWU982892 OMY982891:OMY982892 ODC982891:ODC982892 NTG982891:NTG982892 NJK982891:NJK982892 MZO982891:MZO982892 MPS982891:MPS982892 MFW982891:MFW982892 LWA982891:LWA982892 LME982891:LME982892 LCI982891:LCI982892 KSM982891:KSM982892 KIQ982891:KIQ982892 JYU982891:JYU982892 JOY982891:JOY982892 JFC982891:JFC982892 IVG982891:IVG982892 ILK982891:ILK982892 IBO982891:IBO982892 HRS982891:HRS982892 HHW982891:HHW982892 GYA982891:GYA982892 GOE982891:GOE982892 GEI982891:GEI982892 FUM982891:FUM982892 FKQ982891:FKQ982892 FAU982891:FAU982892 EQY982891:EQY982892 EHC982891:EHC982892 DXG982891:DXG982892 DNK982891:DNK982892 DDO982891:DDO982892 CTS982891:CTS982892 CJW982891:CJW982892 CAA982891:CAA982892 BQE982891:BQE982892 BGI982891:BGI982892 AWM982891:AWM982892 AMQ982891:AMQ982892 ACU982891:ACU982892 SY982891:SY982892 JC982891:JC982892 WVO917355:WVO917356 WLS917355:WLS917356 WBW917355:WBW917356 VSA917355:VSA917356 VIE917355:VIE917356 UYI917355:UYI917356 UOM917355:UOM917356 UEQ917355:UEQ917356 TUU917355:TUU917356 TKY917355:TKY917356 TBC917355:TBC917356 SRG917355:SRG917356 SHK917355:SHK917356 RXO917355:RXO917356 RNS917355:RNS917356 RDW917355:RDW917356 QUA917355:QUA917356 QKE917355:QKE917356 QAI917355:QAI917356 PQM917355:PQM917356 PGQ917355:PGQ917356 OWU917355:OWU917356 OMY917355:OMY917356 ODC917355:ODC917356 NTG917355:NTG917356 NJK917355:NJK917356 MZO917355:MZO917356 MPS917355:MPS917356 MFW917355:MFW917356 LWA917355:LWA917356 LME917355:LME917356 LCI917355:LCI917356 KSM917355:KSM917356 KIQ917355:KIQ917356 JYU917355:JYU917356 JOY917355:JOY917356 JFC917355:JFC917356 IVG917355:IVG917356 ILK917355:ILK917356 IBO917355:IBO917356 HRS917355:HRS917356 HHW917355:HHW917356 GYA917355:GYA917356 GOE917355:GOE917356 GEI917355:GEI917356 FUM917355:FUM917356 FKQ917355:FKQ917356 FAU917355:FAU917356 EQY917355:EQY917356 EHC917355:EHC917356 DXG917355:DXG917356 DNK917355:DNK917356 DDO917355:DDO917356 CTS917355:CTS917356 CJW917355:CJW917356 CAA917355:CAA917356 BQE917355:BQE917356 BGI917355:BGI917356 AWM917355:AWM917356 AMQ917355:AMQ917356 ACU917355:ACU917356 SY917355:SY917356 JC917355:JC917356 WVO851819:WVO851820 WLS851819:WLS851820 WBW851819:WBW851820 VSA851819:VSA851820 VIE851819:VIE851820 UYI851819:UYI851820 UOM851819:UOM851820 UEQ851819:UEQ851820 TUU851819:TUU851820 TKY851819:TKY851820 TBC851819:TBC851820 SRG851819:SRG851820 SHK851819:SHK851820 RXO851819:RXO851820 RNS851819:RNS851820 RDW851819:RDW851820 QUA851819:QUA851820 QKE851819:QKE851820 QAI851819:QAI851820 PQM851819:PQM851820 PGQ851819:PGQ851820 OWU851819:OWU851820 OMY851819:OMY851820 ODC851819:ODC851820 NTG851819:NTG851820 NJK851819:NJK851820 MZO851819:MZO851820 MPS851819:MPS851820 MFW851819:MFW851820 LWA851819:LWA851820 LME851819:LME851820 LCI851819:LCI851820 KSM851819:KSM851820 KIQ851819:KIQ851820 JYU851819:JYU851820 JOY851819:JOY851820 JFC851819:JFC851820 IVG851819:IVG851820 ILK851819:ILK851820 IBO851819:IBO851820 HRS851819:HRS851820 HHW851819:HHW851820 GYA851819:GYA851820 GOE851819:GOE851820 GEI851819:GEI851820 FUM851819:FUM851820 FKQ851819:FKQ851820 FAU851819:FAU851820 EQY851819:EQY851820 EHC851819:EHC851820 DXG851819:DXG851820 DNK851819:DNK851820 DDO851819:DDO851820 CTS851819:CTS851820 CJW851819:CJW851820 CAA851819:CAA851820 BQE851819:BQE851820 BGI851819:BGI851820 AWM851819:AWM851820 AMQ851819:AMQ851820 ACU851819:ACU851820 SY851819:SY851820 JC851819:JC851820 WVO786283:WVO786284 WLS786283:WLS786284 WBW786283:WBW786284 VSA786283:VSA786284 VIE786283:VIE786284 UYI786283:UYI786284 UOM786283:UOM786284 UEQ786283:UEQ786284 TUU786283:TUU786284 TKY786283:TKY786284 TBC786283:TBC786284 SRG786283:SRG786284 SHK786283:SHK786284 RXO786283:RXO786284 RNS786283:RNS786284 RDW786283:RDW786284 QUA786283:QUA786284 QKE786283:QKE786284 QAI786283:QAI786284 PQM786283:PQM786284 PGQ786283:PGQ786284 OWU786283:OWU786284 OMY786283:OMY786284 ODC786283:ODC786284 NTG786283:NTG786284 NJK786283:NJK786284 MZO786283:MZO786284 MPS786283:MPS786284 MFW786283:MFW786284 LWA786283:LWA786284 LME786283:LME786284 LCI786283:LCI786284 KSM786283:KSM786284 KIQ786283:KIQ786284 JYU786283:JYU786284 JOY786283:JOY786284 JFC786283:JFC786284 IVG786283:IVG786284 ILK786283:ILK786284 IBO786283:IBO786284 HRS786283:HRS786284 HHW786283:HHW786284 GYA786283:GYA786284 GOE786283:GOE786284 GEI786283:GEI786284 FUM786283:FUM786284 FKQ786283:FKQ786284 FAU786283:FAU786284 EQY786283:EQY786284 EHC786283:EHC786284 DXG786283:DXG786284 DNK786283:DNK786284 DDO786283:DDO786284 CTS786283:CTS786284 CJW786283:CJW786284 CAA786283:CAA786284 BQE786283:BQE786284 BGI786283:BGI786284 AWM786283:AWM786284 AMQ786283:AMQ786284 ACU786283:ACU786284 SY786283:SY786284 JC786283:JC786284 WVO720747:WVO720748 WLS720747:WLS720748 WBW720747:WBW720748 VSA720747:VSA720748 VIE720747:VIE720748 UYI720747:UYI720748 UOM720747:UOM720748 UEQ720747:UEQ720748 TUU720747:TUU720748 TKY720747:TKY720748 TBC720747:TBC720748 SRG720747:SRG720748 SHK720747:SHK720748 RXO720747:RXO720748 RNS720747:RNS720748 RDW720747:RDW720748 QUA720747:QUA720748 QKE720747:QKE720748 QAI720747:QAI720748 PQM720747:PQM720748 PGQ720747:PGQ720748 OWU720747:OWU720748 OMY720747:OMY720748 ODC720747:ODC720748 NTG720747:NTG720748 NJK720747:NJK720748 MZO720747:MZO720748 MPS720747:MPS720748 MFW720747:MFW720748 LWA720747:LWA720748 LME720747:LME720748 LCI720747:LCI720748 KSM720747:KSM720748 KIQ720747:KIQ720748 JYU720747:JYU720748 JOY720747:JOY720748 JFC720747:JFC720748 IVG720747:IVG720748 ILK720747:ILK720748 IBO720747:IBO720748 HRS720747:HRS720748 HHW720747:HHW720748 GYA720747:GYA720748 GOE720747:GOE720748 GEI720747:GEI720748 FUM720747:FUM720748 FKQ720747:FKQ720748 FAU720747:FAU720748 EQY720747:EQY720748 EHC720747:EHC720748 DXG720747:DXG720748 DNK720747:DNK720748 DDO720747:DDO720748 CTS720747:CTS720748 CJW720747:CJW720748 CAA720747:CAA720748 BQE720747:BQE720748 BGI720747:BGI720748 AWM720747:AWM720748 AMQ720747:AMQ720748 ACU720747:ACU720748 SY720747:SY720748 JC720747:JC720748 WVO655211:WVO655212 WLS655211:WLS655212 WBW655211:WBW655212 VSA655211:VSA655212 VIE655211:VIE655212 UYI655211:UYI655212 UOM655211:UOM655212 UEQ655211:UEQ655212 TUU655211:TUU655212 TKY655211:TKY655212 TBC655211:TBC655212 SRG655211:SRG655212 SHK655211:SHK655212 RXO655211:RXO655212 RNS655211:RNS655212 RDW655211:RDW655212 QUA655211:QUA655212 QKE655211:QKE655212 QAI655211:QAI655212 PQM655211:PQM655212 PGQ655211:PGQ655212 OWU655211:OWU655212 OMY655211:OMY655212 ODC655211:ODC655212 NTG655211:NTG655212 NJK655211:NJK655212 MZO655211:MZO655212 MPS655211:MPS655212 MFW655211:MFW655212 LWA655211:LWA655212 LME655211:LME655212 LCI655211:LCI655212 KSM655211:KSM655212 KIQ655211:KIQ655212 JYU655211:JYU655212 JOY655211:JOY655212 JFC655211:JFC655212 IVG655211:IVG655212 ILK655211:ILK655212 IBO655211:IBO655212 HRS655211:HRS655212 HHW655211:HHW655212 GYA655211:GYA655212 GOE655211:GOE655212 GEI655211:GEI655212 FUM655211:FUM655212 FKQ655211:FKQ655212 FAU655211:FAU655212 EQY655211:EQY655212 EHC655211:EHC655212 DXG655211:DXG655212 DNK655211:DNK655212 DDO655211:DDO655212 CTS655211:CTS655212 CJW655211:CJW655212 CAA655211:CAA655212 BQE655211:BQE655212 BGI655211:BGI655212 AWM655211:AWM655212 AMQ655211:AMQ655212 ACU655211:ACU655212 SY655211:SY655212 JC655211:JC655212 WVO589675:WVO589676 WLS589675:WLS589676 WBW589675:WBW589676 VSA589675:VSA589676 VIE589675:VIE589676 UYI589675:UYI589676 UOM589675:UOM589676 UEQ589675:UEQ589676 TUU589675:TUU589676 TKY589675:TKY589676 TBC589675:TBC589676 SRG589675:SRG589676 SHK589675:SHK589676 RXO589675:RXO589676 RNS589675:RNS589676 RDW589675:RDW589676 QUA589675:QUA589676 QKE589675:QKE589676 QAI589675:QAI589676 PQM589675:PQM589676 PGQ589675:PGQ589676 OWU589675:OWU589676 OMY589675:OMY589676 ODC589675:ODC589676 NTG589675:NTG589676 NJK589675:NJK589676 MZO589675:MZO589676 MPS589675:MPS589676 MFW589675:MFW589676 LWA589675:LWA589676 LME589675:LME589676 LCI589675:LCI589676 KSM589675:KSM589676 KIQ589675:KIQ589676 JYU589675:JYU589676 JOY589675:JOY589676 JFC589675:JFC589676 IVG589675:IVG589676 ILK589675:ILK589676 IBO589675:IBO589676 HRS589675:HRS589676 HHW589675:HHW589676 GYA589675:GYA589676 GOE589675:GOE589676 GEI589675:GEI589676 FUM589675:FUM589676 FKQ589675:FKQ589676 FAU589675:FAU589676 EQY589675:EQY589676 EHC589675:EHC589676 DXG589675:DXG589676 DNK589675:DNK589676 DDO589675:DDO589676 CTS589675:CTS589676 CJW589675:CJW589676 CAA589675:CAA589676 BQE589675:BQE589676 BGI589675:BGI589676 AWM589675:AWM589676 AMQ589675:AMQ589676 ACU589675:ACU589676 SY589675:SY589676 JC589675:JC589676 WVO524139:WVO524140 WLS524139:WLS524140 WBW524139:WBW524140 VSA524139:VSA524140 VIE524139:VIE524140 UYI524139:UYI524140 UOM524139:UOM524140 UEQ524139:UEQ524140 TUU524139:TUU524140 TKY524139:TKY524140 TBC524139:TBC524140 SRG524139:SRG524140 SHK524139:SHK524140 RXO524139:RXO524140 RNS524139:RNS524140 RDW524139:RDW524140 QUA524139:QUA524140 QKE524139:QKE524140 QAI524139:QAI524140 PQM524139:PQM524140 PGQ524139:PGQ524140 OWU524139:OWU524140 OMY524139:OMY524140 ODC524139:ODC524140 NTG524139:NTG524140 NJK524139:NJK524140 MZO524139:MZO524140 MPS524139:MPS524140 MFW524139:MFW524140 LWA524139:LWA524140 LME524139:LME524140 LCI524139:LCI524140 KSM524139:KSM524140 KIQ524139:KIQ524140 JYU524139:JYU524140 JOY524139:JOY524140 JFC524139:JFC524140 IVG524139:IVG524140 ILK524139:ILK524140 IBO524139:IBO524140 HRS524139:HRS524140 HHW524139:HHW524140 GYA524139:GYA524140 GOE524139:GOE524140 GEI524139:GEI524140 FUM524139:FUM524140 FKQ524139:FKQ524140 FAU524139:FAU524140 EQY524139:EQY524140 EHC524139:EHC524140 DXG524139:DXG524140 DNK524139:DNK524140 DDO524139:DDO524140 CTS524139:CTS524140 CJW524139:CJW524140 CAA524139:CAA524140 BQE524139:BQE524140 BGI524139:BGI524140 AWM524139:AWM524140 AMQ524139:AMQ524140 ACU524139:ACU524140 SY524139:SY524140 JC524139:JC524140 WVO458603:WVO458604 WLS458603:WLS458604 WBW458603:WBW458604 VSA458603:VSA458604 VIE458603:VIE458604 UYI458603:UYI458604 UOM458603:UOM458604 UEQ458603:UEQ458604 TUU458603:TUU458604 TKY458603:TKY458604 TBC458603:TBC458604 SRG458603:SRG458604 SHK458603:SHK458604 RXO458603:RXO458604 RNS458603:RNS458604 RDW458603:RDW458604 QUA458603:QUA458604 QKE458603:QKE458604 QAI458603:QAI458604 PQM458603:PQM458604 PGQ458603:PGQ458604 OWU458603:OWU458604 OMY458603:OMY458604 ODC458603:ODC458604 NTG458603:NTG458604 NJK458603:NJK458604 MZO458603:MZO458604 MPS458603:MPS458604 MFW458603:MFW458604 LWA458603:LWA458604 LME458603:LME458604 LCI458603:LCI458604 KSM458603:KSM458604 KIQ458603:KIQ458604 JYU458603:JYU458604 JOY458603:JOY458604 JFC458603:JFC458604 IVG458603:IVG458604 ILK458603:ILK458604 IBO458603:IBO458604 HRS458603:HRS458604 HHW458603:HHW458604 GYA458603:GYA458604 GOE458603:GOE458604 GEI458603:GEI458604 FUM458603:FUM458604 FKQ458603:FKQ458604 FAU458603:FAU458604 EQY458603:EQY458604 EHC458603:EHC458604 DXG458603:DXG458604 DNK458603:DNK458604 DDO458603:DDO458604 CTS458603:CTS458604 CJW458603:CJW458604 CAA458603:CAA458604 BQE458603:BQE458604 BGI458603:BGI458604 AWM458603:AWM458604 AMQ458603:AMQ458604 ACU458603:ACU458604 SY458603:SY458604 JC458603:JC458604 WVO393067:WVO393068 WLS393067:WLS393068 WBW393067:WBW393068 VSA393067:VSA393068 VIE393067:VIE393068 UYI393067:UYI393068 UOM393067:UOM393068 UEQ393067:UEQ393068 TUU393067:TUU393068 TKY393067:TKY393068 TBC393067:TBC393068 SRG393067:SRG393068 SHK393067:SHK393068 RXO393067:RXO393068 RNS393067:RNS393068 RDW393067:RDW393068 QUA393067:QUA393068 QKE393067:QKE393068 QAI393067:QAI393068 PQM393067:PQM393068 PGQ393067:PGQ393068 OWU393067:OWU393068 OMY393067:OMY393068 ODC393067:ODC393068 NTG393067:NTG393068 NJK393067:NJK393068 MZO393067:MZO393068 MPS393067:MPS393068 MFW393067:MFW393068 LWA393067:LWA393068 LME393067:LME393068 LCI393067:LCI393068 KSM393067:KSM393068 KIQ393067:KIQ393068 JYU393067:JYU393068 JOY393067:JOY393068 JFC393067:JFC393068 IVG393067:IVG393068 ILK393067:ILK393068 IBO393067:IBO393068 HRS393067:HRS393068 HHW393067:HHW393068 GYA393067:GYA393068 GOE393067:GOE393068 GEI393067:GEI393068 FUM393067:FUM393068 FKQ393067:FKQ393068 FAU393067:FAU393068 EQY393067:EQY393068 EHC393067:EHC393068 DXG393067:DXG393068 DNK393067:DNK393068 DDO393067:DDO393068 CTS393067:CTS393068 CJW393067:CJW393068 CAA393067:CAA393068 BQE393067:BQE393068 BGI393067:BGI393068 AWM393067:AWM393068 AMQ393067:AMQ393068 ACU393067:ACU393068 SY393067:SY393068 JC393067:JC393068 WVO327531:WVO327532 WLS327531:WLS327532 WBW327531:WBW327532 VSA327531:VSA327532 VIE327531:VIE327532 UYI327531:UYI327532 UOM327531:UOM327532 UEQ327531:UEQ327532 TUU327531:TUU327532 TKY327531:TKY327532 TBC327531:TBC327532 SRG327531:SRG327532 SHK327531:SHK327532 RXO327531:RXO327532 RNS327531:RNS327532 RDW327531:RDW327532 QUA327531:QUA327532 QKE327531:QKE327532 QAI327531:QAI327532 PQM327531:PQM327532 PGQ327531:PGQ327532 OWU327531:OWU327532 OMY327531:OMY327532 ODC327531:ODC327532 NTG327531:NTG327532 NJK327531:NJK327532 MZO327531:MZO327532 MPS327531:MPS327532 MFW327531:MFW327532 LWA327531:LWA327532 LME327531:LME327532 LCI327531:LCI327532 KSM327531:KSM327532 KIQ327531:KIQ327532 JYU327531:JYU327532 JOY327531:JOY327532 JFC327531:JFC327532 IVG327531:IVG327532 ILK327531:ILK327532 IBO327531:IBO327532 HRS327531:HRS327532 HHW327531:HHW327532 GYA327531:GYA327532 GOE327531:GOE327532 GEI327531:GEI327532 FUM327531:FUM327532 FKQ327531:FKQ327532 FAU327531:FAU327532 EQY327531:EQY327532 EHC327531:EHC327532 DXG327531:DXG327532 DNK327531:DNK327532 DDO327531:DDO327532 CTS327531:CTS327532 CJW327531:CJW327532 CAA327531:CAA327532 BQE327531:BQE327532 BGI327531:BGI327532 AWM327531:AWM327532 AMQ327531:AMQ327532 ACU327531:ACU327532 SY327531:SY327532 JC327531:JC327532 WVO261995:WVO261996 WLS261995:WLS261996 WBW261995:WBW261996 VSA261995:VSA261996 VIE261995:VIE261996 UYI261995:UYI261996 UOM261995:UOM261996 UEQ261995:UEQ261996 TUU261995:TUU261996 TKY261995:TKY261996 TBC261995:TBC261996 SRG261995:SRG261996 SHK261995:SHK261996 RXO261995:RXO261996 RNS261995:RNS261996 RDW261995:RDW261996 QUA261995:QUA261996 QKE261995:QKE261996 QAI261995:QAI261996 PQM261995:PQM261996 PGQ261995:PGQ261996 OWU261995:OWU261996 OMY261995:OMY261996 ODC261995:ODC261996 NTG261995:NTG261996 NJK261995:NJK261996 MZO261995:MZO261996 MPS261995:MPS261996 MFW261995:MFW261996 LWA261995:LWA261996 LME261995:LME261996 LCI261995:LCI261996 KSM261995:KSM261996 KIQ261995:KIQ261996 JYU261995:JYU261996 JOY261995:JOY261996 JFC261995:JFC261996 IVG261995:IVG261996 ILK261995:ILK261996 IBO261995:IBO261996 HRS261995:HRS261996 HHW261995:HHW261996 GYA261995:GYA261996 GOE261995:GOE261996 GEI261995:GEI261996 FUM261995:FUM261996 FKQ261995:FKQ261996 FAU261995:FAU261996 EQY261995:EQY261996 EHC261995:EHC261996 DXG261995:DXG261996 DNK261995:DNK261996 DDO261995:DDO261996 CTS261995:CTS261996 CJW261995:CJW261996 CAA261995:CAA261996 BQE261995:BQE261996 BGI261995:BGI261996 AWM261995:AWM261996 AMQ261995:AMQ261996 ACU261995:ACU261996 SY261995:SY261996 JC261995:JC261996 WVO196459:WVO196460 WLS196459:WLS196460 WBW196459:WBW196460 VSA196459:VSA196460 VIE196459:VIE196460 UYI196459:UYI196460 UOM196459:UOM196460 UEQ196459:UEQ196460 TUU196459:TUU196460 TKY196459:TKY196460 TBC196459:TBC196460 SRG196459:SRG196460 SHK196459:SHK196460 RXO196459:RXO196460 RNS196459:RNS196460 RDW196459:RDW196460 QUA196459:QUA196460 QKE196459:QKE196460 QAI196459:QAI196460 PQM196459:PQM196460 PGQ196459:PGQ196460 OWU196459:OWU196460 OMY196459:OMY196460 ODC196459:ODC196460 NTG196459:NTG196460 NJK196459:NJK196460 MZO196459:MZO196460 MPS196459:MPS196460 MFW196459:MFW196460 LWA196459:LWA196460 LME196459:LME196460 LCI196459:LCI196460 KSM196459:KSM196460 KIQ196459:KIQ196460 JYU196459:JYU196460 JOY196459:JOY196460 JFC196459:JFC196460 IVG196459:IVG196460 ILK196459:ILK196460 IBO196459:IBO196460 HRS196459:HRS196460 HHW196459:HHW196460 GYA196459:GYA196460 GOE196459:GOE196460 GEI196459:GEI196460 FUM196459:FUM196460 FKQ196459:FKQ196460 FAU196459:FAU196460 EQY196459:EQY196460 EHC196459:EHC196460 DXG196459:DXG196460 DNK196459:DNK196460 DDO196459:DDO196460 CTS196459:CTS196460 CJW196459:CJW196460 CAA196459:CAA196460 BQE196459:BQE196460 BGI196459:BGI196460 AWM196459:AWM196460 AMQ196459:AMQ196460 ACU196459:ACU196460 SY196459:SY196460 JC196459:JC196460 WVO130923:WVO130924 WLS130923:WLS130924 WBW130923:WBW130924 VSA130923:VSA130924 VIE130923:VIE130924 UYI130923:UYI130924 UOM130923:UOM130924 UEQ130923:UEQ130924 TUU130923:TUU130924 TKY130923:TKY130924 TBC130923:TBC130924 SRG130923:SRG130924 SHK130923:SHK130924 RXO130923:RXO130924 RNS130923:RNS130924 RDW130923:RDW130924 QUA130923:QUA130924 QKE130923:QKE130924 QAI130923:QAI130924 PQM130923:PQM130924 PGQ130923:PGQ130924 OWU130923:OWU130924 OMY130923:OMY130924 ODC130923:ODC130924 NTG130923:NTG130924 NJK130923:NJK130924 MZO130923:MZO130924 MPS130923:MPS130924 MFW130923:MFW130924 LWA130923:LWA130924 LME130923:LME130924 LCI130923:LCI130924 KSM130923:KSM130924 KIQ130923:KIQ130924 JYU130923:JYU130924 JOY130923:JOY130924 JFC130923:JFC130924 IVG130923:IVG130924 ILK130923:ILK130924 IBO130923:IBO130924 HRS130923:HRS130924 HHW130923:HHW130924 GYA130923:GYA130924 GOE130923:GOE130924 GEI130923:GEI130924 FUM130923:FUM130924 FKQ130923:FKQ130924 FAU130923:FAU130924 EQY130923:EQY130924 EHC130923:EHC130924 DXG130923:DXG130924 DNK130923:DNK130924 DDO130923:DDO130924 CTS130923:CTS130924 CJW130923:CJW130924 CAA130923:CAA130924 BQE130923:BQE130924 BGI130923:BGI130924 AWM130923:AWM130924 AMQ130923:AMQ130924 ACU130923:ACU130924 SY130923:SY130924 JC130923:JC130924 WVO65387:WVO65388 WLS65387:WLS65388 WBW65387:WBW65388 VSA65387:VSA65388 VIE65387:VIE65388 UYI65387:UYI65388 UOM65387:UOM65388 UEQ65387:UEQ65388 TUU65387:TUU65388 TKY65387:TKY65388 TBC65387:TBC65388 SRG65387:SRG65388 SHK65387:SHK65388 RXO65387:RXO65388 RNS65387:RNS65388 RDW65387:RDW65388 QUA65387:QUA65388 QKE65387:QKE65388 QAI65387:QAI65388 PQM65387:PQM65388 PGQ65387:PGQ65388 OWU65387:OWU65388 OMY65387:OMY65388 ODC65387:ODC65388 NTG65387:NTG65388 NJK65387:NJK65388 MZO65387:MZO65388 MPS65387:MPS65388 MFW65387:MFW65388 LWA65387:LWA65388 LME65387:LME65388 LCI65387:LCI65388 KSM65387:KSM65388 KIQ65387:KIQ65388 JYU65387:JYU65388 JOY65387:JOY65388 JFC65387:JFC65388 IVG65387:IVG65388 ILK65387:ILK65388 IBO65387:IBO65388 HRS65387:HRS65388 HHW65387:HHW65388 GYA65387:GYA65388 GOE65387:GOE65388 GEI65387:GEI65388 FUM65387:FUM65388 FKQ65387:FKQ65388 FAU65387:FAU65388 EQY65387:EQY65388 EHC65387:EHC65388 DXG65387:DXG65388 DNK65387:DNK65388 DDO65387:DDO65388 CTS65387:CTS65388 CJW65387:CJW65388 CAA65387:CAA65388 BQE65387:BQE65388 BGI65387:BGI65388 AWM65387:AWM65388 AMQ65387:AMQ65388 ACU65387:ACU65388 SY65387:SY65388 JC65387:JC65388 WVO982891:WVO982892 WLS9:WLS80 WBW9:WBW80 VSA9:VSA80 VIE9:VIE80 UYI9:UYI80 UOM9:UOM80 UEQ9:UEQ80 TUU9:TUU80 TKY9:TKY80 TBC9:TBC80 SRG9:SRG80 SHK9:SHK80 RXO9:RXO80 RNS9:RNS80 RDW9:RDW80 QUA9:QUA80 QKE9:QKE80 QAI9:QAI80 PQM9:PQM80 PGQ9:PGQ80 OWU9:OWU80 OMY9:OMY80 ODC9:ODC80 NTG9:NTG80 NJK9:NJK80 MZO9:MZO80 MPS9:MPS80 MFW9:MFW80 LWA9:LWA80 LME9:LME80 LCI9:LCI80 KSM9:KSM80 KIQ9:KIQ80 JYU9:JYU80 JOY9:JOY80 JFC9:JFC80 IVG9:IVG80 ILK9:ILK80 IBO9:IBO80 HRS9:HRS80 HHW9:HHW80 GYA9:GYA80 GOE9:GOE80 GEI9:GEI80 FUM9:FUM80 FKQ9:FKQ80 FAU9:FAU80 EQY9:EQY80 EHC9:EHC80 DXG9:DXG80 DNK9:DNK80 DDO9:DDO80 CTS9:CTS80 CJW9:CJW80 CAA9:CAA80 BQE9:BQE80 BGI9:BGI80 AWM9:AWM80 AMQ9:AMQ80 ACU9:ACU80 SY9:SY80 JC9:JC80 WVO9:WVO80">
      <formula1>"있음,없음"</formula1>
    </dataValidation>
    <dataValidation type="list" allowBlank="1" showInputMessage="1" showErrorMessage="1" sqref="WLU982891:WLU982892 WBY982891:WBY982892 VSC982891:VSC982892 VIG982891:VIG982892 UYK982891:UYK982892 UOO982891:UOO982892 UES982891:UES982892 TUW982891:TUW982892 TLA982891:TLA982892 TBE982891:TBE982892 SRI982891:SRI982892 SHM982891:SHM982892 RXQ982891:RXQ982892 RNU982891:RNU982892 RDY982891:RDY982892 QUC982891:QUC982892 QKG982891:QKG982892 QAK982891:QAK982892 PQO982891:PQO982892 PGS982891:PGS982892 OWW982891:OWW982892 ONA982891:ONA982892 ODE982891:ODE982892 NTI982891:NTI982892 NJM982891:NJM982892 MZQ982891:MZQ982892 MPU982891:MPU982892 MFY982891:MFY982892 LWC982891:LWC982892 LMG982891:LMG982892 LCK982891:LCK982892 KSO982891:KSO982892 KIS982891:KIS982892 JYW982891:JYW982892 JPA982891:JPA982892 JFE982891:JFE982892 IVI982891:IVI982892 ILM982891:ILM982892 IBQ982891:IBQ982892 HRU982891:HRU982892 HHY982891:HHY982892 GYC982891:GYC982892 GOG982891:GOG982892 GEK982891:GEK982892 FUO982891:FUO982892 FKS982891:FKS982892 FAW982891:FAW982892 ERA982891:ERA982892 EHE982891:EHE982892 DXI982891:DXI982892 DNM982891:DNM982892 DDQ982891:DDQ982892 CTU982891:CTU982892 CJY982891:CJY982892 CAC982891:CAC982892 BQG982891:BQG982892 BGK982891:BGK982892 AWO982891:AWO982892 AMS982891:AMS982892 ACW982891:ACW982892 TA982891:TA982892 JE982891:JE982892 WVQ917355:WVQ917356 WLU917355:WLU917356 WBY917355:WBY917356 VSC917355:VSC917356 VIG917355:VIG917356 UYK917355:UYK917356 UOO917355:UOO917356 UES917355:UES917356 TUW917355:TUW917356 TLA917355:TLA917356 TBE917355:TBE917356 SRI917355:SRI917356 SHM917355:SHM917356 RXQ917355:RXQ917356 RNU917355:RNU917356 RDY917355:RDY917356 QUC917355:QUC917356 QKG917355:QKG917356 QAK917355:QAK917356 PQO917355:PQO917356 PGS917355:PGS917356 OWW917355:OWW917356 ONA917355:ONA917356 ODE917355:ODE917356 NTI917355:NTI917356 NJM917355:NJM917356 MZQ917355:MZQ917356 MPU917355:MPU917356 MFY917355:MFY917356 LWC917355:LWC917356 LMG917355:LMG917356 LCK917355:LCK917356 KSO917355:KSO917356 KIS917355:KIS917356 JYW917355:JYW917356 JPA917355:JPA917356 JFE917355:JFE917356 IVI917355:IVI917356 ILM917355:ILM917356 IBQ917355:IBQ917356 HRU917355:HRU917356 HHY917355:HHY917356 GYC917355:GYC917356 GOG917355:GOG917356 GEK917355:GEK917356 FUO917355:FUO917356 FKS917355:FKS917356 FAW917355:FAW917356 ERA917355:ERA917356 EHE917355:EHE917356 DXI917355:DXI917356 DNM917355:DNM917356 DDQ917355:DDQ917356 CTU917355:CTU917356 CJY917355:CJY917356 CAC917355:CAC917356 BQG917355:BQG917356 BGK917355:BGK917356 AWO917355:AWO917356 AMS917355:AMS917356 ACW917355:ACW917356 TA917355:TA917356 JE917355:JE917356 WVQ851819:WVQ851820 WLU851819:WLU851820 WBY851819:WBY851820 VSC851819:VSC851820 VIG851819:VIG851820 UYK851819:UYK851820 UOO851819:UOO851820 UES851819:UES851820 TUW851819:TUW851820 TLA851819:TLA851820 TBE851819:TBE851820 SRI851819:SRI851820 SHM851819:SHM851820 RXQ851819:RXQ851820 RNU851819:RNU851820 RDY851819:RDY851820 QUC851819:QUC851820 QKG851819:QKG851820 QAK851819:QAK851820 PQO851819:PQO851820 PGS851819:PGS851820 OWW851819:OWW851820 ONA851819:ONA851820 ODE851819:ODE851820 NTI851819:NTI851820 NJM851819:NJM851820 MZQ851819:MZQ851820 MPU851819:MPU851820 MFY851819:MFY851820 LWC851819:LWC851820 LMG851819:LMG851820 LCK851819:LCK851820 KSO851819:KSO851820 KIS851819:KIS851820 JYW851819:JYW851820 JPA851819:JPA851820 JFE851819:JFE851820 IVI851819:IVI851820 ILM851819:ILM851820 IBQ851819:IBQ851820 HRU851819:HRU851820 HHY851819:HHY851820 GYC851819:GYC851820 GOG851819:GOG851820 GEK851819:GEK851820 FUO851819:FUO851820 FKS851819:FKS851820 FAW851819:FAW851820 ERA851819:ERA851820 EHE851819:EHE851820 DXI851819:DXI851820 DNM851819:DNM851820 DDQ851819:DDQ851820 CTU851819:CTU851820 CJY851819:CJY851820 CAC851819:CAC851820 BQG851819:BQG851820 BGK851819:BGK851820 AWO851819:AWO851820 AMS851819:AMS851820 ACW851819:ACW851820 TA851819:TA851820 JE851819:JE851820 WVQ786283:WVQ786284 WLU786283:WLU786284 WBY786283:WBY786284 VSC786283:VSC786284 VIG786283:VIG786284 UYK786283:UYK786284 UOO786283:UOO786284 UES786283:UES786284 TUW786283:TUW786284 TLA786283:TLA786284 TBE786283:TBE786284 SRI786283:SRI786284 SHM786283:SHM786284 RXQ786283:RXQ786284 RNU786283:RNU786284 RDY786283:RDY786284 QUC786283:QUC786284 QKG786283:QKG786284 QAK786283:QAK786284 PQO786283:PQO786284 PGS786283:PGS786284 OWW786283:OWW786284 ONA786283:ONA786284 ODE786283:ODE786284 NTI786283:NTI786284 NJM786283:NJM786284 MZQ786283:MZQ786284 MPU786283:MPU786284 MFY786283:MFY786284 LWC786283:LWC786284 LMG786283:LMG786284 LCK786283:LCK786284 KSO786283:KSO786284 KIS786283:KIS786284 JYW786283:JYW786284 JPA786283:JPA786284 JFE786283:JFE786284 IVI786283:IVI786284 ILM786283:ILM786284 IBQ786283:IBQ786284 HRU786283:HRU786284 HHY786283:HHY786284 GYC786283:GYC786284 GOG786283:GOG786284 GEK786283:GEK786284 FUO786283:FUO786284 FKS786283:FKS786284 FAW786283:FAW786284 ERA786283:ERA786284 EHE786283:EHE786284 DXI786283:DXI786284 DNM786283:DNM786284 DDQ786283:DDQ786284 CTU786283:CTU786284 CJY786283:CJY786284 CAC786283:CAC786284 BQG786283:BQG786284 BGK786283:BGK786284 AWO786283:AWO786284 AMS786283:AMS786284 ACW786283:ACW786284 TA786283:TA786284 JE786283:JE786284 WVQ720747:WVQ720748 WLU720747:WLU720748 WBY720747:WBY720748 VSC720747:VSC720748 VIG720747:VIG720748 UYK720747:UYK720748 UOO720747:UOO720748 UES720747:UES720748 TUW720747:TUW720748 TLA720747:TLA720748 TBE720747:TBE720748 SRI720747:SRI720748 SHM720747:SHM720748 RXQ720747:RXQ720748 RNU720747:RNU720748 RDY720747:RDY720748 QUC720747:QUC720748 QKG720747:QKG720748 QAK720747:QAK720748 PQO720747:PQO720748 PGS720747:PGS720748 OWW720747:OWW720748 ONA720747:ONA720748 ODE720747:ODE720748 NTI720747:NTI720748 NJM720747:NJM720748 MZQ720747:MZQ720748 MPU720747:MPU720748 MFY720747:MFY720748 LWC720747:LWC720748 LMG720747:LMG720748 LCK720747:LCK720748 KSO720747:KSO720748 KIS720747:KIS720748 JYW720747:JYW720748 JPA720747:JPA720748 JFE720747:JFE720748 IVI720747:IVI720748 ILM720747:ILM720748 IBQ720747:IBQ720748 HRU720747:HRU720748 HHY720747:HHY720748 GYC720747:GYC720748 GOG720747:GOG720748 GEK720747:GEK720748 FUO720747:FUO720748 FKS720747:FKS720748 FAW720747:FAW720748 ERA720747:ERA720748 EHE720747:EHE720748 DXI720747:DXI720748 DNM720747:DNM720748 DDQ720747:DDQ720748 CTU720747:CTU720748 CJY720747:CJY720748 CAC720747:CAC720748 BQG720747:BQG720748 BGK720747:BGK720748 AWO720747:AWO720748 AMS720747:AMS720748 ACW720747:ACW720748 TA720747:TA720748 JE720747:JE720748 WVQ655211:WVQ655212 WLU655211:WLU655212 WBY655211:WBY655212 VSC655211:VSC655212 VIG655211:VIG655212 UYK655211:UYK655212 UOO655211:UOO655212 UES655211:UES655212 TUW655211:TUW655212 TLA655211:TLA655212 TBE655211:TBE655212 SRI655211:SRI655212 SHM655211:SHM655212 RXQ655211:RXQ655212 RNU655211:RNU655212 RDY655211:RDY655212 QUC655211:QUC655212 QKG655211:QKG655212 QAK655211:QAK655212 PQO655211:PQO655212 PGS655211:PGS655212 OWW655211:OWW655212 ONA655211:ONA655212 ODE655211:ODE655212 NTI655211:NTI655212 NJM655211:NJM655212 MZQ655211:MZQ655212 MPU655211:MPU655212 MFY655211:MFY655212 LWC655211:LWC655212 LMG655211:LMG655212 LCK655211:LCK655212 KSO655211:KSO655212 KIS655211:KIS655212 JYW655211:JYW655212 JPA655211:JPA655212 JFE655211:JFE655212 IVI655211:IVI655212 ILM655211:ILM655212 IBQ655211:IBQ655212 HRU655211:HRU655212 HHY655211:HHY655212 GYC655211:GYC655212 GOG655211:GOG655212 GEK655211:GEK655212 FUO655211:FUO655212 FKS655211:FKS655212 FAW655211:FAW655212 ERA655211:ERA655212 EHE655211:EHE655212 DXI655211:DXI655212 DNM655211:DNM655212 DDQ655211:DDQ655212 CTU655211:CTU655212 CJY655211:CJY655212 CAC655211:CAC655212 BQG655211:BQG655212 BGK655211:BGK655212 AWO655211:AWO655212 AMS655211:AMS655212 ACW655211:ACW655212 TA655211:TA655212 JE655211:JE655212 WVQ589675:WVQ589676 WLU589675:WLU589676 WBY589675:WBY589676 VSC589675:VSC589676 VIG589675:VIG589676 UYK589675:UYK589676 UOO589675:UOO589676 UES589675:UES589676 TUW589675:TUW589676 TLA589675:TLA589676 TBE589675:TBE589676 SRI589675:SRI589676 SHM589675:SHM589676 RXQ589675:RXQ589676 RNU589675:RNU589676 RDY589675:RDY589676 QUC589675:QUC589676 QKG589675:QKG589676 QAK589675:QAK589676 PQO589675:PQO589676 PGS589675:PGS589676 OWW589675:OWW589676 ONA589675:ONA589676 ODE589675:ODE589676 NTI589675:NTI589676 NJM589675:NJM589676 MZQ589675:MZQ589676 MPU589675:MPU589676 MFY589675:MFY589676 LWC589675:LWC589676 LMG589675:LMG589676 LCK589675:LCK589676 KSO589675:KSO589676 KIS589675:KIS589676 JYW589675:JYW589676 JPA589675:JPA589676 JFE589675:JFE589676 IVI589675:IVI589676 ILM589675:ILM589676 IBQ589675:IBQ589676 HRU589675:HRU589676 HHY589675:HHY589676 GYC589675:GYC589676 GOG589675:GOG589676 GEK589675:GEK589676 FUO589675:FUO589676 FKS589675:FKS589676 FAW589675:FAW589676 ERA589675:ERA589676 EHE589675:EHE589676 DXI589675:DXI589676 DNM589675:DNM589676 DDQ589675:DDQ589676 CTU589675:CTU589676 CJY589675:CJY589676 CAC589675:CAC589676 BQG589675:BQG589676 BGK589675:BGK589676 AWO589675:AWO589676 AMS589675:AMS589676 ACW589675:ACW589676 TA589675:TA589676 JE589675:JE589676 WVQ524139:WVQ524140 WLU524139:WLU524140 WBY524139:WBY524140 VSC524139:VSC524140 VIG524139:VIG524140 UYK524139:UYK524140 UOO524139:UOO524140 UES524139:UES524140 TUW524139:TUW524140 TLA524139:TLA524140 TBE524139:TBE524140 SRI524139:SRI524140 SHM524139:SHM524140 RXQ524139:RXQ524140 RNU524139:RNU524140 RDY524139:RDY524140 QUC524139:QUC524140 QKG524139:QKG524140 QAK524139:QAK524140 PQO524139:PQO524140 PGS524139:PGS524140 OWW524139:OWW524140 ONA524139:ONA524140 ODE524139:ODE524140 NTI524139:NTI524140 NJM524139:NJM524140 MZQ524139:MZQ524140 MPU524139:MPU524140 MFY524139:MFY524140 LWC524139:LWC524140 LMG524139:LMG524140 LCK524139:LCK524140 KSO524139:KSO524140 KIS524139:KIS524140 JYW524139:JYW524140 JPA524139:JPA524140 JFE524139:JFE524140 IVI524139:IVI524140 ILM524139:ILM524140 IBQ524139:IBQ524140 HRU524139:HRU524140 HHY524139:HHY524140 GYC524139:GYC524140 GOG524139:GOG524140 GEK524139:GEK524140 FUO524139:FUO524140 FKS524139:FKS524140 FAW524139:FAW524140 ERA524139:ERA524140 EHE524139:EHE524140 DXI524139:DXI524140 DNM524139:DNM524140 DDQ524139:DDQ524140 CTU524139:CTU524140 CJY524139:CJY524140 CAC524139:CAC524140 BQG524139:BQG524140 BGK524139:BGK524140 AWO524139:AWO524140 AMS524139:AMS524140 ACW524139:ACW524140 TA524139:TA524140 JE524139:JE524140 WVQ458603:WVQ458604 WLU458603:WLU458604 WBY458603:WBY458604 VSC458603:VSC458604 VIG458603:VIG458604 UYK458603:UYK458604 UOO458603:UOO458604 UES458603:UES458604 TUW458603:TUW458604 TLA458603:TLA458604 TBE458603:TBE458604 SRI458603:SRI458604 SHM458603:SHM458604 RXQ458603:RXQ458604 RNU458603:RNU458604 RDY458603:RDY458604 QUC458603:QUC458604 QKG458603:QKG458604 QAK458603:QAK458604 PQO458603:PQO458604 PGS458603:PGS458604 OWW458603:OWW458604 ONA458603:ONA458604 ODE458603:ODE458604 NTI458603:NTI458604 NJM458603:NJM458604 MZQ458603:MZQ458604 MPU458603:MPU458604 MFY458603:MFY458604 LWC458603:LWC458604 LMG458603:LMG458604 LCK458603:LCK458604 KSO458603:KSO458604 KIS458603:KIS458604 JYW458603:JYW458604 JPA458603:JPA458604 JFE458603:JFE458604 IVI458603:IVI458604 ILM458603:ILM458604 IBQ458603:IBQ458604 HRU458603:HRU458604 HHY458603:HHY458604 GYC458603:GYC458604 GOG458603:GOG458604 GEK458603:GEK458604 FUO458603:FUO458604 FKS458603:FKS458604 FAW458603:FAW458604 ERA458603:ERA458604 EHE458603:EHE458604 DXI458603:DXI458604 DNM458603:DNM458604 DDQ458603:DDQ458604 CTU458603:CTU458604 CJY458603:CJY458604 CAC458603:CAC458604 BQG458603:BQG458604 BGK458603:BGK458604 AWO458603:AWO458604 AMS458603:AMS458604 ACW458603:ACW458604 TA458603:TA458604 JE458603:JE458604 WVQ393067:WVQ393068 WLU393067:WLU393068 WBY393067:WBY393068 VSC393067:VSC393068 VIG393067:VIG393068 UYK393067:UYK393068 UOO393067:UOO393068 UES393067:UES393068 TUW393067:TUW393068 TLA393067:TLA393068 TBE393067:TBE393068 SRI393067:SRI393068 SHM393067:SHM393068 RXQ393067:RXQ393068 RNU393067:RNU393068 RDY393067:RDY393068 QUC393067:QUC393068 QKG393067:QKG393068 QAK393067:QAK393068 PQO393067:PQO393068 PGS393067:PGS393068 OWW393067:OWW393068 ONA393067:ONA393068 ODE393067:ODE393068 NTI393067:NTI393068 NJM393067:NJM393068 MZQ393067:MZQ393068 MPU393067:MPU393068 MFY393067:MFY393068 LWC393067:LWC393068 LMG393067:LMG393068 LCK393067:LCK393068 KSO393067:KSO393068 KIS393067:KIS393068 JYW393067:JYW393068 JPA393067:JPA393068 JFE393067:JFE393068 IVI393067:IVI393068 ILM393067:ILM393068 IBQ393067:IBQ393068 HRU393067:HRU393068 HHY393067:HHY393068 GYC393067:GYC393068 GOG393067:GOG393068 GEK393067:GEK393068 FUO393067:FUO393068 FKS393067:FKS393068 FAW393067:FAW393068 ERA393067:ERA393068 EHE393067:EHE393068 DXI393067:DXI393068 DNM393067:DNM393068 DDQ393067:DDQ393068 CTU393067:CTU393068 CJY393067:CJY393068 CAC393067:CAC393068 BQG393067:BQG393068 BGK393067:BGK393068 AWO393067:AWO393068 AMS393067:AMS393068 ACW393067:ACW393068 TA393067:TA393068 JE393067:JE393068 WVQ327531:WVQ327532 WLU327531:WLU327532 WBY327531:WBY327532 VSC327531:VSC327532 VIG327531:VIG327532 UYK327531:UYK327532 UOO327531:UOO327532 UES327531:UES327532 TUW327531:TUW327532 TLA327531:TLA327532 TBE327531:TBE327532 SRI327531:SRI327532 SHM327531:SHM327532 RXQ327531:RXQ327532 RNU327531:RNU327532 RDY327531:RDY327532 QUC327531:QUC327532 QKG327531:QKG327532 QAK327531:QAK327532 PQO327531:PQO327532 PGS327531:PGS327532 OWW327531:OWW327532 ONA327531:ONA327532 ODE327531:ODE327532 NTI327531:NTI327532 NJM327531:NJM327532 MZQ327531:MZQ327532 MPU327531:MPU327532 MFY327531:MFY327532 LWC327531:LWC327532 LMG327531:LMG327532 LCK327531:LCK327532 KSO327531:KSO327532 KIS327531:KIS327532 JYW327531:JYW327532 JPA327531:JPA327532 JFE327531:JFE327532 IVI327531:IVI327532 ILM327531:ILM327532 IBQ327531:IBQ327532 HRU327531:HRU327532 HHY327531:HHY327532 GYC327531:GYC327532 GOG327531:GOG327532 GEK327531:GEK327532 FUO327531:FUO327532 FKS327531:FKS327532 FAW327531:FAW327532 ERA327531:ERA327532 EHE327531:EHE327532 DXI327531:DXI327532 DNM327531:DNM327532 DDQ327531:DDQ327532 CTU327531:CTU327532 CJY327531:CJY327532 CAC327531:CAC327532 BQG327531:BQG327532 BGK327531:BGK327532 AWO327531:AWO327532 AMS327531:AMS327532 ACW327531:ACW327532 TA327531:TA327532 JE327531:JE327532 WVQ261995:WVQ261996 WLU261995:WLU261996 WBY261995:WBY261996 VSC261995:VSC261996 VIG261995:VIG261996 UYK261995:UYK261996 UOO261995:UOO261996 UES261995:UES261996 TUW261995:TUW261996 TLA261995:TLA261996 TBE261995:TBE261996 SRI261995:SRI261996 SHM261995:SHM261996 RXQ261995:RXQ261996 RNU261995:RNU261996 RDY261995:RDY261996 QUC261995:QUC261996 QKG261995:QKG261996 QAK261995:QAK261996 PQO261995:PQO261996 PGS261995:PGS261996 OWW261995:OWW261996 ONA261995:ONA261996 ODE261995:ODE261996 NTI261995:NTI261996 NJM261995:NJM261996 MZQ261995:MZQ261996 MPU261995:MPU261996 MFY261995:MFY261996 LWC261995:LWC261996 LMG261995:LMG261996 LCK261995:LCK261996 KSO261995:KSO261996 KIS261995:KIS261996 JYW261995:JYW261996 JPA261995:JPA261996 JFE261995:JFE261996 IVI261995:IVI261996 ILM261995:ILM261996 IBQ261995:IBQ261996 HRU261995:HRU261996 HHY261995:HHY261996 GYC261995:GYC261996 GOG261995:GOG261996 GEK261995:GEK261996 FUO261995:FUO261996 FKS261995:FKS261996 FAW261995:FAW261996 ERA261995:ERA261996 EHE261995:EHE261996 DXI261995:DXI261996 DNM261995:DNM261996 DDQ261995:DDQ261996 CTU261995:CTU261996 CJY261995:CJY261996 CAC261995:CAC261996 BQG261995:BQG261996 BGK261995:BGK261996 AWO261995:AWO261996 AMS261995:AMS261996 ACW261995:ACW261996 TA261995:TA261996 JE261995:JE261996 WVQ196459:WVQ196460 WLU196459:WLU196460 WBY196459:WBY196460 VSC196459:VSC196460 VIG196459:VIG196460 UYK196459:UYK196460 UOO196459:UOO196460 UES196459:UES196460 TUW196459:TUW196460 TLA196459:TLA196460 TBE196459:TBE196460 SRI196459:SRI196460 SHM196459:SHM196460 RXQ196459:RXQ196460 RNU196459:RNU196460 RDY196459:RDY196460 QUC196459:QUC196460 QKG196459:QKG196460 QAK196459:QAK196460 PQO196459:PQO196460 PGS196459:PGS196460 OWW196459:OWW196460 ONA196459:ONA196460 ODE196459:ODE196460 NTI196459:NTI196460 NJM196459:NJM196460 MZQ196459:MZQ196460 MPU196459:MPU196460 MFY196459:MFY196460 LWC196459:LWC196460 LMG196459:LMG196460 LCK196459:LCK196460 KSO196459:KSO196460 KIS196459:KIS196460 JYW196459:JYW196460 JPA196459:JPA196460 JFE196459:JFE196460 IVI196459:IVI196460 ILM196459:ILM196460 IBQ196459:IBQ196460 HRU196459:HRU196460 HHY196459:HHY196460 GYC196459:GYC196460 GOG196459:GOG196460 GEK196459:GEK196460 FUO196459:FUO196460 FKS196459:FKS196460 FAW196459:FAW196460 ERA196459:ERA196460 EHE196459:EHE196460 DXI196459:DXI196460 DNM196459:DNM196460 DDQ196459:DDQ196460 CTU196459:CTU196460 CJY196459:CJY196460 CAC196459:CAC196460 BQG196459:BQG196460 BGK196459:BGK196460 AWO196459:AWO196460 AMS196459:AMS196460 ACW196459:ACW196460 TA196459:TA196460 JE196459:JE196460 WVQ130923:WVQ130924 WLU130923:WLU130924 WBY130923:WBY130924 VSC130923:VSC130924 VIG130923:VIG130924 UYK130923:UYK130924 UOO130923:UOO130924 UES130923:UES130924 TUW130923:TUW130924 TLA130923:TLA130924 TBE130923:TBE130924 SRI130923:SRI130924 SHM130923:SHM130924 RXQ130923:RXQ130924 RNU130923:RNU130924 RDY130923:RDY130924 QUC130923:QUC130924 QKG130923:QKG130924 QAK130923:QAK130924 PQO130923:PQO130924 PGS130923:PGS130924 OWW130923:OWW130924 ONA130923:ONA130924 ODE130923:ODE130924 NTI130923:NTI130924 NJM130923:NJM130924 MZQ130923:MZQ130924 MPU130923:MPU130924 MFY130923:MFY130924 LWC130923:LWC130924 LMG130923:LMG130924 LCK130923:LCK130924 KSO130923:KSO130924 KIS130923:KIS130924 JYW130923:JYW130924 JPA130923:JPA130924 JFE130923:JFE130924 IVI130923:IVI130924 ILM130923:ILM130924 IBQ130923:IBQ130924 HRU130923:HRU130924 HHY130923:HHY130924 GYC130923:GYC130924 GOG130923:GOG130924 GEK130923:GEK130924 FUO130923:FUO130924 FKS130923:FKS130924 FAW130923:FAW130924 ERA130923:ERA130924 EHE130923:EHE130924 DXI130923:DXI130924 DNM130923:DNM130924 DDQ130923:DDQ130924 CTU130923:CTU130924 CJY130923:CJY130924 CAC130923:CAC130924 BQG130923:BQG130924 BGK130923:BGK130924 AWO130923:AWO130924 AMS130923:AMS130924 ACW130923:ACW130924 TA130923:TA130924 JE130923:JE130924 WVQ65387:WVQ65388 WLU65387:WLU65388 WBY65387:WBY65388 VSC65387:VSC65388 VIG65387:VIG65388 UYK65387:UYK65388 UOO65387:UOO65388 UES65387:UES65388 TUW65387:TUW65388 TLA65387:TLA65388 TBE65387:TBE65388 SRI65387:SRI65388 SHM65387:SHM65388 RXQ65387:RXQ65388 RNU65387:RNU65388 RDY65387:RDY65388 QUC65387:QUC65388 QKG65387:QKG65388 QAK65387:QAK65388 PQO65387:PQO65388 PGS65387:PGS65388 OWW65387:OWW65388 ONA65387:ONA65388 ODE65387:ODE65388 NTI65387:NTI65388 NJM65387:NJM65388 MZQ65387:MZQ65388 MPU65387:MPU65388 MFY65387:MFY65388 LWC65387:LWC65388 LMG65387:LMG65388 LCK65387:LCK65388 KSO65387:KSO65388 KIS65387:KIS65388 JYW65387:JYW65388 JPA65387:JPA65388 JFE65387:JFE65388 IVI65387:IVI65388 ILM65387:ILM65388 IBQ65387:IBQ65388 HRU65387:HRU65388 HHY65387:HHY65388 GYC65387:GYC65388 GOG65387:GOG65388 GEK65387:GEK65388 FUO65387:FUO65388 FKS65387:FKS65388 FAW65387:FAW65388 ERA65387:ERA65388 EHE65387:EHE65388 DXI65387:DXI65388 DNM65387:DNM65388 DDQ65387:DDQ65388 CTU65387:CTU65388 CJY65387:CJY65388 CAC65387:CAC65388 BQG65387:BQG65388 BGK65387:BGK65388 AWO65387:AWO65388 AMS65387:AMS65388 ACW65387:ACW65388 TA65387:TA65388 JE65387:JE65388 WVQ982891:WVQ982892 WLU9:WLU80 WBY9:WBY80 VSC9:VSC80 VIG9:VIG80 UYK9:UYK80 UOO9:UOO80 UES9:UES80 TUW9:TUW80 TLA9:TLA80 TBE9:TBE80 SRI9:SRI80 SHM9:SHM80 RXQ9:RXQ80 RNU9:RNU80 RDY9:RDY80 QUC9:QUC80 QKG9:QKG80 QAK9:QAK80 PQO9:PQO80 PGS9:PGS80 OWW9:OWW80 ONA9:ONA80 ODE9:ODE80 NTI9:NTI80 NJM9:NJM80 MZQ9:MZQ80 MPU9:MPU80 MFY9:MFY80 LWC9:LWC80 LMG9:LMG80 LCK9:LCK80 KSO9:KSO80 KIS9:KIS80 JYW9:JYW80 JPA9:JPA80 JFE9:JFE80 IVI9:IVI80 ILM9:ILM80 IBQ9:IBQ80 HRU9:HRU80 HHY9:HHY80 GYC9:GYC80 GOG9:GOG80 GEK9:GEK80 FUO9:FUO80 FKS9:FKS80 FAW9:FAW80 ERA9:ERA80 EHE9:EHE80 DXI9:DXI80 DNM9:DNM80 DDQ9:DDQ80 CTU9:CTU80 CJY9:CJY80 CAC9:CAC80 BQG9:BQG80 BGK9:BGK80 AWO9:AWO80 AMS9:AMS80 ACW9:ACW80 TA9:TA80 JE9:JE80 WVQ9:WVQ80">
      <formula1>"없음,들기,밀기,끌기"</formula1>
    </dataValidation>
    <dataValidation type="list" allowBlank="1" showInputMessage="1" showErrorMessage="1" sqref="WVM982891:WVM982892 WLQ982891:WLQ982892 WBU982891:WBU982892 VRY982891:VRY982892 VIC982891:VIC982892 UYG982891:UYG982892 UOK982891:UOK982892 UEO982891:UEO982892 TUS982891:TUS982892 TKW982891:TKW982892 TBA982891:TBA982892 SRE982891:SRE982892 SHI982891:SHI982892 RXM982891:RXM982892 RNQ982891:RNQ982892 RDU982891:RDU982892 QTY982891:QTY982892 QKC982891:QKC982892 QAG982891:QAG982892 PQK982891:PQK982892 PGO982891:PGO982892 OWS982891:OWS982892 OMW982891:OMW982892 ODA982891:ODA982892 NTE982891:NTE982892 NJI982891:NJI982892 MZM982891:MZM982892 MPQ982891:MPQ982892 MFU982891:MFU982892 LVY982891:LVY982892 LMC982891:LMC982892 LCG982891:LCG982892 KSK982891:KSK982892 KIO982891:KIO982892 JYS982891:JYS982892 JOW982891:JOW982892 JFA982891:JFA982892 IVE982891:IVE982892 ILI982891:ILI982892 IBM982891:IBM982892 HRQ982891:HRQ982892 HHU982891:HHU982892 GXY982891:GXY982892 GOC982891:GOC982892 GEG982891:GEG982892 FUK982891:FUK982892 FKO982891:FKO982892 FAS982891:FAS982892 EQW982891:EQW982892 EHA982891:EHA982892 DXE982891:DXE982892 DNI982891:DNI982892 DDM982891:DDM982892 CTQ982891:CTQ982892 CJU982891:CJU982892 BZY982891:BZY982892 BQC982891:BQC982892 BGG982891:BGG982892 AWK982891:AWK982892 AMO982891:AMO982892 ACS982891:ACS982892 SW982891:SW982892 JA982891:JA982892 WVM917355:WVM917356 WLQ917355:WLQ917356 WBU917355:WBU917356 VRY917355:VRY917356 VIC917355:VIC917356 UYG917355:UYG917356 UOK917355:UOK917356 UEO917355:UEO917356 TUS917355:TUS917356 TKW917355:TKW917356 TBA917355:TBA917356 SRE917355:SRE917356 SHI917355:SHI917356 RXM917355:RXM917356 RNQ917355:RNQ917356 RDU917355:RDU917356 QTY917355:QTY917356 QKC917355:QKC917356 QAG917355:QAG917356 PQK917355:PQK917356 PGO917355:PGO917356 OWS917355:OWS917356 OMW917355:OMW917356 ODA917355:ODA917356 NTE917355:NTE917356 NJI917355:NJI917356 MZM917355:MZM917356 MPQ917355:MPQ917356 MFU917355:MFU917356 LVY917355:LVY917356 LMC917355:LMC917356 LCG917355:LCG917356 KSK917355:KSK917356 KIO917355:KIO917356 JYS917355:JYS917356 JOW917355:JOW917356 JFA917355:JFA917356 IVE917355:IVE917356 ILI917355:ILI917356 IBM917355:IBM917356 HRQ917355:HRQ917356 HHU917355:HHU917356 GXY917355:GXY917356 GOC917355:GOC917356 GEG917355:GEG917356 FUK917355:FUK917356 FKO917355:FKO917356 FAS917355:FAS917356 EQW917355:EQW917356 EHA917355:EHA917356 DXE917355:DXE917356 DNI917355:DNI917356 DDM917355:DDM917356 CTQ917355:CTQ917356 CJU917355:CJU917356 BZY917355:BZY917356 BQC917355:BQC917356 BGG917355:BGG917356 AWK917355:AWK917356 AMO917355:AMO917356 ACS917355:ACS917356 SW917355:SW917356 JA917355:JA917356 WVM851819:WVM851820 WLQ851819:WLQ851820 WBU851819:WBU851820 VRY851819:VRY851820 VIC851819:VIC851820 UYG851819:UYG851820 UOK851819:UOK851820 UEO851819:UEO851820 TUS851819:TUS851820 TKW851819:TKW851820 TBA851819:TBA851820 SRE851819:SRE851820 SHI851819:SHI851820 RXM851819:RXM851820 RNQ851819:RNQ851820 RDU851819:RDU851820 QTY851819:QTY851820 QKC851819:QKC851820 QAG851819:QAG851820 PQK851819:PQK851820 PGO851819:PGO851820 OWS851819:OWS851820 OMW851819:OMW851820 ODA851819:ODA851820 NTE851819:NTE851820 NJI851819:NJI851820 MZM851819:MZM851820 MPQ851819:MPQ851820 MFU851819:MFU851820 LVY851819:LVY851820 LMC851819:LMC851820 LCG851819:LCG851820 KSK851819:KSK851820 KIO851819:KIO851820 JYS851819:JYS851820 JOW851819:JOW851820 JFA851819:JFA851820 IVE851819:IVE851820 ILI851819:ILI851820 IBM851819:IBM851820 HRQ851819:HRQ851820 HHU851819:HHU851820 GXY851819:GXY851820 GOC851819:GOC851820 GEG851819:GEG851820 FUK851819:FUK851820 FKO851819:FKO851820 FAS851819:FAS851820 EQW851819:EQW851820 EHA851819:EHA851820 DXE851819:DXE851820 DNI851819:DNI851820 DDM851819:DDM851820 CTQ851819:CTQ851820 CJU851819:CJU851820 BZY851819:BZY851820 BQC851819:BQC851820 BGG851819:BGG851820 AWK851819:AWK851820 AMO851819:AMO851820 ACS851819:ACS851820 SW851819:SW851820 JA851819:JA851820 WVM786283:WVM786284 WLQ786283:WLQ786284 WBU786283:WBU786284 VRY786283:VRY786284 VIC786283:VIC786284 UYG786283:UYG786284 UOK786283:UOK786284 UEO786283:UEO786284 TUS786283:TUS786284 TKW786283:TKW786284 TBA786283:TBA786284 SRE786283:SRE786284 SHI786283:SHI786284 RXM786283:RXM786284 RNQ786283:RNQ786284 RDU786283:RDU786284 QTY786283:QTY786284 QKC786283:QKC786284 QAG786283:QAG786284 PQK786283:PQK786284 PGO786283:PGO786284 OWS786283:OWS786284 OMW786283:OMW786284 ODA786283:ODA786284 NTE786283:NTE786284 NJI786283:NJI786284 MZM786283:MZM786284 MPQ786283:MPQ786284 MFU786283:MFU786284 LVY786283:LVY786284 LMC786283:LMC786284 LCG786283:LCG786284 KSK786283:KSK786284 KIO786283:KIO786284 JYS786283:JYS786284 JOW786283:JOW786284 JFA786283:JFA786284 IVE786283:IVE786284 ILI786283:ILI786284 IBM786283:IBM786284 HRQ786283:HRQ786284 HHU786283:HHU786284 GXY786283:GXY786284 GOC786283:GOC786284 GEG786283:GEG786284 FUK786283:FUK786284 FKO786283:FKO786284 FAS786283:FAS786284 EQW786283:EQW786284 EHA786283:EHA786284 DXE786283:DXE786284 DNI786283:DNI786284 DDM786283:DDM786284 CTQ786283:CTQ786284 CJU786283:CJU786284 BZY786283:BZY786284 BQC786283:BQC786284 BGG786283:BGG786284 AWK786283:AWK786284 AMO786283:AMO786284 ACS786283:ACS786284 SW786283:SW786284 JA786283:JA786284 WVM720747:WVM720748 WLQ720747:WLQ720748 WBU720747:WBU720748 VRY720747:VRY720748 VIC720747:VIC720748 UYG720747:UYG720748 UOK720747:UOK720748 UEO720747:UEO720748 TUS720747:TUS720748 TKW720747:TKW720748 TBA720747:TBA720748 SRE720747:SRE720748 SHI720747:SHI720748 RXM720747:RXM720748 RNQ720747:RNQ720748 RDU720747:RDU720748 QTY720747:QTY720748 QKC720747:QKC720748 QAG720747:QAG720748 PQK720747:PQK720748 PGO720747:PGO720748 OWS720747:OWS720748 OMW720747:OMW720748 ODA720747:ODA720748 NTE720747:NTE720748 NJI720747:NJI720748 MZM720747:MZM720748 MPQ720747:MPQ720748 MFU720747:MFU720748 LVY720747:LVY720748 LMC720747:LMC720748 LCG720747:LCG720748 KSK720747:KSK720748 KIO720747:KIO720748 JYS720747:JYS720748 JOW720747:JOW720748 JFA720747:JFA720748 IVE720747:IVE720748 ILI720747:ILI720748 IBM720747:IBM720748 HRQ720747:HRQ720748 HHU720747:HHU720748 GXY720747:GXY720748 GOC720747:GOC720748 GEG720747:GEG720748 FUK720747:FUK720748 FKO720747:FKO720748 FAS720747:FAS720748 EQW720747:EQW720748 EHA720747:EHA720748 DXE720747:DXE720748 DNI720747:DNI720748 DDM720747:DDM720748 CTQ720747:CTQ720748 CJU720747:CJU720748 BZY720747:BZY720748 BQC720747:BQC720748 BGG720747:BGG720748 AWK720747:AWK720748 AMO720747:AMO720748 ACS720747:ACS720748 SW720747:SW720748 JA720747:JA720748 WVM655211:WVM655212 WLQ655211:WLQ655212 WBU655211:WBU655212 VRY655211:VRY655212 VIC655211:VIC655212 UYG655211:UYG655212 UOK655211:UOK655212 UEO655211:UEO655212 TUS655211:TUS655212 TKW655211:TKW655212 TBA655211:TBA655212 SRE655211:SRE655212 SHI655211:SHI655212 RXM655211:RXM655212 RNQ655211:RNQ655212 RDU655211:RDU655212 QTY655211:QTY655212 QKC655211:QKC655212 QAG655211:QAG655212 PQK655211:PQK655212 PGO655211:PGO655212 OWS655211:OWS655212 OMW655211:OMW655212 ODA655211:ODA655212 NTE655211:NTE655212 NJI655211:NJI655212 MZM655211:MZM655212 MPQ655211:MPQ655212 MFU655211:MFU655212 LVY655211:LVY655212 LMC655211:LMC655212 LCG655211:LCG655212 KSK655211:KSK655212 KIO655211:KIO655212 JYS655211:JYS655212 JOW655211:JOW655212 JFA655211:JFA655212 IVE655211:IVE655212 ILI655211:ILI655212 IBM655211:IBM655212 HRQ655211:HRQ655212 HHU655211:HHU655212 GXY655211:GXY655212 GOC655211:GOC655212 GEG655211:GEG655212 FUK655211:FUK655212 FKO655211:FKO655212 FAS655211:FAS655212 EQW655211:EQW655212 EHA655211:EHA655212 DXE655211:DXE655212 DNI655211:DNI655212 DDM655211:DDM655212 CTQ655211:CTQ655212 CJU655211:CJU655212 BZY655211:BZY655212 BQC655211:BQC655212 BGG655211:BGG655212 AWK655211:AWK655212 AMO655211:AMO655212 ACS655211:ACS655212 SW655211:SW655212 JA655211:JA655212 WVM589675:WVM589676 WLQ589675:WLQ589676 WBU589675:WBU589676 VRY589675:VRY589676 VIC589675:VIC589676 UYG589675:UYG589676 UOK589675:UOK589676 UEO589675:UEO589676 TUS589675:TUS589676 TKW589675:TKW589676 TBA589675:TBA589676 SRE589675:SRE589676 SHI589675:SHI589676 RXM589675:RXM589676 RNQ589675:RNQ589676 RDU589675:RDU589676 QTY589675:QTY589676 QKC589675:QKC589676 QAG589675:QAG589676 PQK589675:PQK589676 PGO589675:PGO589676 OWS589675:OWS589676 OMW589675:OMW589676 ODA589675:ODA589676 NTE589675:NTE589676 NJI589675:NJI589676 MZM589675:MZM589676 MPQ589675:MPQ589676 MFU589675:MFU589676 LVY589675:LVY589676 LMC589675:LMC589676 LCG589675:LCG589676 KSK589675:KSK589676 KIO589675:KIO589676 JYS589675:JYS589676 JOW589675:JOW589676 JFA589675:JFA589676 IVE589675:IVE589676 ILI589675:ILI589676 IBM589675:IBM589676 HRQ589675:HRQ589676 HHU589675:HHU589676 GXY589675:GXY589676 GOC589675:GOC589676 GEG589675:GEG589676 FUK589675:FUK589676 FKO589675:FKO589676 FAS589675:FAS589676 EQW589675:EQW589676 EHA589675:EHA589676 DXE589675:DXE589676 DNI589675:DNI589676 DDM589675:DDM589676 CTQ589675:CTQ589676 CJU589675:CJU589676 BZY589675:BZY589676 BQC589675:BQC589676 BGG589675:BGG589676 AWK589675:AWK589676 AMO589675:AMO589676 ACS589675:ACS589676 SW589675:SW589676 JA589675:JA589676 WVM524139:WVM524140 WLQ524139:WLQ524140 WBU524139:WBU524140 VRY524139:VRY524140 VIC524139:VIC524140 UYG524139:UYG524140 UOK524139:UOK524140 UEO524139:UEO524140 TUS524139:TUS524140 TKW524139:TKW524140 TBA524139:TBA524140 SRE524139:SRE524140 SHI524139:SHI524140 RXM524139:RXM524140 RNQ524139:RNQ524140 RDU524139:RDU524140 QTY524139:QTY524140 QKC524139:QKC524140 QAG524139:QAG524140 PQK524139:PQK524140 PGO524139:PGO524140 OWS524139:OWS524140 OMW524139:OMW524140 ODA524139:ODA524140 NTE524139:NTE524140 NJI524139:NJI524140 MZM524139:MZM524140 MPQ524139:MPQ524140 MFU524139:MFU524140 LVY524139:LVY524140 LMC524139:LMC524140 LCG524139:LCG524140 KSK524139:KSK524140 KIO524139:KIO524140 JYS524139:JYS524140 JOW524139:JOW524140 JFA524139:JFA524140 IVE524139:IVE524140 ILI524139:ILI524140 IBM524139:IBM524140 HRQ524139:HRQ524140 HHU524139:HHU524140 GXY524139:GXY524140 GOC524139:GOC524140 GEG524139:GEG524140 FUK524139:FUK524140 FKO524139:FKO524140 FAS524139:FAS524140 EQW524139:EQW524140 EHA524139:EHA524140 DXE524139:DXE524140 DNI524139:DNI524140 DDM524139:DDM524140 CTQ524139:CTQ524140 CJU524139:CJU524140 BZY524139:BZY524140 BQC524139:BQC524140 BGG524139:BGG524140 AWK524139:AWK524140 AMO524139:AMO524140 ACS524139:ACS524140 SW524139:SW524140 JA524139:JA524140 WVM458603:WVM458604 WLQ458603:WLQ458604 WBU458603:WBU458604 VRY458603:VRY458604 VIC458603:VIC458604 UYG458603:UYG458604 UOK458603:UOK458604 UEO458603:UEO458604 TUS458603:TUS458604 TKW458603:TKW458604 TBA458603:TBA458604 SRE458603:SRE458604 SHI458603:SHI458604 RXM458603:RXM458604 RNQ458603:RNQ458604 RDU458603:RDU458604 QTY458603:QTY458604 QKC458603:QKC458604 QAG458603:QAG458604 PQK458603:PQK458604 PGO458603:PGO458604 OWS458603:OWS458604 OMW458603:OMW458604 ODA458603:ODA458604 NTE458603:NTE458604 NJI458603:NJI458604 MZM458603:MZM458604 MPQ458603:MPQ458604 MFU458603:MFU458604 LVY458603:LVY458604 LMC458603:LMC458604 LCG458603:LCG458604 KSK458603:KSK458604 KIO458603:KIO458604 JYS458603:JYS458604 JOW458603:JOW458604 JFA458603:JFA458604 IVE458603:IVE458604 ILI458603:ILI458604 IBM458603:IBM458604 HRQ458603:HRQ458604 HHU458603:HHU458604 GXY458603:GXY458604 GOC458603:GOC458604 GEG458603:GEG458604 FUK458603:FUK458604 FKO458603:FKO458604 FAS458603:FAS458604 EQW458603:EQW458604 EHA458603:EHA458604 DXE458603:DXE458604 DNI458603:DNI458604 DDM458603:DDM458604 CTQ458603:CTQ458604 CJU458603:CJU458604 BZY458603:BZY458604 BQC458603:BQC458604 BGG458603:BGG458604 AWK458603:AWK458604 AMO458603:AMO458604 ACS458603:ACS458604 SW458603:SW458604 JA458603:JA458604 WVM393067:WVM393068 WLQ393067:WLQ393068 WBU393067:WBU393068 VRY393067:VRY393068 VIC393067:VIC393068 UYG393067:UYG393068 UOK393067:UOK393068 UEO393067:UEO393068 TUS393067:TUS393068 TKW393067:TKW393068 TBA393067:TBA393068 SRE393067:SRE393068 SHI393067:SHI393068 RXM393067:RXM393068 RNQ393067:RNQ393068 RDU393067:RDU393068 QTY393067:QTY393068 QKC393067:QKC393068 QAG393067:QAG393068 PQK393067:PQK393068 PGO393067:PGO393068 OWS393067:OWS393068 OMW393067:OMW393068 ODA393067:ODA393068 NTE393067:NTE393068 NJI393067:NJI393068 MZM393067:MZM393068 MPQ393067:MPQ393068 MFU393067:MFU393068 LVY393067:LVY393068 LMC393067:LMC393068 LCG393067:LCG393068 KSK393067:KSK393068 KIO393067:KIO393068 JYS393067:JYS393068 JOW393067:JOW393068 JFA393067:JFA393068 IVE393067:IVE393068 ILI393067:ILI393068 IBM393067:IBM393068 HRQ393067:HRQ393068 HHU393067:HHU393068 GXY393067:GXY393068 GOC393067:GOC393068 GEG393067:GEG393068 FUK393067:FUK393068 FKO393067:FKO393068 FAS393067:FAS393068 EQW393067:EQW393068 EHA393067:EHA393068 DXE393067:DXE393068 DNI393067:DNI393068 DDM393067:DDM393068 CTQ393067:CTQ393068 CJU393067:CJU393068 BZY393067:BZY393068 BQC393067:BQC393068 BGG393067:BGG393068 AWK393067:AWK393068 AMO393067:AMO393068 ACS393067:ACS393068 SW393067:SW393068 JA393067:JA393068 WVM327531:WVM327532 WLQ327531:WLQ327532 WBU327531:WBU327532 VRY327531:VRY327532 VIC327531:VIC327532 UYG327531:UYG327532 UOK327531:UOK327532 UEO327531:UEO327532 TUS327531:TUS327532 TKW327531:TKW327532 TBA327531:TBA327532 SRE327531:SRE327532 SHI327531:SHI327532 RXM327531:RXM327532 RNQ327531:RNQ327532 RDU327531:RDU327532 QTY327531:QTY327532 QKC327531:QKC327532 QAG327531:QAG327532 PQK327531:PQK327532 PGO327531:PGO327532 OWS327531:OWS327532 OMW327531:OMW327532 ODA327531:ODA327532 NTE327531:NTE327532 NJI327531:NJI327532 MZM327531:MZM327532 MPQ327531:MPQ327532 MFU327531:MFU327532 LVY327531:LVY327532 LMC327531:LMC327532 LCG327531:LCG327532 KSK327531:KSK327532 KIO327531:KIO327532 JYS327531:JYS327532 JOW327531:JOW327532 JFA327531:JFA327532 IVE327531:IVE327532 ILI327531:ILI327532 IBM327531:IBM327532 HRQ327531:HRQ327532 HHU327531:HHU327532 GXY327531:GXY327532 GOC327531:GOC327532 GEG327531:GEG327532 FUK327531:FUK327532 FKO327531:FKO327532 FAS327531:FAS327532 EQW327531:EQW327532 EHA327531:EHA327532 DXE327531:DXE327532 DNI327531:DNI327532 DDM327531:DDM327532 CTQ327531:CTQ327532 CJU327531:CJU327532 BZY327531:BZY327532 BQC327531:BQC327532 BGG327531:BGG327532 AWK327531:AWK327532 AMO327531:AMO327532 ACS327531:ACS327532 SW327531:SW327532 JA327531:JA327532 WVM261995:WVM261996 WLQ261995:WLQ261996 WBU261995:WBU261996 VRY261995:VRY261996 VIC261995:VIC261996 UYG261995:UYG261996 UOK261995:UOK261996 UEO261995:UEO261996 TUS261995:TUS261996 TKW261995:TKW261996 TBA261995:TBA261996 SRE261995:SRE261996 SHI261995:SHI261996 RXM261995:RXM261996 RNQ261995:RNQ261996 RDU261995:RDU261996 QTY261995:QTY261996 QKC261995:QKC261996 QAG261995:QAG261996 PQK261995:PQK261996 PGO261995:PGO261996 OWS261995:OWS261996 OMW261995:OMW261996 ODA261995:ODA261996 NTE261995:NTE261996 NJI261995:NJI261996 MZM261995:MZM261996 MPQ261995:MPQ261996 MFU261995:MFU261996 LVY261995:LVY261996 LMC261995:LMC261996 LCG261995:LCG261996 KSK261995:KSK261996 KIO261995:KIO261996 JYS261995:JYS261996 JOW261995:JOW261996 JFA261995:JFA261996 IVE261995:IVE261996 ILI261995:ILI261996 IBM261995:IBM261996 HRQ261995:HRQ261996 HHU261995:HHU261996 GXY261995:GXY261996 GOC261995:GOC261996 GEG261995:GEG261996 FUK261995:FUK261996 FKO261995:FKO261996 FAS261995:FAS261996 EQW261995:EQW261996 EHA261995:EHA261996 DXE261995:DXE261996 DNI261995:DNI261996 DDM261995:DDM261996 CTQ261995:CTQ261996 CJU261995:CJU261996 BZY261995:BZY261996 BQC261995:BQC261996 BGG261995:BGG261996 AWK261995:AWK261996 AMO261995:AMO261996 ACS261995:ACS261996 SW261995:SW261996 JA261995:JA261996 WVM196459:WVM196460 WLQ196459:WLQ196460 WBU196459:WBU196460 VRY196459:VRY196460 VIC196459:VIC196460 UYG196459:UYG196460 UOK196459:UOK196460 UEO196459:UEO196460 TUS196459:TUS196460 TKW196459:TKW196460 TBA196459:TBA196460 SRE196459:SRE196460 SHI196459:SHI196460 RXM196459:RXM196460 RNQ196459:RNQ196460 RDU196459:RDU196460 QTY196459:QTY196460 QKC196459:QKC196460 QAG196459:QAG196460 PQK196459:PQK196460 PGO196459:PGO196460 OWS196459:OWS196460 OMW196459:OMW196460 ODA196459:ODA196460 NTE196459:NTE196460 NJI196459:NJI196460 MZM196459:MZM196460 MPQ196459:MPQ196460 MFU196459:MFU196460 LVY196459:LVY196460 LMC196459:LMC196460 LCG196459:LCG196460 KSK196459:KSK196460 KIO196459:KIO196460 JYS196459:JYS196460 JOW196459:JOW196460 JFA196459:JFA196460 IVE196459:IVE196460 ILI196459:ILI196460 IBM196459:IBM196460 HRQ196459:HRQ196460 HHU196459:HHU196460 GXY196459:GXY196460 GOC196459:GOC196460 GEG196459:GEG196460 FUK196459:FUK196460 FKO196459:FKO196460 FAS196459:FAS196460 EQW196459:EQW196460 EHA196459:EHA196460 DXE196459:DXE196460 DNI196459:DNI196460 DDM196459:DDM196460 CTQ196459:CTQ196460 CJU196459:CJU196460 BZY196459:BZY196460 BQC196459:BQC196460 BGG196459:BGG196460 AWK196459:AWK196460 AMO196459:AMO196460 ACS196459:ACS196460 SW196459:SW196460 JA196459:JA196460 WVM130923:WVM130924 WLQ130923:WLQ130924 WBU130923:WBU130924 VRY130923:VRY130924 VIC130923:VIC130924 UYG130923:UYG130924 UOK130923:UOK130924 UEO130923:UEO130924 TUS130923:TUS130924 TKW130923:TKW130924 TBA130923:TBA130924 SRE130923:SRE130924 SHI130923:SHI130924 RXM130923:RXM130924 RNQ130923:RNQ130924 RDU130923:RDU130924 QTY130923:QTY130924 QKC130923:QKC130924 QAG130923:QAG130924 PQK130923:PQK130924 PGO130923:PGO130924 OWS130923:OWS130924 OMW130923:OMW130924 ODA130923:ODA130924 NTE130923:NTE130924 NJI130923:NJI130924 MZM130923:MZM130924 MPQ130923:MPQ130924 MFU130923:MFU130924 LVY130923:LVY130924 LMC130923:LMC130924 LCG130923:LCG130924 KSK130923:KSK130924 KIO130923:KIO130924 JYS130923:JYS130924 JOW130923:JOW130924 JFA130923:JFA130924 IVE130923:IVE130924 ILI130923:ILI130924 IBM130923:IBM130924 HRQ130923:HRQ130924 HHU130923:HHU130924 GXY130923:GXY130924 GOC130923:GOC130924 GEG130923:GEG130924 FUK130923:FUK130924 FKO130923:FKO130924 FAS130923:FAS130924 EQW130923:EQW130924 EHA130923:EHA130924 DXE130923:DXE130924 DNI130923:DNI130924 DDM130923:DDM130924 CTQ130923:CTQ130924 CJU130923:CJU130924 BZY130923:BZY130924 BQC130923:BQC130924 BGG130923:BGG130924 AWK130923:AWK130924 AMO130923:AMO130924 ACS130923:ACS130924 SW130923:SW130924 JA130923:JA130924 WVM65387:WVM65388 WLQ65387:WLQ65388 WBU65387:WBU65388 VRY65387:VRY65388 VIC65387:VIC65388 UYG65387:UYG65388 UOK65387:UOK65388 UEO65387:UEO65388 TUS65387:TUS65388 TKW65387:TKW65388 TBA65387:TBA65388 SRE65387:SRE65388 SHI65387:SHI65388 RXM65387:RXM65388 RNQ65387:RNQ65388 RDU65387:RDU65388 QTY65387:QTY65388 QKC65387:QKC65388 QAG65387:QAG65388 PQK65387:PQK65388 PGO65387:PGO65388 OWS65387:OWS65388 OMW65387:OMW65388 ODA65387:ODA65388 NTE65387:NTE65388 NJI65387:NJI65388 MZM65387:MZM65388 MPQ65387:MPQ65388 MFU65387:MFU65388 LVY65387:LVY65388 LMC65387:LMC65388 LCG65387:LCG65388 KSK65387:KSK65388 KIO65387:KIO65388 JYS65387:JYS65388 JOW65387:JOW65388 JFA65387:JFA65388 IVE65387:IVE65388 ILI65387:ILI65388 IBM65387:IBM65388 HRQ65387:HRQ65388 HHU65387:HHU65388 GXY65387:GXY65388 GOC65387:GOC65388 GEG65387:GEG65388 FUK65387:FUK65388 FKO65387:FKO65388 FAS65387:FAS65388 EQW65387:EQW65388 EHA65387:EHA65388 DXE65387:DXE65388 DNI65387:DNI65388 DDM65387:DDM65388 CTQ65387:CTQ65388 CJU65387:CJU65388 BZY65387:BZY65388 BQC65387:BQC65388 BGG65387:BGG65388 AWK65387:AWK65388 AMO65387:AMO65388 ACS65387:ACS65388 SW65387:SW65388 JA65387:JA65388 WLQ9:WLQ80 WBU9:WBU80 VRY9:VRY80 VIC9:VIC80 UYG9:UYG80 UOK9:UOK80 UEO9:UEO80 TUS9:TUS80 TKW9:TKW80 TBA9:TBA80 SRE9:SRE80 SHI9:SHI80 RXM9:RXM80 RNQ9:RNQ80 RDU9:RDU80 QTY9:QTY80 QKC9:QKC80 QAG9:QAG80 PQK9:PQK80 PGO9:PGO80 OWS9:OWS80 OMW9:OMW80 ODA9:ODA80 NTE9:NTE80 NJI9:NJI80 MZM9:MZM80 MPQ9:MPQ80 MFU9:MFU80 LVY9:LVY80 LMC9:LMC80 LCG9:LCG80 KSK9:KSK80 KIO9:KIO80 JYS9:JYS80 JOW9:JOW80 JFA9:JFA80 IVE9:IVE80 ILI9:ILI80 IBM9:IBM80 HRQ9:HRQ80 HHU9:HHU80 GXY9:GXY80 GOC9:GOC80 GEG9:GEG80 FUK9:FUK80 FKO9:FKO80 FAS9:FAS80 EQW9:EQW80 EHA9:EHA80 DXE9:DXE80 DNI9:DNI80 DDM9:DDM80 CTQ9:CTQ80 CJU9:CJU80 BZY9:BZY80 BQC9:BQC80 BGG9:BGG80 AWK9:AWK80 AMO9:AMO80 ACS9:ACS80 SW9:SW80 JA9:JA80 WVM9:WVM80">
      <formula1>"없음,기계,인력"</formula1>
    </dataValidation>
    <dataValidation type="list" allowBlank="1" showInputMessage="1" showErrorMessage="1" sqref="WLV982891:WLW982892 WBZ982891:WCA982892 VSD982891:VSE982892 VIH982891:VII982892 UYL982891:UYM982892 UOP982891:UOQ982892 UET982891:UEU982892 TUX982891:TUY982892 TLB982891:TLC982892 TBF982891:TBG982892 SRJ982891:SRK982892 SHN982891:SHO982892 RXR982891:RXS982892 RNV982891:RNW982892 RDZ982891:REA982892 QUD982891:QUE982892 QKH982891:QKI982892 QAL982891:QAM982892 PQP982891:PQQ982892 PGT982891:PGU982892 OWX982891:OWY982892 ONB982891:ONC982892 ODF982891:ODG982892 NTJ982891:NTK982892 NJN982891:NJO982892 MZR982891:MZS982892 MPV982891:MPW982892 MFZ982891:MGA982892 LWD982891:LWE982892 LMH982891:LMI982892 LCL982891:LCM982892 KSP982891:KSQ982892 KIT982891:KIU982892 JYX982891:JYY982892 JPB982891:JPC982892 JFF982891:JFG982892 IVJ982891:IVK982892 ILN982891:ILO982892 IBR982891:IBS982892 HRV982891:HRW982892 HHZ982891:HIA982892 GYD982891:GYE982892 GOH982891:GOI982892 GEL982891:GEM982892 FUP982891:FUQ982892 FKT982891:FKU982892 FAX982891:FAY982892 ERB982891:ERC982892 EHF982891:EHG982892 DXJ982891:DXK982892 DNN982891:DNO982892 DDR982891:DDS982892 CTV982891:CTW982892 CJZ982891:CKA982892 CAD982891:CAE982892 BQH982891:BQI982892 BGL982891:BGM982892 AWP982891:AWQ982892 AMT982891:AMU982892 ACX982891:ACY982892 TB982891:TC982892 JF982891:JG982892 WVR917355:WVS917356 WLV917355:WLW917356 WBZ917355:WCA917356 VSD917355:VSE917356 VIH917355:VII917356 UYL917355:UYM917356 UOP917355:UOQ917356 UET917355:UEU917356 TUX917355:TUY917356 TLB917355:TLC917356 TBF917355:TBG917356 SRJ917355:SRK917356 SHN917355:SHO917356 RXR917355:RXS917356 RNV917355:RNW917356 RDZ917355:REA917356 QUD917355:QUE917356 QKH917355:QKI917356 QAL917355:QAM917356 PQP917355:PQQ917356 PGT917355:PGU917356 OWX917355:OWY917356 ONB917355:ONC917356 ODF917355:ODG917356 NTJ917355:NTK917356 NJN917355:NJO917356 MZR917355:MZS917356 MPV917355:MPW917356 MFZ917355:MGA917356 LWD917355:LWE917356 LMH917355:LMI917356 LCL917355:LCM917356 KSP917355:KSQ917356 KIT917355:KIU917356 JYX917355:JYY917356 JPB917355:JPC917356 JFF917355:JFG917356 IVJ917355:IVK917356 ILN917355:ILO917356 IBR917355:IBS917356 HRV917355:HRW917356 HHZ917355:HIA917356 GYD917355:GYE917356 GOH917355:GOI917356 GEL917355:GEM917356 FUP917355:FUQ917356 FKT917355:FKU917356 FAX917355:FAY917356 ERB917355:ERC917356 EHF917355:EHG917356 DXJ917355:DXK917356 DNN917355:DNO917356 DDR917355:DDS917356 CTV917355:CTW917356 CJZ917355:CKA917356 CAD917355:CAE917356 BQH917355:BQI917356 BGL917355:BGM917356 AWP917355:AWQ917356 AMT917355:AMU917356 ACX917355:ACY917356 TB917355:TC917356 JF917355:JG917356 WVR851819:WVS851820 WLV851819:WLW851820 WBZ851819:WCA851820 VSD851819:VSE851820 VIH851819:VII851820 UYL851819:UYM851820 UOP851819:UOQ851820 UET851819:UEU851820 TUX851819:TUY851820 TLB851819:TLC851820 TBF851819:TBG851820 SRJ851819:SRK851820 SHN851819:SHO851820 RXR851819:RXS851820 RNV851819:RNW851820 RDZ851819:REA851820 QUD851819:QUE851820 QKH851819:QKI851820 QAL851819:QAM851820 PQP851819:PQQ851820 PGT851819:PGU851820 OWX851819:OWY851820 ONB851819:ONC851820 ODF851819:ODG851820 NTJ851819:NTK851820 NJN851819:NJO851820 MZR851819:MZS851820 MPV851819:MPW851820 MFZ851819:MGA851820 LWD851819:LWE851820 LMH851819:LMI851820 LCL851819:LCM851820 KSP851819:KSQ851820 KIT851819:KIU851820 JYX851819:JYY851820 JPB851819:JPC851820 JFF851819:JFG851820 IVJ851819:IVK851820 ILN851819:ILO851820 IBR851819:IBS851820 HRV851819:HRW851820 HHZ851819:HIA851820 GYD851819:GYE851820 GOH851819:GOI851820 GEL851819:GEM851820 FUP851819:FUQ851820 FKT851819:FKU851820 FAX851819:FAY851820 ERB851819:ERC851820 EHF851819:EHG851820 DXJ851819:DXK851820 DNN851819:DNO851820 DDR851819:DDS851820 CTV851819:CTW851820 CJZ851819:CKA851820 CAD851819:CAE851820 BQH851819:BQI851820 BGL851819:BGM851820 AWP851819:AWQ851820 AMT851819:AMU851820 ACX851819:ACY851820 TB851819:TC851820 JF851819:JG851820 WVR786283:WVS786284 WLV786283:WLW786284 WBZ786283:WCA786284 VSD786283:VSE786284 VIH786283:VII786284 UYL786283:UYM786284 UOP786283:UOQ786284 UET786283:UEU786284 TUX786283:TUY786284 TLB786283:TLC786284 TBF786283:TBG786284 SRJ786283:SRK786284 SHN786283:SHO786284 RXR786283:RXS786284 RNV786283:RNW786284 RDZ786283:REA786284 QUD786283:QUE786284 QKH786283:QKI786284 QAL786283:QAM786284 PQP786283:PQQ786284 PGT786283:PGU786284 OWX786283:OWY786284 ONB786283:ONC786284 ODF786283:ODG786284 NTJ786283:NTK786284 NJN786283:NJO786284 MZR786283:MZS786284 MPV786283:MPW786284 MFZ786283:MGA786284 LWD786283:LWE786284 LMH786283:LMI786284 LCL786283:LCM786284 KSP786283:KSQ786284 KIT786283:KIU786284 JYX786283:JYY786284 JPB786283:JPC786284 JFF786283:JFG786284 IVJ786283:IVK786284 ILN786283:ILO786284 IBR786283:IBS786284 HRV786283:HRW786284 HHZ786283:HIA786284 GYD786283:GYE786284 GOH786283:GOI786284 GEL786283:GEM786284 FUP786283:FUQ786284 FKT786283:FKU786284 FAX786283:FAY786284 ERB786283:ERC786284 EHF786283:EHG786284 DXJ786283:DXK786284 DNN786283:DNO786284 DDR786283:DDS786284 CTV786283:CTW786284 CJZ786283:CKA786284 CAD786283:CAE786284 BQH786283:BQI786284 BGL786283:BGM786284 AWP786283:AWQ786284 AMT786283:AMU786284 ACX786283:ACY786284 TB786283:TC786284 JF786283:JG786284 WVR720747:WVS720748 WLV720747:WLW720748 WBZ720747:WCA720748 VSD720747:VSE720748 VIH720747:VII720748 UYL720747:UYM720748 UOP720747:UOQ720748 UET720747:UEU720748 TUX720747:TUY720748 TLB720747:TLC720748 TBF720747:TBG720748 SRJ720747:SRK720748 SHN720747:SHO720748 RXR720747:RXS720748 RNV720747:RNW720748 RDZ720747:REA720748 QUD720747:QUE720748 QKH720747:QKI720748 QAL720747:QAM720748 PQP720747:PQQ720748 PGT720747:PGU720748 OWX720747:OWY720748 ONB720747:ONC720748 ODF720747:ODG720748 NTJ720747:NTK720748 NJN720747:NJO720748 MZR720747:MZS720748 MPV720747:MPW720748 MFZ720747:MGA720748 LWD720747:LWE720748 LMH720747:LMI720748 LCL720747:LCM720748 KSP720747:KSQ720748 KIT720747:KIU720748 JYX720747:JYY720748 JPB720747:JPC720748 JFF720747:JFG720748 IVJ720747:IVK720748 ILN720747:ILO720748 IBR720747:IBS720748 HRV720747:HRW720748 HHZ720747:HIA720748 GYD720747:GYE720748 GOH720747:GOI720748 GEL720747:GEM720748 FUP720747:FUQ720748 FKT720747:FKU720748 FAX720747:FAY720748 ERB720747:ERC720748 EHF720747:EHG720748 DXJ720747:DXK720748 DNN720747:DNO720748 DDR720747:DDS720748 CTV720747:CTW720748 CJZ720747:CKA720748 CAD720747:CAE720748 BQH720747:BQI720748 BGL720747:BGM720748 AWP720747:AWQ720748 AMT720747:AMU720748 ACX720747:ACY720748 TB720747:TC720748 JF720747:JG720748 WVR655211:WVS655212 WLV655211:WLW655212 WBZ655211:WCA655212 VSD655211:VSE655212 VIH655211:VII655212 UYL655211:UYM655212 UOP655211:UOQ655212 UET655211:UEU655212 TUX655211:TUY655212 TLB655211:TLC655212 TBF655211:TBG655212 SRJ655211:SRK655212 SHN655211:SHO655212 RXR655211:RXS655212 RNV655211:RNW655212 RDZ655211:REA655212 QUD655211:QUE655212 QKH655211:QKI655212 QAL655211:QAM655212 PQP655211:PQQ655212 PGT655211:PGU655212 OWX655211:OWY655212 ONB655211:ONC655212 ODF655211:ODG655212 NTJ655211:NTK655212 NJN655211:NJO655212 MZR655211:MZS655212 MPV655211:MPW655212 MFZ655211:MGA655212 LWD655211:LWE655212 LMH655211:LMI655212 LCL655211:LCM655212 KSP655211:KSQ655212 KIT655211:KIU655212 JYX655211:JYY655212 JPB655211:JPC655212 JFF655211:JFG655212 IVJ655211:IVK655212 ILN655211:ILO655212 IBR655211:IBS655212 HRV655211:HRW655212 HHZ655211:HIA655212 GYD655211:GYE655212 GOH655211:GOI655212 GEL655211:GEM655212 FUP655211:FUQ655212 FKT655211:FKU655212 FAX655211:FAY655212 ERB655211:ERC655212 EHF655211:EHG655212 DXJ655211:DXK655212 DNN655211:DNO655212 DDR655211:DDS655212 CTV655211:CTW655212 CJZ655211:CKA655212 CAD655211:CAE655212 BQH655211:BQI655212 BGL655211:BGM655212 AWP655211:AWQ655212 AMT655211:AMU655212 ACX655211:ACY655212 TB655211:TC655212 JF655211:JG655212 WVR589675:WVS589676 WLV589675:WLW589676 WBZ589675:WCA589676 VSD589675:VSE589676 VIH589675:VII589676 UYL589675:UYM589676 UOP589675:UOQ589676 UET589675:UEU589676 TUX589675:TUY589676 TLB589675:TLC589676 TBF589675:TBG589676 SRJ589675:SRK589676 SHN589675:SHO589676 RXR589675:RXS589676 RNV589675:RNW589676 RDZ589675:REA589676 QUD589675:QUE589676 QKH589675:QKI589676 QAL589675:QAM589676 PQP589675:PQQ589676 PGT589675:PGU589676 OWX589675:OWY589676 ONB589675:ONC589676 ODF589675:ODG589676 NTJ589675:NTK589676 NJN589675:NJO589676 MZR589675:MZS589676 MPV589675:MPW589676 MFZ589675:MGA589676 LWD589675:LWE589676 LMH589675:LMI589676 LCL589675:LCM589676 KSP589675:KSQ589676 KIT589675:KIU589676 JYX589675:JYY589676 JPB589675:JPC589676 JFF589675:JFG589676 IVJ589675:IVK589676 ILN589675:ILO589676 IBR589675:IBS589676 HRV589675:HRW589676 HHZ589675:HIA589676 GYD589675:GYE589676 GOH589675:GOI589676 GEL589675:GEM589676 FUP589675:FUQ589676 FKT589675:FKU589676 FAX589675:FAY589676 ERB589675:ERC589676 EHF589675:EHG589676 DXJ589675:DXK589676 DNN589675:DNO589676 DDR589675:DDS589676 CTV589675:CTW589676 CJZ589675:CKA589676 CAD589675:CAE589676 BQH589675:BQI589676 BGL589675:BGM589676 AWP589675:AWQ589676 AMT589675:AMU589676 ACX589675:ACY589676 TB589675:TC589676 JF589675:JG589676 WVR524139:WVS524140 WLV524139:WLW524140 WBZ524139:WCA524140 VSD524139:VSE524140 VIH524139:VII524140 UYL524139:UYM524140 UOP524139:UOQ524140 UET524139:UEU524140 TUX524139:TUY524140 TLB524139:TLC524140 TBF524139:TBG524140 SRJ524139:SRK524140 SHN524139:SHO524140 RXR524139:RXS524140 RNV524139:RNW524140 RDZ524139:REA524140 QUD524139:QUE524140 QKH524139:QKI524140 QAL524139:QAM524140 PQP524139:PQQ524140 PGT524139:PGU524140 OWX524139:OWY524140 ONB524139:ONC524140 ODF524139:ODG524140 NTJ524139:NTK524140 NJN524139:NJO524140 MZR524139:MZS524140 MPV524139:MPW524140 MFZ524139:MGA524140 LWD524139:LWE524140 LMH524139:LMI524140 LCL524139:LCM524140 KSP524139:KSQ524140 KIT524139:KIU524140 JYX524139:JYY524140 JPB524139:JPC524140 JFF524139:JFG524140 IVJ524139:IVK524140 ILN524139:ILO524140 IBR524139:IBS524140 HRV524139:HRW524140 HHZ524139:HIA524140 GYD524139:GYE524140 GOH524139:GOI524140 GEL524139:GEM524140 FUP524139:FUQ524140 FKT524139:FKU524140 FAX524139:FAY524140 ERB524139:ERC524140 EHF524139:EHG524140 DXJ524139:DXK524140 DNN524139:DNO524140 DDR524139:DDS524140 CTV524139:CTW524140 CJZ524139:CKA524140 CAD524139:CAE524140 BQH524139:BQI524140 BGL524139:BGM524140 AWP524139:AWQ524140 AMT524139:AMU524140 ACX524139:ACY524140 TB524139:TC524140 JF524139:JG524140 WVR458603:WVS458604 WLV458603:WLW458604 WBZ458603:WCA458604 VSD458603:VSE458604 VIH458603:VII458604 UYL458603:UYM458604 UOP458603:UOQ458604 UET458603:UEU458604 TUX458603:TUY458604 TLB458603:TLC458604 TBF458603:TBG458604 SRJ458603:SRK458604 SHN458603:SHO458604 RXR458603:RXS458604 RNV458603:RNW458604 RDZ458603:REA458604 QUD458603:QUE458604 QKH458603:QKI458604 QAL458603:QAM458604 PQP458603:PQQ458604 PGT458603:PGU458604 OWX458603:OWY458604 ONB458603:ONC458604 ODF458603:ODG458604 NTJ458603:NTK458604 NJN458603:NJO458604 MZR458603:MZS458604 MPV458603:MPW458604 MFZ458603:MGA458604 LWD458603:LWE458604 LMH458603:LMI458604 LCL458603:LCM458604 KSP458603:KSQ458604 KIT458603:KIU458604 JYX458603:JYY458604 JPB458603:JPC458604 JFF458603:JFG458604 IVJ458603:IVK458604 ILN458603:ILO458604 IBR458603:IBS458604 HRV458603:HRW458604 HHZ458603:HIA458604 GYD458603:GYE458604 GOH458603:GOI458604 GEL458603:GEM458604 FUP458603:FUQ458604 FKT458603:FKU458604 FAX458603:FAY458604 ERB458603:ERC458604 EHF458603:EHG458604 DXJ458603:DXK458604 DNN458603:DNO458604 DDR458603:DDS458604 CTV458603:CTW458604 CJZ458603:CKA458604 CAD458603:CAE458604 BQH458603:BQI458604 BGL458603:BGM458604 AWP458603:AWQ458604 AMT458603:AMU458604 ACX458603:ACY458604 TB458603:TC458604 JF458603:JG458604 WVR393067:WVS393068 WLV393067:WLW393068 WBZ393067:WCA393068 VSD393067:VSE393068 VIH393067:VII393068 UYL393067:UYM393068 UOP393067:UOQ393068 UET393067:UEU393068 TUX393067:TUY393068 TLB393067:TLC393068 TBF393067:TBG393068 SRJ393067:SRK393068 SHN393067:SHO393068 RXR393067:RXS393068 RNV393067:RNW393068 RDZ393067:REA393068 QUD393067:QUE393068 QKH393067:QKI393068 QAL393067:QAM393068 PQP393067:PQQ393068 PGT393067:PGU393068 OWX393067:OWY393068 ONB393067:ONC393068 ODF393067:ODG393068 NTJ393067:NTK393068 NJN393067:NJO393068 MZR393067:MZS393068 MPV393067:MPW393068 MFZ393067:MGA393068 LWD393067:LWE393068 LMH393067:LMI393068 LCL393067:LCM393068 KSP393067:KSQ393068 KIT393067:KIU393068 JYX393067:JYY393068 JPB393067:JPC393068 JFF393067:JFG393068 IVJ393067:IVK393068 ILN393067:ILO393068 IBR393067:IBS393068 HRV393067:HRW393068 HHZ393067:HIA393068 GYD393067:GYE393068 GOH393067:GOI393068 GEL393067:GEM393068 FUP393067:FUQ393068 FKT393067:FKU393068 FAX393067:FAY393068 ERB393067:ERC393068 EHF393067:EHG393068 DXJ393067:DXK393068 DNN393067:DNO393068 DDR393067:DDS393068 CTV393067:CTW393068 CJZ393067:CKA393068 CAD393067:CAE393068 BQH393067:BQI393068 BGL393067:BGM393068 AWP393067:AWQ393068 AMT393067:AMU393068 ACX393067:ACY393068 TB393067:TC393068 JF393067:JG393068 WVR327531:WVS327532 WLV327531:WLW327532 WBZ327531:WCA327532 VSD327531:VSE327532 VIH327531:VII327532 UYL327531:UYM327532 UOP327531:UOQ327532 UET327531:UEU327532 TUX327531:TUY327532 TLB327531:TLC327532 TBF327531:TBG327532 SRJ327531:SRK327532 SHN327531:SHO327532 RXR327531:RXS327532 RNV327531:RNW327532 RDZ327531:REA327532 QUD327531:QUE327532 QKH327531:QKI327532 QAL327531:QAM327532 PQP327531:PQQ327532 PGT327531:PGU327532 OWX327531:OWY327532 ONB327531:ONC327532 ODF327531:ODG327532 NTJ327531:NTK327532 NJN327531:NJO327532 MZR327531:MZS327532 MPV327531:MPW327532 MFZ327531:MGA327532 LWD327531:LWE327532 LMH327531:LMI327532 LCL327531:LCM327532 KSP327531:KSQ327532 KIT327531:KIU327532 JYX327531:JYY327532 JPB327531:JPC327532 JFF327531:JFG327532 IVJ327531:IVK327532 ILN327531:ILO327532 IBR327531:IBS327532 HRV327531:HRW327532 HHZ327531:HIA327532 GYD327531:GYE327532 GOH327531:GOI327532 GEL327531:GEM327532 FUP327531:FUQ327532 FKT327531:FKU327532 FAX327531:FAY327532 ERB327531:ERC327532 EHF327531:EHG327532 DXJ327531:DXK327532 DNN327531:DNO327532 DDR327531:DDS327532 CTV327531:CTW327532 CJZ327531:CKA327532 CAD327531:CAE327532 BQH327531:BQI327532 BGL327531:BGM327532 AWP327531:AWQ327532 AMT327531:AMU327532 ACX327531:ACY327532 TB327531:TC327532 JF327531:JG327532 WVR261995:WVS261996 WLV261995:WLW261996 WBZ261995:WCA261996 VSD261995:VSE261996 VIH261995:VII261996 UYL261995:UYM261996 UOP261995:UOQ261996 UET261995:UEU261996 TUX261995:TUY261996 TLB261995:TLC261996 TBF261995:TBG261996 SRJ261995:SRK261996 SHN261995:SHO261996 RXR261995:RXS261996 RNV261995:RNW261996 RDZ261995:REA261996 QUD261995:QUE261996 QKH261995:QKI261996 QAL261995:QAM261996 PQP261995:PQQ261996 PGT261995:PGU261996 OWX261995:OWY261996 ONB261995:ONC261996 ODF261995:ODG261996 NTJ261995:NTK261996 NJN261995:NJO261996 MZR261995:MZS261996 MPV261995:MPW261996 MFZ261995:MGA261996 LWD261995:LWE261996 LMH261995:LMI261996 LCL261995:LCM261996 KSP261995:KSQ261996 KIT261995:KIU261996 JYX261995:JYY261996 JPB261995:JPC261996 JFF261995:JFG261996 IVJ261995:IVK261996 ILN261995:ILO261996 IBR261995:IBS261996 HRV261995:HRW261996 HHZ261995:HIA261996 GYD261995:GYE261996 GOH261995:GOI261996 GEL261995:GEM261996 FUP261995:FUQ261996 FKT261995:FKU261996 FAX261995:FAY261996 ERB261995:ERC261996 EHF261995:EHG261996 DXJ261995:DXK261996 DNN261995:DNO261996 DDR261995:DDS261996 CTV261995:CTW261996 CJZ261995:CKA261996 CAD261995:CAE261996 BQH261995:BQI261996 BGL261995:BGM261996 AWP261995:AWQ261996 AMT261995:AMU261996 ACX261995:ACY261996 TB261995:TC261996 JF261995:JG261996 WVR196459:WVS196460 WLV196459:WLW196460 WBZ196459:WCA196460 VSD196459:VSE196460 VIH196459:VII196460 UYL196459:UYM196460 UOP196459:UOQ196460 UET196459:UEU196460 TUX196459:TUY196460 TLB196459:TLC196460 TBF196459:TBG196460 SRJ196459:SRK196460 SHN196459:SHO196460 RXR196459:RXS196460 RNV196459:RNW196460 RDZ196459:REA196460 QUD196459:QUE196460 QKH196459:QKI196460 QAL196459:QAM196460 PQP196459:PQQ196460 PGT196459:PGU196460 OWX196459:OWY196460 ONB196459:ONC196460 ODF196459:ODG196460 NTJ196459:NTK196460 NJN196459:NJO196460 MZR196459:MZS196460 MPV196459:MPW196460 MFZ196459:MGA196460 LWD196459:LWE196460 LMH196459:LMI196460 LCL196459:LCM196460 KSP196459:KSQ196460 KIT196459:KIU196460 JYX196459:JYY196460 JPB196459:JPC196460 JFF196459:JFG196460 IVJ196459:IVK196460 ILN196459:ILO196460 IBR196459:IBS196460 HRV196459:HRW196460 HHZ196459:HIA196460 GYD196459:GYE196460 GOH196459:GOI196460 GEL196459:GEM196460 FUP196459:FUQ196460 FKT196459:FKU196460 FAX196459:FAY196460 ERB196459:ERC196460 EHF196459:EHG196460 DXJ196459:DXK196460 DNN196459:DNO196460 DDR196459:DDS196460 CTV196459:CTW196460 CJZ196459:CKA196460 CAD196459:CAE196460 BQH196459:BQI196460 BGL196459:BGM196460 AWP196459:AWQ196460 AMT196459:AMU196460 ACX196459:ACY196460 TB196459:TC196460 JF196459:JG196460 WVR130923:WVS130924 WLV130923:WLW130924 WBZ130923:WCA130924 VSD130923:VSE130924 VIH130923:VII130924 UYL130923:UYM130924 UOP130923:UOQ130924 UET130923:UEU130924 TUX130923:TUY130924 TLB130923:TLC130924 TBF130923:TBG130924 SRJ130923:SRK130924 SHN130923:SHO130924 RXR130923:RXS130924 RNV130923:RNW130924 RDZ130923:REA130924 QUD130923:QUE130924 QKH130923:QKI130924 QAL130923:QAM130924 PQP130923:PQQ130924 PGT130923:PGU130924 OWX130923:OWY130924 ONB130923:ONC130924 ODF130923:ODG130924 NTJ130923:NTK130924 NJN130923:NJO130924 MZR130923:MZS130924 MPV130923:MPW130924 MFZ130923:MGA130924 LWD130923:LWE130924 LMH130923:LMI130924 LCL130923:LCM130924 KSP130923:KSQ130924 KIT130923:KIU130924 JYX130923:JYY130924 JPB130923:JPC130924 JFF130923:JFG130924 IVJ130923:IVK130924 ILN130923:ILO130924 IBR130923:IBS130924 HRV130923:HRW130924 HHZ130923:HIA130924 GYD130923:GYE130924 GOH130923:GOI130924 GEL130923:GEM130924 FUP130923:FUQ130924 FKT130923:FKU130924 FAX130923:FAY130924 ERB130923:ERC130924 EHF130923:EHG130924 DXJ130923:DXK130924 DNN130923:DNO130924 DDR130923:DDS130924 CTV130923:CTW130924 CJZ130923:CKA130924 CAD130923:CAE130924 BQH130923:BQI130924 BGL130923:BGM130924 AWP130923:AWQ130924 AMT130923:AMU130924 ACX130923:ACY130924 TB130923:TC130924 JF130923:JG130924 WVR65387:WVS65388 WLV65387:WLW65388 WBZ65387:WCA65388 VSD65387:VSE65388 VIH65387:VII65388 UYL65387:UYM65388 UOP65387:UOQ65388 UET65387:UEU65388 TUX65387:TUY65388 TLB65387:TLC65388 TBF65387:TBG65388 SRJ65387:SRK65388 SHN65387:SHO65388 RXR65387:RXS65388 RNV65387:RNW65388 RDZ65387:REA65388 QUD65387:QUE65388 QKH65387:QKI65388 QAL65387:QAM65388 PQP65387:PQQ65388 PGT65387:PGU65388 OWX65387:OWY65388 ONB65387:ONC65388 ODF65387:ODG65388 NTJ65387:NTK65388 NJN65387:NJO65388 MZR65387:MZS65388 MPV65387:MPW65388 MFZ65387:MGA65388 LWD65387:LWE65388 LMH65387:LMI65388 LCL65387:LCM65388 KSP65387:KSQ65388 KIT65387:KIU65388 JYX65387:JYY65388 JPB65387:JPC65388 JFF65387:JFG65388 IVJ65387:IVK65388 ILN65387:ILO65388 IBR65387:IBS65388 HRV65387:HRW65388 HHZ65387:HIA65388 GYD65387:GYE65388 GOH65387:GOI65388 GEL65387:GEM65388 FUP65387:FUQ65388 FKT65387:FKU65388 FAX65387:FAY65388 ERB65387:ERC65388 EHF65387:EHG65388 DXJ65387:DXK65388 DNN65387:DNO65388 DDR65387:DDS65388 CTV65387:CTW65388 CJZ65387:CKA65388 CAD65387:CAE65388 BQH65387:BQI65388 BGL65387:BGM65388 AWP65387:AWQ65388 AMT65387:AMU65388 ACX65387:ACY65388 TB65387:TC65388 JF65387:JG65388 WVR982891:WVS982892 WLV9:WLW80 WBZ9:WCA80 VSD9:VSE80 VIH9:VII80 UYL9:UYM80 UOP9:UOQ80 UET9:UEU80 TUX9:TUY80 TLB9:TLC80 TBF9:TBG80 SRJ9:SRK80 SHN9:SHO80 RXR9:RXS80 RNV9:RNW80 RDZ9:REA80 QUD9:QUE80 QKH9:QKI80 QAL9:QAM80 PQP9:PQQ80 PGT9:PGU80 OWX9:OWY80 ONB9:ONC80 ODF9:ODG80 NTJ9:NTK80 NJN9:NJO80 MZR9:MZS80 MPV9:MPW80 MFZ9:MGA80 LWD9:LWE80 LMH9:LMI80 LCL9:LCM80 KSP9:KSQ80 KIT9:KIU80 JYX9:JYY80 JPB9:JPC80 JFF9:JFG80 IVJ9:IVK80 ILN9:ILO80 IBR9:IBS80 HRV9:HRW80 HHZ9:HIA80 GYD9:GYE80 GOH9:GOI80 GEL9:GEM80 FUP9:FUQ80 FKT9:FKU80 FAX9:FAY80 ERB9:ERC80 EHF9:EHG80 DXJ9:DXK80 DNN9:DNO80 DDR9:DDS80 CTV9:CTW80 CJZ9:CKA80 CAD9:CAE80 BQH9:BQI80 BGL9:BGM80 AWP9:AWQ80 AMT9:AMU80 ACX9:ACY80 TB9:TC80 JF9:JG80 WVR9:WVS80">
      <formula1>"대상,미대상"</formula1>
    </dataValidation>
    <dataValidation type="custom" allowBlank="1" showInputMessage="1" showErrorMessage="1" sqref="P20:P23 P35:P38">
      <formula1>P20</formula1>
    </dataValidation>
    <dataValidation type="list" allowBlank="1" showInputMessage="1" showErrorMessage="1" sqref="X9:X45 T9:T45">
      <formula1>"1, 2, 3, 4"</formula1>
    </dataValidation>
    <dataValidation type="list" allowBlank="1" showInputMessage="1" showErrorMessage="1" sqref="W9:W45 S9:S45">
      <formula1>"1, 2, 3, 4, 5"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25</vt:i4>
      </vt:variant>
    </vt:vector>
  </HeadingPairs>
  <TitlesOfParts>
    <vt:vector size="29" baseType="lpstr">
      <vt:lpstr>1.위험성평가실시계획(갑지)</vt:lpstr>
      <vt:lpstr>2.전체공사일정표</vt:lpstr>
      <vt:lpstr>3.위험성추정·결정표</vt:lpstr>
      <vt:lpstr>4.위험성평가표</vt:lpstr>
      <vt:lpstr>'1.위험성평가실시계획(갑지)'!Print_Area</vt:lpstr>
      <vt:lpstr>'2.전체공사일정표'!Print_Area</vt:lpstr>
      <vt:lpstr>'4.위험성평가표'!Print_Area</vt:lpstr>
      <vt:lpstr>'2.전체공사일정표'!RNG_ACTUAL_END_DATE_COL_NAME</vt:lpstr>
      <vt:lpstr>'2.전체공사일정표'!RNG_ACTUAL_RATE_COL_NAME</vt:lpstr>
      <vt:lpstr>'2.전체공사일정표'!RNG_ACTUAL_START_DATE_COL_NAME</vt:lpstr>
      <vt:lpstr>'2.전체공사일정표'!RNG_ACTUAL_TOTAL_DURATION_COL_NAME</vt:lpstr>
      <vt:lpstr>'2.전체공사일정표'!RNG_ACTUAL_TOTAL_WORKLOAD_COL_NAME</vt:lpstr>
      <vt:lpstr>'2.전체공사일정표'!RNG_CALENDAR_COL_NAME</vt:lpstr>
      <vt:lpstr>'2.전체공사일정표'!RNG_DELIVERABLES_COL_NAME</vt:lpstr>
      <vt:lpstr>'2.전체공사일정표'!RNG_END_DATE_COL_NAME</vt:lpstr>
      <vt:lpstr>'2.전체공사일정표'!RNG_ETC_COL_NAME</vt:lpstr>
      <vt:lpstr>'2.전체공사일정표'!RNG_GANTT_AREA_FIRST_COL_NAME</vt:lpstr>
      <vt:lpstr>'2.전체공사일정표'!RNG_PLAN_DURATION_COL_NAME</vt:lpstr>
      <vt:lpstr>'2.전체공사일정표'!RNG_PLAN_RATE_COL_NAME</vt:lpstr>
      <vt:lpstr>'2.전체공사일정표'!RNG_PLAN_WORKLOAD_COL_NAME</vt:lpstr>
      <vt:lpstr>'2.전체공사일정표'!RNG_RESOURCE_COL_NAME</vt:lpstr>
      <vt:lpstr>'2.전체공사일정표'!RNG_RESOURCE_WEIGHT_COL_NAME</vt:lpstr>
      <vt:lpstr>'2.전체공사일정표'!RNG_START_DATE_COL_NAME</vt:lpstr>
      <vt:lpstr>'2.전체공사일정표'!RNG_TASK_FIRST_COL_NAME</vt:lpstr>
      <vt:lpstr>'2.전체공사일정표'!RNG_TOTAL_DURATION_COL_NAME</vt:lpstr>
      <vt:lpstr>'2.전체공사일정표'!RNG_TOTAL_WORKLOAD_COL_NAME</vt:lpstr>
      <vt:lpstr>'2.전체공사일정표'!RNG_WBS_AREA_LAST_COL_NAME</vt:lpstr>
      <vt:lpstr>'2.전체공사일정표'!RNG_WBS_COL_NAME</vt:lpstr>
      <vt:lpstr>'2.전체공사일정표'!RNG_WBS_LEVEL_COL_NAME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박평재(환경안전팀/대리/-)</dc:creator>
  <cp:lastModifiedBy>홍석현(물류PM3팀/수습사원/-)</cp:lastModifiedBy>
  <dcterms:created xsi:type="dcterms:W3CDTF">2020-02-20T15:09:31Z</dcterms:created>
  <dcterms:modified xsi:type="dcterms:W3CDTF">2023-08-14T00:04:38Z</dcterms:modified>
</cp:coreProperties>
</file>