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7P230079ARECV_BOSK_TN1_Aging&amp;ConvyeyorSystem\"/>
    </mc:Choice>
  </mc:AlternateContent>
  <bookViews>
    <workbookView xWindow="0" yWindow="0" windowWidth="23040" windowHeight="9105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" sheetId="131" r:id="rId4"/>
    <sheet name="5. 위험성평가표(최초, 정기, 수시)" sheetId="12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>#REF!</definedName>
    <definedName name="__________________________AAU54">#REF!</definedName>
    <definedName name="_________________________AAU54">#REF!</definedName>
    <definedName name="________________________A1">#REF!</definedName>
    <definedName name="________________________AAU54">#REF!</definedName>
    <definedName name="_______________________A1">#REF!</definedName>
    <definedName name="_______________________AAU54">#REF!</definedName>
    <definedName name="______________________A1">#REF!</definedName>
    <definedName name="______________________AAU54">#REF!</definedName>
    <definedName name="_____________________A1">#REF!</definedName>
    <definedName name="_____________________AAU54">#REF!</definedName>
    <definedName name="_____________________PI31">#REF!</definedName>
    <definedName name="_____________________PI32">#REF!</definedName>
    <definedName name="_____________________PO2">#REF!</definedName>
    <definedName name="_____________________POU1">#REF!</definedName>
    <definedName name="_____________________POU2">#REF!</definedName>
    <definedName name="_____________________POU31">#REF!</definedName>
    <definedName name="_____________________POU32">#REF!</definedName>
    <definedName name="_____________________Rev1">#REF!</definedName>
    <definedName name="_____________________Rev2">#REF!</definedName>
    <definedName name="_____________________SI31">#REF!</definedName>
    <definedName name="_____________________SI32">#REF!</definedName>
    <definedName name="_____________________SI33">#REF!</definedName>
    <definedName name="_____________________SI41">#REF!</definedName>
    <definedName name="_____________________SI42">#REF!</definedName>
    <definedName name="_____________________SI43">#REF!</definedName>
    <definedName name="_____________________SI44">#REF!</definedName>
    <definedName name="_____________________SI45">#REF!</definedName>
    <definedName name="_____________________SI46">#REF!</definedName>
    <definedName name="_____________________SO41">#REF!</definedName>
    <definedName name="_____________________SO42">#REF!</definedName>
    <definedName name="_____________________YN1">#REF!</definedName>
    <definedName name="____________________A1">#REF!</definedName>
    <definedName name="____________________AAU54">#REF!</definedName>
    <definedName name="____________________PI31">#REF!</definedName>
    <definedName name="____________________PI32">#REF!</definedName>
    <definedName name="____________________PO2">#REF!</definedName>
    <definedName name="____________________POU1">#REF!</definedName>
    <definedName name="____________________POU2">#REF!</definedName>
    <definedName name="____________________POU31">#REF!</definedName>
    <definedName name="____________________POU32">#REF!</definedName>
    <definedName name="____________________Rev1">#REF!</definedName>
    <definedName name="____________________Rev2">#REF!</definedName>
    <definedName name="____________________SI31">#REF!</definedName>
    <definedName name="____________________SI32">#REF!</definedName>
    <definedName name="____________________SI33">#REF!</definedName>
    <definedName name="____________________SI41">#REF!</definedName>
    <definedName name="____________________SI42">#REF!</definedName>
    <definedName name="____________________SI43">#REF!</definedName>
    <definedName name="____________________SI44">#REF!</definedName>
    <definedName name="____________________SI45">#REF!</definedName>
    <definedName name="____________________SI46">#REF!</definedName>
    <definedName name="____________________SO41">#REF!</definedName>
    <definedName name="____________________SO42">#REF!</definedName>
    <definedName name="____________________YN1">#REF!</definedName>
    <definedName name="___________________A1">#REF!</definedName>
    <definedName name="___________________AAU54">#REF!</definedName>
    <definedName name="___________________F90000">#REF!</definedName>
    <definedName name="___________________F99999">#REF!</definedName>
    <definedName name="___________________PI31">#REF!</definedName>
    <definedName name="___________________PI32">#REF!</definedName>
    <definedName name="___________________PO2">#REF!</definedName>
    <definedName name="___________________POU1">#REF!</definedName>
    <definedName name="___________________POU2">#REF!</definedName>
    <definedName name="___________________POU31">#REF!</definedName>
    <definedName name="___________________POU32">#REF!</definedName>
    <definedName name="___________________Rev1">#REF!</definedName>
    <definedName name="___________________Rev2">#REF!</definedName>
    <definedName name="___________________SI31">#REF!</definedName>
    <definedName name="___________________SI32">#REF!</definedName>
    <definedName name="___________________SI33">#REF!</definedName>
    <definedName name="___________________SI41">#REF!</definedName>
    <definedName name="___________________SI42">#REF!</definedName>
    <definedName name="___________________SI43">#REF!</definedName>
    <definedName name="___________________SI44">#REF!</definedName>
    <definedName name="___________________SI45">#REF!</definedName>
    <definedName name="___________________SI46">#REF!</definedName>
    <definedName name="___________________SO41">#REF!</definedName>
    <definedName name="___________________SO42">#REF!</definedName>
    <definedName name="___________________YN1">#REF!</definedName>
    <definedName name="__________________A1">#REF!</definedName>
    <definedName name="__________________AAU54">#REF!</definedName>
    <definedName name="__________________F90000">#REF!</definedName>
    <definedName name="__________________F99999">#REF!</definedName>
    <definedName name="__________________oZ1">#REF!</definedName>
    <definedName name="__________________PI31">#REF!</definedName>
    <definedName name="__________________PI32">#REF!</definedName>
    <definedName name="__________________PO2">#REF!</definedName>
    <definedName name="__________________POU1">#REF!</definedName>
    <definedName name="__________________POU2">#REF!</definedName>
    <definedName name="__________________POU31">#REF!</definedName>
    <definedName name="__________________POU32">#REF!</definedName>
    <definedName name="__________________Rev1">#REF!</definedName>
    <definedName name="__________________Rev2">#REF!</definedName>
    <definedName name="__________________SB200">#REF!</definedName>
    <definedName name="__________________sdd1">#REF!</definedName>
    <definedName name="__________________SI31">#REF!</definedName>
    <definedName name="__________________SI32">#REF!</definedName>
    <definedName name="__________________SI33">#REF!</definedName>
    <definedName name="__________________SI41">#REF!</definedName>
    <definedName name="__________________SI42">#REF!</definedName>
    <definedName name="__________________SI43">#REF!</definedName>
    <definedName name="__________________SI44">#REF!</definedName>
    <definedName name="__________________SI45">#REF!</definedName>
    <definedName name="__________________SI46">#REF!</definedName>
    <definedName name="__________________SO41">#REF!</definedName>
    <definedName name="__________________SO42">#REF!</definedName>
    <definedName name="__________________YN1">#REF!</definedName>
    <definedName name="_________________A1">#REF!</definedName>
    <definedName name="_________________AAU54">#REF!</definedName>
    <definedName name="_________________F90000">#REF!</definedName>
    <definedName name="_________________F99999">#REF!</definedName>
    <definedName name="_________________oZ1">#REF!</definedName>
    <definedName name="_________________PI31">#REF!</definedName>
    <definedName name="_________________PI32">#REF!</definedName>
    <definedName name="_________________PO2">#REF!</definedName>
    <definedName name="_________________POU1">#REF!</definedName>
    <definedName name="_________________POU2">#REF!</definedName>
    <definedName name="_________________POU31">#REF!</definedName>
    <definedName name="_________________POU32">#REF!</definedName>
    <definedName name="_________________Rev1">#REF!</definedName>
    <definedName name="_________________Rev2">#REF!</definedName>
    <definedName name="_________________SB200">#REF!</definedName>
    <definedName name="_________________sdd1">#REF!</definedName>
    <definedName name="_________________SI31">#REF!</definedName>
    <definedName name="_________________SI32">#REF!</definedName>
    <definedName name="_________________SI33">#REF!</definedName>
    <definedName name="_________________SI41">#REF!</definedName>
    <definedName name="_________________SI42">#REF!</definedName>
    <definedName name="_________________SI43">#REF!</definedName>
    <definedName name="_________________SI44">#REF!</definedName>
    <definedName name="_________________SI45">#REF!</definedName>
    <definedName name="_________________SI46">#REF!</definedName>
    <definedName name="_________________SO41">#REF!</definedName>
    <definedName name="_________________SO42">#REF!</definedName>
    <definedName name="_________________YN1">#REF!</definedName>
    <definedName name="________________A1">#REF!</definedName>
    <definedName name="________________AAU54">#REF!</definedName>
    <definedName name="________________F90000">#REF!</definedName>
    <definedName name="________________F99999">#REF!</definedName>
    <definedName name="________________oZ1">#REF!</definedName>
    <definedName name="________________PI31">#REF!</definedName>
    <definedName name="________________PI32">#REF!</definedName>
    <definedName name="________________PO2">#REF!</definedName>
    <definedName name="________________POU1">#REF!</definedName>
    <definedName name="________________POU2">#REF!</definedName>
    <definedName name="________________POU31">#REF!</definedName>
    <definedName name="________________POU32">#REF!</definedName>
    <definedName name="________________Rev1">#REF!</definedName>
    <definedName name="________________Rev2">#REF!</definedName>
    <definedName name="________________SB200">#REF!</definedName>
    <definedName name="________________sdd1">#REF!</definedName>
    <definedName name="________________SI31">#REF!</definedName>
    <definedName name="________________SI32">#REF!</definedName>
    <definedName name="________________SI33">#REF!</definedName>
    <definedName name="________________SI41">#REF!</definedName>
    <definedName name="________________SI42">#REF!</definedName>
    <definedName name="________________SI43">#REF!</definedName>
    <definedName name="________________SI44">#REF!</definedName>
    <definedName name="________________SI45">#REF!</definedName>
    <definedName name="________________SI46">#REF!</definedName>
    <definedName name="________________SO41">#REF!</definedName>
    <definedName name="________________SO42">#REF!</definedName>
    <definedName name="________________YN1">#REF!</definedName>
    <definedName name="_______________A1">#REF!</definedName>
    <definedName name="_______________AAU54">#REF!</definedName>
    <definedName name="_______________F35000">#REF!</definedName>
    <definedName name="_______________F90000">#REF!</definedName>
    <definedName name="_______________F99999">#REF!</definedName>
    <definedName name="_______________oZ1">#REF!</definedName>
    <definedName name="_______________PI31">#REF!</definedName>
    <definedName name="_______________PI32">#REF!</definedName>
    <definedName name="_______________PO2">#REF!</definedName>
    <definedName name="_______________POU1">#REF!</definedName>
    <definedName name="_______________POU2">#REF!</definedName>
    <definedName name="_______________POU31">#REF!</definedName>
    <definedName name="_______________POU32">#REF!</definedName>
    <definedName name="_______________Rev1">#REF!</definedName>
    <definedName name="_______________Rev2">#REF!</definedName>
    <definedName name="_______________SB200">#REF!</definedName>
    <definedName name="_______________sdd1">#REF!</definedName>
    <definedName name="_______________SI31">#REF!</definedName>
    <definedName name="_______________SI32">#REF!</definedName>
    <definedName name="_______________SI33">#REF!</definedName>
    <definedName name="_______________SI41">#REF!</definedName>
    <definedName name="_______________SI42">#REF!</definedName>
    <definedName name="_______________SI43">#REF!</definedName>
    <definedName name="_______________SI44">#REF!</definedName>
    <definedName name="_______________SI45">#REF!</definedName>
    <definedName name="_______________SI46">#REF!</definedName>
    <definedName name="_______________SO41">#REF!</definedName>
    <definedName name="_______________SO42">#REF!</definedName>
    <definedName name="_______________YN1">#REF!</definedName>
    <definedName name="______________A1">#REF!</definedName>
    <definedName name="______________AAU54">#REF!</definedName>
    <definedName name="______________F35000">#REF!</definedName>
    <definedName name="______________F90000">#REF!</definedName>
    <definedName name="______________F99999">#REF!</definedName>
    <definedName name="______________oZ1">#REF!</definedName>
    <definedName name="______________PI31">#REF!</definedName>
    <definedName name="______________PI32">#REF!</definedName>
    <definedName name="______________PO2">#REF!</definedName>
    <definedName name="______________POU1">#REF!</definedName>
    <definedName name="______________POU2">#REF!</definedName>
    <definedName name="______________POU31">#REF!</definedName>
    <definedName name="______________POU32">#REF!</definedName>
    <definedName name="______________Rev1">#REF!</definedName>
    <definedName name="______________Rev2">#REF!</definedName>
    <definedName name="______________SB200">#REF!</definedName>
    <definedName name="______________sdd1">#REF!</definedName>
    <definedName name="______________SI31">#REF!</definedName>
    <definedName name="______________SI32">#REF!</definedName>
    <definedName name="______________SI33">#REF!</definedName>
    <definedName name="______________SI41">#REF!</definedName>
    <definedName name="______________SI42">#REF!</definedName>
    <definedName name="______________SI43">#REF!</definedName>
    <definedName name="______________SI44">#REF!</definedName>
    <definedName name="______________SI45">#REF!</definedName>
    <definedName name="______________SI46">#REF!</definedName>
    <definedName name="______________SO41">#REF!</definedName>
    <definedName name="______________SO42">#REF!</definedName>
    <definedName name="______________YN1">#REF!</definedName>
    <definedName name="_____________A1">#REF!</definedName>
    <definedName name="_____________AAU54">#REF!</definedName>
    <definedName name="_____________F35000">#REF!</definedName>
    <definedName name="_____________F90000">#REF!</definedName>
    <definedName name="_____________F99999">#REF!</definedName>
    <definedName name="_____________oZ1">#REF!</definedName>
    <definedName name="_____________PI31">#REF!</definedName>
    <definedName name="_____________PI32">#REF!</definedName>
    <definedName name="_____________PO2">#REF!</definedName>
    <definedName name="_____________POU1">#REF!</definedName>
    <definedName name="_____________POU2">#REF!</definedName>
    <definedName name="_____________POU31">#REF!</definedName>
    <definedName name="_____________POU32">#REF!</definedName>
    <definedName name="_____________Rev1">#REF!</definedName>
    <definedName name="_____________Rev2">#REF!</definedName>
    <definedName name="_____________SB200">#REF!</definedName>
    <definedName name="_____________sdd1">#REF!</definedName>
    <definedName name="_____________SI31">#REF!</definedName>
    <definedName name="_____________SI32">#REF!</definedName>
    <definedName name="_____________SI33">#REF!</definedName>
    <definedName name="_____________SI41">#REF!</definedName>
    <definedName name="_____________SI42">#REF!</definedName>
    <definedName name="_____________SI43">#REF!</definedName>
    <definedName name="_____________SI44">#REF!</definedName>
    <definedName name="_____________SI45">#REF!</definedName>
    <definedName name="_____________SI46">#REF!</definedName>
    <definedName name="_____________SO41">#REF!</definedName>
    <definedName name="_____________SO42">#REF!</definedName>
    <definedName name="_____________YN1">#REF!</definedName>
    <definedName name="____________A1">#REF!</definedName>
    <definedName name="____________AAU54">#REF!</definedName>
    <definedName name="____________F35000">#REF!</definedName>
    <definedName name="____________F90000">#REF!</definedName>
    <definedName name="____________F99999">#REF!</definedName>
    <definedName name="____________oZ1">#REF!</definedName>
    <definedName name="____________PI31">#REF!</definedName>
    <definedName name="____________PI32">#REF!</definedName>
    <definedName name="____________PO2">#REF!</definedName>
    <definedName name="____________POU1">#REF!</definedName>
    <definedName name="____________POU2">#REF!</definedName>
    <definedName name="____________POU31">#REF!</definedName>
    <definedName name="____________POU32">#REF!</definedName>
    <definedName name="____________Rev1">#REF!</definedName>
    <definedName name="____________Rev2">#REF!</definedName>
    <definedName name="____________SB200">#REF!</definedName>
    <definedName name="____________sdd1">#REF!</definedName>
    <definedName name="____________SI31">#REF!</definedName>
    <definedName name="____________SI32">#REF!</definedName>
    <definedName name="____________SI33">#REF!</definedName>
    <definedName name="____________SI41">#REF!</definedName>
    <definedName name="____________SI42">#REF!</definedName>
    <definedName name="____________SI43">#REF!</definedName>
    <definedName name="____________SI44">#REF!</definedName>
    <definedName name="____________SI45">#REF!</definedName>
    <definedName name="____________SI46">#REF!</definedName>
    <definedName name="____________SO41">#REF!</definedName>
    <definedName name="____________SO42">#REF!</definedName>
    <definedName name="____________YN1">#REF!</definedName>
    <definedName name="___________A1">#REF!</definedName>
    <definedName name="___________AAU54">#REF!</definedName>
    <definedName name="___________F35000">#REF!</definedName>
    <definedName name="___________F90000">#REF!</definedName>
    <definedName name="___________F99999">#REF!</definedName>
    <definedName name="___________oZ1">#REF!</definedName>
    <definedName name="___________PI31">#REF!</definedName>
    <definedName name="___________PI32">#REF!</definedName>
    <definedName name="___________PO2">#REF!</definedName>
    <definedName name="___________POU1">#REF!</definedName>
    <definedName name="___________POU2">#REF!</definedName>
    <definedName name="___________POU31">#REF!</definedName>
    <definedName name="___________POU32">#REF!</definedName>
    <definedName name="___________Rev1">#REF!</definedName>
    <definedName name="___________Rev2">#REF!</definedName>
    <definedName name="___________SB200">#REF!</definedName>
    <definedName name="___________sdd1">#REF!</definedName>
    <definedName name="___________SI31">#REF!</definedName>
    <definedName name="___________SI32">#REF!</definedName>
    <definedName name="___________SI33">#REF!</definedName>
    <definedName name="___________SI41">#REF!</definedName>
    <definedName name="___________SI42">#REF!</definedName>
    <definedName name="___________SI43">#REF!</definedName>
    <definedName name="___________SI44">#REF!</definedName>
    <definedName name="___________SI45">#REF!</definedName>
    <definedName name="___________SI46">#REF!</definedName>
    <definedName name="___________SO41">#REF!</definedName>
    <definedName name="___________SO42">#REF!</definedName>
    <definedName name="___________YN1">#REF!</definedName>
    <definedName name="__________A1">#REF!</definedName>
    <definedName name="__________AAU54">#REF!</definedName>
    <definedName name="__________F35000">#REF!</definedName>
    <definedName name="__________F90000">#REF!</definedName>
    <definedName name="__________F99999">#REF!</definedName>
    <definedName name="__________oZ1">#REF!</definedName>
    <definedName name="__________PI31">#REF!</definedName>
    <definedName name="__________PI32">#REF!</definedName>
    <definedName name="__________PO2">#REF!</definedName>
    <definedName name="__________POU1">#REF!</definedName>
    <definedName name="__________POU2">#REF!</definedName>
    <definedName name="__________POU31">#REF!</definedName>
    <definedName name="__________POU32">#REF!</definedName>
    <definedName name="__________Rev1">#REF!</definedName>
    <definedName name="__________Rev2">#REF!</definedName>
    <definedName name="__________SB200">#REF!</definedName>
    <definedName name="__________sdd1">#REF!</definedName>
    <definedName name="__________SI31">#REF!</definedName>
    <definedName name="__________SI32">#REF!</definedName>
    <definedName name="__________SI33">#REF!</definedName>
    <definedName name="__________SI41">#REF!</definedName>
    <definedName name="__________SI42">#REF!</definedName>
    <definedName name="__________SI43">#REF!</definedName>
    <definedName name="__________SI44">#REF!</definedName>
    <definedName name="__________SI45">#REF!</definedName>
    <definedName name="__________SI46">#REF!</definedName>
    <definedName name="__________SO41">#REF!</definedName>
    <definedName name="__________SO42">#REF!</definedName>
    <definedName name="__________YN1">#REF!</definedName>
    <definedName name="_________A1">#REF!</definedName>
    <definedName name="_________AAU54">#REF!</definedName>
    <definedName name="_________F35000">#REF!</definedName>
    <definedName name="_________F90000">#REF!</definedName>
    <definedName name="_________F99999">#REF!</definedName>
    <definedName name="_________oZ1">#REF!</definedName>
    <definedName name="_________PI31">#REF!</definedName>
    <definedName name="_________PI32">#REF!</definedName>
    <definedName name="_________PO2">#REF!</definedName>
    <definedName name="_________POU1">#REF!</definedName>
    <definedName name="_________POU2">#REF!</definedName>
    <definedName name="_________POU31">#REF!</definedName>
    <definedName name="_________POU32">#REF!</definedName>
    <definedName name="_________Rev1">#REF!</definedName>
    <definedName name="_________Rev2">#REF!</definedName>
    <definedName name="_________SB200">#REF!</definedName>
    <definedName name="_________sdd1">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1">#REF!</definedName>
    <definedName name="________AAU54">#REF!</definedName>
    <definedName name="________F35000">#REF!</definedName>
    <definedName name="________F90000">#REF!</definedName>
    <definedName name="________F99999">#REF!</definedName>
    <definedName name="________oZ1">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PT45">'[1]R-BC자재'!#REF!</definedName>
    <definedName name="________Rev1" localSheetId="4">#REF!</definedName>
    <definedName name="________Rev1">#REF!</definedName>
    <definedName name="________Rev2" localSheetId="4">#REF!</definedName>
    <definedName name="________Rev2">#REF!</definedName>
    <definedName name="________SB200" localSheetId="4">#REF!</definedName>
    <definedName name="________SB200">#REF!</definedName>
    <definedName name="________sdd1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1">#REF!</definedName>
    <definedName name="_______AAU54">#REF!</definedName>
    <definedName name="_______F35000">#REF!</definedName>
    <definedName name="_______F90000">#REF!</definedName>
    <definedName name="_______F99999">#REF!</definedName>
    <definedName name="_______oZ1">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PT45">'[2]R-BC자재'!#REF!</definedName>
    <definedName name="_______Rev1" localSheetId="4">#REF!</definedName>
    <definedName name="_______Rev1">#REF!</definedName>
    <definedName name="_______Rev2" localSheetId="4">#REF!</definedName>
    <definedName name="_______Rev2">#REF!</definedName>
    <definedName name="_______SB200" localSheetId="4">#REF!</definedName>
    <definedName name="_______SB200">#REF!</definedName>
    <definedName name="_______sdd1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1">#REF!</definedName>
    <definedName name="______AAU54">#REF!</definedName>
    <definedName name="______F35000">#REF!</definedName>
    <definedName name="______F90000">#REF!</definedName>
    <definedName name="______F99999">#REF!</definedName>
    <definedName name="______oZ1">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PT45">'[2]R-BC자재'!#REF!</definedName>
    <definedName name="______Rev1" localSheetId="4">#REF!</definedName>
    <definedName name="______Rev1">#REF!</definedName>
    <definedName name="______Rev2" localSheetId="4">#REF!</definedName>
    <definedName name="______Rev2">#REF!</definedName>
    <definedName name="______SB200" localSheetId="4">#REF!</definedName>
    <definedName name="______SB200">#REF!</definedName>
    <definedName name="______sdd1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W500" hidden="1">[3]TOTAL!#REF!</definedName>
    <definedName name="______YN1">#REF!</definedName>
    <definedName name="_____A1">#REF!</definedName>
    <definedName name="_____AAU54">#REF!</definedName>
    <definedName name="_____con13">'[4](3)Product mix'!#REF!</definedName>
    <definedName name="_____F35000" localSheetId="4">#REF!</definedName>
    <definedName name="_____F35000">#REF!</definedName>
    <definedName name="_____F90000" localSheetId="4">#REF!</definedName>
    <definedName name="_____F90000">#REF!</definedName>
    <definedName name="_____F99999" localSheetId="4">#REF!</definedName>
    <definedName name="_____F99999">#REF!</definedName>
    <definedName name="_____oZ1">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PT45">'[2]R-BC자재'!#REF!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B200">#REF!</definedName>
    <definedName name="_____sdd1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1">#REF!</definedName>
    <definedName name="____AAU54">#REF!</definedName>
    <definedName name="____con13">'[4](3)Product mix'!#REF!</definedName>
    <definedName name="____F35000" localSheetId="4">#REF!</definedName>
    <definedName name="____F35000">#REF!</definedName>
    <definedName name="____F90000" localSheetId="4">#REF!</definedName>
    <definedName name="____F90000">#REF!</definedName>
    <definedName name="____F99999" localSheetId="4">#REF!</definedName>
    <definedName name="____F99999">#REF!</definedName>
    <definedName name="____oZ1">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PT45">'[2]R-BC자재'!#REF!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B200">#REF!</definedName>
    <definedName name="____sdd1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W500" hidden="1">[5]TOTAL!#REF!</definedName>
    <definedName name="____YN1" localSheetId="4">#REF!</definedName>
    <definedName name="____YN1">#REF!</definedName>
    <definedName name="___A1">#REF!</definedName>
    <definedName name="___A3" hidden="1">{#N/A,#N/A,FALSE,"단축1";#N/A,#N/A,FALSE,"단축2";#N/A,#N/A,FALSE,"단축3";#N/A,#N/A,FALSE,"장축";#N/A,#N/A,FALSE,"4WD"}</definedName>
    <definedName name="___aaa1">'[6]98연계표'!#REF!</definedName>
    <definedName name="___AAU54" localSheetId="4">#REF!</definedName>
    <definedName name="___AAU54">#REF!</definedName>
    <definedName name="___con13" localSheetId="4">'[4](3)Product mix'!#REF!</definedName>
    <definedName name="___con13">'[4](3)Product mix'!#REF!</definedName>
    <definedName name="___F35000" localSheetId="4">#REF!</definedName>
    <definedName name="___F35000">#REF!</definedName>
    <definedName name="___F90000" localSheetId="4">#REF!</definedName>
    <definedName name="___F90000">#REF!</definedName>
    <definedName name="___F99999" localSheetId="4">#REF!</definedName>
    <definedName name="___F99999">#REF!</definedName>
    <definedName name="___kgw1" localSheetId="4">'[7]98연계표'!#REF!</definedName>
    <definedName name="___kgw1">'[7]98연계표'!#REF!</definedName>
    <definedName name="___oZ1" localSheetId="4">#REF!</definedName>
    <definedName name="___oZ1">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PT45">'[2]R-BC자재'!#REF!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B200">#REF!</definedName>
    <definedName name="___sdd1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T2" hidden="1">{#N/A,#N/A,FALSE,"단축1";#N/A,#N/A,FALSE,"단축2";#N/A,#N/A,FALSE,"단축3";#N/A,#N/A,FALSE,"장축";#N/A,#N/A,FALSE,"4WD"}</definedName>
    <definedName name="___W500" hidden="1">[3]TOTAL!#REF!</definedName>
    <definedName name="___YN1" localSheetId="4">#REF!</definedName>
    <definedName name="___YN1">#REF!</definedName>
    <definedName name="__123Graph_A" hidden="1">#REF!</definedName>
    <definedName name="__123Graph_B" hidden="1">#REF!</definedName>
    <definedName name="__123Graph_D" hidden="1">[8]B!#REF!</definedName>
    <definedName name="__123Graph_F" hidden="1">[8]B!#REF!</definedName>
    <definedName name="__123Graph_X" hidden="1">#REF!</definedName>
    <definedName name="__1A1_">#REF!</definedName>
    <definedName name="__2A1_">#REF!</definedName>
    <definedName name="__2F35000_">#REF!</definedName>
    <definedName name="__4F35000_">#REF!</definedName>
    <definedName name="__A1">#REF!</definedName>
    <definedName name="__A3" hidden="1">{#N/A,#N/A,FALSE,"단축1";#N/A,#N/A,FALSE,"단축2";#N/A,#N/A,FALSE,"단축3";#N/A,#N/A,FALSE,"장축";#N/A,#N/A,FALSE,"4WD"}</definedName>
    <definedName name="__aaa1">'[6]98연계표'!#REF!</definedName>
    <definedName name="__AAU54" localSheetId="4">#REF!</definedName>
    <definedName name="__AAU54">#REF!</definedName>
    <definedName name="__con13" localSheetId="4">'[9](3)Product mix'!#REF!</definedName>
    <definedName name="__con13">'[9](3)Product mix'!#REF!</definedName>
    <definedName name="__F35000" localSheetId="4">#REF!</definedName>
    <definedName name="__F35000">#REF!</definedName>
    <definedName name="__F90000" localSheetId="4">#REF!</definedName>
    <definedName name="__F90000">#REF!</definedName>
    <definedName name="__F99999" localSheetId="4">#REF!</definedName>
    <definedName name="__F99999">#REF!</definedName>
    <definedName name="__GoA1" localSheetId="4">'5. 위험성평가표(최초, 정기, 수시)'!__GoA1</definedName>
    <definedName name="__GoA1">[0]!__GoA1</definedName>
    <definedName name="__IntlFixup">TRUE</definedName>
    <definedName name="__kgw1" localSheetId="4">'[7]98연계표'!#REF!</definedName>
    <definedName name="__kgw1">'[7]98연계표'!#REF!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 localSheetId="4">#REF!</definedName>
    <definedName name="__oZ1">#REF!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PT45">'[2]R-BC자재'!#REF!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B200">#REF!</definedName>
    <definedName name="__sdd1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T2" hidden="1">{#N/A,#N/A,FALSE,"단축1";#N/A,#N/A,FALSE,"단축2";#N/A,#N/A,FALSE,"단축3";#N/A,#N/A,FALSE,"장축";#N/A,#N/A,FALSE,"4WD"}</definedName>
    <definedName name="__W500" hidden="1">[5]TOTAL!#REF!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 localSheetId="4">'[10]A-100전제'!#REF!</definedName>
    <definedName name="_1_0Print_Area">'[10]A-100전제'!#REF!</definedName>
    <definedName name="_1_월" localSheetId="4">#REF!</definedName>
    <definedName name="_1_월">#REF!</definedName>
    <definedName name="_10__123Graph_A차트_8" hidden="1">[11]A!$D$185:$D$186</definedName>
    <definedName name="_10x1_" localSheetId="4">#REF!</definedName>
    <definedName name="_10x1_">#REF!</definedName>
    <definedName name="_11__123Graph_B차트_1" hidden="1">[11]A!$C$79:$C$84</definedName>
    <definedName name="_11x2_" localSheetId="4">#REF!</definedName>
    <definedName name="_11x2_">#REF!</definedName>
    <definedName name="_12__123Graph_B차트_2" hidden="1">[11]A!$E$79:$E$84</definedName>
    <definedName name="_13__123Graph_B차트_3" hidden="1">[11]A!$C$113:$C$119</definedName>
    <definedName name="_14__123Graph_B차트_4" hidden="1">[11]A!$E$113:$E$119</definedName>
    <definedName name="_15__123Graph_B차트_5" hidden="1">[11]A!$C$148:$C$156</definedName>
    <definedName name="_16__123Graph_B차트_6" hidden="1">[11]A!$E$148:$E$156</definedName>
    <definedName name="_17__123Graph_B차트_7" hidden="1">[11]A!$C$185:$C$186</definedName>
    <definedName name="_18__123Graph_B차트_8" hidden="1">[11]A!$E$185:$E$186</definedName>
    <definedName name="_19__123Graph_X차트_1" hidden="1">[11]A!$A$79:$A$84</definedName>
    <definedName name="_1999_01_29" localSheetId="4">#REF!</definedName>
    <definedName name="_1999_01_29">#REF!</definedName>
    <definedName name="_1A1_" localSheetId="4">#REF!</definedName>
    <definedName name="_1A1_">#REF!</definedName>
    <definedName name="_1F35000_">#REF!</definedName>
    <definedName name="_1W500_" hidden="1">[3]TOTAL!#REF!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>#REF!</definedName>
    <definedName name="_20__123Graph_X차트_2" hidden="1">[11]A!$A$79:$A$84</definedName>
    <definedName name="_21__123Graph_X차트_3" hidden="1">[11]A!$A$113:$A$119</definedName>
    <definedName name="_22__123Graph_X차트_4" hidden="1">[11]A!$A$113:$A$119</definedName>
    <definedName name="_23__123Graph_X차트_5" hidden="1">[11]A!$A$148:$A$156</definedName>
    <definedName name="_24__123Graph_X차트_6" hidden="1">[11]A!$A$148:$A$156</definedName>
    <definedName name="_25__123Graph_X차트_7" hidden="1">[11]A!$A$185:$A$186</definedName>
    <definedName name="_26__123Graph_X차트_8" hidden="1">[11]A!$A$185:$A$186</definedName>
    <definedName name="_27A11_" localSheetId="4">[12]제품별!#REF!</definedName>
    <definedName name="_27A11_">[12]제품별!#REF!</definedName>
    <definedName name="_2A1_" localSheetId="4">#REF!</definedName>
    <definedName name="_2A1_">#REF!</definedName>
    <definedName name="_2F35000_" localSheetId="4">#REF!</definedName>
    <definedName name="_2F35000_">#REF!</definedName>
    <definedName name="_2Print_Area" localSheetId="4">'[10]A-100전제'!#REF!</definedName>
    <definedName name="_2Print_Area">'[10]A-100전제'!#REF!</definedName>
    <definedName name="_3">#N/A</definedName>
    <definedName name="_3_?쨲?f" localSheetId="4">#REF!</definedName>
    <definedName name="_3_?쨲?f">#REF!</definedName>
    <definedName name="_3__123Graph_A차트_1" hidden="1">[11]A!$B$79:$B$84</definedName>
    <definedName name="_3_월" localSheetId="4">#REF!</definedName>
    <definedName name="_3_월">#REF!</definedName>
    <definedName name="_37A3_" hidden="1">{#N/A,#N/A,FALSE,"단축1";#N/A,#N/A,FALSE,"단축2";#N/A,#N/A,FALSE,"단축3";#N/A,#N/A,FALSE,"장축";#N/A,#N/A,FALSE,"4WD"}</definedName>
    <definedName name="_3A1_" localSheetId="4">#REF!</definedName>
    <definedName name="_3A1_">#REF!</definedName>
    <definedName name="_3F35000_" localSheetId="4">#REF!</definedName>
    <definedName name="_3F35000_">#REF!</definedName>
    <definedName name="_4">#N/A</definedName>
    <definedName name="_4__123Graph_A차트_2" hidden="1">[11]A!$D$79:$D$84</definedName>
    <definedName name="_4_월" localSheetId="4">#REF!</definedName>
    <definedName name="_4_월">#REF!</definedName>
    <definedName name="_4±aA¸A÷¹RA_A¡" localSheetId="4">#REF!</definedName>
    <definedName name="_4±aA¸A÷¹RA_A¡">#REF!</definedName>
    <definedName name="_45O11_" hidden="1">{#N/A,#N/A,FALSE,"단축1";#N/A,#N/A,FALSE,"단축2";#N/A,#N/A,FALSE,"단축3";#N/A,#N/A,FALSE,"장축";#N/A,#N/A,FALSE,"4WD"}</definedName>
    <definedName name="_46T2_" hidden="1">{#N/A,#N/A,FALSE,"단축1";#N/A,#N/A,FALSE,"단축2";#N/A,#N/A,FALSE,"단축3";#N/A,#N/A,FALSE,"장축";#N/A,#N/A,FALSE,"4WD"}</definedName>
    <definedName name="_4F35000_">#REF!</definedName>
    <definedName name="_5__123Graph_A차트_3" hidden="1">[11]A!$B$113:$B$119</definedName>
    <definedName name="_5_월" localSheetId="4">#REF!</definedName>
    <definedName name="_5_월">#REF!</definedName>
    <definedName name="_5±aA¸A÷¹RA_A¡" localSheetId="4">#REF!</definedName>
    <definedName name="_5±aA¸A÷¹RA_A¡">#REF!</definedName>
    <definedName name="_5A1_">#REF!</definedName>
    <definedName name="_6__123Graph_A차트_4" hidden="1">[11]A!$D$113:$D$119</definedName>
    <definedName name="_7__123Graph_A차트_5" hidden="1">[11]A!$B$148:$B$156</definedName>
    <definedName name="_7AO¿a¹RA_A¡" localSheetId="4">#REF!</definedName>
    <definedName name="_7AO¿a¹RA_A¡">#REF!</definedName>
    <definedName name="_7F35000_" localSheetId="4">#REF!</definedName>
    <definedName name="_7F35000_">#REF!</definedName>
    <definedName name="_8__123Graph_A차트_6" hidden="1">[11]A!$D$148:$D$156</definedName>
    <definedName name="_8B2_" localSheetId="4">#REF!</definedName>
    <definedName name="_8B2_">#REF!</definedName>
    <definedName name="_9__123Graph_A차트_7" hidden="1">[11]A!$B$185:$B$186</definedName>
    <definedName name="_9FF3_" localSheetId="4">#REF!</definedName>
    <definedName name="_9FF3_">#REF!</definedName>
    <definedName name="_A1" localSheetId="4">#REF!</definedName>
    <definedName name="_A1">#REF!</definedName>
    <definedName name="_Ａ４1">#N/A</definedName>
    <definedName name="_aaa1" localSheetId="4">'[6]98연계표'!#REF!</definedName>
    <definedName name="_aaa1">'[6]98연계표'!#REF!</definedName>
    <definedName name="_AAU54" localSheetId="4">#REF!</definedName>
    <definedName name="_AAU54">#REF!</definedName>
    <definedName name="_ASD1" hidden="1">{#N/A,#N/A,FALSE,"단축1";#N/A,#N/A,FALSE,"단축2";#N/A,#N/A,FALSE,"단축3";#N/A,#N/A,FALSE,"장축";#N/A,#N/A,FALSE,"4WD"}</definedName>
    <definedName name="_B2" localSheetId="4">#REF!</definedName>
    <definedName name="_B2">#REF!</definedName>
    <definedName name="_con13" localSheetId="4">'[13](3)Product mix'!#REF!</definedName>
    <definedName name="_con13">'[13](3)Product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E1" hidden="1">{#N/A,#N/A,TRUE,"매출진척-1";#N/A,#N/A,TRUE,"매출진척-2";#N/A,#N/A,TRUE,"제품실적";#N/A,#N/A,TRUE,"RAC";#N/A,#N/A,TRUE,"PAC ";#N/A,#N/A,TRUE,"재고현황";#N/A,#N/A,TRUE,"공지사항"}</definedName>
    <definedName name="_ELA2" hidden="1">{#N/A,#N/A,FALSE,"2월입도";#N/A,#N/A,FALSE,"1월입도";#N/A,#N/A,FALSE,"3월입도"}</definedName>
    <definedName name="_F35000">#REF!</definedName>
    <definedName name="_F90000">#REF!</definedName>
    <definedName name="_F99999">#REF!</definedName>
    <definedName name="_FF2" hidden="1">{#N/A,#N/A,TRUE,"매출진척-1";#N/A,#N/A,TRUE,"매출진척-2";#N/A,#N/A,TRUE,"제품실적";#N/A,#N/A,TRUE,"RAC";#N/A,#N/A,TRUE,"PAC ";#N/A,#N/A,TRUE,"재고현황";#N/A,#N/A,TRUE,"공지사항"}</definedName>
    <definedName name="_FF3" localSheetId="4">#REF!</definedName>
    <definedName name="_FF3">#REF!</definedName>
    <definedName name="_Fill" hidden="1">'[14]144'!#REF!</definedName>
    <definedName name="_xlnm._FilterDatabase" localSheetId="4" hidden="1">#REF!</definedName>
    <definedName name="_xlnm._FilterDatabase" hidden="1">#REF!</definedName>
    <definedName name="_GoA1" localSheetId="4">'5. 위험성평가표(최초, 정기, 수시)'!_GoA1</definedName>
    <definedName name="_GoA1">[0]!_GoA1</definedName>
    <definedName name="_GoA2" localSheetId="4">'5. 위험성평가표(최초, 정기, 수시)'!_GoA2</definedName>
    <definedName name="_GoA2">[0]!_GoA2</definedName>
    <definedName name="_Key1" localSheetId="4" hidden="1">#REF!</definedName>
    <definedName name="_Key1" hidden="1">#REF!</definedName>
    <definedName name="_Key2" hidden="1">'[15]EQUIP LIST'!#REF!</definedName>
    <definedName name="_KFS1" localSheetId="4">#REF!</definedName>
    <definedName name="_KFS1">#REF!</definedName>
    <definedName name="_kgw1" localSheetId="4">'[7]98연계표'!#REF!</definedName>
    <definedName name="_kgw1">'[7]98연계표'!#REF!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22" hidden="1">{#N/A,#N/A,TRUE,"매출진척-1";#N/A,#N/A,TRUE,"매출진척-2";#N/A,#N/A,TRUE,"제품실적";#N/A,#N/A,TRUE,"RAC";#N/A,#N/A,TRUE,"PAC ";#N/A,#N/A,TRUE,"재고현황";#N/A,#N/A,TRUE,"공지사항"}</definedName>
    <definedName name="_MatInverse_In" hidden="1">#REF!</definedName>
    <definedName name="_MatInverse_Out" hidden="1">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oZ1" localSheetId="4">#REF!</definedName>
    <definedName name="_oZ1">#REF!</definedName>
    <definedName name="_Parse_In" hidden="1">#REF!</definedName>
    <definedName name="_Parse_Out" hidden="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PRINT_TITLE">#REF!</definedName>
    <definedName name="_PT45">'[1]R-BC자재'!#REF!</definedName>
    <definedName name="_QQQ2" hidden="1">{#N/A,#N/A,TRUE,"매출진척-1";#N/A,#N/A,TRUE,"매출진척-2";#N/A,#N/A,TRUE,"제품실적";#N/A,#N/A,TRUE,"RAC";#N/A,#N/A,TRUE,"PAC ";#N/A,#N/A,TRUE,"재고현황";#N/A,#N/A,TRUE,"공지사항"}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1" hidden="1">{#N/A,#N/A,TRUE,"매출진척-1";#N/A,#N/A,TRUE,"매출진척-2";#N/A,#N/A,TRUE,"제품실적";#N/A,#N/A,TRUE,"RAC";#N/A,#N/A,TRUE,"PAC ";#N/A,#N/A,TRUE,"재고현황";#N/A,#N/A,TRUE,"공지사항"}</definedName>
    <definedName name="_SB200">#REF!</definedName>
    <definedName name="_sdd1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hidden="1">#REF!</definedName>
    <definedName name="_SS123" hidden="1">{#N/A,#N/A,FALSE,"단축1";#N/A,#N/A,FALSE,"단축2";#N/A,#N/A,FALSE,"단축3";#N/A,#N/A,FALSE,"장축";#N/A,#N/A,FALSE,"4WD"}</definedName>
    <definedName name="_Table2_In1" hidden="1">#REF!</definedName>
    <definedName name="_Table2_In2" hidden="1">#REF!</definedName>
    <definedName name="_Table2_Out" hidden="1">#REF!</definedName>
    <definedName name="_W500" hidden="1">[5]TOTAL!#REF!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 localSheetId="4">#REF!</definedName>
    <definedName name="\1">#REF!</definedName>
    <definedName name="\a">#N/A</definedName>
    <definedName name="\b">#N/A</definedName>
    <definedName name="\c" localSheetId="4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 localSheetId="4">#REF!</definedName>
    <definedName name="\q">#REF!</definedName>
    <definedName name="\r" localSheetId="4">#REF!</definedName>
    <definedName name="\r">#REF!</definedName>
    <definedName name="\s" localSheetId="4">#REF!</definedName>
    <definedName name="\s">#REF!</definedName>
    <definedName name="\t">#REF!</definedName>
    <definedName name="\w" localSheetId="4">#REF!</definedName>
    <definedName name="\w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★" hidden="1">{#VALUE!,#N/A,TRUE,0;#N/A,#N/A,TRUE,0;#N/A,#N/A,TRUE,0;#N/A,#N/A,0,0;#N/A,#N/A,TRUE,0;#N/A,#N/A,TRUE,0;#N/A,#N/A,TRUE,0}</definedName>
    <definedName name="※_추후_NAVA__PROJECT는__부품_" localSheetId="4">[16]품의서!#REF!</definedName>
    <definedName name="※_추후_NAVA__PROJECT는__부품_">[16]품의서!#REF!</definedName>
    <definedName name="¹ß" localSheetId="4">#REF!</definedName>
    <definedName name="¹ß">#REF!</definedName>
    <definedName name="A" localSheetId="4">'5. 위험성평가표(최초, 정기, 수시)'!A</definedName>
    <definedName name="A">[0]!A</definedName>
    <definedName name="A?___R3_t" localSheetId="4">#REF!</definedName>
    <definedName name="A?___R3_t">#REF!</definedName>
    <definedName name="A_I">[17]별제권_정리담보권!$U$6:$U$213</definedName>
    <definedName name="A_I1">[17]별제권_정리담보권!$O$6:$O$213</definedName>
    <definedName name="A_I2">[17]별제권_정리담보권!$Q$6:$Q$213</definedName>
    <definedName name="A_P">[17]별제권_정리담보권!$T$6:$T$213</definedName>
    <definedName name="A1_">#N/A</definedName>
    <definedName name="A1_00근거" hidden="1">{#N/A,#N/A,FALSE,"단축1";#N/A,#N/A,FALSE,"단축2";#N/A,#N/A,FALSE,"단축3";#N/A,#N/A,FALSE,"장축";#N/A,#N/A,FALSE,"4WD"}</definedName>
    <definedName name="aa" localSheetId="4">#REF!</definedName>
    <definedName name="aa">#REF!</definedName>
    <definedName name="aaa" localSheetId="4">'[18]98연계표'!#REF!</definedName>
    <definedName name="aaa">'[18]98연계표'!#REF!</definedName>
    <definedName name="aaaa">#N/A</definedName>
    <definedName name="aaaaa" localSheetId="4" hidden="1">#REF!</definedName>
    <definedName name="aaaaa" hidden="1">#REF!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AB" hidden="1">{#N/A,#N/A,FALSE,"CCTV"}</definedName>
    <definedName name="abcd" localSheetId="4">#REF!</definedName>
    <definedName name="abcd">#REF!</definedName>
    <definedName name="ABCDE" hidden="1">{#N/A,#N/A,FALSE,"Sheet1"}</definedName>
    <definedName name="ACB" hidden="1">{#N/A,#N/A,FALSE,"단축1";#N/A,#N/A,FALSE,"단축2";#N/A,#N/A,FALSE,"단축3";#N/A,#N/A,FALSE,"장축";#N/A,#N/A,FALSE,"4WD"}</definedName>
    <definedName name="Access_Button" hidden="1">"X98년차량부하__양_증차품의_List"</definedName>
    <definedName name="AccessDatabase" hidden="1">"C:\WORK\납품능력평가\98년차량부하.mdb"</definedName>
    <definedName name="ACD" hidden="1">{#N/A,#N/A,FALSE,"CCTV"}</definedName>
    <definedName name="ACH" hidden="1">{#N/A,#N/A,FALSE,"Sheet1"}</definedName>
    <definedName name="ACOG" localSheetId="4" hidden="1">#REF!,#REF!,#REF!</definedName>
    <definedName name="ACOG" hidden="1">#REF!,#REF!,#REF!</definedName>
    <definedName name="ADC" hidden="1">{#N/A,#N/A,FALSE,"CCTV"}</definedName>
    <definedName name="ADF" hidden="1">{#N/A,#N/A,FALSE,"Sheet1"}</definedName>
    <definedName name="ADG" hidden="1">{#N/A,#N/A,FALSE,"CCTV"}</definedName>
    <definedName name="ads" hidden="1">{#N/A,#N/A,FALSE,"표지";#N/A,#N/A,FALSE,"전제";#N/A,#N/A,FALSE,"손익-자 (2)";#N/A,#N/A,FALSE,"손익-자";#N/A,#N/A,FALSE,"손익-마 (2)";#N/A,#N/A,FALSE,"손익-마";#N/A,#N/A,FALSE,"총손최종"}</definedName>
    <definedName name="adsas" hidden="1">{#N/A,#N/A,FALSE,"Aging Summary";#N/A,#N/A,FALSE,"Ratio Analysis";#N/A,#N/A,FALSE,"Test 120 Day Accts";#N/A,#N/A,FALSE,"Tickmarks"}</definedName>
    <definedName name="ADSGHJHGJ" hidden="1">{#N/A,#N/A,FALSE,"단축1";#N/A,#N/A,FALSE,"단축2";#N/A,#N/A,FALSE,"단축3";#N/A,#N/A,FALSE,"장축";#N/A,#N/A,FALSE,"4WD"}</definedName>
    <definedName name="AJUY" hidden="1">{#N/A,#N/A,FALSE,"CCTV"}</definedName>
    <definedName name="AKSJD" hidden="1">{#N/A,#N/A,FALSE,"단축1";#N/A,#N/A,FALSE,"단축2";#N/A,#N/A,FALSE,"단축3";#N/A,#N/A,FALSE,"장축";#N/A,#N/A,FALSE,"4WD"}</definedName>
    <definedName name="ALL">#N/A</definedName>
    <definedName name="ALTB" localSheetId="4">[19]MX628EX!#REF!</definedName>
    <definedName name="ALTB">[19]MX628EX!#REF!</definedName>
    <definedName name="AM" localSheetId="4">#REF!</definedName>
    <definedName name="AM">#REF!</definedName>
    <definedName name="anscount">1</definedName>
    <definedName name="ANSTJ4" hidden="1">{#N/A,#N/A,FALSE,"단축1";#N/A,#N/A,FALSE,"단축2";#N/A,#N/A,FALSE,"단축3";#N/A,#N/A,FALSE,"장축";#N/A,#N/A,FALSE,"4WD"}</definedName>
    <definedName name="APS4_12M_E" localSheetId="4">[20]성신!#REF!</definedName>
    <definedName name="APS4_12M_E">[20]성신!#REF!</definedName>
    <definedName name="ar">#REF!</definedName>
    <definedName name="area" localSheetId="4">#REF!</definedName>
    <definedName name="area">#REF!</definedName>
    <definedName name="AREA1" localSheetId="4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4">#REF!,#REF!,#REF!,#REF!,#REF!,#REF!,#REF!,#REF!</definedName>
    <definedName name="AREA2">#REF!,#REF!,#REF!,#REF!,#REF!,#REF!,#REF!,#REF!</definedName>
    <definedName name="AREA3" localSheetId="4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4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4">#REF!,#REF!,#REF!,#REF!,#REF!,#REF!,#REF!,#REF!</definedName>
    <definedName name="AREA5">#REF!,#REF!,#REF!,#REF!,#REF!,#REF!,#REF!,#REF!</definedName>
    <definedName name="Area분류" localSheetId="4">#REF!</definedName>
    <definedName name="Area분류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hidden="1">#REF!</definedName>
    <definedName name="AS2VersionLS" hidden="1">300</definedName>
    <definedName name="asd" hidden="1">{#N/A,#N/A,FALSE,"표지";#N/A,#N/A,FALSE,"전제";#N/A,#N/A,FALSE,"손익-자 (2)";#N/A,#N/A,FALSE,"손익-자";#N/A,#N/A,FALSE,"손익-마 (2)";#N/A,#N/A,FALSE,"손익-마";#N/A,#N/A,FALSE,"총손최종"}</definedName>
    <definedName name="ASDF" localSheetId="4">#REF!</definedName>
    <definedName name="ASDF">#REF!</definedName>
    <definedName name="ASDFAS" hidden="1">{#N/A,#N/A,FALSE,"단축1";#N/A,#N/A,FALSE,"단축2";#N/A,#N/A,FALSE,"단축3";#N/A,#N/A,FALSE,"장축";#N/A,#N/A,FALSE,"4WD"}</definedName>
    <definedName name="assd" hidden="1">{#N/A,#N/A,TRUE,"매출진척-1";#N/A,#N/A,TRUE,"매출진척-2";#N/A,#N/A,TRUE,"제품실적";#N/A,#N/A,TRUE,"RAC";#N/A,#N/A,TRUE,"PAC ";#N/A,#N/A,TRUE,"재고현황";#N/A,#N/A,TRUE,"공지사항"}</definedName>
    <definedName name="assd2" hidden="1">{#N/A,#N/A,TRUE,"매출진척-1";#N/A,#N/A,TRUE,"매출진척-2";#N/A,#N/A,TRUE,"제품실적";#N/A,#N/A,TRUE,"RAC";#N/A,#N/A,TRUE,"PAC ";#N/A,#N/A,TRUE,"재고현황";#N/A,#N/A,TRUE,"공지사항"}</definedName>
    <definedName name="asss" localSheetId="4">#REF!</definedName>
    <definedName name="asss">#REF!</definedName>
    <definedName name="AV">#N/A</definedName>
    <definedName name="awc" localSheetId="4">#REF!</definedName>
    <definedName name="awc">#REF!</definedName>
    <definedName name="AX" hidden="1">{#N/A,#N/A,FALSE,"단축1";#N/A,#N/A,FALSE,"단축2";#N/A,#N/A,FALSE,"단축3";#N/A,#N/A,FALSE,"장축";#N/A,#N/A,FALSE,"4WD"}</definedName>
    <definedName name="AXE" hidden="1">{#N/A,#N/A,FALSE,"Sheet1"}</definedName>
    <definedName name="AZS" hidden="1">{#N/A,#N/A,FALSE,"CCTV"}</definedName>
    <definedName name="A가뭐지" localSheetId="4">[12]제품별!#REF!</definedName>
    <definedName name="A가뭐지">[12]제품별!#REF!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 localSheetId="4">#REF!</definedName>
    <definedName name="b3.">#REF!</definedName>
    <definedName name="BA" localSheetId="4">#REF!</definedName>
    <definedName name="BA">#REF!</definedName>
    <definedName name="BAG" hidden="1">{#N/A,#N/A,FALSE,"양식(을)"}</definedName>
    <definedName name="Bank_Level">[4]MS_Out!$B$145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ELT" hidden="1">{#N/A,#N/A,FALSE,"양식(을)"}</definedName>
    <definedName name="BFRYHRFYJ" hidden="1">{#N/A,#N/A,FALSE,"단축1";#N/A,#N/A,FALSE,"단축2";#N/A,#N/A,FALSE,"단축3";#N/A,#N/A,FALSE,"장축";#N/A,#N/A,FALSE,"4WD"}</definedName>
    <definedName name="BG_Del" hidden="1">15</definedName>
    <definedName name="BG_Ins" hidden="1">4</definedName>
    <definedName name="BG_Mod" hidden="1">6</definedName>
    <definedName name="BGT" localSheetId="4">#REF!</definedName>
    <definedName name="BGT">#REF!</definedName>
    <definedName name="BK1_">#N/A</definedName>
    <definedName name="BL" hidden="1">{#N/A,#N/A,FALSE,"단축1";#N/A,#N/A,FALSE,"단축2";#N/A,#N/A,FALSE,"단축3";#N/A,#N/A,FALSE,"장축";#N/A,#N/A,FALSE,"4WD"}</definedName>
    <definedName name="BLBL" hidden="1">{#N/A,#N/A,FALSE,"단축1";#N/A,#N/A,FALSE,"단축2";#N/A,#N/A,FALSE,"단축3";#N/A,#N/A,FALSE,"장축";#N/A,#N/A,FALSE,"4WD"}</definedName>
    <definedName name="Bldg_dep_yrs" localSheetId="4">#REF!</definedName>
    <definedName name="Bldg_dep_yrs">#REF!</definedName>
    <definedName name="BLOCK" hidden="1">{#N/A,#N/A,FALSE,"단축1";#N/A,#N/A,FALSE,"단축2";#N/A,#N/A,FALSE,"단축3";#N/A,#N/A,FALSE,"장축";#N/A,#N/A,FALSE,"4WD"}</definedName>
    <definedName name="BM">#N/A</definedName>
    <definedName name="BP" localSheetId="4">#REF!</definedName>
    <definedName name="BP">#REF!</definedName>
    <definedName name="BRI1_IN" localSheetId="4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 localSheetId="4">#REF!</definedName>
    <definedName name="BRKT_ASST">#REF!</definedName>
    <definedName name="BT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 localSheetId="4">#REF!</definedName>
    <definedName name="BUF1_IN">#REF!</definedName>
    <definedName name="BUF1_OUT" localSheetId="4">#REF!</definedName>
    <definedName name="BUF1_OUT">#REF!</definedName>
    <definedName name="BUF1_PR" localSheetId="4">#REF!</definedName>
    <definedName name="BUF1_PR">#REF!</definedName>
    <definedName name="BUF2_IN">#REF!</definedName>
    <definedName name="BUF2_OUT">#REF!</definedName>
    <definedName name="BUF2_PR">#REF!</definedName>
    <definedName name="BW">#N/A</definedName>
    <definedName name="C_">#N/A</definedName>
    <definedName name="Capture.Capture" localSheetId="4">'5. 위험성평가표(최초, 정기, 수시)'!Capture.Capture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>#REF!</definedName>
    <definedName name="cell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ck">[22]분류표!$E$6:$E$60</definedName>
    <definedName name="ci" hidden="1">{#N/A,#N/A,FALSE,"단축1";#N/A,#N/A,FALSE,"단축2";#N/A,#N/A,FALSE,"단축3";#N/A,#N/A,FALSE,"장축";#N/A,#N/A,FALSE,"4WD"}</definedName>
    <definedName name="clean부">#N/A</definedName>
    <definedName name="CO">#N/A</definedName>
    <definedName name="Ｃｏｄｅ">[23]확인서!$G$10</definedName>
    <definedName name="CODE분류">[24]분류표!$B$4:$B$30</definedName>
    <definedName name="COOL_CV_PR" localSheetId="4">#REF!</definedName>
    <definedName name="COOL_CV_PR">#REF!</definedName>
    <definedName name="COOL_IN" localSheetId="4">#REF!</definedName>
    <definedName name="COOL_IN">#REF!</definedName>
    <definedName name="COOL_OUT" localSheetId="4">[25]UNIT!#REF!</definedName>
    <definedName name="COOL_OUT">[25]UNIT!#REF!</definedName>
    <definedName name="COOL_PR" localSheetId="4">#REF!</definedName>
    <definedName name="COOL_PR">#REF!</definedName>
    <definedName name="COOL1_IN" localSheetId="4">#REF!</definedName>
    <definedName name="COOL1_IN">#REF!</definedName>
    <definedName name="COOL1_OUT" localSheetId="4">[25]UNIT!#REF!</definedName>
    <definedName name="COOL1_OUT">[25]UNIT!#REF!</definedName>
    <definedName name="COOL1_PR" localSheetId="4">#REF!</definedName>
    <definedName name="COOL1_PR">#REF!</definedName>
    <definedName name="COUPPCD" localSheetId="4">#REF!</definedName>
    <definedName name="COUPPCD">#REF!</definedName>
    <definedName name="CRANKSHAFT" hidden="1">{#N/A,#N/A,FALSE,"단축1";#N/A,#N/A,FALSE,"단축2";#N/A,#N/A,FALSE,"단축3";#N/A,#N/A,FALSE,"장축";#N/A,#N/A,FALSE,"4WD"}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K" hidden="1">{#N/A,#N/A,FALSE,"단축1";#N/A,#N/A,FALSE,"단축2";#N/A,#N/A,FALSE,"단축3";#N/A,#N/A,FALSE,"장축";#N/A,#N/A,FALSE,"4WD"}</definedName>
    <definedName name="CRT_SHELF">#REF!</definedName>
    <definedName name="CRT_TURN">#REF!</definedName>
    <definedName name="CRTC" localSheetId="4">#REF!</definedName>
    <definedName name="CRTC">#REF!</definedName>
    <definedName name="csDesignMode">1</definedName>
    <definedName name="CSDFEFAED" hidden="1">{#N/A,#N/A,FALSE,"단축1";#N/A,#N/A,FALSE,"단축2";#N/A,#N/A,FALSE,"단축3";#N/A,#N/A,FALSE,"장축";#N/A,#N/A,FALSE,"4WD"}</definedName>
    <definedName name="cst">#N/A</definedName>
    <definedName name="CST_SHELF" localSheetId="4">#REF!</definedName>
    <definedName name="CST_SHELF">#REF!</definedName>
    <definedName name="CSTT" localSheetId="4" hidden="1">#REF!</definedName>
    <definedName name="CSTT" hidden="1">#REF!</definedName>
    <definedName name="currentmonth" localSheetId="4">#REF!</definedName>
    <definedName name="currentmonth">#REF!</definedName>
    <definedName name="CurrentRange">#REF!</definedName>
    <definedName name="CV_">#REF!</definedName>
    <definedName name="CV_CST_Pr">#REF!</definedName>
    <definedName name="CV_FOSB">#REF!</definedName>
    <definedName name="CV_SYS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[20]성신!#REF!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 localSheetId="4">IF([26]MAIN!$C$1=1,OFFSET(Mecha,단추2,1,4,1),IF([26]MAIN!$C$1=2,OFFSET(SFA,단추2,1,4,1),IF([26]MAIN!$C$1=3,OFFSET(로체,단추2,1,4,1),"")))</definedName>
    <definedName name="daasd">IF([26]MAIN!$C$1=1,OFFSET(Mecha,단추2,1,4,1),IF([26]MAIN!$C$1=2,OFFSET(SFA,단추2,1,4,1),IF([26]MAIN!$C$1=3,OFFSET(로체,단추2,1,4,1),"")))</definedName>
    <definedName name="DATA" localSheetId="4">#REF!</definedName>
    <definedName name="DATA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'5. 위험성평가표(최초, 정기, 수시)'!DDD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af" localSheetId="4">IF([26]MAIN!$C$1=1,OFFSET(Mecha,단추2,1,4,1),IF([26]MAIN!$C$1=2,OFFSET(SFA,단추2,1,4,1),IF([26]MAIN!$C$1=3,OFFSET(로체,단추2,1,4,1),"")))</definedName>
    <definedName name="dfaf">IF([26]MAIN!$C$1=1,OFFSET(Mecha,단추2,1,4,1),IF([26]MAIN!$C$1=2,OFFSET(SFA,단추2,1,4,1),IF([26]MAIN!$C$1=3,OFFSET(로체,단추2,1,4,1),"")))</definedName>
    <definedName name="DFD" localSheetId="4">#REF!</definedName>
    <definedName name="DFD">#REF!</definedName>
    <definedName name="dfdf" localSheetId="4">#REF!</definedName>
    <definedName name="dfdf">#REF!</definedName>
    <definedName name="DFGDFG" localSheetId="4">#REF!</definedName>
    <definedName name="DFGDFG">#REF!</definedName>
    <definedName name="dfsf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YHJ" localSheetId="4">#REF!</definedName>
    <definedName name="DFYHJ">#REF!</definedName>
    <definedName name="DGDFGDF">#REF!</definedName>
    <definedName name="DGF" hidden="1">{#N/A,#N/A,FALSE,"단축1";#N/A,#N/A,FALSE,"단축2";#N/A,#N/A,FALSE,"단축3";#N/A,#N/A,FALSE,"장축";#N/A,#N/A,FALSE,"4WD"}</definedName>
    <definedName name="DHO" localSheetId="4">'5. 위험성평가표(최초, 정기, 수시)'!DHO</definedName>
    <definedName name="DHO">[0]!DHO</definedName>
    <definedName name="DIV1_IN" localSheetId="4">#REF!</definedName>
    <definedName name="DIV1_IN">#REF!</definedName>
    <definedName name="DIV1_OUT" localSheetId="4">#REF!</definedName>
    <definedName name="DIV1_OUT">#REF!</definedName>
    <definedName name="DIV1_PR" localSheetId="4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>[20]성신!#REF!</definedName>
    <definedName name="DRAM" localSheetId="4">#REF!</definedName>
    <definedName name="DRAM">#REF!</definedName>
    <definedName name="drgtdeg" hidden="1">#REF!</definedName>
    <definedName name="DRIVEABILITY" hidden="1">{#N/A,#N/A,FALSE,"단축1";#N/A,#N/A,FALSE,"단축2";#N/A,#N/A,FALSE,"단축3";#N/A,#N/A,FALSE,"장축";#N/A,#N/A,FALSE,"4WD"}</definedName>
    <definedName name="DSA" localSheetId="4">#REF!</definedName>
    <definedName name="DSA">#REF!</definedName>
    <definedName name="DSDS" hidden="1">{#N/A,#N/A,FALSE,"단축1";#N/A,#N/A,FALSE,"단축2";#N/A,#N/A,FALSE,"단축3";#N/A,#N/A,FALSE,"장축";#N/A,#N/A,FALSE,"4WD"}</definedName>
    <definedName name="DSFSDF" localSheetId="4">'5. 위험성평가표(최초, 정기, 수시)'!DSFSDF</definedName>
    <definedName name="DSFSDF">[0]!DSFSDF</definedName>
    <definedName name="DTN_" localSheetId="4">#REF!</definedName>
    <definedName name="DTN_">#REF!</definedName>
    <definedName name="DUCT" hidden="1">{#N/A,#N/A,FALSE,"Sheet1"}</definedName>
    <definedName name="E" hidden="1">{#N/A,#N/A,FALSE,"표지";#N/A,#N/A,FALSE,"전제";#N/A,#N/A,FALSE,"손익-자 (2)";#N/A,#N/A,FALSE,"손익-자";#N/A,#N/A,FALSE,"손익-마 (2)";#N/A,#N/A,FALSE,"손익-마";#N/A,#N/A,FALSE,"총손최종"}</definedName>
    <definedName name="E2EM_X4C1" localSheetId="4">[20]성신!#REF!</definedName>
    <definedName name="E2EM_X4C1">[20]성신!#REF!</definedName>
    <definedName name="E3Z_G61" localSheetId="4">[20]성신!#REF!</definedName>
    <definedName name="E3Z_G61">[20]성신!#REF!</definedName>
    <definedName name="E3Z_G62" localSheetId="4">[20]성신!#REF!</definedName>
    <definedName name="E3Z_G62">[20]성신!#REF!</definedName>
    <definedName name="e5tttfr54y" hidden="1">#REF!</definedName>
    <definedName name="EE" localSheetId="4">#REF!</definedName>
    <definedName name="EE">#REF!</definedName>
    <definedName name="EE_SX672" localSheetId="4">[20]성신!#REF!</definedName>
    <definedName name="EE_SX672">[20]성신!#REF!</definedName>
    <definedName name="EEE" localSheetId="4" hidden="1">#REF!</definedName>
    <definedName name="EEE" hidden="1">#REF!</definedName>
    <definedName name="eee.송운" hidden="1">{#N/A,#N/A,FALSE,"운반시간"}</definedName>
    <definedName name="ELA" hidden="1">{#N/A,#N/A,FALSE,"2월입도";#N/A,#N/A,FALSE,"1월입도";#N/A,#N/A,FALSE,"3월입도"}</definedName>
    <definedName name="EMG" localSheetId="4">#REF!</definedName>
    <definedName name="EMG">#REF!</definedName>
    <definedName name="EO" localSheetId="4">#REF!</definedName>
    <definedName name="EO">#REF!</definedName>
    <definedName name="ETYUTYRTY">#REF!</definedName>
    <definedName name="EV__LASTREFTIME__">"2008-04-30 오후 2:06:18"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4">#REF!</definedName>
    <definedName name="F">#REF!</definedName>
    <definedName name="F2D_IN">#REF!</definedName>
    <definedName name="F2D_OUT">#REF!</definedName>
    <definedName name="F2D_PR">#REF!</definedName>
    <definedName name="FAB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 localSheetId="4">IF([26]MAIN!$C$1=1,OFFSET(Mecha,단추,1,13,1),IF([26]MAIN!$C$1=2,OFFSET(SFA,단추,1,13,1),IF([26]MAIN!$C$1=3,OFFSET(로체,단추,1,13,1),"")))</definedName>
    <definedName name="fdasd">IF([26]MAIN!$C$1=1,OFFSET(Mecha,단추,1,13,1),IF([26]MAIN!$C$1=2,OFFSET(SFA,단추,1,13,1),IF([26]MAIN!$C$1=3,OFFSET(로체,단추,1,13,1),"")))</definedName>
    <definedName name="FD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FF" localSheetId="4">#REF!</definedName>
    <definedName name="FF">#REF!</definedName>
    <definedName name="FFF" localSheetId="4">#REF!</definedName>
    <definedName name="FFF">#REF!</definedName>
    <definedName name="fffffff">#REF!</definedName>
    <definedName name="ffgfdfd" hidden="1">{#N/A,#N/A,FALSE,"단축1";#N/A,#N/A,FALSE,"단축2";#N/A,#N/A,FALSE,"단축3";#N/A,#N/A,FALSE,"장축";#N/A,#N/A,FALSE,"4WD"}</definedName>
    <definedName name="fgdg" localSheetId="4">#REF!</definedName>
    <definedName name="fgdg">#REF!</definedName>
    <definedName name="FGF" hidden="1">{#N/A,#N/A,FALSE,"단축1";#N/A,#N/A,FALSE,"단축2";#N/A,#N/A,FALSE,"단축3";#N/A,#N/A,FALSE,"장축";#N/A,#N/A,FALSE,"4WD"}</definedName>
    <definedName name="fgPRPRRKRKRKRKRKTBTB2RT">'[27]11'!#REF!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HEMAOQ" hidden="1">{#N/A,#N/A,TRUE,"매출진척-1";#N/A,#N/A,TRUE,"매출진척-2";#N/A,#N/A,TRUE,"제품실적";#N/A,#N/A,TRUE,"RAC";#N/A,#N/A,TRUE,"PAC ";#N/A,#N/A,TRUE,"재고현황";#N/A,#N/A,TRUE,"공지사항"}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FJD" hidden="1">{#N/A,#N/A,FALSE,"단축1";#N/A,#N/A,FALSE,"단축2";#N/A,#N/A,FALSE,"단축3";#N/A,#N/A,FALSE,"장축";#N/A,#N/A,FALSE,"4WD"}</definedName>
    <definedName name="FKRLTJD">#REF!</definedName>
    <definedName name="fks">#REF!</definedName>
    <definedName name="FLEXIBLE.T.L" hidden="1">{#N/A,#N/A,FALSE,"단축1";#N/A,#N/A,FALSE,"단축2";#N/A,#N/A,FALSE,"단축3";#N/A,#N/A,FALSE,"장축";#N/A,#N/A,FALSE,"4WD"}</definedName>
    <definedName name="FLIFT01_MAIN">#REF!</definedName>
    <definedName name="FLIFT01_P1">#REF!</definedName>
    <definedName name="FLIFT01_P2">#REF!</definedName>
    <definedName name="FLIFT02_MAIN">#REF!</definedName>
    <definedName name="FLIFT02_P1">#REF!</definedName>
    <definedName name="FLIFT02_P2">#REF!</definedName>
    <definedName name="FLIFT03_MAIN">#REF!</definedName>
    <definedName name="FLIFT03_P1">#REF!</definedName>
    <definedName name="FLIFT03_P2">#REF!</definedName>
    <definedName name="FLIFT04_MAIN">#REF!</definedName>
    <definedName name="FLIFT04_P1">#REF!</definedName>
    <definedName name="FLIFT04_P2">#REF!</definedName>
    <definedName name="FLIFT05_MAIN">#REF!</definedName>
    <definedName name="FLIFT05_P1">#REF!</definedName>
    <definedName name="FLIFT05_P2">#REF!</definedName>
    <definedName name="FLOORLIFT_MAIN">#REF!</definedName>
    <definedName name="FLOORLIFT_PORT">#REF!</definedName>
    <definedName name="fsf" localSheetId="4">'5. 위험성평가표(최초, 정기, 수시)'!fsf</definedName>
    <definedName name="fsf">[0]!fsf</definedName>
    <definedName name="FULL" localSheetId="4">#REF!</definedName>
    <definedName name="FULL">#REF!</definedName>
    <definedName name="F사2" localSheetId="4">#REF!</definedName>
    <definedName name="F사2">#REF!</definedName>
    <definedName name="G" hidden="1">{#N/A,#N/A,FALSE,"단축1";#N/A,#N/A,FALSE,"단축2";#N/A,#N/A,FALSE,"단축3";#N/A,#N/A,FALSE,"장축";#N/A,#N/A,FALSE,"4WD"}</definedName>
    <definedName name="G_BUFF" localSheetId="4">#REF!</definedName>
    <definedName name="G_BUFF">#REF!</definedName>
    <definedName name="Gamma_Calculate">[28]Gamma!$X$58:$X$90</definedName>
    <definedName name="Gamma_Data">[28]Gamma!$W$58:$W$90</definedName>
    <definedName name="Gamma_Point">[28]Gamma!$C$3:$AJ$3</definedName>
    <definedName name="Gamma_Result">[29]Gamma!$B$18:$AH$22</definedName>
    <definedName name="Gamma_Spec">[28]Gamma!$C$50:$AJ$52</definedName>
    <definedName name="Gamma_x">[30]Gamma!$C$58:$C$90</definedName>
    <definedName name="Gamma_y">[30]Gamma!$D$58:$D$90</definedName>
    <definedName name="GCV" localSheetId="4">#REF!</definedName>
    <definedName name="GCV">#REF!</definedName>
    <definedName name="GEMCO" hidden="1">#REF!</definedName>
    <definedName name="GETT" hidden="1">[31]반송!$A$2:$M$207</definedName>
    <definedName name="GFDF" hidden="1">{#N/A,#N/A,FALSE,"전제";#N/A,#N/A,FALSE,"표지";#N/A,#N/A,FALSE,"6D16";#N/A,#N/A,FALSE,"6D22";#N/A,#N/A,FALSE,"6D22-T";#N/A,#N/A,FALSE,"Q-DEG";#N/A,#N/A,FALSE,"총손";#N/A,#N/A,FALSE,"대당";#N/A,#N/A,FALSE,"가공비"}</definedName>
    <definedName name="GG" localSheetId="4">#REF!</definedName>
    <definedName name="GG">#REF!</definedName>
    <definedName name="ggg">#N/A</definedName>
    <definedName name="gggg" hidden="1">{#N/A,#N/A,FALSE,"단축1";#N/A,#N/A,FALSE,"단축2";#N/A,#N/A,FALSE,"단축3";#N/A,#N/A,FALSE,"장축";#N/A,#N/A,FALSE,"4WD"}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4" hidden="1">#REF!</definedName>
    <definedName name="GHF" hidden="1">#REF!</definedName>
    <definedName name="ghjj" localSheetId="4">#REF!</definedName>
    <definedName name="ghjj">#REF!</definedName>
    <definedName name="gjg">#N/A</definedName>
    <definedName name="GJGK" hidden="1">{#N/A,#N/A,FALSE,"표지";#N/A,#N/A,FALSE,"전제";#N/A,#N/A,FALSE,"손익-자 (2)";#N/A,#N/A,FALSE,"손익-자";#N/A,#N/A,FALSE,"손익-마 (2)";#N/A,#N/A,FALSE,"손익-마";#N/A,#N/A,FALSE,"총손최종"}</definedName>
    <definedName name="gks" hidden="1">{#N/A,#N/A,TRUE,"매출진척-1";#N/A,#N/A,TRUE,"매출진척-2";#N/A,#N/A,TRUE,"제품실적";#N/A,#N/A,TRUE,"RAC";#N/A,#N/A,TRUE,"PAC ";#N/A,#N/A,TRUE,"재고현황";#N/A,#N/A,TRUE,"공지사항"}</definedName>
    <definedName name="H">"Text 853"</definedName>
    <definedName name="hardwar" hidden="1">#REF!</definedName>
    <definedName name="hbb" localSheetId="4">'[32]98연계표'!#REF!</definedName>
    <definedName name="hbb">'[32]98연계표'!#REF!</definedName>
    <definedName name="HEAD" localSheetId="4">#REF!</definedName>
    <definedName name="HEAD">#REF!</definedName>
    <definedName name="HG" hidden="1">{#N/A,#N/A,FALSE,"단축1";#N/A,#N/A,FALSE,"단축2";#N/A,#N/A,FALSE,"단축3";#N/A,#N/A,FALSE,"장축";#N/A,#N/A,FALSE,"4WD"}</definedName>
    <definedName name="hh" localSheetId="4">#REF!</definedName>
    <definedName name="hh">#REF!</definedName>
    <definedName name="HJHG" hidden="1">{#N/A,#N/A,FALSE,"단축1";#N/A,#N/A,FALSE,"단축2";#N/A,#N/A,FALSE,"단축3";#N/A,#N/A,FALSE,"장축";#N/A,#N/A,FALSE,"4WD"}</definedName>
    <definedName name="HOJO" hidden="1">{#N/A,#N/A,FALSE,"전제";#N/A,#N/A,FALSE,"표지";#N/A,#N/A,FALSE,"6D16";#N/A,#N/A,FALSE,"6D22";#N/A,#N/A,FALSE,"6D22-T";#N/A,#N/A,FALSE,"Q-DEG";#N/A,#N/A,FALSE,"총손";#N/A,#N/A,FALSE,"대당";#N/A,#N/A,FALSE,"가공비"}</definedName>
    <definedName name="HRTYU" hidden="1">{#N/A,#N/A,FALSE,"단축1";#N/A,#N/A,FALSE,"단축2";#N/A,#N/A,FALSE,"단축3";#N/A,#N/A,FALSE,"장축";#N/A,#N/A,FALSE,"4WD"}</definedName>
    <definedName name="HTA" localSheetId="4">#REF!</definedName>
    <definedName name="HTA">#REF!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YASD" hidden="1">{#N/A,#N/A,FALSE,"단축1";#N/A,#N/A,FALSE,"단축2";#N/A,#N/A,FALSE,"단축3";#N/A,#N/A,FALSE,"장축";#N/A,#N/A,FALSE,"4WD"}</definedName>
    <definedName name="HUSDFASDSFKD" hidden="1">{#N/A,#N/A,FALSE,"단축1";#N/A,#N/A,FALSE,"단축2";#N/A,#N/A,FALSE,"단축3";#N/A,#N/A,FALSE,"장축";#N/A,#N/A,FALSE,"4WD"}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_CV">#REF!</definedName>
    <definedName name="I_STL">#REF!</definedName>
    <definedName name="ic" hidden="1">{#N/A,#N/A,FALSE,"단축1";#N/A,#N/A,FALSE,"단축2";#N/A,#N/A,FALSE,"단축3";#N/A,#N/A,FALSE,"장축";#N/A,#N/A,FALSE,"4WD"}</definedName>
    <definedName name="ID">#N/A</definedName>
    <definedName name="IDX_SYS" localSheetId="4">#REF!</definedName>
    <definedName name="IDX_SYS">#REF!</definedName>
    <definedName name="II" localSheetId="4">#REF!</definedName>
    <definedName name="II">#REF!</definedName>
    <definedName name="IN">#N/A</definedName>
    <definedName name="INDEX" localSheetId="4">#REF!</definedName>
    <definedName name="INDEX">#REF!</definedName>
    <definedName name="INV" localSheetId="4">#REF!</definedName>
    <definedName name="INV">#REF!</definedName>
    <definedName name="inv1Price">[33]DBASE!$E$54</definedName>
    <definedName name="inv2Price" localSheetId="4">#REF!</definedName>
    <definedName name="inv2Price">#REF!</definedName>
    <definedName name="inv3Price" localSheetId="4">#REF!</definedName>
    <definedName name="inv3Price">#REF!</definedName>
    <definedName name="inv4Price">[33]DBASE!$E$58</definedName>
    <definedName name="inv5Price" localSheetId="4">#REF!</definedName>
    <definedName name="inv5Price">#REF!</definedName>
    <definedName name="invG737Price" localSheetId="4">#REF!</definedName>
    <definedName name="invG737Price">#REF!</definedName>
    <definedName name="invV0P2Price" localSheetId="4">#REF!</definedName>
    <definedName name="invV0P2Price">#REF!</definedName>
    <definedName name="invV737Price">#REF!</definedName>
    <definedName name="IP">'[34]97'!$I$3:$I$112,'[34]97'!$BC$3:$BS$112</definedName>
    <definedName name="J2COUPE.EXT.ALTC" localSheetId="4">[19]MX628EX!#REF!</definedName>
    <definedName name="J2COUPE.EXT.ALTC">[19]MX628EX!#REF!</definedName>
    <definedName name="JAJE">#N/A</definedName>
    <definedName name="JHVHGGHGKHGBH" localSheetId="4">#REF!</definedName>
    <definedName name="JHVHGGHGKHGBH">#REF!</definedName>
    <definedName name="JIN" localSheetId="4">#REF!</definedName>
    <definedName name="JIN">#REF!</definedName>
    <definedName name="jj">#REF!</definedName>
    <definedName name="jjj" localSheetId="4" hidden="1">#REF!</definedName>
    <definedName name="jjj" hidden="1">#REF!</definedName>
    <definedName name="jkghhj" hidden="1">{#N/A,#N/A,FALSE,"신규dep";#N/A,#N/A,FALSE,"신규dep-금형상각후";#N/A,#N/A,FALSE,"신규dep-연구비상각후";#N/A,#N/A,FALSE,"신규dep-기계,공구상각후"}</definedName>
    <definedName name="JKL" localSheetId="4">#REF!</definedName>
    <definedName name="JKL">#REF!</definedName>
    <definedName name="jpr">[35]data!$B$2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KKK" localSheetId="4">#REF!</definedName>
    <definedName name="KKKK">#REF!</definedName>
    <definedName name="kljhg">#N/A</definedName>
    <definedName name="klkk" hidden="1">{#N/A,#N/A,FALSE,"단축1";#N/A,#N/A,FALSE,"단축2";#N/A,#N/A,FALSE,"단축3";#N/A,#N/A,FALSE,"장축";#N/A,#N/A,FALSE,"4WD"}</definedName>
    <definedName name="KTT" localSheetId="4">[19]MX628EX!#REF!</definedName>
    <definedName name="KTT">[19]MX628EX!#REF!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CP후_PR">#REF!</definedName>
    <definedName name="LengthOfRail">#REF!</definedName>
    <definedName name="LIFT">#REF!</definedName>
    <definedName name="LIFT_">#REF!</definedName>
    <definedName name="LIFT_FOSB">#REF!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iking_Query">#REF!</definedName>
    <definedName name="LINEUP" hidden="1">{#N/A,#N/A,TRUE,"매출진척-1";#N/A,#N/A,TRUE,"매출진척-2";#N/A,#N/A,TRUE,"제품실적";#N/A,#N/A,TRUE,"RAC";#N/A,#N/A,TRUE,"PAC ";#N/A,#N/A,TRUE,"재고현황";#N/A,#N/A,TRUE,"공지사항"}</definedName>
    <definedName name="ListItem04">[36]Sheet1!$C$7</definedName>
    <definedName name="ListItem07">[36]Sheet1!$C$11</definedName>
    <definedName name="LJSLFJLSDKJ" localSheetId="4">'5. 위험성평가표(최초, 정기, 수시)'!LJSLFJLSDKJ</definedName>
    <definedName name="LJSLFJLSDKJ">[0]!LJSLFJLSDKJ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'[37]1단1열(S)'!#REF!</definedName>
    <definedName name="LOCKING_" localSheetId="4">#REF!</definedName>
    <definedName name="LOCKING_">#REF!</definedName>
    <definedName name="LOP_IN" localSheetId="4">#REF!</definedName>
    <definedName name="LOP_IN">#REF!</definedName>
    <definedName name="LOP_OUT" localSheetId="4">#REF!</definedName>
    <definedName name="LOP_OUT">#REF!</definedName>
    <definedName name="LOP_PR">#REF!</definedName>
    <definedName name="LP" hidden="1">{#N/A,#N/A,FALSE,"단축1";#N/A,#N/A,FALSE,"단축2";#N/A,#N/A,FALSE,"단축3";#N/A,#N/A,FALSE,"장축";#N/A,#N/A,FALSE,"4WD"}</definedName>
    <definedName name="LP능력검토" hidden="1">{#N/A,#N/A,FALSE,"단축1";#N/A,#N/A,FALSE,"단축2";#N/A,#N/A,FALSE,"단축3";#N/A,#N/A,FALSE,"장축";#N/A,#N/A,FALSE,"4WD"}</definedName>
    <definedName name="LP투자비" hidden="1">{#N/A,#N/A,FALSE,"단축1";#N/A,#N/A,FALSE,"단축2";#N/A,#N/A,FALSE,"단축3";#N/A,#N/A,FALSE,"장축";#N/A,#N/A,FALSE,"4WD"}</definedName>
    <definedName name="M" hidden="1">{#N/A,#N/A,FALSE,"표지";#N/A,#N/A,FALSE,"전제";#N/A,#N/A,FALSE,"손익-자 (2)";#N/A,#N/A,FALSE,"손익-자";#N/A,#N/A,FALSE,"손익-마 (2)";#N/A,#N/A,FALSE,"손익-마";#N/A,#N/A,FALSE,"총손최종"}</definedName>
    <definedName name="M5ZR1" localSheetId="4">#REF!</definedName>
    <definedName name="M5ZR1">#REF!</definedName>
    <definedName name="MAIN_PR">#REF!</definedName>
    <definedName name="MAINEQ">#REF!</definedName>
    <definedName name="maintcost" localSheetId="4">#REF!</definedName>
    <definedName name="maintcost">#REF!</definedName>
    <definedName name="MAIN후_PR">#REF!</definedName>
    <definedName name="MAKER">#REF!</definedName>
    <definedName name="MASTER_PR">#REF!</definedName>
    <definedName name="MCP" localSheetId="4">#REF!</definedName>
    <definedName name="MCP">#REF!</definedName>
    <definedName name="Mecha">OFFSET(IF([26]MAIN!$H$1=1,'[26]진행 사항'!$BD$3,""),1,1)</definedName>
    <definedName name="MEMORY" localSheetId="4">#REF!</definedName>
    <definedName name="MEMORY">#REF!</definedName>
    <definedName name="MH공수투자전" hidden="1">{#N/A,#N/A,TRUE,"매출진척-1";#N/A,#N/A,TRUE,"매출진척-2";#N/A,#N/A,TRUE,"제품실적";#N/A,#N/A,TRUE,"RAC";#N/A,#N/A,TRUE,"PAC ";#N/A,#N/A,TRUE,"재고현황";#N/A,#N/A,TRUE,"공지사항"}</definedName>
    <definedName name="MIDDLE" localSheetId="4">#REF!</definedName>
    <definedName name="MIDDLE">#REF!</definedName>
    <definedName name="MIP능력검토" hidden="1">{#N/A,#N/A,FALSE,"단축1";#N/A,#N/A,FALSE,"단축2";#N/A,#N/A,FALSE,"단축3";#N/A,#N/A,FALSE,"장축";#N/A,#N/A,FALSE,"4WD"}</definedName>
    <definedName name="MIP동시투자" hidden="1">{#N/A,#N/A,FALSE,"단축1";#N/A,#N/A,FALSE,"단축2";#N/A,#N/A,FALSE,"단축3";#N/A,#N/A,FALSE,"장축";#N/A,#N/A,FALSE,"4WD"}</definedName>
    <definedName name="MM" localSheetId="4">#REF!</definedName>
    <definedName name="MM">#REF!</definedName>
    <definedName name="MMM" localSheetId="4">#REF!</definedName>
    <definedName name="MMM">#REF!</definedName>
    <definedName name="MMMM">#REF!</definedName>
    <definedName name="MMMMM">#REF!</definedName>
    <definedName name="MO">#N/A</definedName>
    <definedName name="Model" localSheetId="4">#REF!</definedName>
    <definedName name="Model">#REF!</definedName>
    <definedName name="MONTH">#N/A</definedName>
    <definedName name="MOP_IN" localSheetId="4">#REF!</definedName>
    <definedName name="MOP_IN">#REF!</definedName>
    <definedName name="MOP_OUT" localSheetId="4">#REF!</definedName>
    <definedName name="MOP_OUT">#REF!</definedName>
    <definedName name="MOP_PR" localSheetId="4">#REF!</definedName>
    <definedName name="MOP_PR">#REF!</definedName>
    <definedName name="MOV_IN">#REF!</definedName>
    <definedName name="MOV_OUT">#REF!</definedName>
    <definedName name="MOV_PR">#REF!</definedName>
    <definedName name="MOV_PRICE">#REF!</definedName>
    <definedName name="MS검사구" localSheetId="4">#REF!</definedName>
    <definedName name="MS검사구">#REF!</definedName>
    <definedName name="MVJK" localSheetId="4">'5. 위험성평가표(최초, 정기, 수시)'!MVJK</definedName>
    <definedName name="MVJK">[0]!MVJK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>[19]MX628EX!#REF!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EWCON">#REF!</definedName>
    <definedName name="NEWNAME" hidden="1">{#N/A,#N/A,FALSE,"CCTV"}</definedName>
    <definedName name="NNN" hidden="1">{#N/A,#N/A,FALSE,"단축1";#N/A,#N/A,FALSE,"단축2";#N/A,#N/A,FALSE,"단축3";#N/A,#N/A,FALSE,"장축";#N/A,#N/A,FALSE,"4WD"}</definedName>
    <definedName name="NO" localSheetId="4">#REF!</definedName>
    <definedName name="NO">#REF!</definedName>
    <definedName name="no_ups" localSheetId="4">#REF!</definedName>
    <definedName name="no_ups">#REF!</definedName>
    <definedName name="NumberOfBranch">#REF!</definedName>
    <definedName name="NumberOfBuffer">#REF!</definedName>
    <definedName name="NumberOfClient">'[38]3. 서버 및 네트워크'!$G$28</definedName>
    <definedName name="NumberOfControlBcr" localSheetId="4">#REF!</definedName>
    <definedName name="NumberOfControlBcr">#REF!</definedName>
    <definedName name="NumberOfJoint" localSheetId="4">#REF!</definedName>
    <definedName name="NumberOfJoint">#REF!</definedName>
    <definedName name="NumberOfLCU" localSheetId="4">#REF!</definedName>
    <definedName name="NumberOfLCU">#REF!</definedName>
    <definedName name="NumberOfMcp">#REF!</definedName>
    <definedName name="NumberOfMtl">#REF!</definedName>
    <definedName name="NumberOfNcp">#REF!</definedName>
    <definedName name="NumberOfPort">#REF!</definedName>
    <definedName name="NumberOfPositionBcr">#REF!</definedName>
    <definedName name="nUMBERoFsERVER">'[38]3. 서버 및 네트워크'!$G$12</definedName>
    <definedName name="NumberOfVehicle" localSheetId="4">#REF!</definedName>
    <definedName name="NumberOfVehicle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 localSheetId="4">#REF!</definedName>
    <definedName name="OHT_">#REF!</definedName>
    <definedName name="OHT_MCP" localSheetId="4">#REF!</definedName>
    <definedName name="OHT_MCP">#REF!</definedName>
    <definedName name="OHT1대외주비">[38]외주비!$G$53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" hidden="1">{#N/A,#N/A,FALSE,"단축1";#N/A,#N/A,FALSE,"단축2";#N/A,#N/A,FALSE,"단축3";#N/A,#N/A,FALSE,"장축";#N/A,#N/A,FALSE,"4WD"}</definedName>
    <definedName name="ooo">#REF!</definedName>
    <definedName name="OOOO">#REF!</definedName>
    <definedName name="OPUOYIOIYTTERGEWEWR" hidden="1">{#N/A,#N/A,FALSE,"단축1";#N/A,#N/A,FALSE,"단축2";#N/A,#N/A,FALSE,"단축3";#N/A,#N/A,FALSE,"장축";#N/A,#N/A,FALSE,"4WD"}</definedName>
    <definedName name="Output">[4]MS_Out!$D$4</definedName>
    <definedName name="O행" localSheetId="4">#REF!</definedName>
    <definedName name="O행">#REF!</definedName>
    <definedName name="P">#N/A</definedName>
    <definedName name="Packing_List_for_169" localSheetId="4">#REF!</definedName>
    <definedName name="Packing_List_for_169">#REF!</definedName>
    <definedName name="PAC중대형" hidden="1">{#N/A,#N/A,TRUE,"매출진척-1";#N/A,#N/A,TRUE,"매출진척-2";#N/A,#N/A,TRUE,"제품실적";#N/A,#N/A,TRUE,"RAC";#N/A,#N/A,TRUE,"PAC ";#N/A,#N/A,TRUE,"재고현황";#N/A,#N/A,TRUE,"공지사항"}</definedName>
    <definedName name="PART_NO_1" localSheetId="4">#REF!</definedName>
    <definedName name="PART_NO_1">#REF!</definedName>
    <definedName name="PART_NO_2" localSheetId="4">#REF!</definedName>
    <definedName name="PART_NO_2">#REF!</definedName>
    <definedName name="PART_NO_FILTER">#REF!</definedName>
    <definedName name="pbn">'[39]98연계표'!#REF!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IN_Ser_PR" localSheetId="4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 localSheetId="4">#REF!</definedName>
    <definedName name="PJT">#REF!</definedName>
    <definedName name="pkg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>[19]MX628EX!#REF!</definedName>
    <definedName name="PM0tb0tb198tb38tb44rtOR138C121r">[19]MX628EX!#REF!</definedName>
    <definedName name="PM0tb0tb198tb38tb44rtOR138C122r">[19]MX628EX!#REF!</definedName>
    <definedName name="PM2_LF10_C1">[20]성신!#REF!</definedName>
    <definedName name="PM2_LH10_C1">[20]성신!#REF!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>#REF!</definedName>
    <definedName name="Point" localSheetId="4">#REF!</definedName>
    <definedName name="Point">#REF!</definedName>
    <definedName name="PORT_PIO_SCOPE">#REF!</definedName>
    <definedName name="PP" localSheetId="4">#REF!</definedName>
    <definedName name="PP">#REF!</definedName>
    <definedName name="PP_CAP">#REF!</definedName>
    <definedName name="PP_CV">#REF!</definedName>
    <definedName name="PP_DIV">#REF!</definedName>
    <definedName name="PPOIU" hidden="1">{#N/A,#N/A,FALSE,"단축1";#N/A,#N/A,FALSE,"단축2";#N/A,#N/A,FALSE,"단축3";#N/A,#N/A,FALSE,"장축";#N/A,#N/A,FALSE,"4WD"}</definedName>
    <definedName name="PPP" localSheetId="4" hidden="1">{#N/A,#N/A,TRUE,"일정"}</definedName>
    <definedName name="PPP" hidden="1">{#N/A,#N/A,TRUE,"일정"}</definedName>
    <definedName name="Price_FT_50" localSheetId="4">#REF!</definedName>
    <definedName name="Price_FT_50">#REF!</definedName>
    <definedName name="Price_FT_H20" localSheetId="4">#REF!</definedName>
    <definedName name="Price_FT_H20">#REF!</definedName>
    <definedName name="Price_GOT1575VTBD" localSheetId="4">#REF!</definedName>
    <definedName name="Price_GOT1575VTBD">#REF!</definedName>
    <definedName name="Price_GT1575_STBD">#REF!</definedName>
    <definedName name="Price14h">[33]DBASE!$E$12</definedName>
    <definedName name="Price14hc1" localSheetId="4">#REF!</definedName>
    <definedName name="Price14hc1">#REF!</definedName>
    <definedName name="Price15hl">[33]DBASE!$E$16</definedName>
    <definedName name="Price16d" localSheetId="4">#REF!</definedName>
    <definedName name="Price16d">#REF!</definedName>
    <definedName name="Price16dt" localSheetId="4">#REF!</definedName>
    <definedName name="Price16dt">#REF!</definedName>
    <definedName name="Price16t" localSheetId="4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[33]DBASE!$E$43</definedName>
    <definedName name="Price63p" localSheetId="4">#REF!</definedName>
    <definedName name="Price63p">#REF!</definedName>
    <definedName name="Price64AD" localSheetId="4">#REF!</definedName>
    <definedName name="Price64AD">#REF!</definedName>
    <definedName name="PriceAmpC" localSheetId="4">#REF!</definedName>
    <definedName name="PriceAmpC">#REF!</definedName>
    <definedName name="PriceAps">[33]DBASE!$E$14</definedName>
    <definedName name="PriceBat" localSheetId="4">#REF!</definedName>
    <definedName name="PriceBat">#REF!</definedName>
    <definedName name="PriceBk" localSheetId="4">#REF!</definedName>
    <definedName name="PriceBk">#REF!</definedName>
    <definedName name="PriceBusBar" localSheetId="4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[33]DBASE!$E$11</definedName>
    <definedName name="PriceEmg" localSheetId="4">#REF!</definedName>
    <definedName name="PriceEmg">#REF!</definedName>
    <definedName name="PriceEnc" localSheetId="4">#REF!</definedName>
    <definedName name="PriceEnc">#REF!</definedName>
    <definedName name="PriceEncoder" localSheetId="4">#REF!</definedName>
    <definedName name="PriceEncoder">#REF!</definedName>
    <definedName name="PriceEnd">#REF!</definedName>
    <definedName name="PriceES1">#REF!</definedName>
    <definedName name="PriceEth">#REF!</definedName>
    <definedName name="PriceEx24a">[33]DBASE!$E$3</definedName>
    <definedName name="PriceEx42">[33]DBASE!$E$4</definedName>
    <definedName name="PriceF54" localSheetId="4">#REF!</definedName>
    <definedName name="PriceF54">#REF!</definedName>
    <definedName name="PriceFCable1" localSheetId="4">#REF!</definedName>
    <definedName name="PriceFCable1">#REF!</definedName>
    <definedName name="PriceFCable2" localSheetId="4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[33]DBASE!$E$17</definedName>
    <definedName name="PriceGOT_GT1585" localSheetId="4">#REF!</definedName>
    <definedName name="PriceGOT_GT1585">#REF!</definedName>
    <definedName name="PriceGotE" localSheetId="4">#REF!</definedName>
    <definedName name="PriceGotE">#REF!</definedName>
    <definedName name="PriceHigh" localSheetId="4">#REF!</definedName>
    <definedName name="PriceHigh">#REF!</definedName>
    <definedName name="PriceHub">#REF!</definedName>
    <definedName name="PriceInvP">[33]DBASE!$E$76</definedName>
    <definedName name="PriceL31" localSheetId="4">#REF!</definedName>
    <definedName name="PriceL31">#REF!</definedName>
    <definedName name="PriceL43" localSheetId="4">#REF!</definedName>
    <definedName name="PriceL43">#REF!</definedName>
    <definedName name="PriceL54">[33]DBASE!$E$8</definedName>
    <definedName name="PriceLCP" localSheetId="4">#REF!</definedName>
    <definedName name="PriceLCP">#REF!</definedName>
    <definedName name="PriceLftAmpP" localSheetId="4">#REF!</definedName>
    <definedName name="PriceLftAmpP">#REF!</definedName>
    <definedName name="PriceLh10" localSheetId="4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[33]DBASE!$E$60</definedName>
    <definedName name="PriceRly">[33]DBASE!$E$101</definedName>
    <definedName name="PriceRs232" localSheetId="4">#REF!</definedName>
    <definedName name="PriceRs232">#REF!</definedName>
    <definedName name="PriceRTB" localSheetId="4">#REF!</definedName>
    <definedName name="PriceRTB">#REF!</definedName>
    <definedName name="PriceSamwon16T" localSheetId="4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[33]DBASE!$E$102</definedName>
    <definedName name="PriceUnitP" localSheetId="4">#REF!</definedName>
    <definedName name="PriceUnitP">#REF!</definedName>
    <definedName name="PriceUtp" localSheetId="4">#REF!</definedName>
    <definedName name="PriceUtp">#REF!</definedName>
    <definedName name="PriceV7DT20P4" localSheetId="4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2">'3. 위험성평가 조직도(최초, 정기)'!$A$1:$N$29</definedName>
    <definedName name="_xlnm.Print_Area" localSheetId="3">'4. 전체공사일정'!$A$1:$FX$1503</definedName>
    <definedName name="_xlnm.Print_Area">#REF!</definedName>
    <definedName name="Print_Area_MI" localSheetId="4">#REF!</definedName>
    <definedName name="Print_Area_MI">#REF!</definedName>
    <definedName name="PRINT_AREA_MI1">#REF!</definedName>
    <definedName name="Print_Area1" localSheetId="4">#REF!</definedName>
    <definedName name="Print_Area1">#REF!</definedName>
    <definedName name="PRINT_TITLE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" hidden="1">{#N/A,#N/A,FALSE,"단가표지"}</definedName>
    <definedName name="QWER2F" localSheetId="4">#REF!</definedName>
    <definedName name="QWER2F">#REF!</definedName>
    <definedName name="qwr" localSheetId="4">IF([26]MAIN!$C$1=1,OFFSET(Mecha,단추,1,13,1),IF([26]MAIN!$C$1=2,OFFSET(SFA,단추,1,13,1),IF([26]MAIN!$C$1=3,OFFSET(로체,단추,1,13,1),"")))</definedName>
    <definedName name="qwr">IF([26]MAIN!$C$1=1,OFFSET(Mecha,단추,1,13,1),IF([26]MAIN!$C$1=2,OFFSET(SFA,단추,1,13,1),IF([26]MAIN!$C$1=3,OFFSET(로체,단추,1,13,1),"")))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4">#REF!</definedName>
    <definedName name="RACK_PR">#REF!</definedName>
    <definedName name="Range1" localSheetId="4">#REF!</definedName>
    <definedName name="Range1">#REF!</definedName>
    <definedName name="range2" localSheetId="4">#REF!</definedName>
    <definedName name="range2">#REF!</definedName>
    <definedName name="RATE">#REF!</definedName>
    <definedName name="RBT_PR">#REF!</definedName>
    <definedName name="RDG" hidden="1">{#N/A,#N/A,FALSE,"단축1";#N/A,#N/A,FALSE,"단축2";#N/A,#N/A,FALSE,"단축3";#N/A,#N/A,FALSE,"장축";#N/A,#N/A,FALSE,"4WD"}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GTSFD">#REF!</definedName>
    <definedName name="RLA" hidden="1">{#N/A,#N/A,TRUE,"매출진척-1";#N/A,#N/A,TRUE,"매출진척-2";#N/A,#N/A,TRUE,"제품실적";#N/A,#N/A,TRUE,"RAC";#N/A,#N/A,TRUE,"PAC ";#N/A,#N/A,TRUE,"재고현황";#N/A,#N/A,TRUE,"공지사항"}</definedName>
    <definedName name="RMRMR" localSheetId="4">#REF!</definedName>
    <definedName name="RMRMR">#REF!</definedName>
    <definedName name="ROBOT1">'[40]BASE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 localSheetId="4">IF([26]MAIN!$C$1=1,OFFSET(Mecha,단추2,5,4,1),IF([26]MAIN!$C$1=2,OFFSET(SFA,단추2,5,4,1),IF([26]MAIN!$C$1=3,OFFSET(로체,단추2,5,4,1),"")))</definedName>
    <definedName name="RORZE">IF([26]MAIN!$C$1=1,OFFSET(Mecha,단추2,5,4,1),IF([26]MAIN!$C$1=2,OFFSET(SFA,단추2,5,4,1),IF([26]MAIN!$C$1=3,OFFSET(로체,단추2,5,4,1),"")))</definedName>
    <definedName name="ROTJSRHKWJD1" hidden="1">{#N/A,#N/A,FALSE,"단축1";#N/A,#N/A,FALSE,"단축2";#N/A,#N/A,FALSE,"단축3";#N/A,#N/A,FALSE,"장축";#N/A,#N/A,FALSE,"4WD"}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RR" hidden="1">{#N/A,#N/A,FALSE,"단축1";#N/A,#N/A,FALSE,"단축2";#N/A,#N/A,FALSE,"단축3";#N/A,#N/A,FALSE,"장축";#N/A,#N/A,FALSE,"4WD"}</definedName>
    <definedName name="RS232_PR">#REF!</definedName>
    <definedName name="RT.RTDK" localSheetId="4">#REF!</definedName>
    <definedName name="RT.RTDK">#REF!</definedName>
    <definedName name="RTCLSPRT">'[27]11'!#REF!</definedName>
    <definedName name="RTS" hidden="1">{#N/A,#N/A,FALSE,"전제";#N/A,#N/A,FALSE,"표지";#N/A,#N/A,FALSE,"6D16";#N/A,#N/A,FALSE,"6D22";#N/A,#N/A,FALSE,"6D22-T";#N/A,#N/A,FALSE,"Q-DEG";#N/A,#N/A,FALSE,"총손";#N/A,#N/A,FALSE,"대당";#N/A,#N/A,FALSE,"가공비"}</definedName>
    <definedName name="RTYG" hidden="1">{#N/A,#N/A,FALSE,"단축1";#N/A,#N/A,FALSE,"단축2";#N/A,#N/A,FALSE,"단축3";#N/A,#N/A,FALSE,"장축";#N/A,#N/A,FALSE,"4WD"}</definedName>
    <definedName name="R행" localSheetId="4">#REF!</definedName>
    <definedName name="R행">#REF!</definedName>
    <definedName name="S" localSheetId="4">'5. 위험성평가표(최초, 정기, 수시)'!S</definedName>
    <definedName name="S">[0]!S</definedName>
    <definedName name="S_Flash" localSheetId="4">#REF!</definedName>
    <definedName name="S_Flash">#REF!</definedName>
    <definedName name="S_UNIT" localSheetId="4">#REF!</definedName>
    <definedName name="S_UNIT">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'[4]1212 Shipping schedule'!$B$3</definedName>
    <definedName name="SAPBEXdnldView">"3TQJ5PWZQ85MUZZ9HFMZG8QFM"</definedName>
    <definedName name="SAPBEXrevision">1</definedName>
    <definedName name="SAPBEXrevision_1">7</definedName>
    <definedName name="SAPBEXsysID">"PBW"</definedName>
    <definedName name="SAPBEXwbID">"D7YS91DO6AH63WSISAHSVT04U"</definedName>
    <definedName name="SAPBEXwbID_1">"1WVPJL9B5KUI27IPQIEGI1V66"</definedName>
    <definedName name="SB" localSheetId="4">#REF!</definedName>
    <definedName name="SB">#REF!</definedName>
    <definedName name="SB200A" localSheetId="4">#REF!</definedName>
    <definedName name="SB200A">#REF!</definedName>
    <definedName name="SBox_PR">#REF!</definedName>
    <definedName name="SC" localSheetId="4">#REF!</definedName>
    <definedName name="SC">#REF!</definedName>
    <definedName name="SCEN_IN">#REF!</definedName>
    <definedName name="SCEN_OUT">#REF!</definedName>
    <definedName name="SCEN_PR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AFDF" hidden="1">{#N/A,#N/A,FALSE,"단축1";#N/A,#N/A,FALSE,"단축2";#N/A,#N/A,FALSE,"단축3";#N/A,#N/A,FALSE,"장축";#N/A,#N/A,FALSE,"4WD"}</definedName>
    <definedName name="SDCFG\" hidden="1">{#N/A,#N/A,FALSE,"운반시간"}</definedName>
    <definedName name="sdd">#REF!</definedName>
    <definedName name="sdddd" localSheetId="4">#REF!</definedName>
    <definedName name="sdddd">#REF!</definedName>
    <definedName name="SDF" hidden="1">{#N/A,#N/A,FALSE,"혼합골재"}</definedName>
    <definedName name="SDFG" localSheetId="4">#REF!</definedName>
    <definedName name="SDFG">#REF!</definedName>
    <definedName name="SDFJDJF" localSheetId="4">'5. 위험성평가표(최초, 정기, 수시)'!SDFJDJF</definedName>
    <definedName name="SDFJDJF">[0]!SDFJDJF</definedName>
    <definedName name="sdfsdf" localSheetId="4">IF([26]MAIN!$C$1=1,OFFSET(Mecha,단추,4,13,1),IF([26]MAIN!$C$1=2,OFFSET(SFA,단추,4,13,1),IF([26]MAIN!$C$1=3,OFFSET(로체,단추,4,13,1),"")))</definedName>
    <definedName name="sdfsdf">IF([26]MAIN!$C$1=1,OFFSET(Mecha,단추,4,13,1),IF([26]MAIN!$C$1=2,OFFSET(SFA,단추,4,13,1),IF([26]MAIN!$C$1=3,OFFSET(로체,단추,4,13,1),"")))</definedName>
    <definedName name="SDRT" hidden="1">{#N/A,#N/A,FALSE,"단축1";#N/A,#N/A,FALSE,"단축2";#N/A,#N/A,FALSE,"단축3";#N/A,#N/A,FALSE,"장축";#N/A,#N/A,FALSE,"4WD"}</definedName>
    <definedName name="SETQTY">OFFSET('[41]4L3F_PKG'!$F$6,,,COUNTA('[41]4L3F_PKG'!$F$6:$F$9953))</definedName>
    <definedName name="SFA">OFFSET(IF([26]MAIN!$I$1=2,'[26]진행 사항'!$BD$147,""),1,1)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fsada" localSheetId="4">IF([26]MAIN!$C$1=1,OFFSET(Mecha,단추2,5,4,1),IF([26]MAIN!$C$1=2,OFFSET(SFA,단추2,5,4,1),IF([26]MAIN!$C$1=3,OFFSET(로체,단추2,5,4,1),"")))</definedName>
    <definedName name="sfsada">IF([26]MAIN!$C$1=1,OFFSET(Mecha,단추2,5,4,1),IF([26]MAIN!$C$1=2,OFFSET(SFA,단추2,5,4,1),IF([26]MAIN!$C$1=3,OFFSET(로체,단추2,5,4,1),"")))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1" hidden="1">{#N/A,#N/A,FALSE,"단축1";#N/A,#N/A,FALSE,"단축2";#N/A,#N/A,FALSE,"단축3";#N/A,#N/A,FALSE,"장축";#N/A,#N/A,FALSE,"4WD"}</definedName>
    <definedName name="SHELF" localSheetId="4">#REF!</definedName>
    <definedName name="SHELF">#REF!</definedName>
    <definedName name="ship">'[42]60KCF_01'!$1:$1048576</definedName>
    <definedName name="Shuttle_Pr" localSheetId="4">#REF!</definedName>
    <definedName name="Shuttle_Pr">#REF!</definedName>
    <definedName name="SK" localSheetId="4">#REF!</definedName>
    <definedName name="SK">#REF!</definedName>
    <definedName name="SK자재내역">#REF!</definedName>
    <definedName name="SK철골">#REF!</definedName>
    <definedName name="SMLINE" hidden="1">{#N/A,#N/A,TRUE,"매출진척-1";#N/A,#N/A,TRUE,"매출진척-2";#N/A,#N/A,TRUE,"제품실적";#N/A,#N/A,TRUE,"RAC";#N/A,#N/A,TRUE,"PAC ";#N/A,#N/A,TRUE,"재고현황";#N/A,#N/A,TRUE,"공지사항"}</definedName>
    <definedName name="SM일반종합" localSheetId="4">#REF!</definedName>
    <definedName name="SM일반종합">#REF!</definedName>
    <definedName name="SN">#N/A</definedName>
    <definedName name="SORT" localSheetId="4">#REF!</definedName>
    <definedName name="SORT">#REF!</definedName>
    <definedName name="SOTER_FOSB" localSheetId="4">#REF!</definedName>
    <definedName name="SOTER_FOSB">#REF!</definedName>
    <definedName name="Spec">'[28]color SR'!$C$51:$BQ$53</definedName>
    <definedName name="SPEC.">[24]TOTAL!$B$7:$B$2073</definedName>
    <definedName name="SPECI" hidden="1">{#N/A,#N/A,FALSE,"양식(을)"}</definedName>
    <definedName name="ss" localSheetId="4">#REF!,#REF!,#REF!,#REF!,#REF!,#REF!,#REF!,#REF!,#REF!</definedName>
    <definedName name="ss">#REF!,#REF!,#REF!,#REF!,#REF!,#REF!,#REF!,#REF!,#REF!</definedName>
    <definedName name="SSDFSD" hidden="1">{#N/A,#N/A,FALSE,"단축1";#N/A,#N/A,FALSE,"단축2";#N/A,#N/A,FALSE,"단축3";#N/A,#N/A,FALSE,"장축";#N/A,#N/A,FALSE,"4WD"}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>'[43]SFA M-P'!#REF!</definedName>
    <definedName name="ST_IN" localSheetId="4">#REF!</definedName>
    <definedName name="ST_IN">#REF!</definedName>
    <definedName name="ST_OUT" localSheetId="4">#REF!</definedName>
    <definedName name="ST_OUT">#REF!</definedName>
    <definedName name="ST_PR" localSheetId="4">#REF!</definedName>
    <definedName name="ST_PR">#REF!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TB_RFID">#REF!</definedName>
    <definedName name="STL">#REF!</definedName>
    <definedName name="STL_CAR">#REF!</definedName>
    <definedName name="SUCTION">#REF!</definedName>
    <definedName name="Summary" localSheetId="4">#REF!</definedName>
    <definedName name="Summary">#REF!</definedName>
    <definedName name="SW" hidden="1">{#N/A,#N/A,FALSE,"단축1";#N/A,#N/A,FALSE,"단축2";#N/A,#N/A,FALSE,"단축3";#N/A,#N/A,FALSE,"장축";#N/A,#N/A,FALSE,"4WD"}</definedName>
    <definedName name="SW_IN">#REF!</definedName>
    <definedName name="SW_OUT">#REF!</definedName>
    <definedName name="SW_PR">#REF!</definedName>
    <definedName name="SWEGFWE" hidden="1">{#N/A,#N/A,TRUE,"매출진척-1";#N/A,#N/A,TRUE,"매출진척-2";#N/A,#N/A,TRUE,"제품실적";#N/A,#N/A,TRUE,"RAC";#N/A,#N/A,TRUE,"PAC ";#N/A,#N/A,TRUE,"재고현황";#N/A,#N/A,TRUE,"공지사항"}</definedName>
    <definedName name="S행" localSheetId="4">#REF!</definedName>
    <definedName name="S행">#REF!</definedName>
    <definedName name="T" localSheetId="4">#REF!</definedName>
    <definedName name="T">#REF!</definedName>
    <definedName name="T1_0">#REF!</definedName>
    <definedName name="T3_0">#REF!</definedName>
    <definedName name="T3_1">#REF!</definedName>
    <definedName name="T3_2">#REF!</definedName>
    <definedName name="T3_3">#REF!</definedName>
    <definedName name="T3_4">#REF!</definedName>
    <definedName name="T4_0">#REF!</definedName>
    <definedName name="T4_1">#REF!</definedName>
    <definedName name="T4_2">#REF!</definedName>
    <definedName name="T4_3">#REF!</definedName>
    <definedName name="T4_4">#REF!</definedName>
    <definedName name="T4_5">#REF!</definedName>
    <definedName name="T5_0">#REF!</definedName>
    <definedName name="T5_1">#REF!</definedName>
    <definedName name="T5_2">#REF!</definedName>
    <definedName name="T5_3">#REF!</definedName>
    <definedName name="T5_4">#REF!</definedName>
    <definedName name="T6_0">#REF!</definedName>
    <definedName name="T6_1">#REF!</definedName>
    <definedName name="T6_2">#REF!</definedName>
    <definedName name="T6_3">#REF!</definedName>
    <definedName name="TableName">"Dummy"</definedName>
    <definedName name="TAIL" localSheetId="4">#REF!</definedName>
    <definedName name="TAIL">#REF!</definedName>
    <definedName name="tc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S외주비">[38]외주비!$G$7</definedName>
    <definedName name="TEMPER_PR" localSheetId="4">#REF!</definedName>
    <definedName name="TEMPER_PR">#REF!</definedName>
    <definedName name="TextRefCopyRangeCount" hidden="1">12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 localSheetId="4">#REF!</definedName>
    <definedName name="TN_">#REF!</definedName>
    <definedName name="TN_FOSB">#REF!</definedName>
    <definedName name="TNSH_">#REF!</definedName>
    <definedName name="TNSH_FOSB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I" hidden="1">{#N/A,#N/A,FALSE,"단축1";#N/A,#N/A,FALSE,"단축2";#N/A,#N/A,FALSE,"단축3";#N/A,#N/A,FALSE,"장축";#N/A,#N/A,FALSE,"4WD"}</definedName>
    <definedName name="ttt" localSheetId="4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 localSheetId="4">#REF!</definedName>
    <definedName name="T행">#REF!</definedName>
    <definedName name="U" hidden="1">{#N/A,#N/A,FALSE,"단축1";#N/A,#N/A,FALSE,"단축2";#N/A,#N/A,FALSE,"단축3";#N/A,#N/A,FALSE,"장축";#N/A,#N/A,FALSE,"4WD"}</definedName>
    <definedName name="ud절감1차" hidden="1">{#N/A,#N/A,FALSE,"전제";#N/A,#N/A,FALSE,"표지";#N/A,#N/A,FALSE,"6D16";#N/A,#N/A,FALSE,"6D22";#N/A,#N/A,FALSE,"6D22-T";#N/A,#N/A,FALSE,"Q-DEG";#N/A,#N/A,FALSE,"총손";#N/A,#N/A,FALSE,"대당";#N/A,#N/A,FALSE,"가공비"}</definedName>
    <definedName name="ud절감2차" hidden="1">{#N/A,#N/A,FALSE,"전제";#N/A,#N/A,FALSE,"표지";#N/A,#N/A,FALSE,"6D16";#N/A,#N/A,FALSE,"6D22";#N/A,#N/A,FALSE,"6D22-T";#N/A,#N/A,FALSE,"Q-DEG";#N/A,#N/A,FALSE,"총손";#N/A,#N/A,FALSE,"대당";#N/A,#N/A,FALSE,"가공비"}</definedName>
    <definedName name="UM_R3T" localSheetId="4">[20]성신!#REF!</definedName>
    <definedName name="UM_R3T">[20]성신!#REF!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">#N/A</definedName>
    <definedName name="UPDN_IN" localSheetId="4">#REF!</definedName>
    <definedName name="UPDN_IN">#REF!</definedName>
    <definedName name="UPDN_OUT" localSheetId="4">#REF!</definedName>
    <definedName name="UPDN_OUT">#REF!</definedName>
    <definedName name="UPDN_PR" localSheetId="4">#REF!</definedName>
    <definedName name="UPDN_PR">#REF!</definedName>
    <definedName name="uu" localSheetId="4">#REF!</definedName>
    <definedName name="uu">#REF!</definedName>
    <definedName name="UUU" hidden="1">{#N/A,#N/A,FALSE,"단축1";#N/A,#N/A,FALSE,"단축2";#N/A,#N/A,FALSE,"단축3";#N/A,#N/A,FALSE,"장축";#N/A,#N/A,FALSE,"4WD"}</definedName>
    <definedName name="uuuu" hidden="1">{#N/A,#N/A,FALSE,"단가표지"}</definedName>
    <definedName name="uuuuu">#N/A</definedName>
    <definedName name="U행" localSheetId="4">#REF!</definedName>
    <definedName name="U행">#REF!</definedName>
    <definedName name="V" hidden="1">{#N/A,#N/A,FALSE,"단축1";#N/A,#N/A,FALSE,"단축2";#N/A,#N/A,FALSE,"단축3";#N/A,#N/A,FALSE,"장축";#N/A,#N/A,FALSE,"4WD"}</definedName>
    <definedName name="VCR_BOX" localSheetId="4">#REF!</definedName>
    <definedName name="VCR_BOX">#REF!</definedName>
    <definedName name="VJigTool" hidden="1">#REF!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442r5t" hidden="1">#REF!</definedName>
    <definedName name="WACC" localSheetId="4">#REF!</definedName>
    <definedName name="WACC">#REF!</definedName>
    <definedName name="WEGEWRG">{"'7-2지역별'!$A$1:$R$44"}</definedName>
    <definedName name="WELD" localSheetId="4">#REF!</definedName>
    <definedName name="WELD">#REF!</definedName>
    <definedName name="WEQWEFQ" hidden="1">{#N/A,#N/A,TRUE,"매출진척-1";#N/A,#N/A,TRUE,"매출진척-2";#N/A,#N/A,TRUE,"제품실적";#N/A,#N/A,TRUE,"RAC";#N/A,#N/A,TRUE,"PAC ";#N/A,#N/A,TRUE,"재고현황";#N/A,#N/A,TRUE,"공지사항"}</definedName>
    <definedName name="werwer" localSheetId="4">IF([26]MAIN!$C$1=1,OFFSET(Mecha,단추,2,13,1),IF([26]MAIN!$C$1=2,OFFSET(SFA,단추,2,13,1),IF([26]MAIN!$C$1=3,OFFSET(로체,단추,2,13,1),"")))</definedName>
    <definedName name="werwer">IF([26]MAIN!$C$1=1,OFFSET(Mecha,단추,2,13,1),IF([26]MAIN!$C$1=2,OFFSET(SFA,단추,2,13,1),IF([26]MAIN!$C$1=3,OFFSET(로체,단추,2,13,1),"")))</definedName>
    <definedName name="WEWEGFW" hidden="1">{#N/A,#N/A,TRUE,"매출진척-1";#N/A,#N/A,TRUE,"매출진척-2";#N/A,#N/A,TRUE,"제품실적";#N/A,#N/A,TRUE,"RAC";#N/A,#N/A,TRUE,"PAC ";#N/A,#N/A,TRUE,"재고현황";#N/A,#N/A,TRUE,"공지사항"}</definedName>
    <definedName name="WKF\\" localSheetId="4">'[42]98연계표'!#REF!</definedName>
    <definedName name="WKF\\">'[42]98연계표'!#REF!</definedName>
    <definedName name="wm.입도정정.XLS.2" hidden="1">{#N/A,#N/A,FALSE,"2월입도";#N/A,#N/A,FALSE,"1월입도";#N/A,#N/A,FALSE,"3월입도"}</definedName>
    <definedName name="wm.조골재1" hidden="1">{#N/A,#N/A,FALSE,"조골재"}</definedName>
    <definedName name="wm.회의0104.XLS.2" hidden="1">{#N/A,#N/A,TRUE,"매출진척-1";#N/A,#N/A,TRUE,"매출진척-2";#N/A,#N/A,TRUE,"제품실적";#N/A,#N/A,TRUE,"RAC";#N/A,#N/A,TRUE,"PAC ";#N/A,#N/A,TRUE,"재고현황";#N/A,#N/A,TRUE,"공지사항"}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>'[39]제조 경영'!#REF!</definedName>
    <definedName name="WRITE" hidden="1">{#N/A,#N/A,FALSE,"CCTV"}</definedName>
    <definedName name="wrn.2번." hidden="1">{#N/A,#N/A,FALSE,"2~8번"}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M." hidden="1">{#N/A,#N/A,FALSE,"CCTV"}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EM." hidden="1">{#N/A,#N/A,FALSE,"전제";#N/A,#N/A,FALSE,"표지";#N/A,#N/A,FALSE,"6D16";#N/A,#N/A,FALSE,"6D22";#N/A,#N/A,FALSE,"6D22-T";#N/A,#N/A,FALSE,"Q-DEG";#N/A,#N/A,FALSE,"총손";#N/A,#N/A,FALSE,"대당";#N/A,#N/A,FALSE,"가공비"}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u." hidden="1">{#N/A,#N/A,FALSE,"표지";#N/A,#N/A,FALSE,"전제";#N/A,#N/A,FALSE,"손익-자 (2)";#N/A,#N/A,FALSE,"손익-자";#N/A,#N/A,FALSE,"손익-마 (2)";#N/A,#N/A,FALSE,"손익-마";#N/A,#N/A,FALSE,"총손최종"}</definedName>
    <definedName name="wrn.tou구매." hidden="1">{#N/A,#N/A,FALSE,"견적대비-2"}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T수익성._.FULL._.SET.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감가." hidden="1">{#N/A,#N/A,FALSE,"buildings"}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보고서." hidden="1">{#N/A,#N/A,FALSE,"양식(을)"}</definedName>
    <definedName name="wrn.부대1." hidden="1">{#N/A,#N/A,FALSE,"부대1"}</definedName>
    <definedName name="wrn.부대2." hidden="1">{#N/A,#N/A,FALSE,"부대2"}</definedName>
    <definedName name="wrn.선사." hidden="1">{#N/A,#N/A,FALSE,"품의서";#N/A,#N/A,FALSE,"전제";#N/A,#N/A,FALSE,"총손";#N/A,#N/A,FALSE,"손익"}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신용찬." hidden="1">{#N/A,#N/A,TRUE,"토적및재료집계";#N/A,#N/A,TRUE,"토적및재료집계";#N/A,#N/A,TRUE,"단위량"}</definedName>
    <definedName name="wrn.운반시간." hidden="1">{#N/A,#N/A,FALSE,"운반시간"}</definedName>
    <definedName name="wrn.이정표." hidden="1">{#N/A,#N/A,FALSE,"이정표"}</definedName>
    <definedName name="wrn.입도조정.XLS." hidden="1">{#N/A,#N/A,FALSE,"2월입도";#N/A,#N/A,FALSE,"1월입도";#N/A,#N/A,FALSE,"3월입도"}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골재." hidden="1">{#N/A,#N/A,FALSE,"조골재"}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직좌." hidden="1">{#N/A,#N/A,FALSE,"품의서";#N/A,#N/A,FALSE,"전제";#N/A,#N/A,FALSE,"총손";#N/A,#N/A,FALSE,"손익";#N/A,#N/A,FALSE,"대당";#N/A,#N/A,FALSE,"가공비";#N/A,#N/A,FALSE,"재료비";#N/A,#N/A,FALSE,"판비";#N/A,#N/A,FALSE,"가격"}</definedName>
    <definedName name="wrn.직중." hidden="1">{#N/A,#N/A,FALSE,"표지";#N/A,#N/A,FALSE,"전제";#N/A,#N/A,FALSE,"대당";#N/A,#N/A,FALSE,"가공비";#N/A,#N/A,FALSE,"재료비";#N/A,#N/A,FALSE,"손익"}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s" localSheetId="4" hidden="1">#REF!</definedName>
    <definedName name="ws" hidden="1">#REF!</definedName>
    <definedName name="WSDF">21</definedName>
    <definedName name="WSWS" localSheetId="4">'5. 위험성평가표(최초, 정기, 수시)'!WSWS</definedName>
    <definedName name="WSWS">[0]!WSWS</definedName>
    <definedName name="WW" localSheetId="4">#REF!</definedName>
    <definedName name="WW">#REF!</definedName>
    <definedName name="WWE" hidden="1">{#N/A,#N/A,FALSE,"단축1";#N/A,#N/A,FALSE,"단축2";#N/A,#N/A,FALSE,"단축3";#N/A,#N/A,FALSE,"장축";#N/A,#N/A,FALSE,"4WD"}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행">'[44]2.대외공문'!#REF!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 localSheetId="4">'5. 위험성평가표(최초, 정기, 수시)'!XXXX</definedName>
    <definedName name="XXXX">[0]!XXXX</definedName>
    <definedName name="X행" localSheetId="4">#REF!</definedName>
    <definedName name="X행">#REF!</definedName>
    <definedName name="y" hidden="1">{#N/A,#N/A,FALSE,"단축1";#N/A,#N/A,FALSE,"단축2";#N/A,#N/A,FALSE,"단축3";#N/A,#N/A,FALSE,"장축";#N/A,#N/A,FALSE,"4WD"}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yyy" hidden="1">{#N/A,#N/A,FALSE,"단축1";#N/A,#N/A,FALSE,"단축2";#N/A,#N/A,FALSE,"단축3";#N/A,#N/A,FALSE,"장축";#N/A,#N/A,FALSE,"4WD"}</definedName>
    <definedName name="YYYYYYYYYYYYYYYY">#REF!</definedName>
    <definedName name="Y부서" localSheetId="4">#REF!</definedName>
    <definedName name="Y부서">#REF!</definedName>
    <definedName name="z">#N/A</definedName>
    <definedName name="z_" localSheetId="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2" hidden="1">{#N/A,#N/A,TRUE,"매출진척-1";#N/A,#N/A,TRUE,"매출진척-2";#N/A,#N/A,TRUE,"제품실적";#N/A,#N/A,TRUE,"RAC";#N/A,#N/A,TRUE,"PAC ";#N/A,#N/A,TRUE,"재고현황";#N/A,#N/A,TRUE,"공지사항"}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" hidden="1">{#N/A,#N/A,FALSE,"단축1";#N/A,#N/A,FALSE,"단축2";#N/A,#N/A,FALSE,"단축3";#N/A,#N/A,FALSE,"장축";#N/A,#N/A,FALSE,"4WD"}</definedName>
    <definedName name="ㄱㄱ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ㅇ" hidden="1">{#N/A,#N/A,FALSE,"단축1";#N/A,#N/A,FALSE,"단축2";#N/A,#N/A,FALSE,"단축3";#N/A,#N/A,FALSE,"장축";#N/A,#N/A,FALSE,"4WD"}</definedName>
    <definedName name="가" localSheetId="4">#REF!</definedName>
    <definedName name="가">#REF!</definedName>
    <definedName name="가가각" hidden="1">{#N/A,#N/A,FALSE,"표지";#N/A,#N/A,FALSE,"전제";#N/A,#N/A,FALSE,"손익-자 (2)";#N/A,#N/A,FALSE,"손익-자";#N/A,#N/A,FALSE,"손익-마 (2)";#N/A,#N/A,FALSE,"손익-마";#N/A,#N/A,FALSE,"총손최종"}</definedName>
    <definedName name="가각" hidden="1">{#N/A,#N/A,FALSE,"품의서";#N/A,#N/A,FALSE,"전제";#N/A,#N/A,FALSE,"총손";#N/A,#N/A,FALSE,"손익"}</definedName>
    <definedName name="가공비1" hidden="1">{#N/A,#N/A,TRUE,"매출진척-1";#N/A,#N/A,TRUE,"매출진척-2";#N/A,#N/A,TRUE,"제품실적";#N/A,#N/A,TRUE,"RAC";#N/A,#N/A,TRUE,"PAC ";#N/A,#N/A,TRUE,"재고현황";#N/A,#N/A,TRUE,"공지사항"}</definedName>
    <definedName name="가공비2" hidden="1">{#N/A,#N/A,TRUE,"매출진척-1";#N/A,#N/A,TRUE,"매출진척-2";#N/A,#N/A,TRUE,"제품실적";#N/A,#N/A,TRUE,"RAC";#N/A,#N/A,TRUE,"PAC ";#N/A,#N/A,TRUE,"재고현황";#N/A,#N/A,TRUE,"공지사항"}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각가각" hidden="1">{#N/A,#N/A,FALSE,"단축1";#N/A,#N/A,FALSE,"단축2";#N/A,#N/A,FALSE,"단축3";#N/A,#N/A,FALSE,"장축";#N/A,#N/A,FALSE,"4WD"}</definedName>
    <definedName name="간지RBT">#REF!</definedName>
    <definedName name="감가상각비" localSheetId="4">#REF!</definedName>
    <definedName name="감가상각비">#REF!</definedName>
    <definedName name="강교" hidden="1">{#N/A,#N/A,FALSE,"구조2"}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" hidden="1">{#N/A,#N/A,FALSE,"단축1";#N/A,#N/A,FALSE,"단축2";#N/A,#N/A,FALSE,"단축3";#N/A,#N/A,FALSE,"장축";#N/A,#N/A,FALSE,"4WD"}</definedName>
    <definedName name="개발11">#N/A</definedName>
    <definedName name="개발팀" localSheetId="4">#REF!</definedName>
    <definedName name="개발팀">#REF!</definedName>
    <definedName name="개선과장1" hidden="1">{#N/A,#N/A,FALSE,"단축1";#N/A,#N/A,FALSE,"단축2";#N/A,#N/A,FALSE,"단축3";#N/A,#N/A,FALSE,"장축";#N/A,#N/A,FALSE,"4WD"}</definedName>
    <definedName name="개선과정" hidden="1">{#N/A,#N/A,FALSE,"단축1";#N/A,#N/A,FALSE,"단축2";#N/A,#N/A,FALSE,"단축3";#N/A,#N/A,FALSE,"장축";#N/A,#N/A,FALSE,"4WD"}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건축" hidden="1">{#N/A,#N/A,TRUE,"토적및재료집계";#N/A,#N/A,TRUE,"토적및재료집계";#N/A,#N/A,TRUE,"단위량"}</definedName>
    <definedName name="검">#N/A</definedName>
    <definedName name="견적">#REF!</definedName>
    <definedName name="견적SHEET" hidden="1">{#N/A,#N/A,FALSE,"CCTV"}</definedName>
    <definedName name="見積計算option" hidden="1">#REF!</definedName>
    <definedName name="견적비교" hidden="1">{#N/A,#N/A,FALSE,"단축1";#N/A,#N/A,FALSE,"단축2";#N/A,#N/A,FALSE,"단축3";#N/A,#N/A,FALSE,"장축";#N/A,#N/A,FALSE,"4WD"}</definedName>
    <definedName name="견적집계" localSheetId="4">#REF!</definedName>
    <definedName name="견적집계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4">#REF!</definedName>
    <definedName name="경비">#REF!</definedName>
    <definedName name="경비_" hidden="1">{#N/A,#N/A,TRUE,"매출진척-1";#N/A,#N/A,TRUE,"매출진척-2";#N/A,#N/A,TRUE,"제품실적";#N/A,#N/A,TRUE,"RAC";#N/A,#N/A,TRUE,"PAC ";#N/A,#N/A,TRUE,"재고현황";#N/A,#N/A,TRUE,"공지사항"}</definedName>
    <definedName name="경비___" hidden="1">{#N/A,#N/A,TRUE,"매출진척-1";#N/A,#N/A,TRUE,"매출진척-2";#N/A,#N/A,TRUE,"제품실적";#N/A,#N/A,TRUE,"RAC";#N/A,#N/A,TRUE,"PAC ";#N/A,#N/A,TRUE,"재고현황";#N/A,#N/A,TRUE,"공지사항"}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상비8월" hidden="1">{#N/A,#N/A,FALSE,"단축1";#N/A,#N/A,FALSE,"단축2";#N/A,#N/A,FALSE,"단축3";#N/A,#N/A,FALSE,"장축";#N/A,#N/A,FALSE,"4WD"}</definedName>
    <definedName name="경영" localSheetId="4">#REF!</definedName>
    <definedName name="경영">#REF!</definedName>
    <definedName name="경영계획" localSheetId="4">#REF!</definedName>
    <definedName name="경영계획">#REF!</definedName>
    <definedName name="계전2" hidden="1">#REF!</definedName>
    <definedName name="계정과목" localSheetId="4">#REF!</definedName>
    <definedName name="계정과목">#REF!</definedName>
    <definedName name="계정코드">#REF!</definedName>
    <definedName name="계획">#REF!</definedName>
    <definedName name="계획.1" hidden="1">{#N/A,#N/A,FALSE,"단축1";#N/A,#N/A,FALSE,"단축2";#N/A,#N/A,FALSE,"단축3";#N/A,#N/A,FALSE,"장축";#N/A,#N/A,FALSE,"4WD"}</definedName>
    <definedName name="계획1" hidden="1">{#N/A,#N/A,FALSE,"단축1";#N/A,#N/A,FALSE,"단축2";#N/A,#N/A,FALSE,"단축3";#N/A,#N/A,FALSE,"장축";#N/A,#N/A,FALSE,"4WD"}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" hidden="1">{#N/A,#N/A,FALSE,"조골재"}</definedName>
    <definedName name="골재유용" hidden="1">[44]증감내역서!#REF!</definedName>
    <definedName name="공1" localSheetId="4">#REF!</definedName>
    <definedName name="공1">#REF!</definedName>
    <definedName name="공간">5</definedName>
    <definedName name="공사원가계산서" hidden="1">{#N/A,#N/A,TRUE,"토적및재료집계";#N/A,#N/A,TRUE,"토적및재료집계";#N/A,#N/A,TRUE,"단위량"}</definedName>
    <definedName name="공수" localSheetId="4">'[39]98연계표'!#REF!</definedName>
    <definedName name="공수">'[39]98연계표'!#REF!</definedName>
    <definedName name="공수TABLE">[44]공수TABLE!$C$3:$W$22</definedName>
    <definedName name="공정분류" localSheetId="4">#REF!</definedName>
    <definedName name="공정분류">#REF!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작성기준" hidden="1">#REF!</definedName>
    <definedName name="관리비증가율" localSheetId="4">#REF!</definedName>
    <definedName name="관리비증가율">#REF!</definedName>
    <definedName name="구매담당자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규제" hidden="1">{#N/A,#N/A,FALSE,"단축1";#N/A,#N/A,FALSE,"단축2";#N/A,#N/A,FALSE,"단축3";#N/A,#N/A,FALSE,"장축";#N/A,#N/A,FALSE,"4WD"}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거1" hidden="1">{#N/A,#N/A,FALSE,"단축1";#N/A,#N/A,FALSE,"단축2";#N/A,#N/A,FALSE,"단축3";#N/A,#N/A,FALSE,"장축";#N/A,#N/A,FALSE,"4WD"}</definedName>
    <definedName name="근거2" hidden="1">{#N/A,#N/A,FALSE,"단축1";#N/A,#N/A,FALSE,"단축2";#N/A,#N/A,FALSE,"단축3";#N/A,#N/A,FALSE,"장축";#N/A,#N/A,FALSE,"4WD"}</definedName>
    <definedName name="근본" localSheetId="4">#REF!</definedName>
    <definedName name="근본">#REF!</definedName>
    <definedName name="금액">OFFSET('[41]4L3F_PKG'!$N$6,,,COUNTA('[41]4L3F_PKG'!$N$6:$N$26)-1)</definedName>
    <definedName name="금형편성표" hidden="1">{#N/A,#N/A,FALSE,"단축1";#N/A,#N/A,FALSE,"단축2";#N/A,#N/A,FALSE,"단축3";#N/A,#N/A,FALSE,"장축";#N/A,#N/A,FALSE,"4WD"}</definedName>
    <definedName name="기" localSheetId="4">IF([26]MAIN!$C$1=1,OFFSET(Mecha,단추,2,13,1),IF([26]MAIN!$C$1=2,OFFSET(SFA,단추,2,13,1),IF([26]MAIN!$C$1=3,OFFSET(로체,단추,2,13,1),"")))</definedName>
    <definedName name="기">IF([26]MAIN!$C$1=1,OFFSET(Mecha,단추,2,13,1),IF([26]MAIN!$C$1=2,OFFSET(SFA,단추,2,13,1),IF([26]MAIN!$C$1=3,OFFSET(로체,단추,2,13,1),"")))</definedName>
    <definedName name="기계적">'6. 참조자료(유해위험요인, 위험성추정)'!$B$57:$B$65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4">IF([45]MAIN!$A$1=1,대표,OFFSET([45]상세내역!$C$10,0,바,1,7))</definedName>
    <definedName name="기구">IF([45]MAIN!$A$1=1,대표,OFFSET([45]상세내역!$C$10,0,바,1,7))</definedName>
    <definedName name="기구1" localSheetId="4">OFFSET([45]상세내역!$C$27,0,바1,1,7)</definedName>
    <definedName name="기구1">OFFSET([45]상세내역!$C$27,0,바1,1,7)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아" hidden="1">{#N/A,#N/A,FALSE,"단축1";#N/A,#N/A,FALSE,"단축2";#N/A,#N/A,FALSE,"단축3";#N/A,#N/A,FALSE,"장축";#N/A,#N/A,FALSE,"4WD"}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잉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존차문제점" localSheetId="4">#REF!</definedName>
    <definedName name="기존차문제점">#REF!</definedName>
    <definedName name="기준일">#REF!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_전단">1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승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'[46]제조 경영'!#REF!</definedName>
    <definedName name="김호환2" localSheetId="4">#REF!</definedName>
    <definedName name="김호환2">#REF!</definedName>
    <definedName name="꽁당">#N/A</definedName>
    <definedName name="ㄴ" localSheetId="4">#REF!</definedName>
    <definedName name="ㄴ">#REF!</definedName>
    <definedName name="ㄴㄱ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ㄴㅁ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ㄷㄹ" hidden="1">{#N/A,#N/A,FALSE,"Sheet1"}</definedName>
    <definedName name="ㄴㄹㅇㄹㅇㄴ" hidden="1">{#N/A,#N/A,FALSE,"Aging Summary";#N/A,#N/A,FALSE,"Ratio Analysis";#N/A,#N/A,FALSE,"Test 120 Day Accts";#N/A,#N/A,FALSE,"Tickmarks"}</definedName>
    <definedName name="ㄴㅁㄹ" localSheetId="4">#REF!</definedName>
    <definedName name="ㄴㅁㄹ">#REF!</definedName>
    <definedName name="ㄴㅁㅇㅎㅇ롱로" hidden="1">#REF!</definedName>
    <definedName name="ㄴㅇㄴㅇㄴㅇ" hidden="1">{#N/A,#N/A,FALSE,"단축1";#N/A,#N/A,FALSE,"단축2";#N/A,#N/A,FALSE,"단축3";#N/A,#N/A,FALSE,"장축";#N/A,#N/A,FALSE,"4WD"}</definedName>
    <definedName name="ㄴㅇㄶ" localSheetId="4">'5. 위험성평가표(최초, 정기, 수시)'!ㄴㅇㄶ</definedName>
    <definedName name="ㄴㅇㄶ">[0]!ㄴㅇㄶ</definedName>
    <definedName name="ㄴㅇㄹ" hidden="1">{#N/A,#N/A,FALSE,"단축1";#N/A,#N/A,FALSE,"단축2";#N/A,#N/A,FALSE,"단축3";#N/A,#N/A,FALSE,"장축";#N/A,#N/A,FALSE,"4WD"}</definedName>
    <definedName name="ㄴㅇㅀ" localSheetId="4" hidden="1">#REF!</definedName>
    <definedName name="ㄴㅇㅀ" hidden="1">#REF!</definedName>
    <definedName name="ㄴㅇㅁㄹ" hidden="1">{#N/A,#N/A,TRUE,"매출진척-1";#N/A,#N/A,TRUE,"매출진척-2";#N/A,#N/A,TRUE,"제품실적";#N/A,#N/A,TRUE,"RAC";#N/A,#N/A,TRUE,"PAC ";#N/A,#N/A,TRUE,"재고현황";#N/A,#N/A,TRUE,"공지사항"}</definedName>
    <definedName name="ㄴㅇㅁㄹ2" hidden="1">{#N/A,#N/A,TRUE,"매출진척-1";#N/A,#N/A,TRUE,"매출진척-2";#N/A,#N/A,TRUE,"제품실적";#N/A,#N/A,TRUE,"RAC";#N/A,#N/A,TRUE,"PAC ";#N/A,#N/A,TRUE,"재고현황";#N/A,#N/A,TRUE,"공지사항"}</definedName>
    <definedName name="ㄴㅋ" hidden="1">{#N/A,#N/A,FALSE,"단축1";#N/A,#N/A,FALSE,"단축2";#N/A,#N/A,FALSE,"단축3";#N/A,#N/A,FALSE,"장축";#N/A,#N/A,FALSE,"4WD"}</definedName>
    <definedName name="나가자아" hidden="1">{#N/A,#N/A,FALSE,"Aging Summary";#N/A,#N/A,FALSE,"Ratio Analysis";#N/A,#N/A,FALSE,"Test 120 Day Accts";#N/A,#N/A,FALSE,"Tickmarks"}</definedName>
    <definedName name="남궁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남해새비료" localSheetId="4">#REF!</definedName>
    <definedName name="남해새비료">#REF!</definedName>
    <definedName name="내역서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년도별출고" hidden="1">{#N/A,#N/A,FALSE,"2월입도";#N/A,#N/A,FALSE,"1월입도";#N/A,#N/A,FALSE,"3월입도"}</definedName>
    <definedName name="노무비" localSheetId="4">#REF!</definedName>
    <definedName name="노무비">#REF!</definedName>
    <definedName name="노무비울산">'[47]법인세등 (2)'!$B$27</definedName>
    <definedName name="누우" hidden="1">{#N/A,#N/A,FALSE,"단축1";#N/A,#N/A,FALSE,"단축2";#N/A,#N/A,FALSE,"단축3";#N/A,#N/A,FALSE,"장축";#N/A,#N/A,FALSE,"4WD"}</definedName>
    <definedName name="ㄷ" hidden="1">{#N/A,#N/A,TRUE,"토적및재료집계";#N/A,#N/A,TRUE,"토적및재료집계";#N/A,#N/A,TRUE,"단위량"}</definedName>
    <definedName name="ㄷ44" localSheetId="4">#REF!</definedName>
    <definedName name="ㄷ44">#REF!</definedName>
    <definedName name="ㄷ5ㅅㅎㄷㅎㅅ" hidden="1">#REF!</definedName>
    <definedName name="ㄷㄳ" hidden="1">{#N/A,#N/A,FALSE,"Sheet1"}</definedName>
    <definedName name="ㄷㄴㅇㄴ" localSheetId="4">#REF!</definedName>
    <definedName name="ㄷㄴㅇㄴ">#REF!</definedName>
    <definedName name="ㄷㄷ" localSheetId="4" hidden="1">{#N/A,#N/A,TRUE,"일정"}</definedName>
    <definedName name="ㄷㄷ" hidden="1">{#N/A,#N/A,TRUE,"일정"}</definedName>
    <definedName name="ㄷㄷEEE" hidden="1">{#N/A,#N/A,FALSE,"단축1";#N/A,#N/A,FALSE,"단축2";#N/A,#N/A,FALSE,"단축3";#N/A,#N/A,FALSE,"장축";#N/A,#N/A,FALSE,"4WD"}</definedName>
    <definedName name="ㄷㄷㄷ" localSheetId="4" hidden="1">{#N/A,#N/A,TRUE,"일정"}</definedName>
    <definedName name="ㄷㄷㄷ" hidden="1">{#N/A,#N/A,TRUE,"일정"}</definedName>
    <definedName name="ㄷㅁㅂㅈㄹㅊ" hidden="1">#REF!</definedName>
    <definedName name="ㄷㅇㄹ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라" hidden="1">{#N/A,#N/A,FALSE,"표지목차"}</definedName>
    <definedName name="단가" localSheetId="4">#REF!</definedName>
    <definedName name="단가">#REF!</definedName>
    <definedName name="단기금융상품" localSheetId="4" hidden="1">#REF!</definedName>
    <definedName name="단기금융상품" hidden="1">#REF!</definedName>
    <definedName name="단동" localSheetId="4">IF([45]MAIN!$A$1=1,대표3,OFFSET([45]상세내역!$C$14,0,바,1,7))</definedName>
    <definedName name="단동">IF([45]MAIN!$A$1=1,대표3,OFFSET([45]상세내역!$C$14,0,바,1,7))</definedName>
    <definedName name="단동1" localSheetId="4">OFFSET([45]상세내역!$C$31,0,바1,1,7)</definedName>
    <definedName name="단동1">OFFSET([45]상세내역!$C$31,0,바1,1,7)</definedName>
    <definedName name="單位阡원_阡￥" localSheetId="4">#REF!</definedName>
    <definedName name="單位阡원_阡￥">#REF!</definedName>
    <definedName name="단조편성표" hidden="1">{#N/A,#N/A,FALSE,"단축1";#N/A,#N/A,FALSE,"단축2";#N/A,#N/A,FALSE,"단축3";#N/A,#N/A,FALSE,"장축";#N/A,#N/A,FALSE,"4WD"}</definedName>
    <definedName name="단중">[24]TOTAL!$F$7:$F$1543</definedName>
    <definedName name="단중2">[48]TOTAL!$F$7:$F$1543</definedName>
    <definedName name="단추">IF([26]MAIN!$C$1=1,[26]MAIN!$D$1,IF([26]MAIN!$C$1=3,[26]MAIN!$D$1,IF([26]MAIN!$C$1=2,IF([26]MAIN!XES1048569&gt;95,0,[26]MAIN!$D$1),"")))</definedName>
    <definedName name="단추2">[26]MAIN!$F$1</definedName>
    <definedName name="단층">#N/A</definedName>
    <definedName name="단층2">#N/A</definedName>
    <definedName name="담당별조정" hidden="1">{#N/A,#N/A,FALSE,"신규dep";#N/A,#N/A,FALSE,"신규dep-금형상각후";#N/A,#N/A,FALSE,"신규dep-연구비상각후";#N/A,#N/A,FALSE,"신규dep-기계,공구상각후"}</definedName>
    <definedName name="담보">[17]별제권_정리담보권!$F$5:$V$214</definedName>
    <definedName name="당아아아아앙" hidden="1">{#N/A,#N/A,FALSE,"신규dep";#N/A,#N/A,FALSE,"신규dep-금형상각후";#N/A,#N/A,FALSE,"신규dep-연구비상각후";#N/A,#N/A,FALSE,"신규dep-기계,공구상각후"}</definedName>
    <definedName name="대" localSheetId="4">#REF!</definedName>
    <definedName name="대">#REF!</definedName>
    <definedName name="대방총괄" hidden="1">{#N/A,#N/A,FALSE,"단축1";#N/A,#N/A,FALSE,"단축2";#N/A,#N/A,FALSE,"단축3";#N/A,#N/A,FALSE,"장축";#N/A,#N/A,FALSE,"4WD"}</definedName>
    <definedName name="대신" localSheetId="4">#REF!</definedName>
    <definedName name="대신">#REF!</definedName>
    <definedName name="대차대조표.." hidden="1">#REF!</definedName>
    <definedName name="대표">[45]상세내역!$Y$6:$AB$6</definedName>
    <definedName name="대표1">[45]상세내역!$Y$5:$AB$5</definedName>
    <definedName name="대표2">[45]상세내역!$Y$7:$AB$7</definedName>
    <definedName name="대표3">[45]상세내역!$Y$8:$AB$8</definedName>
    <definedName name="대표4">[45]상세내역!$Y$9:$AB$9</definedName>
    <definedName name="대표5">[45]상세내역!$Y$10:$AB$10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동서별2">[42]별제권_정리담보권1!$T$6:$T$213</definedName>
    <definedName name="동시" hidden="1">{#N/A,#N/A,FALSE,"단축1";#N/A,#N/A,FALSE,"단축2";#N/A,#N/A,FALSE,"단축3";#N/A,#N/A,FALSE,"장축";#N/A,#N/A,FALSE,"4WD"}</definedName>
    <definedName name="동시투자" hidden="1">{#N/A,#N/A,FALSE,"단축1";#N/A,#N/A,FALSE,"단축2";#N/A,#N/A,FALSE,"단축3";#N/A,#N/A,FALSE,"장축";#N/A,#N/A,FALSE,"4WD"}</definedName>
    <definedName name="동시투자MIP" hidden="1">{#N/A,#N/A,FALSE,"단축1";#N/A,#N/A,FALSE,"단축2";#N/A,#N/A,FALSE,"단축3";#N/A,#N/A,FALSE,"장축";#N/A,#N/A,FALSE,"4WD"}</definedName>
    <definedName name="동시투자투자비" hidden="1">{#N/A,#N/A,FALSE,"단축1";#N/A,#N/A,FALSE,"단축2";#N/A,#N/A,FALSE,"단축3";#N/A,#N/A,FALSE,"장축";#N/A,#N/A,FALSE,"4WD"}</definedName>
    <definedName name="디" hidden="1">{#N/A,#N/A,FALSE,"단축1";#N/A,#N/A,FALSE,"단축2";#N/A,#N/A,FALSE,"단축3";#N/A,#N/A,FALSE,"장축";#N/A,#N/A,FALSE,"4WD"}</definedName>
    <definedName name="딤채실파매" hidden="1">{#N/A,#N/A,FALSE,"2월입도";#N/A,#N/A,FALSE,"1월입도";#N/A,#N/A,FALSE,"3월입도"}</definedName>
    <definedName name="딤채실파매2" hidden="1">{#N/A,#N/A,FALSE,"2월입도";#N/A,#N/A,FALSE,"1월입도";#N/A,#N/A,FALSE,"3월입도"}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hidden="1">{#N/A,#N/A,FALSE,"신규dep";#N/A,#N/A,FALSE,"신규dep-금형상각후";#N/A,#N/A,FALSE,"신규dep-연구비상각후";#N/A,#N/A,FALSE,"신규dep-기계,공구상각후"}</definedName>
    <definedName name="ㄹ４４０" localSheetId="4">#REF!</definedName>
    <definedName name="ㄹ４４０">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ㅇㄹ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ㄹㄹ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4">#REF!</definedName>
    <definedName name="ㄹㄹㄹㄹㄹㄹ">#REF!</definedName>
    <definedName name="ㄹㅇ" hidden="1">{#N/A,#N/A,FALSE,"단축1";#N/A,#N/A,FALSE,"단축2";#N/A,#N/A,FALSE,"단축3";#N/A,#N/A,FALSE,"장축";#N/A,#N/A,FALSE,"4WD"}</definedName>
    <definedName name="ㄹㅇㄴ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람다가공" hidden="1">{#N/A,#N/A,FALSE,"전제";#N/A,#N/A,FALSE,"표지";#N/A,#N/A,FALSE,"6D16";#N/A,#N/A,FALSE,"6D22";#N/A,#N/A,FALSE,"6D22-T";#N/A,#N/A,FALSE,"Q-DEG";#N/A,#N/A,FALSE,"총손";#N/A,#N/A,FALSE,"대당";#N/A,#N/A,FALSE,"가공비"}</definedName>
    <definedName name="람다조립" hidden="1">{#N/A,#N/A,FALSE,"표지";#N/A,#N/A,FALSE,"전제";#N/A,#N/A,FALSE,"손익-자 (2)";#N/A,#N/A,FALSE,"손익-자";#N/A,#N/A,FALSE,"손익-마 (2)";#N/A,#N/A,FALSE,"손익-마";#N/A,#N/A,FALSE,"총손최종"}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ㅏ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레벨" localSheetId="4">IF([45]MAIN!$A$1=1,대표2,OFFSET([45]상세내역!$C$12,0,바,1,7))</definedName>
    <definedName name="레벨">IF([45]MAIN!$A$1=1,대표2,OFFSET([45]상세내역!$C$12,0,바,1,7))</definedName>
    <definedName name="레벨1" localSheetId="4">OFFSET([45]상세내역!$C$29,0,바1,1,7)</definedName>
    <definedName name="레벨1">OFFSET([45]상세내역!$C$29,0,바1,1,7)</definedName>
    <definedName name="로드맵PAC" hidden="1">{#N/A,#N/A,TRUE,"매출진척-1";#N/A,#N/A,TRUE,"매출진척-2";#N/A,#N/A,TRUE,"제품실적";#N/A,#N/A,TRUE,"RAC";#N/A,#N/A,TRUE,"PAC ";#N/A,#N/A,TRUE,"재고현황";#N/A,#N/A,TRUE,"공지사항"}</definedName>
    <definedName name="로드맵PAC2" hidden="1">{#N/A,#N/A,TRUE,"매출진척-1";#N/A,#N/A,TRUE,"매출진척-2";#N/A,#N/A,TRUE,"제품실적";#N/A,#N/A,TRUE,"RAC";#N/A,#N/A,TRUE,"PAC ";#N/A,#N/A,TRUE,"재고현황";#N/A,#N/A,TRUE,"공지사항"}</definedName>
    <definedName name="로드맵PAC3" hidden="1">{#N/A,#N/A,TRUE,"매출진척-1";#N/A,#N/A,TRUE,"매출진척-2";#N/A,#N/A,TRUE,"제품실적";#N/A,#N/A,TRUE,"RAC";#N/A,#N/A,TRUE,"PAC ";#N/A,#N/A,TRUE,"재고현황";#N/A,#N/A,TRUE,"공지사항"}</definedName>
    <definedName name="로드맵PAC4" hidden="1">{#N/A,#N/A,TRUE,"매출진척-1";#N/A,#N/A,TRUE,"매출진척-2";#N/A,#N/A,TRUE,"제품실적";#N/A,#N/A,TRUE,"RAC";#N/A,#N/A,TRUE,"PAC ";#N/A,#N/A,TRUE,"재고현황";#N/A,#N/A,TRUE,"공지사항"}</definedName>
    <definedName name="로드맵PAC5" hidden="1">{#N/A,#N/A,TRUE,"매출진척-1";#N/A,#N/A,TRUE,"매출진척-2";#N/A,#N/A,TRUE,"제품실적";#N/A,#N/A,TRUE,"RAC";#N/A,#N/A,TRUE,"PAC ";#N/A,#N/A,TRUE,"재고현황";#N/A,#N/A,TRUE,"공지사항"}</definedName>
    <definedName name="로드맵PAC6" hidden="1">{#N/A,#N/A,TRUE,"매출진척-1";#N/A,#N/A,TRUE,"매출진척-2";#N/A,#N/A,TRUE,"제품실적";#N/A,#N/A,TRUE,"RAC";#N/A,#N/A,TRUE,"PAC ";#N/A,#N/A,TRUE,"재고현황";#N/A,#N/A,TRUE,"공지사항"}</definedName>
    <definedName name="로드맵SM" hidden="1">{#N/A,#N/A,TRUE,"매출진척-1";#N/A,#N/A,TRUE,"매출진척-2";#N/A,#N/A,TRUE,"제품실적";#N/A,#N/A,TRUE,"RAC";#N/A,#N/A,TRUE,"PAC ";#N/A,#N/A,TRUE,"재고현황";#N/A,#N/A,TRUE,"공지사항"}</definedName>
    <definedName name="로드맵SM2" hidden="1">{#N/A,#N/A,TRUE,"매출진척-1";#N/A,#N/A,TRUE,"매출진척-2";#N/A,#N/A,TRUE,"제품실적";#N/A,#N/A,TRUE,"RAC";#N/A,#N/A,TRUE,"PAC ";#N/A,#N/A,TRUE,"재고현황";#N/A,#N/A,TRUE,"공지사항"}</definedName>
    <definedName name="로체">OFFSET(IF([26]MAIN!$J$1=3,'[26]진행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로ㅎㅎㄹ" hidden="1">{#N/A,#N/A,FALSE,"양식(을)"}</definedName>
    <definedName name="롱" hidden="1">{#N/A,#N/A,FALSE,"양식(을)"}</definedName>
    <definedName name="ㄺ" hidden="1">{#N/A,#N/A,FALSE,"Aging Summary";#N/A,#N/A,FALSE,"Ratio Analysis";#N/A,#N/A,FALSE,"Test 120 Day Accts";#N/A,#N/A,FALSE,"Tickmarks"}</definedName>
    <definedName name="ㄻㅎ" hidden="1">{#N/A,#N/A,FALSE,"단축1";#N/A,#N/A,FALSE,"단축2";#N/A,#N/A,FALSE,"단축3";#N/A,#N/A,FALSE,"장축";#N/A,#N/A,FALSE,"4WD"}</definedName>
    <definedName name="ㅀ" hidden="1">{#N/A,#N/A,TRUE,"토적및재료집계";#N/A,#N/A,TRUE,"토적및재료집계";#N/A,#N/A,TRUE,"단위량"}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" hidden="1">{#N/A,#N/A,TRUE,"매출진척-1";#N/A,#N/A,TRUE,"매출진척-2";#N/A,#N/A,TRUE,"제품실적";#N/A,#N/A,TRUE,"RAC";#N/A,#N/A,TRUE,"PAC ";#N/A,#N/A,TRUE,"재고현황";#N/A,#N/A,TRUE,"공지사항"}</definedName>
    <definedName name="ㅁㄴㄻㄴ" hidden="1">{#N/A,#N/A,TRUE,"매출진척-1";#N/A,#N/A,TRUE,"매출진척-2";#N/A,#N/A,TRUE,"제품실적";#N/A,#N/A,TRUE,"RAC";#N/A,#N/A,TRUE,"PAC ";#N/A,#N/A,TRUE,"재고현황";#N/A,#N/A,TRUE,"공지사항"}</definedName>
    <definedName name="ㅁㄴㅇ" hidden="1">{#N/A,#N/A,FALSE,"단축1";#N/A,#N/A,FALSE,"단축2";#N/A,#N/A,FALSE,"단축3";#N/A,#N/A,FALSE,"장축";#N/A,#N/A,FALSE,"4WD"}</definedName>
    <definedName name="ㅁㄴㅇㄱ" localSheetId="4">#REF!</definedName>
    <definedName name="ㅁㄴㅇㄱ">#REF!</definedName>
    <definedName name="ㅁㄴㅇㅁㄴㅇ">'[49]97'!$I$3:$I$112,'[49]97'!$BC$3:$BS$112</definedName>
    <definedName name="ㅁㅁ" localSheetId="4">[50]제품별!#REF!</definedName>
    <definedName name="ㅁㅁ">[50]제품별!#REF!</definedName>
    <definedName name="ㅁㅁㅁ">#N/A</definedName>
    <definedName name="ㅁㅁㅁㅁㅁㅁ" localSheetId="4">#REF!</definedName>
    <definedName name="ㅁㅁㅁㅁㅁㅁ">#REF!</definedName>
    <definedName name="ㅁㅁㅁㅁㅁㅁㅁㅁㅁㅁ" localSheetId="4">#REF!</definedName>
    <definedName name="ㅁㅁㅁㅁㅁㅁㅁㅁㅁㅁ">#REF!</definedName>
    <definedName name="ㅁㅂ35">#REF!</definedName>
    <definedName name="ㅁㅇ" localSheetId="4">'5. 위험성평가표(최초, 정기, 수시)'!ㅁㅇ</definedName>
    <definedName name="ㅁㅇ">[0]!ㅁㅇ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" hidden="1">{#N/A,#N/A,FALSE,"단축1";#N/A,#N/A,FALSE,"단축2";#N/A,#N/A,FALSE,"단축3";#N/A,#N/A,FALSE,"장축";#N/A,#N/A,FALSE,"4WD"}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4">OFFSET([45]상세내역!$C$19,0,바,1,7)</definedName>
    <definedName name="목표">OFFSET([45]상세내역!$C$19,0,바,1,7)</definedName>
    <definedName name="목표1" localSheetId="4">OFFSET([45]상세내역!$C$36,0,바,1,7)</definedName>
    <definedName name="목표1">OFFSET([45]상세내역!$C$36,0,바,1,7)</definedName>
    <definedName name="목표품질" hidden="1">{#N/A,#N/A,FALSE,"단축1";#N/A,#N/A,FALSE,"단축2";#N/A,#N/A,FALSE,"단축3";#N/A,#N/A,FALSE,"장축";#N/A,#N/A,FALSE,"4WD"}</definedName>
    <definedName name="몬" hidden="1">{#N/A,#N/A,FALSE,"표지목차"}</definedName>
    <definedName name="몰라" hidden="1">{#N/A,#N/A,FALSE,"단축1";#N/A,#N/A,FALSE,"단축2";#N/A,#N/A,FALSE,"단축3";#N/A,#N/A,FALSE,"장축";#N/A,#N/A,FALSE,"4WD"}</definedName>
    <definedName name="무상사용기간_및_통행료산정" localSheetId="4">#REF!</definedName>
    <definedName name="무상사용기간_및_통행료산정">#REF!</definedName>
    <definedName name="무혀" hidden="1">{#N/A,#N/A,FALSE,"Aging Summary";#N/A,#N/A,FALSE,"Ratio Analysis";#N/A,#N/A,FALSE,"Test 120 Day Accts";#N/A,#N/A,FALSE,"Tickmarks"}</definedName>
    <definedName name="문제3" hidden="1">{#N/A,#N/A,FALSE,"단축1";#N/A,#N/A,FALSE,"단축2";#N/A,#N/A,FALSE,"단축3";#N/A,#N/A,FALSE,"장축";#N/A,#N/A,FALSE,"4WD"}</definedName>
    <definedName name="물가상승률" localSheetId="4">#REF!</definedName>
    <definedName name="물가상승률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수이자1" hidden="1">#REF!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 localSheetId="4">[51]제품별!#REF!</definedName>
    <definedName name="ㅂㅂㅂㅂㅂㅂ">[51]제품별!#REF!</definedName>
    <definedName name="ㅂㅈ" localSheetId="4">'5. 위험성평가표(최초, 정기, 수시)'!ㅂㅈ</definedName>
    <definedName name="ㅂㅈ">[0]!ㅂㅈ</definedName>
    <definedName name="ㅂㅈㄷ">"C0168M47EQ82J0CS1RJ7NZD0U"</definedName>
    <definedName name="ㅂㅈㄷㅈㄷ" hidden="1">{#N/A,#N/A,FALSE,"단축1";#N/A,#N/A,FALSE,"단축2";#N/A,#N/A,FALSE,"단축3";#N/A,#N/A,FALSE,"장축";#N/A,#N/A,FALSE,"4WD"}</definedName>
    <definedName name="ㅂㅈㄷㅌ" localSheetId="4">#REF!</definedName>
    <definedName name="ㅂㅈㄷㅌ">#REF!</definedName>
    <definedName name="바">[45]MAIN!$E$1</definedName>
    <definedName name="바1">[45]MAIN!$F$1</definedName>
    <definedName name="바탕체" localSheetId="4">#REF!</definedName>
    <definedName name="바탕체">#REF!</definedName>
    <definedName name="박" hidden="1">{#N/A,#N/A,FALSE,"전제";#N/A,#N/A,FALSE,"표지";#N/A,#N/A,FALSE,"6D16";#N/A,#N/A,FALSE,"6D22";#N/A,#N/A,FALSE,"6D22-T";#N/A,#N/A,FALSE,"Q-DEG";#N/A,#N/A,FALSE,"총손";#N/A,#N/A,FALSE,"대당";#N/A,#N/A,FALSE,"가공비"}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4">'5. 위험성평가표(최초, 정기, 수시)'!반도공영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방규성" hidden="1">{#N/A,#N/A,TRUE,"매출진척-1";#N/A,#N/A,TRUE,"매출진척-2";#N/A,#N/A,TRUE,"제품실적";#N/A,#N/A,TRUE,"RAC";#N/A,#N/A,TRUE,"PAC ";#N/A,#N/A,TRUE,"재고현황";#N/A,#N/A,TRUE,"공지사항"}</definedName>
    <definedName name="방규성2" hidden="1">{#N/A,#N/A,TRUE,"매출진척-1";#N/A,#N/A,TRUE,"매출진척-2";#N/A,#N/A,TRUE,"제품실적";#N/A,#N/A,TRUE,"RAC";#N/A,#N/A,TRUE,"PAC ";#N/A,#N/A,TRUE,"재고현황";#N/A,#N/A,TRUE,"공지사항"}</definedName>
    <definedName name="방음벽" hidden="1">{#N/A,#N/A,FALSE,"배수2"}</definedName>
    <definedName name="배가아파" hidden="1">{#N/A,#N/A,FALSE,"표지";#N/A,#N/A,FALSE,"전제";#N/A,#N/A,FALSE,"손익-자 (2)";#N/A,#N/A,FALSE,"손익-자";#N/A,#N/A,FALSE,"손익-마 (2)";#N/A,#N/A,FALSE,"손익-마";#N/A,#N/A,FALSE,"총손최종"}</definedName>
    <definedName name="배기덕트공사" hidden="1">{#N/A,#N/A,FALSE,"CCTV"}</definedName>
    <definedName name="배면_PR" localSheetId="4">#REF!</definedName>
    <definedName name="배면_PR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localSheetId="4" hidden="1">{"'사직서'!$A$1:$H$9"}</definedName>
    <definedName name="법인" hidden="1">{"'사직서'!$A$1:$H$9"}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변경후" hidden="1">{#N/A,#N/A,FALSE,"단축1";#N/A,#N/A,FALSE,"단축2";#N/A,#N/A,FALSE,"단축3";#N/A,#N/A,FALSE,"장축";#N/A,#N/A,FALSE,"4WD"}</definedName>
    <definedName name="별도투자비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완자료복사">#REF!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복사" hidden="1">{#N/A,#N/A,FALSE,"단축1";#N/A,#N/A,FALSE,"단축2";#N/A,#N/A,FALSE,"단축3";#N/A,#N/A,FALSE,"장축";#N/A,#N/A,FALSE,"4WD"}</definedName>
    <definedName name="부대구조" hidden="1">{#N/A,#N/A,FALSE,"골재소요량";#N/A,#N/A,FALSE,"골재소요량"}</definedName>
    <definedName name="부대방안" hidden="1">{#N/A,#N/A,FALSE,"단가표지"}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서코드">#REF!</definedName>
    <definedName name="부재CODE">[24]분류표!$A$4:$A$10</definedName>
    <definedName name="부천인건">[52]전주자재!$AW$38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4">#REF!</definedName>
    <definedName name="분류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빈양식" hidden="1">{#N/A,#N/A,TRUE,"매출진척-1";#N/A,#N/A,TRUE,"매출진척-2";#N/A,#N/A,TRUE,"제품실적";#N/A,#N/A,TRUE,"RAC";#N/A,#N/A,TRUE,"PAC ";#N/A,#N/A,TRUE,"재고현황";#N/A,#N/A,TRUE,"공지사항"}</definedName>
    <definedName name="ㅅ" localSheetId="4">#REF!</definedName>
    <definedName name="ㅅ">#REF!</definedName>
    <definedName name="ㅅ22" localSheetId="4">#REF!</definedName>
    <definedName name="ㅅ22">#REF!</definedName>
    <definedName name="ㅅ럴" hidden="1">{#N/A,#N/A,FALSE,"2월입도";#N/A,#N/A,FALSE,"1월입도";#N/A,#N/A,FALSE,"3월입도"}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이로" hidden="1">{#N/A,#N/A,FALSE,"단축1";#N/A,#N/A,FALSE,"단축2";#N/A,#N/A,FALSE,"단축3";#N/A,#N/A,FALSE,"장축";#N/A,#N/A,FALSE,"4WD"}</definedName>
    <definedName name="사진" hidden="1">{#N/A,#N/A,FALSE,"단축1";#N/A,#N/A,FALSE,"단축2";#N/A,#N/A,FALSE,"단축3";#N/A,#N/A,FALSE,"장축";#N/A,#N/A,FALSE,"4WD"}</definedName>
    <definedName name="사진1" hidden="1">{#N/A,#N/A,FALSE,"단축1";#N/A,#N/A,FALSE,"단축2";#N/A,#N/A,FALSE,"단축3";#N/A,#N/A,FALSE,"장축";#N/A,#N/A,FALSE,"4WD"}</definedName>
    <definedName name="사진2" hidden="1">{#N/A,#N/A,FALSE,"단축1";#N/A,#N/A,FALSE,"단축2";#N/A,#N/A,FALSE,"단축3";#N/A,#N/A,FALSE,"장축";#N/A,#N/A,FALSE,"4WD"}</definedName>
    <definedName name="산업기반신용보증료율" localSheetId="4">#REF!</definedName>
    <definedName name="산업기반신용보증료율">#REF!</definedName>
    <definedName name="산출근거1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삽입" hidden="1">{#N/A,#N/A,FALSE,"단축1";#N/A,#N/A,FALSE,"단축2";#N/A,#N/A,FALSE,"단축3";#N/A,#N/A,FALSE,"장축";#N/A,#N/A,FALSE,"4WD"}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생산성향상" hidden="1">{#N/A,#N/A,FALSE,"단축1";#N/A,#N/A,FALSE,"단축2";#N/A,#N/A,FALSE,"단축3";#N/A,#N/A,FALSE,"장축";#N/A,#N/A,FALSE,"4WD"}</definedName>
    <definedName name="서병수">#N/A</definedName>
    <definedName name="서비스" localSheetId="4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설비절감방안" hidden="1">{#N/A,#N/A,FALSE,"단축1";#N/A,#N/A,FALSE,"단축2";#N/A,#N/A,FALSE,"단축3";#N/A,#N/A,FALSE,"장축";#N/A,#N/A,FALSE,"4WD"}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일정" hidden="1">{#N/A,#N/A,FALSE,"단축1";#N/A,#N/A,FALSE,"단축2";#N/A,#N/A,FALSE,"단축3";#N/A,#N/A,FALSE,"장축";#N/A,#N/A,FALSE,"4WD"}</definedName>
    <definedName name="세부일정.1" hidden="1">{#N/A,#N/A,FALSE,"단축1";#N/A,#N/A,FALSE,"단축2";#N/A,#N/A,FALSE,"단축3";#N/A,#N/A,FALSE,"장축";#N/A,#N/A,FALSE,"4WD"}</definedName>
    <definedName name="세아ENT" localSheetId="4">'5. 위험성평가표(최초, 정기, 수시)'!세아ENT</definedName>
    <definedName name="세아ENT">[0]!세아ENT</definedName>
    <definedName name="세타변전" hidden="1">{#N/A,#N/A,FALSE,"단축1";#N/A,#N/A,FALSE,"단축2";#N/A,#N/A,FALSE,"단축3";#N/A,#N/A,FALSE,"장축";#N/A,#N/A,FALSE,"4WD"}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4" hidden="1">{"'사직서'!$A$1:$H$9"}</definedName>
    <definedName name="소비스" hidden="1">{"'사직서'!$A$1:$H$9"}</definedName>
    <definedName name="소요금액" hidden="1">{#N/A,#N/A,FALSE,"단축1";#N/A,#N/A,FALSE,"단축2";#N/A,#N/A,FALSE,"단축3";#N/A,#N/A,FALSE,"장축";#N/A,#N/A,FALSE,"4WD"}</definedName>
    <definedName name="소요비용" hidden="1">{#N/A,#N/A,TRUE,"매출진척-1";#N/A,#N/A,TRUE,"매출진척-2";#N/A,#N/A,TRUE,"제품실적";#N/A,#N/A,TRUE,"RAC";#N/A,#N/A,TRUE,"PAC ";#N/A,#N/A,TRUE,"재고현황";#N/A,#N/A,TRUE,"공지사항"}</definedName>
    <definedName name="소재불량2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소화주철장판" hidden="1">{#N/A,#N/A,FALSE,"단축1";#N/A,#N/A,FALSE,"단축2";#N/A,#N/A,FALSE,"단축3";#N/A,#N/A,FALSE,"장축";#N/A,#N/A,FALSE,"4WD"}</definedName>
    <definedName name="손" localSheetId="4" hidden="1">{#N/A,#N/A,TRUE,"일정"}</definedName>
    <definedName name="손" hidden="1">{#N/A,#N/A,TRUE,"일정"}</definedName>
    <definedName name="손익">[51]제품별!#REF!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익4속" hidden="1">{#N/A,#N/A,FALSE,"단축1";#N/A,#N/A,FALSE,"단축2";#N/A,#N/A,FALSE,"단축3";#N/A,#N/A,FALSE,"장축";#N/A,#N/A,FALSE,"4WD"}</definedName>
    <definedName name="수정내판매" hidden="1">{#N/A,#N/A,TRUE,"매출진척-1";#N/A,#N/A,TRUE,"매출진척-2";#N/A,#N/A,TRUE,"제품실적";#N/A,#N/A,TRUE,"RAC";#N/A,#N/A,TRUE,"PAC ";#N/A,#N/A,TRUE,"재고현황";#N/A,#N/A,TRUE,"공지사항"}</definedName>
    <definedName name="수정내판매2" hidden="1">{#N/A,#N/A,TRUE,"매출진척-1";#N/A,#N/A,TRUE,"매출진척-2";#N/A,#N/A,TRUE,"제품실적";#N/A,#N/A,TRUE,"RAC";#N/A,#N/A,TRUE,"PAC ";#N/A,#N/A,TRUE,"재고현황";#N/A,#N/A,TRUE,"공지사항"}</definedName>
    <definedName name="수정안" hidden="1">{#N/A,#N/A,FALSE,"전제";#N/A,#N/A,FALSE,"표지";#N/A,#N/A,FALSE,"6D16";#N/A,#N/A,FALSE,"6D22";#N/A,#N/A,FALSE,"6D22-T";#N/A,#N/A,FALSE,"Q-DEG";#N/A,#N/A,FALSE,"총손";#N/A,#N/A,FALSE,"대당";#N/A,#N/A,FALSE,"가공비"}</definedName>
    <definedName name="수주가">#REF!</definedName>
    <definedName name="수출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권한2" hidden="1">{#N/A,#N/A,FALSE,"단축1";#N/A,#N/A,FALSE,"단축2";#N/A,#N/A,FALSE,"단축3";#N/A,#N/A,FALSE,"장축";#N/A,#N/A,FALSE,"4WD"}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스템외주비">[38]외주비!$G$44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장규모_" hidden="1">{#N/A,#N/A,TRUE,"매출진척-1";#N/A,#N/A,TRUE,"매출진척-2";#N/A,#N/A,TRUE,"제품실적";#N/A,#N/A,TRUE,"RAC";#N/A,#N/A,TRUE,"PAC ";#N/A,#N/A,TRUE,"재고현황";#N/A,#N/A,TRUE,"공지사항"}</definedName>
    <definedName name="시장규모_2" hidden="1">{#N/A,#N/A,TRUE,"매출진척-1";#N/A,#N/A,TRUE,"매출진척-2";#N/A,#N/A,TRUE,"제품실적";#N/A,#N/A,TRUE,"RAC";#N/A,#N/A,TRUE,"PAC ";#N/A,#N/A,TRUE,"재고현황";#N/A,#N/A,TRUE,"공지사항"}</definedName>
    <definedName name="시트" localSheetId="4">#REF!</definedName>
    <definedName name="시트">#REF!</definedName>
    <definedName name="신" hidden="1">{#N/A,#N/A,FALSE,"단축1";#N/A,#N/A,FALSE,"단축2";#N/A,#N/A,FALSE,"단축3";#N/A,#N/A,FALSE,"장축";#N/A,#N/A,FALSE,"4WD"}</definedName>
    <definedName name="신경철" hidden="1">{#N/A,#N/A,FALSE,"Aging Summary";#N/A,#N/A,FALSE,"Ratio Analysis";#N/A,#N/A,FALSE,"Test 120 Day Accts";#N/A,#N/A,FALSE,"Tickmarks"}</definedName>
    <definedName name="신규" hidden="1">{#N/A,#N/A,FALSE,"신규dep";#N/A,#N/A,FALSE,"신규dep-금형상각후";#N/A,#N/A,FALSE,"신규dep-연구비상각후";#N/A,#N/A,FALSE,"신규dep-기계,공구상각후"}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4">'5. 위험성평가표(최초, 정기, 수시)'!신일정밀</definedName>
    <definedName name="신일정밀">[0]!신일정밀</definedName>
    <definedName name="실" hidden="1">{#N/A,#N/A,FALSE,"2월입도";#N/A,#N/A,FALSE,"1월입도";#N/A,#N/A,FALSE,"3월입도"}</definedName>
    <definedName name="실2" hidden="1">{#N/A,#N/A,FALSE,"2월입도";#N/A,#N/A,FALSE,"1월입도";#N/A,#N/A,FALSE,"3월입도"}</definedName>
    <definedName name="실시" hidden="1">{#N/A,#N/A,FALSE,"단축1";#N/A,#N/A,FALSE,"단축2";#N/A,#N/A,FALSE,"단축3";#N/A,#N/A,FALSE,"장축";#N/A,#N/A,FALSE,"4WD"}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>#REF!</definedName>
    <definedName name="ㅇ2" hidden="1">{#N/A,#N/A,FALSE,"2월입도";#N/A,#N/A,FALSE,"1월입도";#N/A,#N/A,FALSE,"3월입도"}</definedName>
    <definedName name="ㅇㄱㄺㅅ교" hidden="1">{#N/A,#N/A,TRUE,"매출진척-1";#N/A,#N/A,TRUE,"매출진척-2";#N/A,#N/A,TRUE,"제품실적";#N/A,#N/A,TRUE,"RAC";#N/A,#N/A,TRUE,"PAC ";#N/A,#N/A,TRUE,"재고현황";#N/A,#N/A,TRUE,"공지사항"}</definedName>
    <definedName name="ㅇㄴ" localSheetId="4">#REF!</definedName>
    <definedName name="ㅇㄴ">#REF!</definedName>
    <definedName name="ㅇㄴㄹ" hidden="1">{#N/A,#N/A,FALSE,"2월입도";#N/A,#N/A,FALSE,"1월입도";#N/A,#N/A,FALSE,"3월입도"}</definedName>
    <definedName name="ㅇㄴㄹ2" hidden="1">{#N/A,#N/A,FALSE,"2월입도";#N/A,#N/A,FALSE,"1월입도";#N/A,#N/A,FALSE,"3월입도"}</definedName>
    <definedName name="ㅇㄴㄿ" hidden="1">{#N/A,#N/A,FALSE,"CCTV"}</definedName>
    <definedName name="ㅇㄴㅀ" hidden="1">[53]증감내역서!#REF!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ㄶ" hidden="1">{#N/A,#N/A,FALSE,"단축1";#N/A,#N/A,FALSE,"단축2";#N/A,#N/A,FALSE,"단축3";#N/A,#N/A,FALSE,"장축";#N/A,#N/A,FALSE,"4WD"}</definedName>
    <definedName name="ㅇ록ㅇ류" hidden="1">{#N/A,#N/A,TRUE,"매출진척-1";#N/A,#N/A,TRUE,"매출진척-2";#N/A,#N/A,TRUE,"제품실적";#N/A,#N/A,TRUE,"RAC";#N/A,#N/A,TRUE,"PAC ";#N/A,#N/A,TRUE,"재고현황";#N/A,#N/A,TRUE,"공지사항"}</definedName>
    <definedName name="ㅇ륭ㄴ류" hidden="1">{#N/A,#N/A,TRUE,"매출진척-1";#N/A,#N/A,TRUE,"매출진척-2";#N/A,#N/A,TRUE,"제품실적";#N/A,#N/A,TRUE,"RAC";#N/A,#N/A,TRUE,"PAC ";#N/A,#N/A,TRUE,"재고현황";#N/A,#N/A,TRUE,"공지사항"}</definedName>
    <definedName name="ㅇ륭뉴" hidden="1">{#N/A,#N/A,FALSE,"2월입도";#N/A,#N/A,FALSE,"1월입도";#N/A,#N/A,FALSE,"3월입도"}</definedName>
    <definedName name="ㅇㄻㄴㅇㄻㄴ" localSheetId="4">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hidden="1">{#N/A,#N/A,FALSE,"단축1";#N/A,#N/A,FALSE,"단축2";#N/A,#N/A,FALSE,"단축3";#N/A,#N/A,FALSE,"장축";#N/A,#N/A,FALSE,"4WD"}</definedName>
    <definedName name="ㅇㅇㅇㅇ" hidden="1">[54]PI!#REF!</definedName>
    <definedName name="ㅇㅇㅇㅇ2" hidden="1">{#N/A,#N/A,TRUE,"매출진척-1";#N/A,#N/A,TRUE,"매출진척-2";#N/A,#N/A,TRUE,"제품실적";#N/A,#N/A,TRUE,"RAC";#N/A,#N/A,TRUE,"PAC ";#N/A,#N/A,TRUE,"재고현황";#N/A,#N/A,TRUE,"공지사항"}</definedName>
    <definedName name="ㅇㅇㅇㅇ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ㅇㅇㅇㅇㅇㅇㅇㅇㅇㅇㅇ" hidden="1">{#N/A,#N/A,TRUE,"매출진척-1";#N/A,#N/A,TRUE,"매출진척-2";#N/A,#N/A,TRUE,"제품실적";#N/A,#N/A,TRUE,"RAC";#N/A,#N/A,TRUE,"PAC ";#N/A,#N/A,TRUE,"재고현황";#N/A,#N/A,TRUE,"공지사항"}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>#REF!</definedName>
    <definedName name="아라이랑" localSheetId="4">#REF!</definedName>
    <definedName name="아라이랑">#REF!</definedName>
    <definedName name="아미스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안양AAR2" hidden="1">#REF!</definedName>
    <definedName name="알" hidden="1">{#N/A,#N/A,FALSE,"단축1";#N/A,#N/A,FALSE,"단축2";#N/A,#N/A,FALSE,"단축3";#N/A,#N/A,FALSE,"장축";#N/A,#N/A,FALSE,"4WD"}</definedName>
    <definedName name="암마" hidden="1">{#N/A,#N/A,FALSE,"단축1";#N/A,#N/A,FALSE,"단축2";#N/A,#N/A,FALSE,"단축3";#N/A,#N/A,FALSE,"장축";#N/A,#N/A,FALSE,"4WD"}</definedName>
    <definedName name="압입기비교" hidden="1">{#N/A,#N/A,FALSE,"단축1";#N/A,#N/A,FALSE,"단축2";#N/A,#N/A,FALSE,"단축3";#N/A,#N/A,FALSE,"장축";#N/A,#N/A,FALSE,"4WD"}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'[55]97'!$I$3:$I$112,'[55]97'!$BC$3:$BS$112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>'[6]98연계표'!#REF!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>[56]제품별!#REF!</definedName>
    <definedName name="업체" hidden="1">{#N/A,#N/A,FALSE,"단축1";#N/A,#N/A,FALSE,"단축2";#N/A,#N/A,FALSE,"단축3";#N/A,#N/A,FALSE,"장축";#N/A,#N/A,FALSE,"4WD"}</definedName>
    <definedName name="업체명" localSheetId="4">#REF!</definedName>
    <definedName name="업체명">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엔진" hidden="1">{#N/A,#N/A,FALSE,"단축1";#N/A,#N/A,FALSE,"단축2";#N/A,#N/A,FALSE,"단축3";#N/A,#N/A,FALSE,"장축";#N/A,#N/A,FALSE,"4WD"}</definedName>
    <definedName name="여여영" localSheetId="4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료펌프" hidden="1">[57]CAUDIT!#REF!</definedName>
    <definedName name="영" localSheetId="4">#REF!</definedName>
    <definedName name="영">#REF!</definedName>
    <definedName name="영광" localSheetId="4">'5. 위험성평가표(최초, 정기, 수시)'!영광</definedName>
    <definedName name="영광">[0]!영광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오픈매출계획">"EBU7SYRBPS7FG90MI8963ZTO3"</definedName>
    <definedName name="온라인" localSheetId="4">IF([26]MAIN!$C$1=1,OFFSET(Mecha,단추,4,13,1),IF([26]MAIN!$C$1=2,OFFSET(SFA,단추,4,13,1),IF([26]MAIN!$C$1=3,OFFSET(로체,단추,4,13,1),"")))</definedName>
    <definedName name="온라인">IF([26]MAIN!$C$1=1,OFFSET(Mecha,단추,4,13,1),IF([26]MAIN!$C$1=2,OFFSET(SFA,단추,4,13,1),IF([26]MAIN!$C$1=3,OFFSET(로체,단추,4,13,1),"")))</definedName>
    <definedName name="완료" localSheetId="4">#REF!</definedName>
    <definedName name="완료">#REF!</definedName>
    <definedName name="외자그룹핑" hidden="1">{#N/A,#N/A,FALSE,"단축1";#N/A,#N/A,FALSE,"단축2";#N/A,#N/A,FALSE,"단축3";#N/A,#N/A,FALSE,"장축";#N/A,#N/A,FALSE,"4WD"}</definedName>
    <definedName name="외자종합" hidden="1">{#N/A,#N/A,FALSE,"단축1";#N/A,#N/A,FALSE,"단축2";#N/A,#N/A,FALSE,"단축3";#N/A,#N/A,FALSE,"장축";#N/A,#N/A,FALSE,"4WD"}</definedName>
    <definedName name="외주업체" localSheetId="4">#REF!</definedName>
    <definedName name="외주업체">#REF!</definedName>
    <definedName name="외주확대">#REF!</definedName>
    <definedName name="요약" hidden="1">#REF!</definedName>
    <definedName name="우신" hidden="1">{#N/A,#N/A,FALSE,"단축1";#N/A,#N/A,FALSE,"단축2";#N/A,#N/A,FALSE,"단축3";#N/A,#N/A,FALSE,"장축";#N/A,#N/A,FALSE,"4WD"}</definedName>
    <definedName name="우신기계" hidden="1">{#N/A,#N/A,FALSE,"단축1";#N/A,#N/A,FALSE,"단축2";#N/A,#N/A,FALSE,"단축3";#N/A,#N/A,FALSE,"장축";#N/A,#N/A,FALSE,"4WD"}</definedName>
    <definedName name="운영기간중이자율_타인" localSheetId="4">#REF!</definedName>
    <definedName name="운영기간중이자율_타인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본2" hidden="1">#REF!</definedName>
    <definedName name="원원" localSheetId="4">#REF!</definedName>
    <definedName name="원원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4">#REF!</definedName>
    <definedName name="월">#REF!</definedName>
    <definedName name="월별" localSheetId="4">#REF!</definedName>
    <definedName name="월별">#REF!</definedName>
    <definedName name="월별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위치">(ROW()-4)*7+COLUMN()</definedName>
    <definedName name="유가증권" hidden="1">{#N/A,#N/A,FALSE,"Aging Summary";#N/A,#N/A,FALSE,"Ratio Analysis";#N/A,#N/A,FALSE,"Test 120 Day Accts";#N/A,#N/A,FALSE,"Tickmarks"}</definedName>
    <definedName name="유동1" hidden="1">[58]증감내역서!#REF!</definedName>
    <definedName name="의뢰" localSheetId="4">#REF!</definedName>
    <definedName name="의뢰">#REF!</definedName>
    <definedName name="이" localSheetId="4">[59]제품별!#REF!</definedName>
    <definedName name="이">[59]제품별!#REF!</definedName>
    <definedName name="이급" localSheetId="4">#REF!</definedName>
    <definedName name="이급">#REF!</definedName>
    <definedName name="이름" localSheetId="4">#REF!</definedName>
    <definedName name="이름">#REF!</definedName>
    <definedName name="이름1" localSheetId="4">IF([45]MAIN!$A$1=1,대표1,이름)</definedName>
    <definedName name="이름1">IF([45]MAIN!$A$1=1,대표1,이름)</definedName>
    <definedName name="이읏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이전2" localSheetId="4">#REF!</definedName>
    <definedName name="이전2">#REF!</definedName>
    <definedName name="이정" hidden="1">{#N/A,#N/A,FALSE,"2~8번"}</definedName>
    <definedName name="이차" localSheetId="4">#REF!*3-3</definedName>
    <definedName name="이차">#REF!*3-3</definedName>
    <definedName name="이해원" hidden="1">#REF!</definedName>
    <definedName name="인간공학적">'6. 참조자료(유해위험요인, 위험성추정)'!$H$57:$H$65</definedName>
    <definedName name="인건비" localSheetId="4">#REF!</definedName>
    <definedName name="인건비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이ㅏㄹ" hidden="1">{#N/A,#N/A,FALSE,"단축1";#N/A,#N/A,FALSE,"단축2";#N/A,#N/A,FALSE,"단축3";#N/A,#N/A,FALSE,"장축";#N/A,#N/A,FALSE,"4WD"}</definedName>
    <definedName name="일정">#REF!</definedName>
    <definedName name="일정1" hidden="1">{#N/A,#N/A,FALSE,"단축1";#N/A,#N/A,FALSE,"단축2";#N/A,#N/A,FALSE,"단축3";#N/A,#N/A,FALSE,"장축";#N/A,#N/A,FALSE,"4WD"}</definedName>
    <definedName name="일정2" hidden="1">{#N/A,#N/A,FALSE,"단축1";#N/A,#N/A,FALSE,"단축2";#N/A,#N/A,FALSE,"단축3";#N/A,#N/A,FALSE,"장축";#N/A,#N/A,FALSE,"4WD"}</definedName>
    <definedName name="일정3" hidden="1">{#N/A,#N/A,FALSE,"단축1";#N/A,#N/A,FALSE,"단축2";#N/A,#N/A,FALSE,"단축3";#N/A,#N/A,FALSE,"장축";#N/A,#N/A,FALSE,"4WD"}</definedName>
    <definedName name="일층">[60]일정!$M$4:$M$27</definedName>
    <definedName name="임병길" hidden="1">{#N/A,#N/A,FALSE,"단축1";#N/A,#N/A,FALSE,"단축2";#N/A,#N/A,FALSE,"단축3";#N/A,#N/A,FALSE,"장축";#N/A,#N/A,FALSE,"4WD"}</definedName>
    <definedName name="임시" localSheetId="4">#REF!</definedName>
    <definedName name="임시">#REF!</definedName>
    <definedName name="입금계획">#N/A</definedName>
    <definedName name="ㅈ64" localSheetId="4">#REF!</definedName>
    <definedName name="ㅈ64">#REF!</definedName>
    <definedName name="ㅈㄳ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ㅈ">#N/A</definedName>
    <definedName name="ㅈㅈㅈ" localSheetId="4">'[46]제조 경영'!#REF!</definedName>
    <definedName name="ㅈㅈㅈ">'[46]제조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자반설비">#REF!</definedName>
    <definedName name="자본금" hidden="1">{#N/A,#N/A,FALSE,"Aging Summary";#N/A,#N/A,FALSE,"Ratio Analysis";#N/A,#N/A,FALSE,"Test 120 Day Accts";#N/A,#N/A,FALSE,"Tickmarks"}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군님" hidden="1">{#N/A,#N/A,FALSE,"전제";#N/A,#N/A,FALSE,"표지";#N/A,#N/A,FALSE,"6D16";#N/A,#N/A,FALSE,"6D22";#N/A,#N/A,FALSE,"6D22-T";#N/A,#N/A,FALSE,"Q-DEG";#N/A,#N/A,FALSE,"총손";#N/A,#N/A,FALSE,"대당";#N/A,#N/A,FALSE,"가공비"}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배관" hidden="1">{#N/A,#N/A,TRUE,"매출진척-1";#N/A,#N/A,TRUE,"매출진척-2";#N/A,#N/A,TRUE,"제품실적";#N/A,#N/A,TRUE,"RAC";#N/A,#N/A,TRUE,"PAC ";#N/A,#N/A,TRUE,"재고현황";#N/A,#N/A,TRUE,"공지사항"}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잯" hidden="1">{#N/A,#N/A,FALSE,"단축1";#N/A,#N/A,FALSE,"단축2";#N/A,#N/A,FALSE,"단축3";#N/A,#N/A,FALSE,"장축";#N/A,#N/A,FALSE,"4WD"}</definedName>
    <definedName name="저장품" localSheetId="4">#REF!</definedName>
    <definedName name="저장품">#REF!</definedName>
    <definedName name="전">#N/A</definedName>
    <definedName name="전개계획" hidden="1">{#N/A,#N/A,FALSE,"단축1";#N/A,#N/A,FALSE,"단축2";#N/A,#N/A,FALSE,"단축3";#N/A,#N/A,FALSE,"장축";#N/A,#N/A,FALSE,"4WD"}</definedName>
    <definedName name="전개방안2" hidden="1">{#N/A,#N/A,FALSE,"단축1";#N/A,#N/A,FALSE,"단축2";#N/A,#N/A,FALSE,"단축3";#N/A,#N/A,FALSE,"장축";#N/A,#N/A,FALSE,"4WD"}</definedName>
    <definedName name="전개방안3" hidden="1">{#N/A,#N/A,FALSE,"단축1";#N/A,#N/A,FALSE,"단축2";#N/A,#N/A,FALSE,"단축3";#N/A,#N/A,FALSE,"장축";#N/A,#N/A,FALSE,"4WD"}</definedName>
    <definedName name="전개방안4" hidden="1">{#N/A,#N/A,FALSE,"단축1";#N/A,#N/A,FALSE,"단축2";#N/A,#N/A,FALSE,"단축3";#N/A,#N/A,FALSE,"장축";#N/A,#N/A,FALSE,"4WD"}</definedName>
    <definedName name="전기적">'6. 참조자료(유해위험요인, 위험성추정)'!$C$57:$C$65</definedName>
    <definedName name="전략1" localSheetId="4">#REF!</definedName>
    <definedName name="전략1">#REF!</definedName>
    <definedName name="電用品材料表印字" localSheetId="4">#REF!</definedName>
    <definedName name="電用品材料表印字">#REF!</definedName>
    <definedName name="電用品材料表作成">#REF!</definedName>
    <definedName name="전차종" hidden="1">{#N/A,#N/A,FALSE,"표지";#N/A,#N/A,FALSE,"전제";#N/A,#N/A,FALSE,"대당";#N/A,#N/A,FALSE,"가공비";#N/A,#N/A,FALSE,"재료비";#N/A,#N/A,FALSE,"손익"}</definedName>
    <definedName name="절토부점검로" hidden="1">[58]증감내역서!#REF!</definedName>
    <definedName name="정" hidden="1">{#N/A,#N/A,FALSE,"단축1";#N/A,#N/A,FALSE,"단축2";#N/A,#N/A,FALSE,"단축3";#N/A,#N/A,FALSE,"장축";#N/A,#N/A,FALSE,"4WD"}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[61]정율표!$A$1:$B$214</definedName>
    <definedName name="정정" localSheetId="4">#REF!</definedName>
    <definedName name="정정">#REF!</definedName>
    <definedName name="정창건" hidden="1">{#N/A,#N/A,FALSE,"전제";#N/A,#N/A,FALSE,"표지";#N/A,#N/A,FALSE,"6D16";#N/A,#N/A,FALSE,"6D22";#N/A,#N/A,FALSE,"6D22-T";#N/A,#N/A,FALSE,"Q-DEG";#N/A,#N/A,FALSE,"총손";#N/A,#N/A,FALSE,"대당";#N/A,#N/A,FALSE,"가공비"}</definedName>
    <definedName name="젖" hidden="1">{#N/A,#N/A,FALSE,"단축1";#N/A,#N/A,FALSE,"단축2";#N/A,#N/A,FALSE,"단축3";#N/A,#N/A,FALSE,"장축";#N/A,#N/A,FALSE,"4WD"}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1안2" hidden="1">{#N/A,#N/A,TRUE,"매출진척-1";#N/A,#N/A,TRUE,"매출진척-2";#N/A,#N/A,TRUE,"제품실적";#N/A,#N/A,TRUE,"RAC";#N/A,#N/A,TRUE,"PAC ";#N/A,#N/A,TRUE,"재고현황";#N/A,#N/A,TRUE,"공지사항"}</definedName>
    <definedName name="제2안" hidden="1">{#N/A,#N/A,TRUE,"매출진척-1";#N/A,#N/A,TRUE,"매출진척-2";#N/A,#N/A,TRUE,"제품실적";#N/A,#N/A,TRUE,"RAC";#N/A,#N/A,TRUE,"PAC ";#N/A,#N/A,TRUE,"재고현황";#N/A,#N/A,TRUE,"공지사항"}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>#REF!</definedName>
    <definedName name="제조하">'[62]제조 경영'!#REF!</definedName>
    <definedName name="제조하2">'[39]제조 경영'!#REF!</definedName>
    <definedName name="제품" hidden="1">{#N/A,#N/A,TRUE,"매출진척-1";#N/A,#N/A,TRUE,"매출진척-2";#N/A,#N/A,TRUE,"제품실적";#N/A,#N/A,TRUE,"RAC";#N/A,#N/A,TRUE,"PAC ";#N/A,#N/A,TRUE,"재고현황";#N/A,#N/A,TRUE,"공지사항"}</definedName>
    <definedName name="제품.재공품" localSheetId="4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조치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종합" localSheetId="4">IF([26]MAIN!$C$1=1,OFFSET(Mecha,단추2,5,4,1),IF([26]MAIN!$C$1=2,OFFSET(SFA,단추2,5,4,1),IF([26]MAIN!$C$1=3,OFFSET(로체,단추2,5,4,1),"")))</definedName>
    <definedName name="종합">IF([26]MAIN!$C$1=1,OFFSET(Mecha,단추2,5,4,1),IF([26]MAIN!$C$1=2,OFFSET(SFA,단추2,5,4,1),IF([26]MAIN!$C$1=3,OFFSET(로체,단추2,5,4,1),"")))</definedName>
    <definedName name="종합그래프" hidden="1">{#N/A,#N/A,FALSE,"단축1";#N/A,#N/A,FALSE,"단축2";#N/A,#N/A,FALSE,"단축3";#N/A,#N/A,FALSE,"장축";#N/A,#N/A,FALSE,"4WD"}</definedName>
    <definedName name="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제원" hidden="1">{#N/A,#N/A,FALSE,"단축1";#N/A,#N/A,FALSE,"단축2";#N/A,#N/A,FALSE,"단축3";#N/A,#N/A,FALSE,"장축";#N/A,#N/A,FALSE,"4WD"}</definedName>
    <definedName name="주요추진업무" localSheetId="4">'[46]제조 경영'!#REF!</definedName>
    <definedName name="주요추진업무">'[46]제조 경영'!#REF!</definedName>
    <definedName name="주입력" localSheetId="4">#REF!</definedName>
    <definedName name="주입력">#REF!</definedName>
    <definedName name="주정관" localSheetId="4" hidden="1">{#N/A,#N/A,TRUE,"일정"}</definedName>
    <definedName name="주정관" hidden="1">{#N/A,#N/A,TRUE,"일정"}</definedName>
    <definedName name="주주주" hidden="1">{#N/A,#N/A,TRUE,"매출진척-1";#N/A,#N/A,TRUE,"매출진척-2";#N/A,#N/A,TRUE,"제품실적";#N/A,#N/A,TRUE,"RAC";#N/A,#N/A,TRUE,"PAC ";#N/A,#N/A,TRUE,"재고현황";#N/A,#N/A,TRUE,"공지사항"}</definedName>
    <definedName name="중간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매54P" hidden="1">{#N/A,#N/A,TRUE,"토적및재료집계";#N/A,#N/A,TRUE,"토적및재료집계";#N/A,#N/A,TRUE,"단위량"}</definedName>
    <definedName name="직무조직도" localSheetId="4">#REF!</definedName>
    <definedName name="직무조직도">#REF!</definedName>
    <definedName name="진짜원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진척율5" localSheetId="4">OFFSET([45]상세내역!$C$35,0,바1,1,7)</definedName>
    <definedName name="진척율5">OFFSET([45]상세내역!$C$35,0,바1,1,7)</definedName>
    <definedName name="진행" localSheetId="4">IF([45]MAIN!$A$1=1,대표5,OFFSET([45]상세내역!$C$18,0,바,1,7))</definedName>
    <definedName name="진행">IF([45]MAIN!$A$1=1,대표5,OFFSET([45]상세내역!$C$18,0,바,1,7))</definedName>
    <definedName name="진행1" localSheetId="4">OFFSET([45]상세내역!$C$35,0,바1,1,7)</definedName>
    <definedName name="진행1">OFFSET([45]상세내역!$C$35,0,바1,1,7)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집계표">'[60]AIR SHOWER(3인용)'!#REF!</definedName>
    <definedName name="찡">#N/A</definedName>
    <definedName name="ㅊ1" hidden="1">{#N/A,#N/A,TRUE,"매출진척-1";#N/A,#N/A,TRUE,"매출진척-2";#N/A,#N/A,TRUE,"제품실적";#N/A,#N/A,TRUE,"RAC";#N/A,#N/A,TRUE,"PAC ";#N/A,#N/A,TRUE,"재고현황";#N/A,#N/A,TRUE,"공지사항"}</definedName>
    <definedName name="ㅊㄹㄷㄱ" localSheetId="4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차체" hidden="1">{#N/A,#N/A,FALSE,"단축1";#N/A,#N/A,FALSE,"단축2";#N/A,#N/A,FALSE,"단축3";#N/A,#N/A,FALSE,"장축";#N/A,#N/A,FALSE,"4WD"}</definedName>
    <definedName name="참고1장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창원lg" hidden="1">{#N/A,#N/A,TRUE,"매출진척-1";#N/A,#N/A,TRUE,"매출진척-2";#N/A,#N/A,TRUE,"제품실적";#N/A,#N/A,TRUE,"RAC";#N/A,#N/A,TRUE,"PAC ";#N/A,#N/A,TRUE,"재고현황";#N/A,#N/A,TRUE,"공지사항"}</definedName>
    <definedName name="찾기">[26]일정!$G$5:$H$307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갑지" hidden="1">#REF!</definedName>
    <definedName name="총견적서" hidden="1">#REF!</definedName>
    <definedName name="총괄표" localSheetId="4">#REF!</definedName>
    <definedName name="총괄표">#REF!</definedName>
    <definedName name="총무3" hidden="1">{#N/A,#N/A,FALSE,"단축1";#N/A,#N/A,FALSE,"단축2";#N/A,#N/A,FALSE,"단축3";#N/A,#N/A,FALSE,"장축";#N/A,#N/A,FALSE,"4WD"}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최종추가합" hidden="1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장기" hidden="1">#REF!</definedName>
    <definedName name="추진전략" localSheetId="4">#REF!</definedName>
    <definedName name="추진전략">#REF!</definedName>
    <definedName name="충돌" hidden="1">{#N/A,#N/A,FALSE,"단축1";#N/A,#N/A,FALSE,"단축2";#N/A,#N/A,FALSE,"단축3";#N/A,#N/A,FALSE,"장축";#N/A,#N/A,FALSE,"4WD"}</definedName>
    <definedName name="충방기유틸리티" localSheetId="4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충주" hidden="1">[63]설계내역서!#REF!</definedName>
    <definedName name="취합그립" localSheetId="4">'5. 위험성평가표(최초, 정기, 수시)'!취합그립</definedName>
    <definedName name="취합그립">[0]!취합그립</definedName>
    <definedName name="치수선" hidden="1">{#N/A,#N/A,FALSE,"표지";#N/A,#N/A,FALSE,"전제";#N/A,#N/A,FALSE,"손익-자 (2)";#N/A,#N/A,FALSE,"손익-자";#N/A,#N/A,FALSE,"손익-마 (2)";#N/A,#N/A,FALSE,"손익-마";#N/A,#N/A,FALSE,"총손최종"}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2" hidden="1">{#N/A,#N/A,TRUE,"매출진척-1";#N/A,#N/A,TRUE,"매출진척-2";#N/A,#N/A,TRUE,"제품실적";#N/A,#N/A,TRUE,"RAC";#N/A,#N/A,TRUE,"PAC ";#N/A,#N/A,TRUE,"재고현황";#N/A,#N/A,TRUE,"공지사항"}</definedName>
    <definedName name="ㅋㅋㅋㅋ" hidden="1">{#N/A,#N/A,FALSE,"Aging Summary";#N/A,#N/A,FALSE,"Ratio Analysis";#N/A,#N/A,FALSE,"Test 120 Day Accts";#N/A,#N/A,FALSE,"Tickmarks"}</definedName>
    <definedName name="ㅋ후ㅊ" localSheetId="4">#REF!</definedName>
    <definedName name="ㅋ후ㅊ">#REF!</definedName>
    <definedName name="캐노피출하장자재내역">#REF!</definedName>
    <definedName name="캐노피출하장철골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케이블간지" hidden="1">{#N/A,#N/A,TRUE,"토적및재료집계";#N/A,#N/A,TRUE,"토적및재료집계";#N/A,#N/A,TRUE,"단위량"}</definedName>
    <definedName name="코린교역" localSheetId="4">'5. 위험성평가표(최초, 정기, 수시)'!코린교역</definedName>
    <definedName name="코린교역">[0]!코린교역</definedName>
    <definedName name="콘베어">#N/A</definedName>
    <definedName name="콘베어2">#N/A</definedName>
    <definedName name="크랑크" hidden="1">{#N/A,#N/A,FALSE,"단축1";#N/A,#N/A,FALSE,"단축2";#N/A,#N/A,FALSE,"단축3";#N/A,#N/A,FALSE,"장축";#N/A,#N/A,FALSE,"4WD"}</definedName>
    <definedName name="크린" localSheetId="4">'[64]제조 경영'!#REF!</definedName>
    <definedName name="크린">'[64]제조 경영'!#REF!</definedName>
    <definedName name="크린부하">#N/A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토목설계" hidden="1">{#N/A,#N/A,FALSE,"골재소요량";#N/A,#N/A,FALSE,"골재소요량"}</definedName>
    <definedName name="토의자료수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토철" hidden="1">{#N/A,#N/A,FALSE,"구조2"}</definedName>
    <definedName name="통신" localSheetId="4">IF([45]MAIN!$A$1=1,대표4,OFFSET([45]상세내역!$C$16,0,바,1,7))</definedName>
    <definedName name="통신">IF([45]MAIN!$A$1=1,대표4,OFFSET([45]상세내역!$C$16,0,바,1,7))</definedName>
    <definedName name="통신1" localSheetId="4">OFFSET([45]상세내역!$C$33,0,바1,1,7)</definedName>
    <definedName name="통신1">OFFSET([45]상세내역!$C$33,0,바1,1,7)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CONC.182억" hidden="1">{#N/A,#N/A,FALSE,"단축1";#N/A,#N/A,FALSE,"단축2";#N/A,#N/A,FALSE,"단축3";#N/A,#N/A,FALSE,"장축";#N/A,#N/A,FALSE,"4WD"}</definedName>
    <definedName name="투자계산" hidden="1">{#N/A,#N/A,FALSE,"단축1";#N/A,#N/A,FALSE,"단축2";#N/A,#N/A,FALSE,"단축3";#N/A,#N/A,FALSE,"장축";#N/A,#N/A,FALSE,"4WD"}</definedName>
    <definedName name="투자대분류" localSheetId="4">#REF!</definedName>
    <definedName name="투자대분류">#REF!</definedName>
    <definedName name="투자비" localSheetId="4">#REF!</definedName>
    <definedName name="투자비">#REF!</definedName>
    <definedName name="투자비000" hidden="1">{#N/A,#N/A,FALSE,"단축1";#N/A,#N/A,FALSE,"단축2";#N/A,#N/A,FALSE,"단축3";#N/A,#N/A,FALSE,"장축";#N/A,#N/A,FALSE,"4WD"}</definedName>
    <definedName name="투자비3안" hidden="1">{#N/A,#N/A,FALSE,"단축1";#N/A,#N/A,FALSE,"단축2";#N/A,#N/A,FALSE,"단축3";#N/A,#N/A,FALSE,"장축";#N/A,#N/A,FALSE,"4WD"}</definedName>
    <definedName name="투자비비교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투자회수" hidden="1">{#N/A,#N/A,FALSE,"단축1";#N/A,#N/A,FALSE,"단축2";#N/A,#N/A,FALSE,"단축3";#N/A,#N/A,FALSE,"장축";#N/A,#N/A,FALSE,"4WD"}</definedName>
    <definedName name="투자회수기간COREMARRIAGE" hidden="1">{#N/A,#N/A,FALSE,"단축1";#N/A,#N/A,FALSE,"단축2";#N/A,#N/A,FALSE,"단축3";#N/A,#N/A,FALSE,"장축";#N/A,#N/A,FALSE,"4WD"}</definedName>
    <definedName name="투자회수기간사진" hidden="1">{#N/A,#N/A,FALSE,"견적대비-2"}</definedName>
    <definedName name="투찰" hidden="1">{#N/A,#N/A,FALSE,"단가표지"}</definedName>
    <definedName name="특" localSheetId="4">#REF!</definedName>
    <definedName name="특">#REF!</definedName>
    <definedName name="특상" localSheetId="4">#REF!</definedName>
    <definedName name="특상">#REF!</definedName>
    <definedName name="티칭" localSheetId="4">IF([26]MAIN!$C$1=1,OFFSET(Mecha,단추,3,13,1),IF([26]MAIN!$C$1=2,OFFSET(SFA,단추,3,13,1),IF([26]MAIN!$C$1=3,OFFSET(로체,단추,3,13,1),"")))</definedName>
    <definedName name="티칭">IF([26]MAIN!$C$1=1,OFFSET(Mecha,단추,3,13,1),IF([26]MAIN!$C$1=2,OFFSET(SFA,단추,3,13,1),IF([26]MAIN!$C$1=3,OFFSET(로체,단추,3,13,1),"")))</definedName>
    <definedName name="ㅍㅍ" hidden="1">{#N/A,#N/A,TRUE,"토적및재료집계";#N/A,#N/A,TRUE,"토적및재료집계";#N/A,#N/A,TRUE,"단위량"}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규모_" hidden="1">{#N/A,#N/A,TRUE,"매출진척-1";#N/A,#N/A,TRUE,"매출진척-2";#N/A,#N/A,TRUE,"제품실적";#N/A,#N/A,TRUE,"RAC";#N/A,#N/A,TRUE,"PAC ";#N/A,#N/A,TRUE,"재고현황";#N/A,#N/A,TRUE,"공지사항"}</definedName>
    <definedName name="판매규모_2" hidden="1">{#N/A,#N/A,TRUE,"매출진척-1";#N/A,#N/A,TRUE,"매출진척-2";#N/A,#N/A,TRUE,"제품실적";#N/A,#N/A,TRUE,"RAC";#N/A,#N/A,TRUE,"PAC ";#N/A,#N/A,TRUE,"재고현황";#N/A,#N/A,TRUE,"공지사항"}</definedName>
    <definedName name="판매목표2" hidden="1">{#N/A,#N/A,FALSE,"단축1";#N/A,#N/A,FALSE,"단축2";#N/A,#N/A,FALSE,"단축3";#N/A,#N/A,FALSE,"장축";#N/A,#N/A,FALSE,"4WD"}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촉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판촉지원적립금2" hidden="1">{#N/A,#N/A,TRUE,"매출진척-1";#N/A,#N/A,TRUE,"매출진척-2";#N/A,#N/A,TRUE,"제품실적";#N/A,#N/A,TRUE,"RAC";#N/A,#N/A,TRUE,"PAC ";#N/A,#N/A,TRUE,"재고현황";#N/A,#N/A,TRUE,"공지사항"}</definedName>
    <definedName name="페인트면적">[24]TOTAL!$G$7:$G$3053</definedName>
    <definedName name="평가">"5166V01ZE5ALNQEYJHKEXGUE5"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폐기" hidden="1">{#N/A,#N/A,TRUE,"매출진척-1";#N/A,#N/A,TRUE,"매출진척-2";#N/A,#N/A,TRUE,"제품실적";#N/A,#N/A,TRUE,"RAC";#N/A,#N/A,TRUE,"PAC ";#N/A,#N/A,TRUE,"재고현황";#N/A,#N/A,TRUE,"공지사항"}</definedName>
    <definedName name="포기3" hidden="1">{#N/A,#N/A,FALSE,"표지목차"}</definedName>
    <definedName name="포장2" localSheetId="4">#REF!</definedName>
    <definedName name="포장2">#REF!</definedName>
    <definedName name="포장공" hidden="1">{#N/A,#N/A,FALSE,"표지목차"}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표지2" hidden="1">#REF!</definedName>
    <definedName name="품목">[16]품의서!#REF!</definedName>
    <definedName name="품목별" localSheetId="4" hidden="1">{"'사직서'!$A$1:$H$9"}</definedName>
    <definedName name="품목별" hidden="1">{"'사직서'!$A$1:$H$9"}</definedName>
    <definedName name="프레스" hidden="1">{#N/A,#N/A,FALSE,"단축1";#N/A,#N/A,FALSE,"단축2";#N/A,#N/A,FALSE,"단축3";#N/A,#N/A,FALSE,"장축";#N/A,#N/A,FALSE,"4WD"}</definedName>
    <definedName name="프로젝트" hidden="1">#REF!</definedName>
    <definedName name="ㅎ" localSheetId="4">'5. 위험성평가표(최초, 정기, 수시)'!ㅎ</definedName>
    <definedName name="ㅎ">[0]!ㅎ</definedName>
    <definedName name="ㅎㄷㄱㄶㅍ" hidden="1">{#N/A,#N/A,FALSE,"단축1";#N/A,#N/A,FALSE,"단축2";#N/A,#N/A,FALSE,"단축3";#N/A,#N/A,FALSE,"장축";#N/A,#N/A,FALSE,"4WD"}</definedName>
    <definedName name="ㅎㅀ" hidden="1">{#N/A,#N/A,FALSE,"단축1";#N/A,#N/A,FALSE,"단축2";#N/A,#N/A,FALSE,"단축3";#N/A,#N/A,FALSE,"장축";#N/A,#N/A,FALSE,"4WD"}</definedName>
    <definedName name="ㅎㅇ" hidden="1">{#N/A,#N/A,FALSE,"Aging Summary";#N/A,#N/A,FALSE,"Ratio Analysis";#N/A,#N/A,FALSE,"Test 120 Day Accts";#N/A,#N/A,FALSE,"Tickmarks"}</definedName>
    <definedName name="ㅎㅎ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ㅎㅎㅎㅎ" hidden="1">{#N/A,#N/A,FALSE,"Aging Summary";#N/A,#N/A,FALSE,"Ratio Analysis";#N/A,#N/A,FALSE,"Test 120 Day Accts";#N/A,#N/A,FALSE,"Tickmarks"}</definedName>
    <definedName name="ㅎㅎㅎㅎㅎㅎ" localSheetId="4">#REF!</definedName>
    <definedName name="ㅎㅎㅎㅎㅎㅎ">#REF!</definedName>
    <definedName name="하도대상" hidden="1">{#N/A,#N/A,FALSE,"골재소요량";#N/A,#N/A,FALSE,"골재소요량"}</definedName>
    <definedName name="하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한전1" localSheetId="4">'5. 위험성평가표(최초, 정기, 수시)'!한전1</definedName>
    <definedName name="한전1">[0]!한전1</definedName>
    <definedName name="합3" localSheetId="4">#REF!</definedName>
    <definedName name="합3">#REF!</definedName>
    <definedName name="항" hidden="1">{#N/A,#N/A,FALSE,"단축1";#N/A,#N/A,FALSE,"단축2";#N/A,#N/A,FALSE,"단축3";#N/A,#N/A,FALSE,"장축";#N/A,#N/A,FALSE,"4WD"}</definedName>
    <definedName name="해" hidden="1">#REF!</definedName>
    <definedName name="해당시트열기" localSheetId="4">'5. 위험성평가표(최초, 정기, 수시)'!해당시트열기</definedName>
    <definedName name="해당시트열기">[0]!해당시트열기</definedName>
    <definedName name="해당화일열기" localSheetId="4">'5. 위험성평가표(최초, 정기, 수시)'!해당화일열기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헐" hidden="1">{#N/A,#N/A,FALSE,"단축1";#N/A,#N/A,FALSE,"단축2";#N/A,#N/A,FALSE,"단축3";#N/A,#N/A,FALSE,"장축";#N/A,#N/A,FALSE,"4WD"}</definedName>
    <definedName name="헣허헣ㄴ엏ㄹㄴㅇ허" localSheetId="4">'5. 위험성평가표(최초, 정기, 수시)'!헣허헣ㄴ엏ㄹㄴㅇ허</definedName>
    <definedName name="헣허헣ㄴ엏ㄹㄴㅇ허">[0]!헣허헣ㄴ엏ㄹㄴㅇ허</definedName>
    <definedName name="현" hidden="1">{#N/A,#N/A,FALSE,"표지";#N/A,#N/A,FALSE,"전제";#N/A,#N/A,FALSE,"손익-자 (2)";#N/A,#N/A,FALSE,"손익-자";#N/A,#N/A,FALSE,"손익-마 (2)";#N/A,#N/A,FALSE,"손익-마";#N/A,#N/A,FALSE,"총손최종"}</definedName>
    <definedName name="현금" localSheetId="4">#REF!</definedName>
    <definedName name="현금">#REF!</definedName>
    <definedName name="현금등가물" hidden="1">{#N/A,#N/A,FALSE,"Aging Summary";#N/A,#N/A,FALSE,"Ratio Analysis";#N/A,#N/A,FALSE,"Test 120 Day Accts";#N/A,#N/A,FALSE,"Tickmarks"}</definedName>
    <definedName name="현금등가물및단기" hidden="1">{#N/A,#N/A,FALSE,"Aging Summary";#N/A,#N/A,FALSE,"Ratio Analysis";#N/A,#N/A,FALSE,"Test 120 Day Accts";#N/A,#N/A,FALSE,"Tickmarks"}</definedName>
    <definedName name="현금흐름" hidden="1">{#N/A,#N/A,FALSE,"Aging Summary";#N/A,#N/A,FALSE,"Ratio Analysis";#N/A,#N/A,FALSE,"Test 120 Day Accts";#N/A,#N/A,FALSE,"Tickmarks"}</definedName>
    <definedName name="현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황2" hidden="1">{#N/A,#N/A,FALSE,"단축1";#N/A,#N/A,FALSE,"단축2";#N/A,#N/A,FALSE,"단축3";#N/A,#N/A,FALSE,"장축";#N/A,#N/A,FALSE,"4WD"}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4">IF([26]MAIN!$C$1=1,OFFSET(Mecha,단추,1,13,1),IF([26]MAIN!$C$1=2,OFFSET(SFA,단추,1,13,1),IF([26]MAIN!$C$1=3,OFFSET(로체,단추,1,13,1),"")))</definedName>
    <definedName name="호기">IF([26]MAIN!$C$1=1,OFFSET(Mecha,단추,1,13,1),IF([26]MAIN!$C$1=2,OFFSET(SFA,단추,1,13,1),IF([26]MAIN!$C$1=3,OFFSET(로체,단추,1,13,1),"")))</definedName>
    <definedName name="호기1" localSheetId="4">OFFSET([45]상세내역!$C$22,0,바1,1,7)</definedName>
    <definedName name="호기1">OFFSET([45]상세내역!$C$22,0,바1,1,7)</definedName>
    <definedName name="호기2" localSheetId="4">IF([26]MAIN!$C$1=1,OFFSET(Mecha,단추2,1,4,1),IF([26]MAIN!$C$1=2,OFFSET(SFA,단추2,1,4,1),IF([26]MAIN!$C$1=3,OFFSET(로체,단추2,1,4,1),"")))</definedName>
    <definedName name="호기2">IF([26]MAIN!$C$1=1,OFFSET(Mecha,단추2,1,4,1),IF([26]MAIN!$C$1=2,OFFSET(SFA,단추2,1,4,1),IF([26]MAIN!$C$1=3,OFFSET(로체,단추2,1,4,1),"")))</definedName>
    <definedName name="홍용재" localSheetId="4">'5. 위험성평가표(최초, 정기, 수시)'!홍용재</definedName>
    <definedName name="홍용재">[0]!홍용재</definedName>
    <definedName name="화학적">'6. 참조자료(유해위험요인, 위험성추정)'!$F$57:$F$65</definedName>
    <definedName name="화화하" hidden="1">{#N/A,#N/A,FALSE,"Aging Summary";#N/A,#N/A,FALSE,"Ratio Analysis";#N/A,#N/A,FALSE,"Test 120 Day Accts";#N/A,#N/A,FALSE,"Tickmarks"}</definedName>
    <definedName name="환산요청금액">OFFSET([65]POR누적_2020.03.20_16.15.58!$AH$2,,,COUNTA([65]POR누적_2020.03.20_16.15.58!$AH$2:$AH$9902)-1)</definedName>
    <definedName name="환산율" localSheetId="4">#REF!</definedName>
    <definedName name="환산율">#REF!</definedName>
    <definedName name="환율">[22]분류표!$AE$6:$AJ$10</definedName>
    <definedName name="활ㄹㄹ" hidden="1">{#N/A,#N/A,TRUE,"매출진척-1";#N/A,#N/A,TRUE,"매출진척-2";#N/A,#N/A,TRUE,"제품실적";#N/A,#N/A,TRUE,"RAC";#N/A,#N/A,TRUE,"PAC ";#N/A,#N/A,TRUE,"재고현황";#N/A,#N/A,TRUE,"공지사항"}</definedName>
    <definedName name="홯" hidden="1">{#N/A,#N/A,TRUE,"매출진척-1";#N/A,#N/A,TRUE,"매출진척-2";#N/A,#N/A,TRUE,"제품실적";#N/A,#N/A,TRUE,"RAC";#N/A,#N/A,TRUE,"PAC ";#N/A,#N/A,TRUE,"재고현황";#N/A,#N/A,TRUE,"공지사항"}</definedName>
    <definedName name="灰階數目" localSheetId="4">#REF!</definedName>
    <definedName name="灰階數目">#REF!</definedName>
    <definedName name="효과파악사진" hidden="1">{#N/A,#N/A,FALSE,"단축1";#N/A,#N/A,FALSE,"단축2";#N/A,#N/A,FALSE,"단축3";#N/A,#N/A,FALSE,"장축";#N/A,#N/A,FALSE,"4WD"}</definedName>
    <definedName name="흵____R3_t" localSheetId="4">#REF!</definedName>
    <definedName name="흵____R3_t">#REF!</definedName>
    <definedName name="ㅏ아앙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4">'5. 위험성평가표(최초, 정기, 수시)'!ㅏㅓ노라ㅗ낭롸ㅓ노라ㅓ</definedName>
    <definedName name="ㅏㅓ노라ㅗ낭롸ㅓ노라ㅓ">[0]!ㅏㅓ노라ㅗ낭롸ㅓ노라ㅓ</definedName>
    <definedName name="ㅏㅓㅗㅓㅗ" localSheetId="4">'5. 위험성평가표(최초, 정기, 수시)'!ㅏㅓㅗㅓㅗ</definedName>
    <definedName name="ㅏㅓㅗㅓㅗ">[0]!ㅏㅓㅗㅓㅗ</definedName>
    <definedName name="ㅏㅗ마로아머ㅗ" localSheetId="4">'5. 위험성평가표(최초, 정기, 수시)'!ㅏㅗ마로아머ㅗ</definedName>
    <definedName name="ㅏㅗ마로아머ㅗ">[0]!ㅏㅗ마로아머ㅗ</definedName>
    <definedName name="ㅏㅘ화화ㅏ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ㅏㅠㄴ" localSheetId="4">[12]제품별!#REF!</definedName>
    <definedName name="ㅏㅠㄴ">[12]제품별!#REF!</definedName>
    <definedName name="ㅏㅣ1111111111111111" localSheetId="4">#REF!</definedName>
    <definedName name="ㅏㅣ1111111111111111">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ㅏ" hidden="1">{#N/A,#N/A,FALSE,"단축1";#N/A,#N/A,FALSE,"단축2";#N/A,#N/A,FALSE,"단축3";#N/A,#N/A,FALSE,"장축";#N/A,#N/A,FALSE,"4WD"}</definedName>
    <definedName name="ㅐㅓㅐㅔㅓ" hidden="1">{#N/A,#N/A,FALSE,"단축1";#N/A,#N/A,FALSE,"단축2";#N/A,#N/A,FALSE,"단축3";#N/A,#N/A,FALSE,"장축";#N/A,#N/A,FALSE,"4WD"}</definedName>
    <definedName name="ㅑㅑ" hidden="1">{#N/A,#N/A,FALSE,"단축1";#N/A,#N/A,FALSE,"단축2";#N/A,#N/A,FALSE,"단축3";#N/A,#N/A,FALSE,"장축";#N/A,#N/A,FALSE,"4WD"}</definedName>
    <definedName name="ㅓㅏㅣ" hidden="1">{#N/A,#N/A,TRUE,"매출진척-1";#N/A,#N/A,TRUE,"매출진척-2";#N/A,#N/A,TRUE,"제품실적";#N/A,#N/A,TRUE,"RAC";#N/A,#N/A,TRUE,"PAC ";#N/A,#N/A,TRUE,"재고현황";#N/A,#N/A,TRUE,"공지사항"}</definedName>
    <definedName name="ㅓㅏㅣ2" hidden="1">{#N/A,#N/A,TRUE,"매출진척-1";#N/A,#N/A,TRUE,"매출진척-2";#N/A,#N/A,TRUE,"제품실적";#N/A,#N/A,TRUE,"RAC";#N/A,#N/A,TRUE,"PAC ";#N/A,#N/A,TRUE,"재고현황";#N/A,#N/A,TRUE,"공지사항"}</definedName>
    <definedName name="ㅓㅓㅓ" localSheetId="4">#REF!</definedName>
    <definedName name="ㅓㅓㅓ">#REF!</definedName>
    <definedName name="ㅔㅔㅔ" hidden="1">{#N/A,#N/A,FALSE,"견적대비-2"}</definedName>
    <definedName name="ㅗㄹ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ㅗㅓㅏ" hidden="1">#REF!</definedName>
    <definedName name="ㅗㅗㅗ" localSheetId="4">[12]제품별!#REF!</definedName>
    <definedName name="ㅗㅗㅗ">[12]제품별!#REF!</definedName>
    <definedName name="ㅗㅗㅗㅗㅗ" localSheetId="4">'5. 위험성평가표(최초, 정기, 수시)'!ㅗㅗㅗㅗㅗ</definedName>
    <definedName name="ㅗㅗㅗㅗㅗ">[0]!ㅗㅗㅗㅗㅗ</definedName>
    <definedName name="ㅛㅛㅛ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ㅜㅊ426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ㅜㅜㅜㅡ" localSheetId="4">#REF!</definedName>
    <definedName name="ㅜㅜㅜㅡ">#REF!</definedName>
    <definedName name="ㅠㅗㄴㄱㅇㅎㄴㅍ" hidden="1">{#N/A,#N/A,FALSE,"단축1";#N/A,#N/A,FALSE,"단축2";#N/A,#N/A,FALSE,"단축3";#N/A,#N/A,FALSE,"장축";#N/A,#N/A,FALSE,"4WD"}</definedName>
    <definedName name="ㅠㅠ" localSheetId="4">[49]제품별!#REF!</definedName>
    <definedName name="ㅠㅠ">[49]제품별!#REF!</definedName>
    <definedName name="ㅠㅠ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ㅣㅓㅣㄴㄹ흔ㅇ리ㅓ" localSheetId="4">'5. 위험성평가표(최초, 정기, 수시)'!ㅣㅓㅣㄴㄹ흔ㅇ리ㅓ</definedName>
    <definedName name="ㅣㅓㅣㄴㄹ흔ㅇ리ㅓ">[0]!ㅣㅓㅣㄴㄹ흔ㅇ리ㅓ</definedName>
    <definedName name="ㅣㅓㅣㅓㅣㅓㅣㅓ" localSheetId="4">'5. 위험성평가표(최초, 정기, 수시)'!ㅣㅓㅣㅓㅣㅓㅣㅓ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AH5" i="131" l="1"/>
  <c r="AT5" i="131"/>
  <c r="AH6" i="131"/>
  <c r="AT6" i="131"/>
  <c r="AG7" i="131"/>
  <c r="AK7" i="131"/>
  <c r="AH8" i="131"/>
  <c r="AR8" i="131"/>
  <c r="AO9" i="131"/>
  <c r="AH10" i="131"/>
  <c r="AR10" i="131"/>
  <c r="AG11" i="131"/>
  <c r="AM11" i="131"/>
  <c r="AH12" i="131"/>
  <c r="AR12" i="131"/>
  <c r="AG13" i="131"/>
  <c r="AT13" i="131"/>
  <c r="AI14" i="131"/>
  <c r="AO15" i="131"/>
  <c r="AG16" i="131"/>
  <c r="AT16" i="131"/>
  <c r="AG17" i="131"/>
  <c r="AG18" i="131"/>
  <c r="AK18" i="131"/>
  <c r="AK19" i="131"/>
  <c r="AT19" i="131"/>
  <c r="AK20" i="131"/>
  <c r="AT20" i="131"/>
  <c r="AG21" i="131"/>
  <c r="AT21" i="131"/>
  <c r="AG22" i="131"/>
  <c r="AG23" i="131"/>
  <c r="AK23" i="131"/>
  <c r="AK24" i="131"/>
  <c r="AT24" i="131"/>
  <c r="AK25" i="131"/>
  <c r="AT25" i="131"/>
  <c r="AO26" i="131"/>
  <c r="AO27" i="131"/>
  <c r="AI28" i="131"/>
  <c r="BX28" i="131"/>
  <c r="AI29" i="131"/>
  <c r="BX29" i="131"/>
  <c r="AO30" i="131"/>
  <c r="BP30" i="131"/>
  <c r="AO31" i="131"/>
  <c r="BG31" i="131"/>
  <c r="S32" i="131"/>
  <c r="AO32" i="131"/>
  <c r="BB32" i="131"/>
  <c r="S33" i="131"/>
  <c r="AT33" i="131"/>
  <c r="BG33" i="131"/>
  <c r="AO34" i="131"/>
  <c r="BG34" i="131"/>
  <c r="S35" i="131"/>
  <c r="AO35" i="131"/>
  <c r="BB35" i="131"/>
  <c r="S36" i="131"/>
  <c r="AT36" i="131"/>
  <c r="BG36" i="131"/>
  <c r="AQ37" i="131"/>
  <c r="BI37" i="131"/>
  <c r="S38" i="131"/>
  <c r="AQ38" i="131"/>
  <c r="BE38" i="131"/>
  <c r="S39" i="131"/>
  <c r="AV39" i="131"/>
  <c r="BI39" i="131"/>
  <c r="AQ40" i="131"/>
  <c r="BI40" i="131"/>
  <c r="S41" i="131"/>
  <c r="AQ41" i="131"/>
  <c r="BE41" i="131"/>
  <c r="S42" i="131"/>
  <c r="AV42" i="131"/>
  <c r="BI42" i="131"/>
  <c r="AQ43" i="131"/>
  <c r="BK43" i="131"/>
  <c r="S44" i="131"/>
  <c r="AQ44" i="131"/>
  <c r="BG44" i="131"/>
  <c r="S45" i="131"/>
  <c r="AV45" i="131"/>
  <c r="BK45" i="131"/>
  <c r="AQ46" i="131"/>
  <c r="BK46" i="131"/>
  <c r="S47" i="131"/>
  <c r="AQ47" i="131"/>
  <c r="BG47" i="131"/>
  <c r="S48" i="131"/>
  <c r="AV48" i="131"/>
  <c r="BK48" i="131"/>
  <c r="AQ49" i="131"/>
  <c r="BK49" i="131"/>
  <c r="S50" i="131"/>
  <c r="AQ50" i="131"/>
  <c r="BG50" i="131"/>
  <c r="S51" i="131"/>
  <c r="AV51" i="131"/>
  <c r="BK51" i="131"/>
  <c r="BG52" i="131"/>
  <c r="BP52" i="131"/>
  <c r="S53" i="131"/>
  <c r="BG53" i="131"/>
  <c r="BP53" i="131"/>
  <c r="AQ54" i="131"/>
  <c r="BK54" i="131"/>
  <c r="S55" i="131"/>
  <c r="AQ55" i="131"/>
  <c r="BG55" i="131"/>
  <c r="S56" i="131"/>
  <c r="AV56" i="131"/>
  <c r="BK56" i="131"/>
  <c r="AQ57" i="131"/>
  <c r="BK57" i="131"/>
  <c r="S58" i="131"/>
  <c r="AQ58" i="131"/>
  <c r="BG58" i="131"/>
  <c r="S59" i="131"/>
  <c r="AV59" i="131"/>
  <c r="BK59" i="131"/>
  <c r="AQ60" i="131"/>
  <c r="BK60" i="131"/>
  <c r="S61" i="131"/>
  <c r="AQ61" i="131"/>
  <c r="BG61" i="131"/>
  <c r="S62" i="131"/>
  <c r="AV62" i="131"/>
  <c r="BK62" i="131"/>
  <c r="BG63" i="131"/>
  <c r="BP63" i="131"/>
  <c r="S64" i="131"/>
  <c r="BG64" i="131"/>
  <c r="BP64" i="131"/>
  <c r="AI65" i="131"/>
  <c r="BX65" i="131"/>
  <c r="AI66" i="131"/>
  <c r="BX66" i="131"/>
  <c r="S67" i="131"/>
  <c r="AI67" i="131"/>
  <c r="BI67" i="131"/>
  <c r="S68" i="131"/>
  <c r="AO68" i="131"/>
  <c r="BG68" i="131"/>
  <c r="S69" i="131"/>
  <c r="AX69" i="131"/>
  <c r="BP69" i="131"/>
  <c r="S70" i="131"/>
  <c r="BG70" i="131"/>
  <c r="BX70" i="131"/>
  <c r="AI71" i="131"/>
  <c r="BX71" i="131"/>
  <c r="S72" i="131"/>
  <c r="AI72" i="131"/>
  <c r="BI72" i="131"/>
  <c r="S73" i="131"/>
  <c r="AO73" i="131"/>
  <c r="BG73" i="131"/>
  <c r="S74" i="131"/>
  <c r="AX74" i="131"/>
  <c r="BP74" i="131"/>
  <c r="S75" i="131"/>
  <c r="BG75" i="131"/>
  <c r="BX75" i="131"/>
  <c r="AI76" i="131"/>
  <c r="BX76" i="131"/>
  <c r="S77" i="131"/>
  <c r="AI77" i="131"/>
  <c r="BI77" i="131"/>
  <c r="S78" i="131"/>
  <c r="AO78" i="131"/>
  <c r="BG78" i="131"/>
  <c r="S79" i="131"/>
  <c r="AX79" i="131"/>
  <c r="BP79" i="131"/>
  <c r="S80" i="131"/>
  <c r="BG80" i="131"/>
  <c r="BX80" i="131"/>
  <c r="AI81" i="131"/>
  <c r="BX81" i="131"/>
  <c r="S82" i="131"/>
  <c r="AI82" i="131"/>
  <c r="BI82" i="131"/>
  <c r="S83" i="131"/>
  <c r="AO83" i="131"/>
  <c r="BG83" i="131"/>
  <c r="S84" i="131"/>
  <c r="AX84" i="131"/>
  <c r="BP84" i="131"/>
  <c r="S85" i="131"/>
  <c r="BG85" i="131"/>
  <c r="BX85" i="131"/>
  <c r="AI86" i="131"/>
  <c r="BX86" i="131"/>
  <c r="S87" i="131"/>
  <c r="AI87" i="131"/>
  <c r="BI87" i="131"/>
  <c r="S88" i="131"/>
  <c r="AO88" i="131"/>
  <c r="BG88" i="131"/>
  <c r="S89" i="131"/>
  <c r="AX89" i="131"/>
  <c r="BP89" i="131"/>
  <c r="S90" i="131"/>
  <c r="BG90" i="131"/>
  <c r="BX90" i="131"/>
  <c r="AI91" i="131"/>
  <c r="BX91" i="131"/>
  <c r="S92" i="131"/>
  <c r="AI92" i="131"/>
  <c r="BI92" i="131"/>
  <c r="S93" i="131"/>
  <c r="AO93" i="131"/>
  <c r="BG93" i="131"/>
  <c r="S94" i="131"/>
  <c r="AX94" i="131"/>
  <c r="BP94" i="131"/>
  <c r="S95" i="131"/>
  <c r="BG95" i="131"/>
  <c r="BX95" i="131"/>
  <c r="AI96" i="131"/>
  <c r="BX96" i="131"/>
  <c r="S97" i="131"/>
  <c r="AI97" i="131"/>
  <c r="BI97" i="131"/>
  <c r="S98" i="131"/>
  <c r="AO98" i="131"/>
  <c r="BG98" i="131"/>
  <c r="S99" i="131"/>
  <c r="AX99" i="131"/>
  <c r="BP99" i="131"/>
  <c r="S100" i="131"/>
  <c r="BG100" i="131"/>
  <c r="BX100" i="131"/>
  <c r="AI101" i="131"/>
  <c r="BX101" i="131"/>
  <c r="AI102" i="131"/>
  <c r="BR102" i="131"/>
  <c r="S103" i="131"/>
  <c r="AI103" i="131"/>
  <c r="BK103" i="131"/>
  <c r="S104" i="131"/>
  <c r="AO104" i="131"/>
  <c r="AX104" i="131"/>
  <c r="S105" i="131"/>
  <c r="AV105" i="131"/>
  <c r="BM105" i="131"/>
  <c r="S106" i="131"/>
  <c r="BK106" i="131"/>
  <c r="BR106" i="131"/>
  <c r="AI107" i="131"/>
  <c r="BR107" i="131"/>
  <c r="S108" i="131"/>
  <c r="AI108" i="131"/>
  <c r="BK108" i="131"/>
  <c r="S109" i="131"/>
  <c r="AO109" i="131"/>
  <c r="AX109" i="131"/>
  <c r="S110" i="131"/>
  <c r="AV110" i="131"/>
  <c r="BM110" i="131"/>
  <c r="S111" i="131"/>
  <c r="BK111" i="131"/>
  <c r="BR111" i="131"/>
  <c r="AI112" i="131"/>
  <c r="BR112" i="131"/>
  <c r="S113" i="131"/>
  <c r="AI113" i="131"/>
  <c r="BK113" i="131"/>
  <c r="S114" i="131"/>
  <c r="AO114" i="131"/>
  <c r="AX114" i="131"/>
  <c r="S115" i="131"/>
  <c r="AV115" i="131"/>
  <c r="BM115" i="131"/>
  <c r="S116" i="131"/>
  <c r="BK116" i="131"/>
  <c r="BR116" i="131"/>
  <c r="AI117" i="131"/>
  <c r="BX117" i="131"/>
  <c r="S118" i="131"/>
  <c r="AI118" i="131"/>
  <c r="BK118" i="131"/>
  <c r="S119" i="131"/>
  <c r="AQ119" i="131"/>
  <c r="BB119" i="131"/>
  <c r="S120" i="131"/>
  <c r="AZ120" i="131"/>
  <c r="BR120" i="131"/>
  <c r="S121" i="131"/>
  <c r="BQ121" i="131"/>
  <c r="BX121" i="131"/>
  <c r="AI122" i="131"/>
  <c r="BX122" i="131"/>
  <c r="S123" i="131"/>
  <c r="AI123" i="131"/>
  <c r="BK123" i="131"/>
  <c r="S124" i="131"/>
  <c r="AQ124" i="131"/>
  <c r="BB124" i="131"/>
  <c r="S125" i="131"/>
  <c r="AZ125" i="131"/>
  <c r="BR125" i="131"/>
  <c r="S126" i="131"/>
  <c r="BQ126" i="131"/>
  <c r="BX126" i="131"/>
  <c r="AI127" i="131"/>
  <c r="BX127" i="131"/>
  <c r="S128" i="131"/>
  <c r="AI128" i="131"/>
  <c r="BK128" i="131"/>
  <c r="S129" i="131"/>
  <c r="AQ129" i="131"/>
  <c r="BB129" i="131"/>
  <c r="S130" i="131"/>
  <c r="AZ130" i="131"/>
  <c r="BR130" i="131"/>
  <c r="S131" i="131"/>
  <c r="BQ131" i="131"/>
  <c r="BX131" i="131"/>
  <c r="AI132" i="131"/>
  <c r="BX132" i="131"/>
  <c r="S133" i="131"/>
  <c r="AI133" i="131"/>
  <c r="BK133" i="131"/>
  <c r="S134" i="131"/>
  <c r="AQ134" i="131"/>
  <c r="BB134" i="131"/>
  <c r="S135" i="131"/>
  <c r="AZ135" i="131"/>
  <c r="BR135" i="131"/>
  <c r="S136" i="131"/>
  <c r="BQ136" i="131"/>
  <c r="BX136" i="131"/>
  <c r="BK137" i="131"/>
  <c r="BX137" i="131"/>
  <c r="BK138" i="131"/>
  <c r="BX138" i="131"/>
  <c r="BK139" i="131"/>
  <c r="BP139" i="131"/>
  <c r="BK140" i="131"/>
  <c r="BP140" i="131"/>
  <c r="S141" i="131"/>
  <c r="BK141" i="131"/>
  <c r="BP141" i="131"/>
  <c r="BK142" i="131"/>
  <c r="BX142" i="131"/>
  <c r="BK143" i="131"/>
  <c r="BX143" i="131"/>
  <c r="S144" i="131"/>
  <c r="BK144" i="131"/>
  <c r="BX144" i="131"/>
  <c r="S145" i="131"/>
  <c r="BP145" i="131"/>
  <c r="BT145" i="131"/>
  <c r="BK146" i="131"/>
  <c r="BX146" i="131"/>
  <c r="BK147" i="131"/>
  <c r="BX147" i="131"/>
  <c r="S148" i="131"/>
  <c r="BK148" i="131"/>
  <c r="BX148" i="131"/>
  <c r="S149" i="131"/>
  <c r="BP149" i="131"/>
  <c r="BT149" i="131"/>
  <c r="BK150" i="131"/>
  <c r="BX150" i="131"/>
  <c r="BK151" i="131"/>
  <c r="BX151" i="131"/>
  <c r="S152" i="131"/>
  <c r="BK152" i="131"/>
  <c r="BX152" i="131"/>
  <c r="S153" i="131"/>
  <c r="BP153" i="131"/>
  <c r="BT153" i="131"/>
  <c r="BM154" i="131"/>
  <c r="CG154" i="131"/>
  <c r="BM155" i="131"/>
  <c r="CG155" i="131"/>
  <c r="BM156" i="131"/>
  <c r="CE156" i="131"/>
  <c r="BM157" i="131"/>
  <c r="S158" i="131"/>
  <c r="BM158" i="131"/>
  <c r="S159" i="131"/>
  <c r="BO159" i="131"/>
  <c r="S160" i="131"/>
  <c r="BP160" i="131"/>
  <c r="S161" i="131"/>
  <c r="S162" i="131"/>
  <c r="BM163" i="131"/>
  <c r="S164" i="131"/>
  <c r="BM164" i="131"/>
  <c r="S165" i="131"/>
  <c r="BO165" i="131"/>
  <c r="S166" i="131"/>
  <c r="BP166" i="131"/>
  <c r="S167" i="131"/>
  <c r="S168" i="131"/>
  <c r="BQ169" i="131"/>
  <c r="S170" i="131"/>
  <c r="BQ170" i="131"/>
  <c r="S171" i="131"/>
  <c r="BR171" i="131"/>
  <c r="S172" i="131"/>
  <c r="BS172" i="131"/>
  <c r="S173" i="131"/>
  <c r="S174" i="131"/>
  <c r="BQ175" i="131"/>
  <c r="S176" i="131"/>
  <c r="BQ176" i="131"/>
  <c r="S177" i="131"/>
  <c r="BR177" i="131"/>
  <c r="S178" i="131"/>
  <c r="BS178" i="131"/>
  <c r="S179" i="131"/>
  <c r="S180" i="131"/>
  <c r="BQ181" i="131"/>
  <c r="S182" i="131"/>
  <c r="BQ182" i="131"/>
  <c r="S183" i="131"/>
  <c r="BR183" i="131"/>
  <c r="S184" i="131"/>
  <c r="BS184" i="131"/>
  <c r="S185" i="131"/>
  <c r="S186" i="131"/>
  <c r="BQ187" i="131"/>
  <c r="S188" i="131"/>
  <c r="BQ188" i="131"/>
  <c r="S189" i="131"/>
  <c r="BR189" i="131"/>
  <c r="S190" i="131"/>
  <c r="BS190" i="131"/>
  <c r="S191" i="131"/>
  <c r="S192" i="131"/>
  <c r="BZ193" i="131"/>
  <c r="S194" i="131"/>
  <c r="BZ194" i="131"/>
  <c r="S195" i="131"/>
  <c r="CB195" i="131"/>
  <c r="S196" i="131"/>
  <c r="CC196" i="131"/>
  <c r="S197" i="131"/>
  <c r="S198" i="131"/>
  <c r="BZ199" i="131"/>
  <c r="S200" i="131"/>
  <c r="BZ200" i="131"/>
  <c r="S201" i="131"/>
  <c r="CB201" i="131"/>
  <c r="S202" i="131"/>
  <c r="CC202" i="131"/>
  <c r="S203" i="131"/>
  <c r="S204" i="131"/>
  <c r="CC205" i="131"/>
  <c r="S206" i="131"/>
  <c r="CC206" i="131"/>
  <c r="S207" i="131"/>
  <c r="CE207" i="131"/>
  <c r="S208" i="131"/>
  <c r="CE208" i="131"/>
  <c r="S209" i="131"/>
  <c r="S210" i="131"/>
  <c r="CC211" i="131"/>
  <c r="S212" i="131"/>
  <c r="CC212" i="131"/>
  <c r="S213" i="131"/>
  <c r="CE213" i="131"/>
  <c r="S214" i="131"/>
  <c r="CE214" i="131"/>
  <c r="S215" i="131"/>
  <c r="S216" i="131"/>
  <c r="CC217" i="131"/>
  <c r="S218" i="131"/>
  <c r="CC218" i="131"/>
  <c r="S219" i="131"/>
  <c r="CE219" i="131"/>
  <c r="S220" i="131"/>
  <c r="CE220" i="131"/>
  <c r="S221" i="131"/>
  <c r="S222" i="131"/>
  <c r="CC223" i="131"/>
  <c r="S224" i="131"/>
  <c r="CC224" i="131"/>
  <c r="S225" i="131"/>
  <c r="CE225" i="131"/>
  <c r="S226" i="131"/>
  <c r="CE226" i="131"/>
  <c r="S227" i="131"/>
  <c r="S228" i="131"/>
  <c r="BT229" i="131"/>
  <c r="CG229" i="131"/>
  <c r="BT230" i="131"/>
  <c r="S231" i="131"/>
  <c r="BT231" i="131"/>
  <c r="S232" i="131"/>
  <c r="BU232" i="131"/>
  <c r="S233" i="131"/>
  <c r="BV233" i="131"/>
  <c r="S234" i="131"/>
  <c r="S235" i="131"/>
  <c r="CE236" i="131"/>
  <c r="S237" i="131"/>
  <c r="CE237" i="131"/>
  <c r="S238" i="131"/>
  <c r="CF238" i="131"/>
  <c r="S239" i="131"/>
  <c r="CG239" i="131"/>
  <c r="S240" i="131"/>
  <c r="S241" i="131"/>
  <c r="BQ242" i="131"/>
  <c r="CE242" i="131"/>
  <c r="BQ243" i="131"/>
  <c r="S244" i="131"/>
  <c r="BQ244" i="131"/>
  <c r="S245" i="131"/>
  <c r="BR245" i="131"/>
  <c r="S246" i="131"/>
  <c r="BS246" i="131"/>
  <c r="S247" i="131"/>
  <c r="S248" i="131"/>
  <c r="BQ249" i="131"/>
  <c r="S250" i="131"/>
  <c r="BQ250" i="131"/>
  <c r="S251" i="131"/>
  <c r="BR251" i="131"/>
  <c r="S252" i="131"/>
  <c r="BS252" i="131"/>
  <c r="S253" i="131"/>
  <c r="S254" i="131"/>
  <c r="BQ255" i="131"/>
  <c r="S256" i="131"/>
  <c r="BQ256" i="131"/>
  <c r="S257" i="131"/>
  <c r="BR257" i="131"/>
  <c r="S258" i="131"/>
  <c r="BS258" i="131"/>
  <c r="S259" i="131"/>
  <c r="S260" i="131"/>
  <c r="BQ261" i="131"/>
  <c r="S262" i="131"/>
  <c r="BQ262" i="131"/>
  <c r="S263" i="131"/>
  <c r="BR263" i="131"/>
  <c r="S264" i="131"/>
  <c r="BS264" i="131"/>
  <c r="S265" i="131"/>
  <c r="S266" i="131"/>
  <c r="BQ267" i="131"/>
  <c r="S268" i="131"/>
  <c r="BQ268" i="131"/>
  <c r="S269" i="131"/>
  <c r="BR269" i="131"/>
  <c r="S270" i="131"/>
  <c r="BS270" i="131"/>
  <c r="S271" i="131"/>
  <c r="S272" i="131"/>
  <c r="CC273" i="131"/>
  <c r="S274" i="131"/>
  <c r="CC274" i="131"/>
  <c r="S275" i="131"/>
  <c r="CE275" i="131"/>
  <c r="S276" i="131"/>
  <c r="CE276" i="131"/>
  <c r="S277" i="131"/>
  <c r="S278" i="131"/>
  <c r="CC279" i="131"/>
  <c r="S280" i="131"/>
  <c r="CC280" i="131"/>
  <c r="S281" i="131"/>
  <c r="CE281" i="131"/>
  <c r="S282" i="131"/>
  <c r="CE282" i="131"/>
  <c r="S283" i="131"/>
  <c r="S284" i="131"/>
  <c r="CC285" i="131"/>
  <c r="S286" i="131"/>
  <c r="CC286" i="131"/>
  <c r="S287" i="131"/>
  <c r="CE287" i="131"/>
  <c r="S288" i="131"/>
  <c r="CE288" i="131"/>
  <c r="S289" i="131"/>
  <c r="S290" i="131"/>
  <c r="CC291" i="131"/>
  <c r="S292" i="131"/>
  <c r="CC292" i="131"/>
  <c r="S293" i="131"/>
  <c r="CE293" i="131"/>
  <c r="S294" i="131"/>
  <c r="CE294" i="131"/>
  <c r="S295" i="131"/>
  <c r="S296" i="131"/>
  <c r="CC297" i="131"/>
  <c r="S298" i="131"/>
  <c r="CC298" i="131"/>
  <c r="S299" i="131"/>
  <c r="CE299" i="131"/>
  <c r="S300" i="131"/>
  <c r="CE300" i="131"/>
  <c r="S301" i="131"/>
  <c r="S302" i="131"/>
  <c r="CH304" i="131"/>
  <c r="DH304" i="131"/>
  <c r="CH305" i="131"/>
  <c r="DH305" i="131"/>
  <c r="CG306" i="131"/>
  <c r="CS306" i="131"/>
  <c r="CG307" i="131"/>
  <c r="CH308" i="131"/>
  <c r="CH309" i="131"/>
  <c r="CH310" i="131"/>
  <c r="CH311" i="131"/>
  <c r="CS311" i="131"/>
  <c r="CH312" i="131"/>
  <c r="CH313" i="131"/>
  <c r="CI314" i="131"/>
  <c r="CI315" i="131"/>
  <c r="CJ316" i="131"/>
  <c r="CJ317" i="131"/>
  <c r="CJ318" i="131"/>
  <c r="CJ319" i="131"/>
  <c r="CJ320" i="131"/>
  <c r="CK321" i="131"/>
  <c r="CJ322" i="131"/>
  <c r="CJ323" i="131"/>
  <c r="CJ324" i="131"/>
  <c r="CK325" i="131"/>
  <c r="CL326" i="131"/>
  <c r="CM327" i="131"/>
  <c r="CM328" i="131"/>
  <c r="CM329" i="131"/>
  <c r="CN330" i="131"/>
  <c r="CN331" i="131"/>
  <c r="CN332" i="131"/>
  <c r="CN333" i="131"/>
  <c r="CN334" i="131"/>
  <c r="CN335" i="131"/>
  <c r="CO336" i="131"/>
  <c r="CN337" i="131"/>
  <c r="CN338" i="131"/>
  <c r="CO339" i="131"/>
  <c r="CO340" i="131"/>
  <c r="CO341" i="131"/>
  <c r="CP342" i="131"/>
  <c r="CP343" i="131"/>
  <c r="CE344" i="131"/>
  <c r="CS344" i="131"/>
  <c r="CG345" i="131"/>
  <c r="CH346" i="131"/>
  <c r="CH347" i="131"/>
  <c r="CH348" i="131"/>
  <c r="CH349" i="131"/>
  <c r="CS349" i="131"/>
  <c r="CH350" i="131"/>
  <c r="CH351" i="131"/>
  <c r="CI352" i="131"/>
  <c r="CI353" i="131"/>
  <c r="CJ354" i="131"/>
  <c r="CJ355" i="131"/>
  <c r="CJ356" i="131"/>
  <c r="CJ357" i="131"/>
  <c r="CJ358" i="131"/>
  <c r="CK359" i="131"/>
  <c r="CJ360" i="131"/>
  <c r="CJ361" i="131"/>
  <c r="CJ362" i="131"/>
  <c r="CK363" i="131"/>
  <c r="CL364" i="131"/>
  <c r="CM365" i="131"/>
  <c r="CM366" i="131"/>
  <c r="CM367" i="131"/>
  <c r="CM368" i="131"/>
  <c r="CM369" i="131"/>
  <c r="CM370" i="131"/>
  <c r="CM371" i="131"/>
  <c r="CN372" i="131"/>
  <c r="CM373" i="131"/>
  <c r="CM374" i="131"/>
  <c r="CN375" i="131"/>
  <c r="CN376" i="131"/>
  <c r="CO377" i="131"/>
  <c r="CO378" i="131"/>
  <c r="CE379" i="131"/>
  <c r="CL380" i="131"/>
  <c r="CT380" i="131"/>
  <c r="CL381" i="131"/>
  <c r="CH382" i="131"/>
  <c r="CH383" i="131"/>
  <c r="CI384" i="131"/>
  <c r="CI385" i="131"/>
  <c r="CT385" i="131"/>
  <c r="CI386" i="131"/>
  <c r="CI387" i="131"/>
  <c r="CI388" i="131"/>
  <c r="CJ389" i="131"/>
  <c r="CJ390" i="131"/>
  <c r="CK391" i="131"/>
  <c r="CK392" i="131"/>
  <c r="CK393" i="131"/>
  <c r="CK394" i="131"/>
  <c r="CK395" i="131"/>
  <c r="CK396" i="131"/>
  <c r="CK397" i="131"/>
  <c r="CL398" i="131"/>
  <c r="CL399" i="131"/>
  <c r="CM400" i="131"/>
  <c r="CM401" i="131"/>
  <c r="CM402" i="131"/>
  <c r="CI403" i="131"/>
  <c r="CI404" i="131"/>
  <c r="CJ405" i="131"/>
  <c r="CJ406" i="131"/>
  <c r="CJ407" i="131"/>
  <c r="CK408" i="131"/>
  <c r="CL409" i="131"/>
  <c r="CL410" i="131"/>
  <c r="CN411" i="131"/>
  <c r="CN412" i="131"/>
  <c r="CO413" i="131"/>
  <c r="CP414" i="131"/>
  <c r="CP415" i="131"/>
  <c r="CE416" i="131"/>
  <c r="CP417" i="131"/>
  <c r="CP418" i="131"/>
  <c r="CQ419" i="131"/>
  <c r="CQ420" i="131"/>
  <c r="CQ421" i="131"/>
  <c r="CR422" i="131"/>
  <c r="CR423" i="131"/>
  <c r="CR424" i="131"/>
  <c r="CQ425" i="131"/>
  <c r="CQ426" i="131"/>
  <c r="CR427" i="131"/>
  <c r="CR428" i="131"/>
  <c r="CR429" i="131"/>
  <c r="CR430" i="131"/>
  <c r="CR431" i="131"/>
  <c r="CR432" i="131"/>
  <c r="CS433" i="131"/>
  <c r="CS434" i="131"/>
  <c r="CH435" i="131"/>
  <c r="CQ435" i="131"/>
  <c r="CH436" i="131"/>
  <c r="CH437" i="131"/>
  <c r="CH438" i="131"/>
  <c r="CI439" i="131"/>
  <c r="CI440" i="131"/>
  <c r="CQ440" i="131"/>
  <c r="CI441" i="131"/>
  <c r="CI442" i="131"/>
  <c r="CI443" i="131"/>
  <c r="CI444" i="131"/>
  <c r="CJ445" i="131"/>
  <c r="CJ446" i="131"/>
  <c r="CJ447" i="131"/>
  <c r="CJ448" i="131"/>
  <c r="CJ449" i="131"/>
  <c r="CJ450" i="131"/>
  <c r="CK451" i="131"/>
  <c r="CK452" i="131"/>
  <c r="CL453" i="131"/>
  <c r="CL454" i="131"/>
  <c r="CL455" i="131"/>
  <c r="CM456" i="131"/>
  <c r="CI457" i="131"/>
  <c r="CI458" i="131"/>
  <c r="CJ459" i="131"/>
  <c r="CJ460" i="131"/>
  <c r="CJ461" i="131"/>
  <c r="CK462" i="131"/>
  <c r="CL463" i="131"/>
  <c r="CL464" i="131"/>
  <c r="CN465" i="131"/>
  <c r="CN466" i="131"/>
  <c r="CO467" i="131"/>
  <c r="CO468" i="131"/>
  <c r="CO469" i="131"/>
  <c r="CP470" i="131"/>
  <c r="CP471" i="131"/>
  <c r="CP472" i="131"/>
  <c r="CQ473" i="131"/>
  <c r="CH474" i="131"/>
  <c r="CH475" i="131"/>
  <c r="CQ475" i="131"/>
  <c r="CH476" i="131"/>
  <c r="CH477" i="131"/>
  <c r="CH478" i="131"/>
  <c r="CI479" i="131"/>
  <c r="CI480" i="131"/>
  <c r="CQ480" i="131"/>
  <c r="CI481" i="131"/>
  <c r="CI482" i="131"/>
  <c r="CI483" i="131"/>
  <c r="CI484" i="131"/>
  <c r="CJ485" i="131"/>
  <c r="CJ486" i="131"/>
  <c r="CJ487" i="131"/>
  <c r="CJ488" i="131"/>
  <c r="CJ489" i="131"/>
  <c r="CJ490" i="131"/>
  <c r="CK491" i="131"/>
  <c r="CK492" i="131"/>
  <c r="CL493" i="131"/>
  <c r="CL494" i="131"/>
  <c r="CL495" i="131"/>
  <c r="CM496" i="131"/>
  <c r="CI497" i="131"/>
  <c r="CI498" i="131"/>
  <c r="CJ499" i="131"/>
  <c r="CJ500" i="131"/>
  <c r="CJ501" i="131"/>
  <c r="CK502" i="131"/>
  <c r="CL503" i="131"/>
  <c r="CL504" i="131"/>
  <c r="CN505" i="131"/>
  <c r="CN506" i="131"/>
  <c r="CO507" i="131"/>
  <c r="CO508" i="131"/>
  <c r="CO509" i="131"/>
  <c r="CP510" i="131"/>
  <c r="CP511" i="131"/>
  <c r="CP512" i="131"/>
  <c r="CQ513" i="131"/>
  <c r="CL514" i="131"/>
  <c r="CP514" i="131"/>
  <c r="CL515" i="131"/>
  <c r="CH516" i="131"/>
  <c r="CH517" i="131"/>
  <c r="CI518" i="131"/>
  <c r="CI519" i="131"/>
  <c r="CP519" i="131"/>
  <c r="CI520" i="131"/>
  <c r="CI521" i="131"/>
  <c r="CI522" i="131"/>
  <c r="CI523" i="131"/>
  <c r="CI524" i="131"/>
  <c r="CI525" i="131"/>
  <c r="CJ526" i="131"/>
  <c r="CJ527" i="131"/>
  <c r="CJ528" i="131"/>
  <c r="CK529" i="131"/>
  <c r="CL530" i="131"/>
  <c r="CL531" i="131"/>
  <c r="CN532" i="131"/>
  <c r="CN533" i="131"/>
  <c r="CO534" i="131"/>
  <c r="CK535" i="131"/>
  <c r="CS535" i="131"/>
  <c r="CK536" i="131"/>
  <c r="CK537" i="131"/>
  <c r="CK538" i="131"/>
  <c r="CL539" i="131"/>
  <c r="CK540" i="131"/>
  <c r="CP540" i="131"/>
  <c r="CK541" i="131"/>
  <c r="CK542" i="131"/>
  <c r="CK543" i="131"/>
  <c r="CK544" i="131"/>
  <c r="CL545" i="131"/>
  <c r="CL546" i="131"/>
  <c r="CL547" i="131"/>
  <c r="CM548" i="131"/>
  <c r="CM549" i="131"/>
  <c r="CN550" i="131"/>
  <c r="CN551" i="131"/>
  <c r="CN552" i="131"/>
  <c r="CP553" i="131"/>
  <c r="CQ554" i="131"/>
  <c r="CR555" i="131"/>
  <c r="CH556" i="131"/>
  <c r="CQ556" i="131"/>
  <c r="CH557" i="131"/>
  <c r="CH558" i="131"/>
  <c r="CH559" i="131"/>
  <c r="CI560" i="131"/>
  <c r="CI561" i="131"/>
  <c r="CQ561" i="131"/>
  <c r="CI562" i="131"/>
  <c r="CI563" i="131"/>
  <c r="CI564" i="131"/>
  <c r="CI565" i="131"/>
  <c r="CJ566" i="131"/>
  <c r="CJ567" i="131"/>
  <c r="CJ568" i="131"/>
  <c r="CJ569" i="131"/>
  <c r="CJ570" i="131"/>
  <c r="CJ571" i="131"/>
  <c r="CK572" i="131"/>
  <c r="CK573" i="131"/>
  <c r="CL574" i="131"/>
  <c r="CL575" i="131"/>
  <c r="CL576" i="131"/>
  <c r="CM577" i="131"/>
  <c r="CI578" i="131"/>
  <c r="CI579" i="131"/>
  <c r="CJ580" i="131"/>
  <c r="CJ581" i="131"/>
  <c r="CJ582" i="131"/>
  <c r="CK583" i="131"/>
  <c r="CL584" i="131"/>
  <c r="CL585" i="131"/>
  <c r="CN586" i="131"/>
  <c r="CN587" i="131"/>
  <c r="CO588" i="131"/>
  <c r="CO589" i="131"/>
  <c r="CO590" i="131"/>
  <c r="CP591" i="131"/>
  <c r="CP592" i="131"/>
  <c r="CP593" i="131"/>
  <c r="CQ594" i="131"/>
  <c r="CQ595" i="131"/>
  <c r="CH596" i="131"/>
  <c r="CQ596" i="131"/>
  <c r="CH597" i="131"/>
  <c r="CH598" i="131"/>
  <c r="CH599" i="131"/>
  <c r="CI600" i="131"/>
  <c r="CI601" i="131"/>
  <c r="CQ601" i="131"/>
  <c r="CI602" i="131"/>
  <c r="CI603" i="131"/>
  <c r="CI604" i="131"/>
  <c r="CI605" i="131"/>
  <c r="CJ606" i="131"/>
  <c r="CJ607" i="131"/>
  <c r="CJ608" i="131"/>
  <c r="CJ609" i="131"/>
  <c r="CJ610" i="131"/>
  <c r="CJ611" i="131"/>
  <c r="CK612" i="131"/>
  <c r="CK613" i="131"/>
  <c r="CL614" i="131"/>
  <c r="CL615" i="131"/>
  <c r="CL616" i="131"/>
  <c r="CM617" i="131"/>
  <c r="CI618" i="131"/>
  <c r="CI619" i="131"/>
  <c r="CJ620" i="131"/>
  <c r="CJ621" i="131"/>
  <c r="CJ622" i="131"/>
  <c r="CK623" i="131"/>
  <c r="CL624" i="131"/>
  <c r="CL625" i="131"/>
  <c r="CN626" i="131"/>
  <c r="CN627" i="131"/>
  <c r="CO628" i="131"/>
  <c r="CO629" i="131"/>
  <c r="CO630" i="131"/>
  <c r="CP631" i="131"/>
  <c r="CP632" i="131"/>
  <c r="CP633" i="131"/>
  <c r="CQ634" i="131"/>
  <c r="CQ635" i="131"/>
  <c r="CM636" i="131"/>
  <c r="CH637" i="131"/>
  <c r="CH638" i="131"/>
  <c r="CH639" i="131"/>
  <c r="CL640" i="131"/>
  <c r="CH641" i="131"/>
  <c r="CK642" i="131"/>
  <c r="CL643" i="131"/>
  <c r="CL644" i="131"/>
  <c r="CJ645" i="131"/>
  <c r="CL646" i="131"/>
  <c r="CI647" i="131"/>
  <c r="CL648" i="131"/>
  <c r="CL649" i="131"/>
  <c r="CL650" i="131"/>
  <c r="CH651" i="131"/>
  <c r="CM651" i="131"/>
  <c r="CH652" i="131"/>
  <c r="CI653" i="131"/>
  <c r="CI654" i="131"/>
  <c r="CI655" i="131"/>
  <c r="CI656" i="131"/>
  <c r="CJ657" i="131"/>
  <c r="CJ658" i="131"/>
  <c r="CJ659" i="131"/>
  <c r="CJ660" i="131"/>
  <c r="CK661" i="131"/>
  <c r="CK662" i="131"/>
  <c r="CK663" i="131"/>
  <c r="CL664" i="131"/>
  <c r="CL665" i="131"/>
  <c r="CL666" i="131"/>
  <c r="CM667" i="131"/>
  <c r="CM668" i="131"/>
  <c r="CM669" i="131"/>
  <c r="CH670" i="131"/>
  <c r="CM670" i="131"/>
  <c r="CH671" i="131"/>
  <c r="CI672" i="131"/>
  <c r="CI673" i="131"/>
  <c r="CI674" i="131"/>
  <c r="CI675" i="131"/>
  <c r="CJ676" i="131"/>
  <c r="CK677" i="131"/>
  <c r="CK678" i="131"/>
  <c r="CL679" i="131"/>
  <c r="CL680" i="131"/>
  <c r="CM681" i="131"/>
  <c r="CM682" i="131"/>
  <c r="CM683" i="131"/>
  <c r="CI684" i="131"/>
  <c r="DH684" i="131"/>
  <c r="CI685" i="131"/>
  <c r="CI686" i="131"/>
  <c r="CI687" i="131"/>
  <c r="CO687" i="131"/>
  <c r="CO688" i="131"/>
  <c r="CP689" i="131"/>
  <c r="CU689" i="131"/>
  <c r="CU690" i="131"/>
  <c r="CY690" i="131"/>
  <c r="CY691" i="131"/>
  <c r="CZ692" i="131"/>
  <c r="DE692" i="131"/>
  <c r="DE693" i="131"/>
  <c r="DE694" i="131"/>
  <c r="DE695" i="131"/>
  <c r="DE696" i="131"/>
  <c r="DF697" i="131"/>
  <c r="DG698" i="131"/>
  <c r="DG699" i="131"/>
  <c r="CI700" i="131"/>
  <c r="CN700" i="131"/>
  <c r="CI701" i="131"/>
  <c r="CI702" i="131"/>
  <c r="CI703" i="131"/>
  <c r="CJ704" i="131"/>
  <c r="CJ705" i="131"/>
  <c r="CK706" i="131"/>
  <c r="CK707" i="131"/>
  <c r="CL708" i="131"/>
  <c r="CL709" i="131"/>
  <c r="CL710" i="131"/>
  <c r="CN711" i="131"/>
  <c r="CN712" i="131"/>
  <c r="CK713" i="131"/>
  <c r="CW713" i="131"/>
  <c r="CK714" i="131"/>
  <c r="CK715" i="131"/>
  <c r="CK716" i="131"/>
  <c r="CK717" i="131"/>
  <c r="CK718" i="131"/>
  <c r="CK719" i="131"/>
  <c r="CM720" i="131"/>
  <c r="CN721" i="131"/>
  <c r="CO722" i="131"/>
  <c r="CP723" i="131"/>
  <c r="CP724" i="131"/>
  <c r="CP725" i="131"/>
  <c r="CP726" i="131"/>
  <c r="CP727" i="131"/>
  <c r="CP728" i="131"/>
  <c r="CW728" i="131"/>
  <c r="BY729" i="131"/>
  <c r="CU729" i="131"/>
  <c r="BY730" i="131"/>
  <c r="CU730" i="131"/>
  <c r="CJ731" i="131"/>
  <c r="CJ732" i="131"/>
  <c r="CJ733" i="131"/>
  <c r="CJ734" i="131"/>
  <c r="CJ735" i="131"/>
  <c r="CJ736" i="131"/>
  <c r="CJ737" i="131"/>
  <c r="CJ738" i="131"/>
  <c r="CJ739" i="131"/>
  <c r="CJ740" i="131"/>
  <c r="CJ741" i="131"/>
  <c r="CJ742" i="131"/>
  <c r="CJ743" i="131"/>
  <c r="CJ744" i="131"/>
  <c r="CJ745" i="131"/>
  <c r="CJ746" i="131"/>
  <c r="CJ747" i="131"/>
  <c r="CJ748" i="131"/>
  <c r="CJ749" i="131"/>
  <c r="CJ750" i="131"/>
  <c r="CJ751" i="131"/>
  <c r="CJ752" i="131"/>
  <c r="CU752" i="131"/>
  <c r="CJ753" i="131"/>
  <c r="CU753" i="131"/>
  <c r="CJ754" i="131"/>
  <c r="CU754" i="131"/>
  <c r="CJ755" i="131"/>
  <c r="CU755" i="131"/>
  <c r="CJ756" i="131"/>
  <c r="CU756" i="131"/>
  <c r="CJ757" i="131"/>
  <c r="CU757" i="131"/>
  <c r="CJ758" i="131"/>
  <c r="CU758" i="131"/>
  <c r="CJ759" i="131"/>
  <c r="CU759" i="131"/>
  <c r="CJ760" i="131"/>
  <c r="CU760" i="131"/>
  <c r="CJ761" i="131"/>
  <c r="CU761" i="131"/>
  <c r="CJ762" i="131"/>
  <c r="CU762" i="131"/>
  <c r="CJ763" i="131"/>
  <c r="CU763" i="131"/>
  <c r="CJ764" i="131"/>
  <c r="CU764" i="131"/>
  <c r="CJ765" i="131"/>
  <c r="CU765" i="131"/>
  <c r="CJ766" i="131"/>
  <c r="CU766" i="131"/>
  <c r="CG767" i="131"/>
  <c r="CJ767" i="131"/>
  <c r="CG768" i="131"/>
  <c r="CG769" i="131"/>
  <c r="CG770" i="131"/>
  <c r="CH771" i="131"/>
  <c r="CH772" i="131"/>
  <c r="CH773" i="131"/>
  <c r="CH774" i="131"/>
  <c r="CH775" i="131"/>
  <c r="CI776" i="131"/>
  <c r="CI777" i="131"/>
  <c r="CJ778" i="131"/>
  <c r="CJ779" i="131"/>
  <c r="CJ780" i="131"/>
  <c r="CJ781" i="131"/>
  <c r="CJ782" i="131"/>
  <c r="CJ783" i="131"/>
  <c r="CJ784" i="131"/>
  <c r="CK785" i="131"/>
  <c r="CK786" i="131"/>
  <c r="CK787" i="131"/>
  <c r="CK788" i="131"/>
  <c r="CK789" i="131"/>
  <c r="CL790" i="131"/>
  <c r="CM791" i="131"/>
  <c r="CM792" i="131"/>
  <c r="CM793" i="131"/>
  <c r="CM794" i="131"/>
  <c r="CG795" i="131"/>
  <c r="CJ795" i="131"/>
  <c r="CG796" i="131"/>
  <c r="CG797" i="131"/>
  <c r="CG798" i="131"/>
  <c r="CH799" i="131"/>
  <c r="CH800" i="131"/>
  <c r="CH801" i="131"/>
  <c r="CH802" i="131"/>
  <c r="CH803" i="131"/>
  <c r="CJ804" i="131"/>
  <c r="CJ805" i="131"/>
  <c r="CJ806" i="131"/>
  <c r="CI807" i="131"/>
  <c r="CI808" i="131"/>
  <c r="CI809" i="131"/>
  <c r="CI810" i="131"/>
  <c r="CJ811" i="131"/>
  <c r="CJ812" i="131"/>
  <c r="CJ813" i="131"/>
  <c r="CK814" i="131"/>
  <c r="CK815" i="131"/>
  <c r="CK816" i="131"/>
  <c r="CL817" i="131"/>
  <c r="CL818" i="131"/>
  <c r="CL819" i="131"/>
  <c r="CL820" i="131"/>
  <c r="CI821" i="131"/>
  <c r="CI822" i="131"/>
  <c r="CI823" i="131"/>
  <c r="CI824" i="131"/>
  <c r="CJ825" i="131"/>
  <c r="CJ826" i="131"/>
  <c r="CJ827" i="131"/>
  <c r="CK828" i="131"/>
  <c r="CK829" i="131"/>
  <c r="CK830" i="131"/>
  <c r="CL831" i="131"/>
  <c r="CL832" i="131"/>
  <c r="CL833" i="131"/>
  <c r="CL834" i="131"/>
  <c r="BY835" i="131"/>
  <c r="BY836" i="131"/>
  <c r="BY837" i="131"/>
  <c r="BY838" i="131"/>
  <c r="BZ839" i="131"/>
  <c r="BZ840" i="131"/>
  <c r="BZ841" i="131"/>
  <c r="CA842" i="131"/>
  <c r="CA843" i="131"/>
  <c r="CB844" i="131"/>
  <c r="CM845" i="131"/>
  <c r="CM846" i="131"/>
  <c r="CM847" i="131"/>
  <c r="CM848" i="131"/>
  <c r="CN849" i="131"/>
  <c r="CN850" i="131"/>
  <c r="CN851" i="131"/>
  <c r="CO852" i="131"/>
  <c r="CO853" i="131"/>
  <c r="CP854" i="131"/>
  <c r="CB855" i="131"/>
  <c r="CE855" i="131"/>
  <c r="CB856" i="131"/>
  <c r="CB857" i="131"/>
  <c r="CB858" i="131"/>
  <c r="CC859" i="131"/>
  <c r="CC860" i="131"/>
  <c r="CC861" i="131"/>
  <c r="CC862" i="131"/>
  <c r="CD863" i="131"/>
  <c r="BY864" i="131"/>
  <c r="BY865" i="131"/>
  <c r="BY866" i="131"/>
  <c r="BY867" i="131"/>
  <c r="BZ868" i="131"/>
  <c r="BZ869" i="131"/>
  <c r="BZ870" i="131"/>
  <c r="CA871" i="131"/>
  <c r="CA872" i="131"/>
  <c r="CB873" i="131"/>
  <c r="CI874" i="131"/>
  <c r="CL874" i="131"/>
  <c r="CI875" i="131"/>
  <c r="CI876" i="131"/>
  <c r="CI877" i="131"/>
  <c r="CJ878" i="131"/>
  <c r="CJ879" i="131"/>
  <c r="CJ880" i="131"/>
  <c r="CJ881" i="131"/>
  <c r="CK882" i="131"/>
  <c r="CL883" i="131"/>
  <c r="CP884" i="131"/>
  <c r="DP884" i="131"/>
  <c r="CP885" i="131"/>
  <c r="DP885" i="131"/>
  <c r="S886" i="131"/>
  <c r="CP886" i="131"/>
  <c r="CX886" i="131"/>
  <c r="S887" i="131"/>
  <c r="CZ887" i="131"/>
  <c r="DE887" i="131"/>
  <c r="S888" i="131"/>
  <c r="DE888" i="131"/>
  <c r="DP888" i="131"/>
  <c r="AF2" i="131" a="1"/>
  <c r="AF2" i="131" l="1"/>
  <c r="P14" i="126" l="1"/>
  <c r="L14" i="126"/>
  <c r="P13" i="126"/>
  <c r="L13" i="126"/>
  <c r="P12" i="126"/>
  <c r="L12" i="126"/>
  <c r="P11" i="126"/>
  <c r="L11" i="126"/>
  <c r="P10" i="126"/>
  <c r="L10" i="126"/>
  <c r="P9" i="126"/>
  <c r="L9" i="126"/>
  <c r="P8" i="126"/>
  <c r="L8" i="126"/>
  <c r="P6" i="126"/>
  <c r="L6" i="126"/>
  <c r="P5" i="126"/>
  <c r="L5" i="126"/>
</calcChain>
</file>

<file path=xl/sharedStrings.xml><?xml version="1.0" encoding="utf-8"?>
<sst xmlns="http://schemas.openxmlformats.org/spreadsheetml/2006/main" count="2812" uniqueCount="1486">
  <si>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</si>
  <si>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</si>
  <si>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</si>
  <si>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</si>
  <si>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</si>
  <si>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</si>
  <si>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</si>
  <si>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</si>
  <si>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</si>
  <si>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</si>
  <si>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</si>
  <si>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</si>
  <si>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</si>
  <si>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</si>
  <si>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</si>
  <si>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</si>
  <si>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</si>
  <si>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</si>
  <si>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</si>
  <si>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</si>
  <si>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</si>
  <si>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</si>
  <si>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</si>
  <si>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</si>
  <si>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</si>
  <si>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</si>
  <si>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</si>
  <si>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</si>
  <si>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</si>
  <si>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</si>
  <si>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</si>
  <si>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</si>
  <si>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</si>
  <si>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</si>
  <si>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</si>
  <si>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</si>
  <si>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</si>
  <si>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</si>
  <si>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</si>
  <si>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</si>
  <si>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</si>
  <si>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</si>
  <si>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</si>
  <si>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</si>
  <si>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</si>
  <si>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</si>
  <si>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</si>
  <si>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</si>
  <si>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</si>
  <si>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</si>
  <si>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</si>
  <si>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</si>
  <si>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</si>
  <si>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</si>
  <si>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</si>
  <si>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</si>
  <si>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</si>
  <si>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</si>
  <si>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</si>
  <si>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</si>
  <si>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</si>
  <si>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</si>
  <si>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</si>
  <si>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</si>
  <si>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</si>
  <si>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</si>
  <si>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</si>
  <si>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</si>
  <si>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</si>
  <si>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</si>
  <si>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</si>
  <si>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</si>
  <si>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</si>
  <si>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</si>
  <si>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</si>
  <si>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</si>
  <si>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</si>
  <si>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</si>
  <si>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</si>
  <si>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</si>
  <si>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</si>
  <si>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</si>
  <si>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</si>
  <si>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</si>
  <si>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</si>
  <si>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</si>
  <si>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</si>
  <si>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</si>
  <si>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</si>
  <si>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</si>
  <si>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</si>
  <si>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</si>
  <si>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</si>
  <si>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</si>
  <si>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</si>
  <si>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</si>
  <si>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</si>
  <si>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</si>
  <si>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</si>
  <si>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</si>
  <si>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</si>
  <si>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</si>
  <si>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</si>
  <si>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</si>
  <si>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</si>
  <si>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</si>
  <si>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</si>
  <si>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</si>
  <si>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</si>
  <si>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</si>
  <si>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</si>
  <si>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</si>
  <si>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</si>
  <si>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</si>
  <si>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</si>
  <si>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</si>
  <si>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</si>
  <si>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</si>
  <si>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</si>
  <si>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</si>
  <si>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</si>
  <si>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</si>
  <si>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</si>
  <si>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</si>
  <si>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</si>
  <si>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</si>
  <si>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</si>
  <si>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</si>
  <si>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</si>
  <si>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</si>
  <si>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</si>
  <si>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</si>
  <si>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</si>
  <si>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</si>
  <si>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</si>
  <si>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</si>
  <si>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</si>
  <si>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</si>
  <si>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</si>
  <si>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</si>
  <si>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</si>
  <si>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</si>
  <si>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</si>
  <si>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</si>
  <si>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</si>
  <si>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</si>
  <si>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</si>
  <si>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</si>
  <si>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</si>
  <si>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</si>
  <si>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</si>
  <si>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</si>
  <si>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</si>
  <si>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</si>
  <si>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</si>
  <si>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</si>
  <si>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</si>
  <si>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</si>
  <si>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</si>
  <si>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</si>
  <si>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</si>
  <si>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</si>
  <si>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</si>
  <si>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</si>
  <si>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</si>
  <si>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</si>
  <si>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</si>
  <si>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</si>
  <si>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</si>
  <si>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</si>
  <si>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</si>
  <si>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</si>
  <si>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</si>
  <si>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</si>
  <si>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</si>
  <si>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</si>
  <si>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</si>
  <si>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</si>
  <si>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</si>
  <si>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</si>
  <si>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</si>
  <si>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</si>
  <si>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</si>
  <si>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</si>
  <si>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</si>
  <si>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</si>
  <si>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</si>
  <si>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</si>
  <si>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</si>
  <si>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</si>
  <si>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</si>
  <si>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</si>
  <si>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</si>
  <si>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</si>
  <si>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</si>
  <si>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</si>
  <si>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</si>
  <si>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</si>
  <si>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</si>
  <si>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없음</t>
  </si>
  <si>
    <t>1.1 협착위험 부분(감김, 끼임)</t>
  </si>
  <si>
    <t>설비 이동중 협착 위험</t>
  </si>
  <si>
    <t>안전감시단 배치</t>
  </si>
  <si>
    <t>이동동선 확보 및 운반대차운용</t>
  </si>
  <si>
    <t>4면 작업구획 설정 및 인원통제</t>
    <phoneticPr fontId="1" type="noConversion"/>
  </si>
  <si>
    <t>안전보호구 착용</t>
  </si>
  <si>
    <t>작업 반경 내 외부 작업 인원 접근 금지</t>
    <phoneticPr fontId="1" type="noConversion"/>
  </si>
  <si>
    <t>작업규정 강화, 정기 휴식시간 확보</t>
  </si>
  <si>
    <t>덕트 고정 작업시 끼임</t>
  </si>
  <si>
    <t>작업규정 강화 및 2인1조 작업 실시</t>
  </si>
  <si>
    <t>2.1 감전(안전전압 초과)</t>
  </si>
  <si>
    <t>판넬, 센서 접촉시 감전 위험</t>
  </si>
  <si>
    <t>안전보호구 착용 철저
접지 확인, 작업 중 전원공급 금지</t>
  </si>
  <si>
    <t>I/O Check</t>
  </si>
  <si>
    <t>작업 규정 준수</t>
  </si>
  <si>
    <t>전기 작업시 활선경보기 착용 및 접지상태 확인 후 작업 실시</t>
    <phoneticPr fontId="1" type="noConversion"/>
  </si>
  <si>
    <t>연결물류 Teaching</t>
  </si>
  <si>
    <t>CV-상대 연결물류 간 협착 위험</t>
  </si>
  <si>
    <t>안전보호구 착용 철저
3인1조작업
작업규정 강화, 정기 휴식시간 확보</t>
  </si>
  <si>
    <t>시운전 테스트</t>
  </si>
  <si>
    <t>1.4 충돌위험 부분</t>
  </si>
  <si>
    <t>CV 상부 화물 이동중 충돌 위험</t>
  </si>
  <si>
    <t>작업 반경 내 외부 작업 인원 접근 금지</t>
  </si>
  <si>
    <t>PM 3팀</t>
    <phoneticPr fontId="12" type="noConversion"/>
  </si>
  <si>
    <t xml:space="preserve"> 2024-09-23~ 2025-01-15</t>
    <phoneticPr fontId="12" type="noConversion"/>
  </si>
  <si>
    <t>뉴엔텍</t>
    <phoneticPr fontId="12" type="noConversion"/>
  </si>
  <si>
    <t>정광욱</t>
    <phoneticPr fontId="1" type="noConversion"/>
  </si>
  <si>
    <t>협력사명</t>
    <phoneticPr fontId="1" type="noConversion"/>
  </si>
  <si>
    <t>소장</t>
    <phoneticPr fontId="1" type="noConversion"/>
  </si>
  <si>
    <t>윤은지</t>
    <phoneticPr fontId="1" type="noConversion"/>
  </si>
  <si>
    <t>FOB</t>
  </si>
  <si>
    <t>설비 반입</t>
    <phoneticPr fontId="1" type="noConversion"/>
  </si>
  <si>
    <t>작업구역 설정</t>
  </si>
  <si>
    <t>수공구
드릴</t>
    <phoneticPr fontId="1" type="noConversion"/>
  </si>
  <si>
    <t>수공구</t>
    <phoneticPr fontId="1" type="noConversion"/>
  </si>
  <si>
    <t>수공구
테스터기</t>
    <phoneticPr fontId="1" type="noConversion"/>
  </si>
  <si>
    <t xml:space="preserve">수공구
</t>
    <phoneticPr fontId="1" type="noConversion"/>
  </si>
  <si>
    <t>수공구
드릴
레벨기</t>
    <phoneticPr fontId="1" type="noConversion"/>
  </si>
  <si>
    <t>대차
구획 정리 펜스</t>
    <phoneticPr fontId="1" type="noConversion"/>
  </si>
  <si>
    <t>PJT : BOSK TN1 Aging &amp; Convyeyor System</t>
    <phoneticPr fontId="1" type="noConversion"/>
  </si>
  <si>
    <t>2024. 08. 19</t>
    <phoneticPr fontId="1" type="noConversion"/>
  </si>
  <si>
    <t>이창노</t>
    <phoneticPr fontId="12" type="noConversion"/>
  </si>
  <si>
    <t>BOSK TN</t>
  </si>
  <si>
    <t>BOSK TN</t>
    <phoneticPr fontId="12" type="noConversion"/>
  </si>
  <si>
    <t>이찬희 / 010-6565-1637</t>
    <phoneticPr fontId="12" type="noConversion"/>
  </si>
  <si>
    <t>RACK</t>
    <phoneticPr fontId="12" type="noConversion"/>
  </si>
  <si>
    <t>CONVEYOR</t>
    <phoneticPr fontId="12" type="noConversion"/>
  </si>
  <si>
    <t>BOSK</t>
    <phoneticPr fontId="12" type="noConversion"/>
  </si>
  <si>
    <t>2025 BlueOval City Drive
STANTON, TENNESSEE, 38069, UNITED STATES</t>
    <phoneticPr fontId="12" type="noConversion"/>
  </si>
  <si>
    <t>이찬희 수석</t>
    <phoneticPr fontId="12" type="noConversion"/>
  </si>
  <si>
    <t>DPM</t>
    <phoneticPr fontId="12" type="noConversion"/>
  </si>
  <si>
    <t>AMD</t>
    <phoneticPr fontId="12" type="noConversion"/>
  </si>
  <si>
    <t>피아물류</t>
    <phoneticPr fontId="12" type="noConversion"/>
  </si>
  <si>
    <t>세진FA</t>
    <phoneticPr fontId="12" type="noConversion"/>
  </si>
  <si>
    <t>CS프론트라인</t>
    <phoneticPr fontId="12" type="noConversion"/>
  </si>
  <si>
    <t>아이엘스엘</t>
    <phoneticPr fontId="12" type="noConversion"/>
  </si>
  <si>
    <t>그래비티시스템</t>
    <phoneticPr fontId="12" type="noConversion"/>
  </si>
  <si>
    <t>대양산전</t>
    <phoneticPr fontId="12" type="noConversion"/>
  </si>
  <si>
    <t>한국자동화</t>
    <phoneticPr fontId="12" type="noConversion"/>
  </si>
  <si>
    <t>바이너리</t>
    <phoneticPr fontId="12" type="noConversion"/>
  </si>
  <si>
    <t>CV, MSC 전장 및 제어</t>
    <phoneticPr fontId="12" type="noConversion"/>
  </si>
  <si>
    <t>BCR,WMS,CCTV 제어</t>
    <phoneticPr fontId="12" type="noConversion"/>
  </si>
  <si>
    <t>이찬희</t>
    <phoneticPr fontId="1" type="noConversion"/>
  </si>
  <si>
    <t>이창노</t>
    <phoneticPr fontId="1" type="noConversion"/>
  </si>
  <si>
    <t>세진FA</t>
    <phoneticPr fontId="1" type="noConversion"/>
  </si>
  <si>
    <t>김진욱</t>
    <phoneticPr fontId="1" type="noConversion"/>
  </si>
  <si>
    <t>DPM</t>
    <phoneticPr fontId="1" type="noConversion"/>
  </si>
  <si>
    <t>박경원</t>
    <phoneticPr fontId="1" type="noConversion"/>
  </si>
  <si>
    <t>ADM</t>
    <phoneticPr fontId="1" type="noConversion"/>
  </si>
  <si>
    <t>강원모</t>
    <phoneticPr fontId="1" type="noConversion"/>
  </si>
  <si>
    <t>피아물류</t>
    <phoneticPr fontId="1" type="noConversion"/>
  </si>
  <si>
    <t>휴먼</t>
    <phoneticPr fontId="1" type="noConversion"/>
  </si>
  <si>
    <t>박승진</t>
    <phoneticPr fontId="1" type="noConversion"/>
  </si>
  <si>
    <t>김관용</t>
    <phoneticPr fontId="1" type="noConversion"/>
  </si>
  <si>
    <t>대양산전</t>
    <phoneticPr fontId="1" type="noConversion"/>
  </si>
  <si>
    <t>강민수</t>
    <phoneticPr fontId="1" type="noConversion"/>
  </si>
  <si>
    <t>한국자동화</t>
    <phoneticPr fontId="1" type="noConversion"/>
  </si>
  <si>
    <t>서영한</t>
    <phoneticPr fontId="1" type="noConversion"/>
  </si>
  <si>
    <t>바이너리</t>
    <phoneticPr fontId="1" type="noConversion"/>
  </si>
  <si>
    <t>박태진</t>
    <phoneticPr fontId="1" type="noConversion"/>
  </si>
  <si>
    <t>뉴엔텍</t>
    <phoneticPr fontId="1" type="noConversion"/>
  </si>
  <si>
    <t>CS프론트라인</t>
    <phoneticPr fontId="1" type="noConversion"/>
  </si>
  <si>
    <t>아이에스엘</t>
    <phoneticPr fontId="1" type="noConversion"/>
  </si>
  <si>
    <t>그래비티시스템</t>
    <phoneticPr fontId="1" type="noConversion"/>
  </si>
  <si>
    <t>이승준</t>
    <phoneticPr fontId="1" type="noConversion"/>
  </si>
  <si>
    <t>유인호</t>
    <phoneticPr fontId="1" type="noConversion"/>
  </si>
  <si>
    <t>금무경</t>
    <phoneticPr fontId="1" type="noConversion"/>
  </si>
  <si>
    <t>심재현</t>
    <phoneticPr fontId="1" type="noConversion"/>
  </si>
  <si>
    <t>차명환</t>
    <phoneticPr fontId="1" type="noConversion"/>
  </si>
  <si>
    <t>CV,MSC,RACK H/W SET-UP</t>
    <phoneticPr fontId="12" type="noConversion"/>
  </si>
  <si>
    <t>- CV,MSC,RACK,DECK,LIFT H/W SET-UP
- CV, MSC 전장 및 제어
-. CV,MSC 시운전</t>
    <phoneticPr fontId="1" type="noConversion"/>
  </si>
  <si>
    <t>연동 Test 및 사용자운영교육</t>
  </si>
  <si>
    <t>6.1.3</t>
  </si>
  <si>
    <t>Interface Test</t>
  </si>
  <si>
    <t>6.1.2</t>
  </si>
  <si>
    <t>SW 현장설치</t>
  </si>
  <si>
    <t>6.1.1</t>
  </si>
  <si>
    <t>6.1</t>
  </si>
  <si>
    <t>G</t>
  </si>
  <si>
    <t>연동Test</t>
  </si>
  <si>
    <t>6</t>
  </si>
  <si>
    <t>Installation LED LAMP</t>
  </si>
  <si>
    <t>2.1.12.9</t>
  </si>
  <si>
    <t xml:space="preserve">Installation Panel Inside Cable </t>
  </si>
  <si>
    <t>2.1.12.8</t>
  </si>
  <si>
    <t>Installation DP MG TT Cable</t>
  </si>
  <si>
    <t>2.1.12.7</t>
  </si>
  <si>
    <t>Installation Lifter Light Curtain cable</t>
  </si>
  <si>
    <t>2.1.12.6</t>
  </si>
  <si>
    <t>Installation Power moller cable</t>
  </si>
  <si>
    <t>2.1.12.5</t>
  </si>
  <si>
    <t>Installation Lifter cable</t>
  </si>
  <si>
    <t>2.1.12.4</t>
  </si>
  <si>
    <t>Install Duct</t>
  </si>
  <si>
    <t>2.1.12.3</t>
  </si>
  <si>
    <t>Door S/W SOP LCP positioning in alignment</t>
  </si>
  <si>
    <t>2.1.12.2</t>
  </si>
  <si>
    <t>Panel Alignment and fixation</t>
  </si>
  <si>
    <t>2.1.12.1</t>
  </si>
  <si>
    <t>CA-DGS back Conveyor</t>
  </si>
  <si>
    <t>2F Conveyor DGS back ※Back</t>
  </si>
  <si>
    <t>2.1.12</t>
  </si>
  <si>
    <t>2.1.11.9</t>
  </si>
  <si>
    <t>2.1.11.8</t>
  </si>
  <si>
    <t>2.1.11.7</t>
  </si>
  <si>
    <t>2.1.11.6</t>
  </si>
  <si>
    <t>2.1.11.5</t>
  </si>
  <si>
    <t>2.1.11.4</t>
  </si>
  <si>
    <t>2.1.11.3</t>
  </si>
  <si>
    <t>2.1.11.2</t>
  </si>
  <si>
    <t>2.1.11.1</t>
  </si>
  <si>
    <t>CA-DGS front Conveyor</t>
  </si>
  <si>
    <t>2F Conveyor DGS front ※Front</t>
  </si>
  <si>
    <t>2.1.11</t>
  </si>
  <si>
    <t>2.1.10.8</t>
  </si>
  <si>
    <t>2.1.10.7</t>
  </si>
  <si>
    <t>2.1.10.6</t>
  </si>
  <si>
    <t>2.1.10.5</t>
  </si>
  <si>
    <t>2.1.10.4</t>
  </si>
  <si>
    <t>2.1.10.3</t>
  </si>
  <si>
    <t>2.1.10.2</t>
  </si>
  <si>
    <t>2.1.10.1</t>
  </si>
  <si>
    <t>CA-1F Conveyor</t>
  </si>
  <si>
    <t>1F Conveyor</t>
  </si>
  <si>
    <t>2.1.10</t>
  </si>
  <si>
    <t>2.1.9.9</t>
  </si>
  <si>
    <t>2.1.9.8</t>
  </si>
  <si>
    <t>2.1.9.7</t>
  </si>
  <si>
    <t>2.1.9.6</t>
  </si>
  <si>
    <t>2.1.9.5</t>
  </si>
  <si>
    <t>2.1.9.4</t>
  </si>
  <si>
    <t>2.1.9.3</t>
  </si>
  <si>
    <t>2.1.9.2</t>
  </si>
  <si>
    <t>2.1.9.1</t>
  </si>
  <si>
    <t>CA-Interconnect</t>
  </si>
  <si>
    <t>Interconnect</t>
  </si>
  <si>
    <t>2.1.9</t>
  </si>
  <si>
    <t>2.1.8.9</t>
  </si>
  <si>
    <t>2.1.8.8</t>
  </si>
  <si>
    <t>Installation DP MG Cable</t>
  </si>
  <si>
    <t>2.1.8.7</t>
  </si>
  <si>
    <t>2.1.8.6</t>
  </si>
  <si>
    <t>2.1.8.5</t>
  </si>
  <si>
    <t>2.1.8.4</t>
  </si>
  <si>
    <t>2.1.8.3</t>
  </si>
  <si>
    <t>2.1.8.2</t>
  </si>
  <si>
    <t>2.1.8.1</t>
  </si>
  <si>
    <t>CA-Assembly</t>
  </si>
  <si>
    <t>Assembly</t>
  </si>
  <si>
    <t>2.1.8</t>
  </si>
  <si>
    <t>Installation Motor Cable</t>
  </si>
  <si>
    <t>2.1.7.13</t>
  </si>
  <si>
    <t>Attach Tape(Driving BCR)</t>
  </si>
  <si>
    <t>2.1.7.12</t>
  </si>
  <si>
    <t>Installation Collector Arm</t>
  </si>
  <si>
    <t>2.1.7.11</t>
  </si>
  <si>
    <t>2.1.7.10</t>
  </si>
  <si>
    <t>2.1.7.9</t>
  </si>
  <si>
    <t>Door S/W SOP LCP cable Installation</t>
  </si>
  <si>
    <t>2.1.7.8</t>
  </si>
  <si>
    <t>Cable installation work related to fire suppression tank</t>
  </si>
  <si>
    <t>2.1.7.7</t>
  </si>
  <si>
    <t>CA-HT#2-1</t>
  </si>
  <si>
    <t>2.1.7.6</t>
  </si>
  <si>
    <t>2.1.7.5</t>
  </si>
  <si>
    <t>2.1.7.4</t>
  </si>
  <si>
    <t>2.1.7.3</t>
  </si>
  <si>
    <t>2.1.7.2</t>
  </si>
  <si>
    <t>2.1.7.1</t>
  </si>
  <si>
    <t>CA-HT#2</t>
  </si>
  <si>
    <t>HT#2</t>
  </si>
  <si>
    <t>2.1.7</t>
  </si>
  <si>
    <t>2.1.6.13</t>
  </si>
  <si>
    <t>2.1.6.12</t>
  </si>
  <si>
    <t>2.1.6.11</t>
  </si>
  <si>
    <t>2.1.6.10</t>
  </si>
  <si>
    <t>2.1.6.9</t>
  </si>
  <si>
    <t>2.1.6.8</t>
  </si>
  <si>
    <t>2.1.6.7</t>
  </si>
  <si>
    <t>2.1.6.6</t>
  </si>
  <si>
    <t>2.1.6.5</t>
  </si>
  <si>
    <t>2.1.6.4</t>
  </si>
  <si>
    <t>2.1.6.3</t>
  </si>
  <si>
    <t>2.1.6.2</t>
  </si>
  <si>
    <t>2.1.6.1</t>
  </si>
  <si>
    <t>CA-HT#1</t>
  </si>
  <si>
    <t>HT#1</t>
  </si>
  <si>
    <t>2.1.6</t>
  </si>
  <si>
    <t>2.1.5.11</t>
  </si>
  <si>
    <t>2.1.5.10</t>
  </si>
  <si>
    <t>2.1.5.9</t>
  </si>
  <si>
    <t>2.1.5.8</t>
  </si>
  <si>
    <t>2.1.5.7</t>
  </si>
  <si>
    <t>2.1.5.6</t>
  </si>
  <si>
    <t>2.1.5.5</t>
  </si>
  <si>
    <t>2.1.5.4</t>
  </si>
  <si>
    <t>2.1.5.3</t>
  </si>
  <si>
    <t>2.1.5.2</t>
  </si>
  <si>
    <t>2.1.5.1</t>
  </si>
  <si>
    <t>CA-Empty</t>
  </si>
  <si>
    <t>Empty Tray</t>
  </si>
  <si>
    <t>2.1.5</t>
  </si>
  <si>
    <t>2.1.4.13</t>
  </si>
  <si>
    <t>2.1.4.12</t>
  </si>
  <si>
    <t>2.1.4.11</t>
  </si>
  <si>
    <t>2.1.4.10</t>
  </si>
  <si>
    <t>2.1.4.9</t>
  </si>
  <si>
    <t>2.1.4.8</t>
  </si>
  <si>
    <t>2.1.4.7</t>
  </si>
  <si>
    <t>2.1.4.6</t>
  </si>
  <si>
    <t>2.1.4.5</t>
  </si>
  <si>
    <t>2.1.4.4</t>
  </si>
  <si>
    <t>2.1.4.3</t>
  </si>
  <si>
    <t>2.1.4.2</t>
  </si>
  <si>
    <t>2.1.4.1</t>
  </si>
  <si>
    <t>CA-NT#2,3</t>
  </si>
  <si>
    <t>NT#2,3</t>
  </si>
  <si>
    <t>2.1.4</t>
  </si>
  <si>
    <t>2.1.3.13</t>
  </si>
  <si>
    <t>2.1.3.12</t>
  </si>
  <si>
    <t>2.1.3.11</t>
  </si>
  <si>
    <t>2.1.3.10</t>
  </si>
  <si>
    <t>2.1.3.9</t>
  </si>
  <si>
    <t>2.1.3.8</t>
  </si>
  <si>
    <t>2.1.3.7</t>
  </si>
  <si>
    <t>2.1.3.6</t>
  </si>
  <si>
    <t>2.1.3.5</t>
  </si>
  <si>
    <t>2.1.3.4</t>
  </si>
  <si>
    <t>2.1.3.3</t>
  </si>
  <si>
    <t>2.1.3.2</t>
  </si>
  <si>
    <t>2.1.3.1</t>
  </si>
  <si>
    <t>CA-NT#1</t>
  </si>
  <si>
    <t>NT#1</t>
  </si>
  <si>
    <t>2.1.3</t>
  </si>
  <si>
    <t>2.1.2.14</t>
  </si>
  <si>
    <t>2.1.2.13</t>
  </si>
  <si>
    <t>2.1.2.12</t>
  </si>
  <si>
    <t>2.1.2.11</t>
  </si>
  <si>
    <t>2.1.2.10</t>
  </si>
  <si>
    <t>2.1.2.9</t>
  </si>
  <si>
    <t>2.1.2.8</t>
  </si>
  <si>
    <t>Turn Table 24VDC Cable installation</t>
  </si>
  <si>
    <t>2.1.2.7</t>
  </si>
  <si>
    <t>2.1.2.6</t>
  </si>
  <si>
    <t>2.1.2.5</t>
  </si>
  <si>
    <t>2.1.2.4</t>
  </si>
  <si>
    <t>2.1.2.3</t>
  </si>
  <si>
    <t>2.1.2.2</t>
  </si>
  <si>
    <t>2.1.2.1</t>
  </si>
  <si>
    <t>CA-FCH</t>
  </si>
  <si>
    <t>Charger Room</t>
  </si>
  <si>
    <t>2.1.2</t>
  </si>
  <si>
    <t>2.1.1.20</t>
  </si>
  <si>
    <t>2.1.1.19</t>
  </si>
  <si>
    <t>2.1.1.18</t>
  </si>
  <si>
    <t>2.1.1.17</t>
  </si>
  <si>
    <t>2.1.1.16</t>
  </si>
  <si>
    <t>2.1.1.15</t>
  </si>
  <si>
    <t>2.1.1.14</t>
  </si>
  <si>
    <t xml:space="preserve">Installation Servo Cable </t>
  </si>
  <si>
    <t>2.1.1.13</t>
  </si>
  <si>
    <t>installation DP Mg 24VDC Cable</t>
  </si>
  <si>
    <t>2.1.1.12</t>
  </si>
  <si>
    <t>2.1.1.11</t>
  </si>
  <si>
    <t>2.1.1.10</t>
  </si>
  <si>
    <t>2.1.1.9</t>
  </si>
  <si>
    <t>2.1.1.8</t>
  </si>
  <si>
    <t>2.1.1.7</t>
  </si>
  <si>
    <t>2.1.1.6</t>
  </si>
  <si>
    <t xml:space="preserve"> PPC Room-1, MSC(5대)</t>
  </si>
  <si>
    <t>2.1.1.5</t>
  </si>
  <si>
    <t xml:space="preserve"> PPC Room-1, MSC(3대)</t>
  </si>
  <si>
    <t>2.1.1.4</t>
  </si>
  <si>
    <t xml:space="preserve"> PPC Room-1, LIFTER</t>
  </si>
  <si>
    <t>2.1.1.3</t>
  </si>
  <si>
    <t xml:space="preserve"> PPC Room-1, TRANSFER+C/V</t>
  </si>
  <si>
    <t>2.1.1.2</t>
  </si>
  <si>
    <t xml:space="preserve"> PPC Room-1, Deck</t>
  </si>
  <si>
    <t>2.1.1.1</t>
  </si>
  <si>
    <t>CA-PPC</t>
  </si>
  <si>
    <t>PPC Room</t>
  </si>
  <si>
    <t>2.1.1</t>
  </si>
  <si>
    <t>Cathode</t>
  </si>
  <si>
    <t>2.1</t>
  </si>
  <si>
    <t>Hook UP</t>
  </si>
  <si>
    <t>2</t>
  </si>
  <si>
    <t>CV</t>
  </si>
  <si>
    <t>Install Stair</t>
  </si>
  <si>
    <t>1.1.15.15</t>
  </si>
  <si>
    <t>C/V Anchor</t>
  </si>
  <si>
    <t>1.1.15.14</t>
  </si>
  <si>
    <t>Check C/V Level  Center Line</t>
  </si>
  <si>
    <t>1.1.15.13</t>
  </si>
  <si>
    <t>Install CV (IR OCV, NG sorter)</t>
  </si>
  <si>
    <t>1.1.15.12</t>
  </si>
  <si>
    <t>Deck</t>
  </si>
  <si>
    <t>Check Deck Level</t>
  </si>
  <si>
    <t>1.1.15.11</t>
  </si>
  <si>
    <t>Lifter</t>
  </si>
  <si>
    <t>Lifter Erection &amp; Alignment</t>
  </si>
  <si>
    <t>1.1.15.10</t>
  </si>
  <si>
    <t>Install Deck(jump)</t>
  </si>
  <si>
    <t>1.1.15.9</t>
  </si>
  <si>
    <t>1.1.15.8</t>
  </si>
  <si>
    <t>1.1.15.7</t>
  </si>
  <si>
    <t>1.1.15.6</t>
  </si>
  <si>
    <t>Install CV (DGS back CV)</t>
  </si>
  <si>
    <t>1.1.15.5</t>
  </si>
  <si>
    <t>Check Track Number</t>
  </si>
  <si>
    <t>1.1.15.4</t>
  </si>
  <si>
    <t>Move In</t>
  </si>
  <si>
    <t>1.1.15.3</t>
  </si>
  <si>
    <t>Check Line Marking</t>
  </si>
  <si>
    <t>1.1.15.2</t>
  </si>
  <si>
    <t>Line Marking</t>
  </si>
  <si>
    <t>1.1.15.1</t>
  </si>
  <si>
    <t>1.1.15</t>
  </si>
  <si>
    <t>1.1.14.12</t>
  </si>
  <si>
    <t>1.1.14.11</t>
  </si>
  <si>
    <t>Install C/V (DGS front)</t>
  </si>
  <si>
    <t>1.1.14.10</t>
  </si>
  <si>
    <t>Check Track NO.</t>
  </si>
  <si>
    <t>1.1.14.9</t>
  </si>
  <si>
    <t>1.1.14.8</t>
  </si>
  <si>
    <t>Install Lifter</t>
  </si>
  <si>
    <t>1.1.14.7</t>
  </si>
  <si>
    <t>Install Deck Frame&amp;Hand Rail</t>
  </si>
  <si>
    <t>1.1.14.6</t>
  </si>
  <si>
    <t>Install Deck Post</t>
  </si>
  <si>
    <t>1.1.14.5</t>
  </si>
  <si>
    <t>Install Anchor</t>
  </si>
  <si>
    <t>1.1.14.4</t>
  </si>
  <si>
    <t>1.1.14.3</t>
  </si>
  <si>
    <t>1.1.14.2</t>
  </si>
  <si>
    <t>ㅑ</t>
  </si>
  <si>
    <t>1.1.14.1</t>
  </si>
  <si>
    <t>1.1.14</t>
  </si>
  <si>
    <t>1.1.13.15</t>
  </si>
  <si>
    <t>1.1.13.14</t>
  </si>
  <si>
    <t>1.1.13.13</t>
  </si>
  <si>
    <t>1.1.13.12</t>
  </si>
  <si>
    <t>1.1.13.11</t>
  </si>
  <si>
    <t>1.1.13.10</t>
  </si>
  <si>
    <t>1.1.13.9</t>
  </si>
  <si>
    <t>1.1.13.8</t>
  </si>
  <si>
    <t>1.1.13.7</t>
  </si>
  <si>
    <t>1.1.13.6</t>
  </si>
  <si>
    <t>Install CV (folding CV)</t>
  </si>
  <si>
    <t>1.1.13.5</t>
  </si>
  <si>
    <t>1.1.13.4</t>
  </si>
  <si>
    <t>1.1.13.3</t>
  </si>
  <si>
    <t>1.1.13.2</t>
  </si>
  <si>
    <t>1.1.13.1</t>
  </si>
  <si>
    <t>1.1.13</t>
  </si>
  <si>
    <t>1.1.12.13</t>
  </si>
  <si>
    <t>1.1.12.12</t>
  </si>
  <si>
    <t>1.1.12.11</t>
  </si>
  <si>
    <t>Install CV</t>
  </si>
  <si>
    <t>1.1.12.10</t>
  </si>
  <si>
    <t>1.1.12.9</t>
  </si>
  <si>
    <t>Incoming PassBox &amp; Install</t>
  </si>
  <si>
    <t>1.1.12.8</t>
  </si>
  <si>
    <t>Deck CV Center Line Marking</t>
  </si>
  <si>
    <t>1.1.12.7</t>
  </si>
  <si>
    <t>Deck Lifter lifting &amp; Alignment</t>
  </si>
  <si>
    <t>1.1.12.6</t>
  </si>
  <si>
    <t>Install Deck</t>
  </si>
  <si>
    <t>1.1.12.5</t>
  </si>
  <si>
    <t>1.1.12.4</t>
  </si>
  <si>
    <t>Drilling Anchor Hole</t>
  </si>
  <si>
    <t>1.1.12.3</t>
  </si>
  <si>
    <t>1.1.12.2</t>
  </si>
  <si>
    <t>1.1.12.1</t>
  </si>
  <si>
    <t>Interconnect(Aging)</t>
  </si>
  <si>
    <t>1.1.12</t>
  </si>
  <si>
    <t>1.1.11.18</t>
  </si>
  <si>
    <t>1.1.11.17</t>
  </si>
  <si>
    <t>1.1.11.16</t>
  </si>
  <si>
    <t>1.1.11.15</t>
  </si>
  <si>
    <t>1.1.11.14</t>
  </si>
  <si>
    <t>Install Horizontal Shutter</t>
  </si>
  <si>
    <t>1.1.11.13</t>
  </si>
  <si>
    <t>1.1.11.12</t>
  </si>
  <si>
    <t>1.1.11.11</t>
  </si>
  <si>
    <t>1.1.11.10</t>
  </si>
  <si>
    <t>Install Deck(Sq 1-4, 1-5, after EMPT east rack/MSC install)</t>
  </si>
  <si>
    <t>1.1.11.9</t>
  </si>
  <si>
    <t>Setting Lifter Inside</t>
  </si>
  <si>
    <t>1.1.11.8</t>
  </si>
  <si>
    <t>Floor Lifter Anchoring</t>
  </si>
  <si>
    <t>1.1.11.7</t>
  </si>
  <si>
    <t>Floor Lifter mast Alignment</t>
  </si>
  <si>
    <t>1.1.11.6</t>
  </si>
  <si>
    <t>Floor Lifter Erection &amp; Lifting</t>
  </si>
  <si>
    <t>1.1.11.5</t>
  </si>
  <si>
    <t>1.1.11.4</t>
  </si>
  <si>
    <t>1.1.11.3</t>
  </si>
  <si>
    <t>1.1.11.2</t>
  </si>
  <si>
    <t>1.1.11.1</t>
  </si>
  <si>
    <t>Interconnect(Recollect)</t>
  </si>
  <si>
    <t>1.1.11</t>
  </si>
  <si>
    <t>1.1.10.14</t>
  </si>
  <si>
    <t>1.1.10.13</t>
  </si>
  <si>
    <t>Install C/V</t>
  </si>
  <si>
    <t>1.1.10.12</t>
  </si>
  <si>
    <t>Pre-assembly C/V</t>
  </si>
  <si>
    <t>1.1.10.11</t>
  </si>
  <si>
    <t>1.1.10.10</t>
  </si>
  <si>
    <t>1.1.10.9</t>
  </si>
  <si>
    <t>1.1.10.8</t>
  </si>
  <si>
    <t>1.1.10.7</t>
  </si>
  <si>
    <t>1.1.10.6</t>
  </si>
  <si>
    <t>1.1.10.5</t>
  </si>
  <si>
    <t>1.1.10.4</t>
  </si>
  <si>
    <t>1.1.10.3</t>
  </si>
  <si>
    <t>1.1.10.2</t>
  </si>
  <si>
    <t>1.1.10.1</t>
  </si>
  <si>
    <t>1.1.10</t>
  </si>
  <si>
    <t>Grouting &amp; Cleaning</t>
  </si>
  <si>
    <t>1.1.9.39</t>
  </si>
  <si>
    <t>Rack</t>
  </si>
  <si>
    <t>install fence</t>
  </si>
  <si>
    <t>1.1.9.38</t>
  </si>
  <si>
    <t>Smoke detector</t>
  </si>
  <si>
    <t>Install Smoke Detector</t>
  </si>
  <si>
    <t>1.1.9.37</t>
  </si>
  <si>
    <t>deck(OP side)</t>
  </si>
  <si>
    <t>Install Tower Stair</t>
  </si>
  <si>
    <t>1.1.9.36</t>
  </si>
  <si>
    <t>MSC</t>
  </si>
  <si>
    <t>Check MSC rail straightness &amp; rail/load arm level</t>
  </si>
  <si>
    <t>1.1.9.35</t>
  </si>
  <si>
    <t>Install MSC Accessories</t>
  </si>
  <si>
    <t>1.1.9.34</t>
  </si>
  <si>
    <t>Install Top Cover, Rail Walk-Way, Top Maintenance Walk-Way</t>
  </si>
  <si>
    <t>1.1.9.33</t>
  </si>
  <si>
    <t>1.1.9.32</t>
  </si>
  <si>
    <t>Install Rack&amp;Beam&amp;Bracing&amp;Rail Base(~62th)</t>
  </si>
  <si>
    <t>1.1.9.31</t>
  </si>
  <si>
    <t>Water tank</t>
  </si>
  <si>
    <t>Install Water Tank Assembly</t>
  </si>
  <si>
    <t>1.1.9.30</t>
  </si>
  <si>
    <t>Install MSC Rail(Every 10th, ~59th)</t>
  </si>
  <si>
    <t>1.1.9.29</t>
  </si>
  <si>
    <t>Check Vertical(Every 10th, ~59th)</t>
  </si>
  <si>
    <t>1.1.9.28</t>
  </si>
  <si>
    <t>Install Rack&amp;Beam&amp;Bracing&amp;Rail Base(Every 10th, ~59th)</t>
  </si>
  <si>
    <t>1.1.9.27</t>
  </si>
  <si>
    <t>Lifting MSC</t>
  </si>
  <si>
    <t>1.1.9.26</t>
  </si>
  <si>
    <t>Install MSC Rail(1st rail)</t>
  </si>
  <si>
    <t>1.1.9.25</t>
  </si>
  <si>
    <t>Check Vertical(1~10th)</t>
  </si>
  <si>
    <t>1.1.9.24</t>
  </si>
  <si>
    <t>Install Rack&amp;Beam&amp;Bracing&amp;Rail Base(10th)</t>
  </si>
  <si>
    <t>1.1.9.23</t>
  </si>
  <si>
    <t>Pre-Assembly Rack(5~58h)</t>
  </si>
  <si>
    <t>1.1.9.22</t>
  </si>
  <si>
    <t>Home stand</t>
  </si>
  <si>
    <t>Check home stand CV Level &amp; Center line</t>
  </si>
  <si>
    <t>1.1.9.21</t>
  </si>
  <si>
    <t>Install HP Home Stand &amp; C/V</t>
  </si>
  <si>
    <t>1.1.9.20</t>
  </si>
  <si>
    <t>Check Track No.</t>
  </si>
  <si>
    <t>1.1.9.19</t>
  </si>
  <si>
    <t>1.1.9.18</t>
  </si>
  <si>
    <t>Install Rack&amp;Beam&amp;Bracing(5th)</t>
  </si>
  <si>
    <t>1.1.9.17</t>
  </si>
  <si>
    <t>Install Beam&amp;Bracing(2th)</t>
  </si>
  <si>
    <t>1.1.9.16</t>
  </si>
  <si>
    <t>1.1.9.15</t>
  </si>
  <si>
    <t>Erect Rack(2th)</t>
  </si>
  <si>
    <t>1.1.9.14</t>
  </si>
  <si>
    <t>Install Base Plate</t>
  </si>
  <si>
    <t>1.1.9.13</t>
  </si>
  <si>
    <t>Check Liner Leveling(Laser)</t>
  </si>
  <si>
    <t>1.1.9.12</t>
  </si>
  <si>
    <t>Install Liner</t>
  </si>
  <si>
    <t>1.1.9.11</t>
  </si>
  <si>
    <t>1.1.9.10</t>
  </si>
  <si>
    <t>deck(High)</t>
  </si>
  <si>
    <t>1.1.9.9</t>
  </si>
  <si>
    <t>Check Vertical(Deck Post&amp;Tower Stair)</t>
  </si>
  <si>
    <t>1.1.9.8</t>
  </si>
  <si>
    <t>Install Deck Post&amp;Girder&amp;Bracing</t>
  </si>
  <si>
    <t>1.1.9.7</t>
  </si>
  <si>
    <t>Install Anchor &amp; Nut</t>
  </si>
  <si>
    <t>1.1.9.6</t>
  </si>
  <si>
    <t>Pre-Work</t>
  </si>
  <si>
    <t>1.1.9.5</t>
  </si>
  <si>
    <t>1.1.9.4</t>
  </si>
  <si>
    <t>1.1.9.3</t>
  </si>
  <si>
    <t>Check Floor Level</t>
  </si>
  <si>
    <t>1.1.9.2</t>
  </si>
  <si>
    <t>1.1.9.1</t>
  </si>
  <si>
    <t>1.1.9</t>
  </si>
  <si>
    <t>1.1.8.39</t>
  </si>
  <si>
    <t>1.1.8.38</t>
  </si>
  <si>
    <t>1.1.8.37</t>
  </si>
  <si>
    <t>1.1.8.36</t>
  </si>
  <si>
    <t>1.1.8.35</t>
  </si>
  <si>
    <t>1.1.8.34</t>
  </si>
  <si>
    <t>1.1.8.33</t>
  </si>
  <si>
    <t>1.1.8.32</t>
  </si>
  <si>
    <t>1.1.8.31</t>
  </si>
  <si>
    <t>1.1.8.30</t>
  </si>
  <si>
    <t>1.1.8.29</t>
  </si>
  <si>
    <t>1.1.8.28</t>
  </si>
  <si>
    <t>1.1.8.27</t>
  </si>
  <si>
    <t>1.1.8.26</t>
  </si>
  <si>
    <t>1.1.8.25</t>
  </si>
  <si>
    <t>1.1.8.24</t>
  </si>
  <si>
    <t>1.1.8.23</t>
  </si>
  <si>
    <t>1.1.8.22</t>
  </si>
  <si>
    <t>1.1.8.21</t>
  </si>
  <si>
    <t>1.1.8.20</t>
  </si>
  <si>
    <t>1.1.8.19</t>
  </si>
  <si>
    <t>1.1.8.18</t>
  </si>
  <si>
    <t>1.1.8.17</t>
  </si>
  <si>
    <t>1.1.8.16</t>
  </si>
  <si>
    <t>1.1.8.15</t>
  </si>
  <si>
    <t>1.1.8.14</t>
  </si>
  <si>
    <t>1.1.8.13</t>
  </si>
  <si>
    <t>1.1.8.12</t>
  </si>
  <si>
    <t>1.1.8.11</t>
  </si>
  <si>
    <t>1.1.8.10</t>
  </si>
  <si>
    <t>1.1.8.9</t>
  </si>
  <si>
    <t>1.1.8.8</t>
  </si>
  <si>
    <t>1.1.8.7</t>
  </si>
  <si>
    <t>1.1.8.6</t>
  </si>
  <si>
    <t>1.1.8.5</t>
  </si>
  <si>
    <t>1.1.8.4</t>
  </si>
  <si>
    <t>1.1.8.3</t>
  </si>
  <si>
    <t>1.1.8.2</t>
  </si>
  <si>
    <t>1.1.8.1</t>
  </si>
  <si>
    <t>1.1.8</t>
  </si>
  <si>
    <t>1.1.7.20</t>
  </si>
  <si>
    <t>1.1.7.19</t>
  </si>
  <si>
    <t>1.1.7.18</t>
  </si>
  <si>
    <t>Install MSC Rail(Every 10th, ~35th)</t>
  </si>
  <si>
    <t>1.1.7.17</t>
  </si>
  <si>
    <t>Check Vertical(Every 10th, ~35th)</t>
  </si>
  <si>
    <t>1.1.7.16</t>
  </si>
  <si>
    <t>Install Rack&amp;Beam&amp;Bracing&amp;Rail Base(Every 10th, ~35th)</t>
  </si>
  <si>
    <t>1.1.7.15</t>
  </si>
  <si>
    <t>Install MSC</t>
  </si>
  <si>
    <t>1.1.7.14</t>
  </si>
  <si>
    <t>1.1.7.13</t>
  </si>
  <si>
    <t>1.1.7.12</t>
  </si>
  <si>
    <t>1.1.7.11</t>
  </si>
  <si>
    <t>1.1.7.10</t>
  </si>
  <si>
    <t>Pre-Assembly Rack(2~32h)</t>
  </si>
  <si>
    <t>1.1.7.9</t>
  </si>
  <si>
    <t>1.1.7.8</t>
  </si>
  <si>
    <t>1.1.7.7</t>
  </si>
  <si>
    <t>1.1.7.6</t>
  </si>
  <si>
    <t>1.1.7.5</t>
  </si>
  <si>
    <t>1.1.7.4</t>
  </si>
  <si>
    <t>1.1.7.3</t>
  </si>
  <si>
    <t>1.1.7.2</t>
  </si>
  <si>
    <t>1.1.7.1</t>
  </si>
  <si>
    <t>Empty Tray(North)</t>
  </si>
  <si>
    <t>1.1.7</t>
  </si>
  <si>
    <t>1.1.6.20</t>
  </si>
  <si>
    <t>1.1.6.19</t>
  </si>
  <si>
    <t>1.1.6.18</t>
  </si>
  <si>
    <t>1.1.6.17</t>
  </si>
  <si>
    <t>1.1.6.16</t>
  </si>
  <si>
    <t>1.1.6.15</t>
  </si>
  <si>
    <t>1.1.6.14</t>
  </si>
  <si>
    <t>1.1.6.13</t>
  </si>
  <si>
    <t>1.1.6.12</t>
  </si>
  <si>
    <t>1.1.6.11</t>
  </si>
  <si>
    <t>1.1.6.10</t>
  </si>
  <si>
    <t>1.1.6.9</t>
  </si>
  <si>
    <t>1.1.6.8</t>
  </si>
  <si>
    <t>1.1.6.7</t>
  </si>
  <si>
    <t>1.1.6.6</t>
  </si>
  <si>
    <t>1.1.6.5</t>
  </si>
  <si>
    <t>1.1.6.4</t>
  </si>
  <si>
    <t>1.1.6.3</t>
  </si>
  <si>
    <t>1.1.6.2</t>
  </si>
  <si>
    <t>1.1.6.1</t>
  </si>
  <si>
    <t>Empty Tray(South)</t>
  </si>
  <si>
    <t>1.1.6</t>
  </si>
  <si>
    <t>1.1.5.38</t>
  </si>
  <si>
    <t>1.1.5.37</t>
  </si>
  <si>
    <t>1.1.5.36</t>
  </si>
  <si>
    <t>1.1.5.35</t>
  </si>
  <si>
    <t>1.1.5.34</t>
  </si>
  <si>
    <t>1.1.5.33</t>
  </si>
  <si>
    <t>1.1.5.32</t>
  </si>
  <si>
    <t>Install Rack&amp;Beam&amp;Bracing&amp;Rail Base(~75th)</t>
  </si>
  <si>
    <t>1.1.5.31</t>
  </si>
  <si>
    <t>1.1.5.30</t>
  </si>
  <si>
    <t>Install MSC Rail(Every 10th, ~69th)</t>
  </si>
  <si>
    <t>1.1.5.29</t>
  </si>
  <si>
    <t>Check Vertical(Every 10th, ~69th)</t>
  </si>
  <si>
    <t>1.1.5.28</t>
  </si>
  <si>
    <t>Install Rack&amp;Beam&amp;Bracing&amp;Rail Base(Every 10th, ~69th)</t>
  </si>
  <si>
    <t>1.1.5.27</t>
  </si>
  <si>
    <t>1.1.5.26</t>
  </si>
  <si>
    <t>1.1.5.25</t>
  </si>
  <si>
    <t>1.1.5.24</t>
  </si>
  <si>
    <t>1.1.5.23</t>
  </si>
  <si>
    <t>Pre-Assembly Rack(5~69h)</t>
  </si>
  <si>
    <t>1.1.5.22</t>
  </si>
  <si>
    <t>1.1.5.21</t>
  </si>
  <si>
    <t>1.1.5.20</t>
  </si>
  <si>
    <t>1.1.5.19</t>
  </si>
  <si>
    <t>1.1.5.18</t>
  </si>
  <si>
    <t>1.1.5.17</t>
  </si>
  <si>
    <t>1.1.5.16</t>
  </si>
  <si>
    <t>1.1.5.15</t>
  </si>
  <si>
    <t>1.1.5.14</t>
  </si>
  <si>
    <t>1.1.5.13</t>
  </si>
  <si>
    <t>1.1.5.12</t>
  </si>
  <si>
    <t>1.1.5.11</t>
  </si>
  <si>
    <t>1.1.5.10</t>
  </si>
  <si>
    <t>1.1.5.9</t>
  </si>
  <si>
    <t>1.1.5.8</t>
  </si>
  <si>
    <t>1.1.5.7</t>
  </si>
  <si>
    <t>1.1.5.6</t>
  </si>
  <si>
    <t>1.1.5.5</t>
  </si>
  <si>
    <t>1.1.5.4</t>
  </si>
  <si>
    <t>1.1.5.3</t>
  </si>
  <si>
    <t>1.1.5.2</t>
  </si>
  <si>
    <t>1.1.5.1</t>
  </si>
  <si>
    <t>NT#2,3(1,2,3Lane)</t>
  </si>
  <si>
    <t>1.1.5</t>
  </si>
  <si>
    <t>1.1.4.39</t>
  </si>
  <si>
    <t>1.1.4.38</t>
  </si>
  <si>
    <t>1.1.4.37</t>
  </si>
  <si>
    <t>1.1.4.36</t>
  </si>
  <si>
    <t>1.1.4.35</t>
  </si>
  <si>
    <t>1.1.4.34</t>
  </si>
  <si>
    <t>1.1.4.33</t>
  </si>
  <si>
    <t>1.1.4.32</t>
  </si>
  <si>
    <t>1.1.4.31</t>
  </si>
  <si>
    <t>1.1.4.30</t>
  </si>
  <si>
    <t>1.1.4.29</t>
  </si>
  <si>
    <t>1.1.4.28</t>
  </si>
  <si>
    <t>1.1.4.27</t>
  </si>
  <si>
    <t>1.1.4.26</t>
  </si>
  <si>
    <t>1.1.4.25</t>
  </si>
  <si>
    <t>1.1.4.24</t>
  </si>
  <si>
    <t>1.1.4.23</t>
  </si>
  <si>
    <t>1.1.4.22</t>
  </si>
  <si>
    <t>1.1.4.21</t>
  </si>
  <si>
    <t>1.1.4.20</t>
  </si>
  <si>
    <t>1.1.4.19</t>
  </si>
  <si>
    <t>1.1.4.18</t>
  </si>
  <si>
    <t>1.1.4.17</t>
  </si>
  <si>
    <t>1.1.4.16</t>
  </si>
  <si>
    <t>1.1.4.15</t>
  </si>
  <si>
    <t>1.1.4.14</t>
  </si>
  <si>
    <t>1.1.4.13</t>
  </si>
  <si>
    <t>1.1.4.12</t>
  </si>
  <si>
    <t>1.1.4.11</t>
  </si>
  <si>
    <t>1.1.4.10</t>
  </si>
  <si>
    <t>1.1.4.9</t>
  </si>
  <si>
    <t>1.1.4.8</t>
  </si>
  <si>
    <t>1.1.4.7</t>
  </si>
  <si>
    <t>1.1.4.6</t>
  </si>
  <si>
    <t>1.1.4.5</t>
  </si>
  <si>
    <t>1.1.4.4</t>
  </si>
  <si>
    <t>1.1.4.3</t>
  </si>
  <si>
    <t>1.1.4.2</t>
  </si>
  <si>
    <t>1.1.4.1</t>
  </si>
  <si>
    <t>NT#2,3(4,5,6Lane)</t>
  </si>
  <si>
    <t>1.1.4</t>
  </si>
  <si>
    <t>1.1.3.54</t>
  </si>
  <si>
    <t>1.1.3.53</t>
  </si>
  <si>
    <t>Check C/V Level &amp; Center line (TBD)</t>
  </si>
  <si>
    <t>1.1.3.52</t>
  </si>
  <si>
    <t>1.1.3.51</t>
  </si>
  <si>
    <t>1.1.3.50</t>
  </si>
  <si>
    <t>Deck(OP)</t>
  </si>
  <si>
    <t>1.1.3.49</t>
  </si>
  <si>
    <t>Check Vertical(Deck Post)</t>
  </si>
  <si>
    <t>1.1.3.48</t>
  </si>
  <si>
    <t>1.1.3.47</t>
  </si>
  <si>
    <t>Check Nut Level</t>
  </si>
  <si>
    <t>1.1.3.46</t>
  </si>
  <si>
    <t>1.1.3.45</t>
  </si>
  <si>
    <t>1.1.3.44</t>
  </si>
  <si>
    <t>1.1.3.43</t>
  </si>
  <si>
    <t>1.1.3.42</t>
  </si>
  <si>
    <t>1.1.3.41</t>
  </si>
  <si>
    <t>Install Rack(~61th)</t>
  </si>
  <si>
    <t>1.1.3.40</t>
  </si>
  <si>
    <t>1.1.3.39</t>
  </si>
  <si>
    <t>1.1.3.38</t>
  </si>
  <si>
    <t>Install Rack(~60th)</t>
  </si>
  <si>
    <t>1.1.3.37</t>
  </si>
  <si>
    <t>Home stand(HP)</t>
  </si>
  <si>
    <t>1.1.3.36</t>
  </si>
  <si>
    <t>Install OP Home Stand</t>
  </si>
  <si>
    <t>1.1.3.35</t>
  </si>
  <si>
    <t>1.1.3.34</t>
  </si>
  <si>
    <t>1.1.3.33</t>
  </si>
  <si>
    <t>Install Rack&amp;Beam&amp;Bracing&amp;Rail Base(~59th)</t>
  </si>
  <si>
    <t>1.1.3.32</t>
  </si>
  <si>
    <t>1.1.3.31</t>
  </si>
  <si>
    <t>Install MSC Rail(Every 10th, ~54th)</t>
  </si>
  <si>
    <t>1.1.3.30</t>
  </si>
  <si>
    <t>Check Vertical(Every 10th, ~54th)</t>
  </si>
  <si>
    <t>1.1.3.29</t>
  </si>
  <si>
    <t>Install Rack&amp;Beam&amp;Bracing&amp;Rail Base(Every 10th, ~54th)</t>
  </si>
  <si>
    <t>1.1.3.28</t>
  </si>
  <si>
    <t>1.1.3.27</t>
  </si>
  <si>
    <t>1.1.3.26</t>
  </si>
  <si>
    <t>1.1.3.25</t>
  </si>
  <si>
    <t>1.1.3.24</t>
  </si>
  <si>
    <t>Pre-Assembly Rack(5~54Th)</t>
  </si>
  <si>
    <t>1.1.3.23</t>
  </si>
  <si>
    <t>1.1.3.22</t>
  </si>
  <si>
    <t>1.1.3.21</t>
  </si>
  <si>
    <t>1.1.3.20</t>
  </si>
  <si>
    <t>1.1.3.19</t>
  </si>
  <si>
    <t>1.1.3.18</t>
  </si>
  <si>
    <t>1.1.3.17</t>
  </si>
  <si>
    <t>1.1.3.16</t>
  </si>
  <si>
    <t>1.1.3.15</t>
  </si>
  <si>
    <t>1.1.3.14</t>
  </si>
  <si>
    <t>1.1.3.13</t>
  </si>
  <si>
    <t>1.1.3.12</t>
  </si>
  <si>
    <t>1.1.3.11</t>
  </si>
  <si>
    <t>1.1.3.10</t>
  </si>
  <si>
    <t>1.1.3.9</t>
  </si>
  <si>
    <t>1.1.3.8</t>
  </si>
  <si>
    <t>1.1.3.7</t>
  </si>
  <si>
    <t>1.1.3.6</t>
  </si>
  <si>
    <t>1.1.3.5</t>
  </si>
  <si>
    <t>1.1.3.4</t>
  </si>
  <si>
    <t>1.1.3.3</t>
  </si>
  <si>
    <t>1.1.3.2</t>
  </si>
  <si>
    <t>1.1.3.1</t>
  </si>
  <si>
    <t>1.1.3</t>
  </si>
  <si>
    <t>etc</t>
  </si>
  <si>
    <t>1.1.2.35</t>
  </si>
  <si>
    <t>Install Water Tank</t>
  </si>
  <si>
    <t>1.1.2.34</t>
  </si>
  <si>
    <t>Install MSC Aceessories</t>
  </si>
  <si>
    <t>1.1.2.33</t>
  </si>
  <si>
    <t>1.1.2.32</t>
  </si>
  <si>
    <t>Check Center Line</t>
  </si>
  <si>
    <t>1.1.2.31</t>
  </si>
  <si>
    <t>Check Leveling(U.R &amp; T.R)</t>
  </si>
  <si>
    <t>1.1.2.30</t>
  </si>
  <si>
    <t>Install Under Rail &amp; Top Rail</t>
  </si>
  <si>
    <t>1.1.2.29</t>
  </si>
  <si>
    <t>C/V</t>
  </si>
  <si>
    <t>Install Fence</t>
  </si>
  <si>
    <t>1.1.2.28</t>
  </si>
  <si>
    <t>1.1.2.27</t>
  </si>
  <si>
    <t>Check C/V Level</t>
  </si>
  <si>
    <t>1.1.2.26</t>
  </si>
  <si>
    <t>1.1.2.25</t>
  </si>
  <si>
    <t>Install C/V(Floor 1)</t>
  </si>
  <si>
    <t>1.1.2.24</t>
  </si>
  <si>
    <t>Install C/V(Floor 2)</t>
  </si>
  <si>
    <t>1.1.2.23</t>
  </si>
  <si>
    <t>1.1.2.22</t>
  </si>
  <si>
    <t>deck(CV)</t>
  </si>
  <si>
    <t>Install Deck Frame(Floor 2)</t>
  </si>
  <si>
    <t>1.1.2.21</t>
  </si>
  <si>
    <t>Check Rail Base Level</t>
  </si>
  <si>
    <t>1.1.2.20</t>
  </si>
  <si>
    <t>Install Rail Base(Floor 2)</t>
  </si>
  <si>
    <t>1.1.2.19</t>
  </si>
  <si>
    <t>Install Deck Post&amp;Girder(Floor 2)</t>
  </si>
  <si>
    <t>1.1.2.18</t>
  </si>
  <si>
    <t>1.1.2.17</t>
  </si>
  <si>
    <t>1.1.2.16</t>
  </si>
  <si>
    <t>1.1.2.15</t>
  </si>
  <si>
    <t>Setting Lifter Driving Accessories</t>
  </si>
  <si>
    <t>1.1.2.14</t>
  </si>
  <si>
    <t>Check Vertical</t>
  </si>
  <si>
    <t>1.1.2.13</t>
  </si>
  <si>
    <t>1.1.2.12</t>
  </si>
  <si>
    <t>1.1.2.11</t>
  </si>
  <si>
    <t>1.1.2.10</t>
  </si>
  <si>
    <t>1.1.2.9</t>
  </si>
  <si>
    <t>1.1.2.8</t>
  </si>
  <si>
    <t>1.1.2.7</t>
  </si>
  <si>
    <t>1.1.2.6</t>
  </si>
  <si>
    <t>1.1.2.5</t>
  </si>
  <si>
    <t>1.1.2.4</t>
  </si>
  <si>
    <t>1.1.2.3</t>
  </si>
  <si>
    <t>1.1.2.2</t>
  </si>
  <si>
    <t>1.1.2.1</t>
  </si>
  <si>
    <t>1.1.2</t>
  </si>
  <si>
    <t>1.1.1.37</t>
  </si>
  <si>
    <t>1.1.1.36</t>
  </si>
  <si>
    <t>1.1.1.35</t>
  </si>
  <si>
    <t>1.1.1.34</t>
  </si>
  <si>
    <t>1.1.1.33</t>
  </si>
  <si>
    <t>1.1.1.32</t>
  </si>
  <si>
    <t>1.1.1.31</t>
  </si>
  <si>
    <t>Transfer&amp;C/V</t>
  </si>
  <si>
    <t>Install Fence &amp; Top Cover(Transfer)</t>
  </si>
  <si>
    <t>1.1.1.30</t>
  </si>
  <si>
    <t>1.1.1.29</t>
  </si>
  <si>
    <t>1.1.1.28</t>
  </si>
  <si>
    <t>1.1.1.27</t>
  </si>
  <si>
    <t>Install Transfer &amp; C/V(Floor 1)</t>
  </si>
  <si>
    <t>1.1.1.26</t>
  </si>
  <si>
    <t>Install Transfer &amp; C/V(Floor 3)</t>
  </si>
  <si>
    <t>1.1.1.25</t>
  </si>
  <si>
    <t>deck(Transfer &amp; CV)</t>
  </si>
  <si>
    <t>Install Compete Deck Frame(Floor 3)</t>
  </si>
  <si>
    <t>1.1.1.24</t>
  </si>
  <si>
    <t>Install Transfer &amp; C/V(Floor 2)</t>
  </si>
  <si>
    <t>1.1.1.23</t>
  </si>
  <si>
    <t>1.1.1.22</t>
  </si>
  <si>
    <t>Install Deck Frame(Floor 2, Floor 3_80%)</t>
  </si>
  <si>
    <t>1.1.1.21</t>
  </si>
  <si>
    <t>1.1.1.20</t>
  </si>
  <si>
    <t>Install Rail Base(Floor 1~3)</t>
  </si>
  <si>
    <t>1.1.1.19</t>
  </si>
  <si>
    <t>Install Deck Post&amp;Girder(Floor 1~3)</t>
  </si>
  <si>
    <t>1.1.1.18</t>
  </si>
  <si>
    <t>1.1.1.17</t>
  </si>
  <si>
    <t>1.1.1.16</t>
  </si>
  <si>
    <t>1.1.1.15</t>
  </si>
  <si>
    <t>1.1.1.14</t>
  </si>
  <si>
    <t>1.1.1.13</t>
  </si>
  <si>
    <t>1.1.1.12</t>
  </si>
  <si>
    <t>1.1.1.11</t>
  </si>
  <si>
    <t>1.1.1.10</t>
  </si>
  <si>
    <t>1.1.1.9</t>
  </si>
  <si>
    <t>1.1.1.8</t>
  </si>
  <si>
    <t>1.1.1.7</t>
  </si>
  <si>
    <t>1.1.1.6</t>
  </si>
  <si>
    <t>1.1.1.5</t>
  </si>
  <si>
    <t>1.1.1.4</t>
  </si>
  <si>
    <t>1.1.1.3</t>
  </si>
  <si>
    <t>1.1.1.2</t>
  </si>
  <si>
    <t>1.1.1.1</t>
  </si>
  <si>
    <t>1.1.1</t>
  </si>
  <si>
    <t>1.1</t>
  </si>
  <si>
    <t>Installation</t>
  </si>
  <si>
    <t>1</t>
  </si>
  <si>
    <t>07/14
W29</t>
  </si>
  <si>
    <t>06/16
W25</t>
  </si>
  <si>
    <t>05/19
W21</t>
  </si>
  <si>
    <t>04/21
W17</t>
  </si>
  <si>
    <t>03/24
W13</t>
  </si>
  <si>
    <t>02/25
W9</t>
  </si>
  <si>
    <t>2024
W5</t>
  </si>
  <si>
    <t>12/31
W53</t>
  </si>
  <si>
    <t>12/03
W49</t>
  </si>
  <si>
    <t>SETUP</t>
  </si>
  <si>
    <t>5</t>
  </si>
  <si>
    <t>하역 및 반입</t>
  </si>
  <si>
    <t>4.1.3.10.5</t>
  </si>
  <si>
    <t>SHIPPING</t>
  </si>
  <si>
    <t>4.1.3.10.4</t>
  </si>
  <si>
    <t>FOB(창고내 내 Deck 우선)</t>
  </si>
  <si>
    <t>4.1.3.10.3</t>
  </si>
  <si>
    <t>Unit 운송</t>
  </si>
  <si>
    <t>4.1.3.10.2</t>
  </si>
  <si>
    <t>Unit 포장</t>
  </si>
  <si>
    <t>4.1.3.10.1</t>
  </si>
  <si>
    <t>2동 Degassing CV</t>
  </si>
  <si>
    <t>4.1.3.10</t>
  </si>
  <si>
    <t>4.1.3.9.5</t>
  </si>
  <si>
    <t>4.1.3.9.4</t>
  </si>
  <si>
    <t>4.1.3.9.3</t>
  </si>
  <si>
    <t>4.1.3.9.2</t>
  </si>
  <si>
    <t>4.1.3.9.1</t>
  </si>
  <si>
    <t>2동 Folding CV</t>
  </si>
  <si>
    <t>4.1.3.9</t>
  </si>
  <si>
    <t>4.1.3.8.5</t>
  </si>
  <si>
    <t>4.1.3.8.4</t>
  </si>
  <si>
    <t>4.1.3.8.3</t>
  </si>
  <si>
    <t>4.1.3.8.2</t>
  </si>
  <si>
    <t>4.1.3.8.1</t>
  </si>
  <si>
    <t>2동 Aging,PPC,충방창고CV</t>
  </si>
  <si>
    <t>4.1.3.8</t>
  </si>
  <si>
    <t>4.1.3.7.5</t>
  </si>
  <si>
    <t>4.1.3.7.4</t>
  </si>
  <si>
    <t>4.1.3.7.3</t>
  </si>
  <si>
    <t>4.1.3.7.2</t>
  </si>
  <si>
    <t>4.1.3.7.1</t>
  </si>
  <si>
    <t>2F 동간물류CV</t>
  </si>
  <si>
    <t>4.1.3.7</t>
  </si>
  <si>
    <t>4.1.3.6.5</t>
  </si>
  <si>
    <t>4.1.3.6.4</t>
  </si>
  <si>
    <t>4.1.3.6.3</t>
  </si>
  <si>
    <t>4.1.3.6.2</t>
  </si>
  <si>
    <t>4.1.3.6.1</t>
  </si>
  <si>
    <t>2동 조립동CV</t>
  </si>
  <si>
    <t>4.1.3.6</t>
  </si>
  <si>
    <t>4.1.3.5.5</t>
  </si>
  <si>
    <t>4.1.3.5.4</t>
  </si>
  <si>
    <t>4.1.3.5.3</t>
  </si>
  <si>
    <t>4.1.3.5.2</t>
  </si>
  <si>
    <t>4.1.3.5.1</t>
  </si>
  <si>
    <t>1동 Degassing CV</t>
  </si>
  <si>
    <t>4.1.3.5</t>
  </si>
  <si>
    <t>4.1.3.4.5</t>
  </si>
  <si>
    <t>4.1.3.4.4</t>
  </si>
  <si>
    <t>4.1.3.4.3</t>
  </si>
  <si>
    <t>4.1.3.4.2</t>
  </si>
  <si>
    <t>4.1.3.4.1</t>
  </si>
  <si>
    <t>1동 Folding CV</t>
  </si>
  <si>
    <t>4.1.3.4</t>
  </si>
  <si>
    <t>4.1.3.3.5</t>
  </si>
  <si>
    <t>4.1.3.3.4</t>
  </si>
  <si>
    <t>4.1.3.3.3</t>
  </si>
  <si>
    <t>4.1.3.3.2</t>
  </si>
  <si>
    <t>4.1.3.3.1</t>
  </si>
  <si>
    <t>1동 Aging,PPC,충방창고CV</t>
  </si>
  <si>
    <t>4.1.3.3</t>
  </si>
  <si>
    <t>4.1.3.2.5</t>
  </si>
  <si>
    <t>4.1.3.2.4</t>
  </si>
  <si>
    <t>4.1.3.2.3</t>
  </si>
  <si>
    <t>4.1.3.2.2</t>
  </si>
  <si>
    <t>4.1.3.2.1</t>
  </si>
  <si>
    <t>1F 동간물류CV</t>
  </si>
  <si>
    <t>4.1.3.2</t>
  </si>
  <si>
    <t>4.1.3.1.5</t>
  </si>
  <si>
    <t>4.1.3.1.4</t>
  </si>
  <si>
    <t>4.1.3.1.3</t>
  </si>
  <si>
    <t>4.1.3.1.2</t>
  </si>
  <si>
    <t>4.1.3.1.1</t>
  </si>
  <si>
    <t>1동 조립동CV</t>
  </si>
  <si>
    <t>4.1.3.1</t>
  </si>
  <si>
    <t>Conveyor &amp; Deck (해당구역 L/F포함 일정)</t>
  </si>
  <si>
    <t>4.1.3</t>
  </si>
  <si>
    <t>4.1.2.2.5</t>
  </si>
  <si>
    <t>4.1.2.2.4</t>
  </si>
  <si>
    <t>4.1.2.2.3</t>
  </si>
  <si>
    <t>4.1.2.2.2</t>
  </si>
  <si>
    <t>4.1.2.2.1</t>
  </si>
  <si>
    <t>2동 Aging,PPC,충방,공Tray MSC</t>
  </si>
  <si>
    <t>4.1.2.2</t>
  </si>
  <si>
    <t>4.1.2.1.5</t>
  </si>
  <si>
    <t>4.1.2.1.4</t>
  </si>
  <si>
    <t>4.1.2.1.3</t>
  </si>
  <si>
    <t>4.1.2.1.2</t>
  </si>
  <si>
    <t>4.1.2.1.1</t>
  </si>
  <si>
    <t>1동 Aging,PPC,충방,공Tray MSC</t>
  </si>
  <si>
    <t>4.1.2.1</t>
  </si>
  <si>
    <t>MSC Crane(FR)</t>
  </si>
  <si>
    <t>4.1.2</t>
  </si>
  <si>
    <t>4.1.1.12.5</t>
  </si>
  <si>
    <t>4.1.1.12.4</t>
  </si>
  <si>
    <t>4.1.1.12.3</t>
  </si>
  <si>
    <t>4.1.1.12.2</t>
  </si>
  <si>
    <t>4.1.1.12.1</t>
  </si>
  <si>
    <t>2동 공tray Rack&amp;Deck</t>
  </si>
  <si>
    <t>4.1.1.12</t>
  </si>
  <si>
    <t>4.1.1.11.5</t>
  </si>
  <si>
    <t>4.1.1.11.4</t>
  </si>
  <si>
    <t>4.1.1.11.3</t>
  </si>
  <si>
    <t>4.1.1.11.2</t>
  </si>
  <si>
    <t>4.1.1.11.1</t>
  </si>
  <si>
    <t>2동 PPC,충방전 Rack&amp;Deck</t>
  </si>
  <si>
    <t>4.1.1.11</t>
  </si>
  <si>
    <t>4.1.1.10.5</t>
  </si>
  <si>
    <t>4.1.1.10.4</t>
  </si>
  <si>
    <t>4.1.1.10.3</t>
  </si>
  <si>
    <t>4.1.1.10.2</t>
  </si>
  <si>
    <t>4.1.1.10.1</t>
  </si>
  <si>
    <t>2동 고온#2 Rack</t>
  </si>
  <si>
    <t>4.1.1.10</t>
  </si>
  <si>
    <t>4.1.1.9.5</t>
  </si>
  <si>
    <t>4.1.1.9.4</t>
  </si>
  <si>
    <t>4.1.1.9.3</t>
  </si>
  <si>
    <t>4.1.1.9.2</t>
  </si>
  <si>
    <t>4.1.1.9.1</t>
  </si>
  <si>
    <t>2동 고온#1 Rack&amp;Deck</t>
  </si>
  <si>
    <t>4.1.1.9</t>
  </si>
  <si>
    <t>4.1.1.8.5</t>
  </si>
  <si>
    <t>4.1.1.8.4</t>
  </si>
  <si>
    <t>4.1.1.8.3</t>
  </si>
  <si>
    <t>4.1.1.8.2</t>
  </si>
  <si>
    <t>4.1.1.8.1</t>
  </si>
  <si>
    <t>2동 상온#2,3 Rack&amp;Deck</t>
  </si>
  <si>
    <t>4.1.1.8</t>
  </si>
  <si>
    <t>4.1.1.7.5</t>
  </si>
  <si>
    <t>4.1.1.7.4</t>
  </si>
  <si>
    <t>4.1.1.7.3</t>
  </si>
  <si>
    <t>4.1.1.7.2</t>
  </si>
  <si>
    <t>4.1.1.7.1</t>
  </si>
  <si>
    <t>2동 상온#1 Rack&amp;Deck</t>
  </si>
  <si>
    <t>4.1.1.7</t>
  </si>
  <si>
    <t>4.1.1.6.5</t>
  </si>
  <si>
    <t>4.1.1.6.4</t>
  </si>
  <si>
    <t>4.1.1.6.3</t>
  </si>
  <si>
    <t>4.1.1.6.2</t>
  </si>
  <si>
    <t>4.1.1.6.1</t>
  </si>
  <si>
    <t>1동 공Tray Rack&amp;Deck</t>
  </si>
  <si>
    <t>4.1.1.6</t>
  </si>
  <si>
    <t>4.1.1.5.5</t>
  </si>
  <si>
    <t>4.1.1.5.4</t>
  </si>
  <si>
    <t>4.1.1.5.3</t>
  </si>
  <si>
    <t>4.1.1.5.2</t>
  </si>
  <si>
    <t>4.1.1.5.1</t>
  </si>
  <si>
    <t>1동 PPC,충방전 Rack&amp;Deck</t>
  </si>
  <si>
    <t>4.1.1.5</t>
  </si>
  <si>
    <t>4.1.1.4.5</t>
  </si>
  <si>
    <t>4.1.1.4.4</t>
  </si>
  <si>
    <t>4.1.1.4.3</t>
  </si>
  <si>
    <t>4.1.1.4.2</t>
  </si>
  <si>
    <t>4.1.1.4.1</t>
  </si>
  <si>
    <t>1동 고온#2 Rack&amp;Deck</t>
  </si>
  <si>
    <t>4.1.1.4</t>
  </si>
  <si>
    <t>4.1.1.3.5</t>
  </si>
  <si>
    <t>4.1.1.3.4</t>
  </si>
  <si>
    <t>4.1.1.3.3</t>
  </si>
  <si>
    <t>4.1.1.3.2</t>
  </si>
  <si>
    <t>4.1.1.3.1</t>
  </si>
  <si>
    <t>1동 고온#1 Rack&amp;Deck</t>
  </si>
  <si>
    <t>4.1.1.3</t>
  </si>
  <si>
    <t>4.1.1.2.5</t>
  </si>
  <si>
    <t>4.1.1.2.4</t>
  </si>
  <si>
    <t>4.1.1.2.3</t>
  </si>
  <si>
    <t>4.1.1.2.2</t>
  </si>
  <si>
    <t>4.1.1.2.1</t>
  </si>
  <si>
    <t>1동 상온#2,3 Rack&amp;Deck</t>
  </si>
  <si>
    <t>4.1.1.2</t>
  </si>
  <si>
    <t>4.1.1.1.5</t>
  </si>
  <si>
    <t>4.1.1.1.4</t>
  </si>
  <si>
    <t>4.1.1.1.3</t>
  </si>
  <si>
    <t>4.1.1.1.2</t>
  </si>
  <si>
    <t>4.1.1.1.1</t>
  </si>
  <si>
    <t>1동 상온#1 Rack&amp;Deck</t>
  </si>
  <si>
    <t>4.1.1.1</t>
  </si>
  <si>
    <t>4.1.1</t>
  </si>
  <si>
    <t>4.1</t>
  </si>
  <si>
    <t>4</t>
  </si>
  <si>
    <t>FAT</t>
  </si>
  <si>
    <t>3.1.4.1.2</t>
  </si>
  <si>
    <t>단동TEST</t>
  </si>
  <si>
    <t>3.1.4.1.1</t>
  </si>
  <si>
    <t>Conveyor TEST &amp; FAT</t>
  </si>
  <si>
    <t>3.1.4.1</t>
  </si>
  <si>
    <t>Conveyor &amp; Lifter</t>
  </si>
  <si>
    <t>3.1.4</t>
  </si>
  <si>
    <t>3.1.3.1.2</t>
  </si>
  <si>
    <t>3.1.3.1.1</t>
  </si>
  <si>
    <t>환적 이재기+PPC MSC</t>
  </si>
  <si>
    <t>3.1.3.1</t>
  </si>
  <si>
    <t>3.1.3</t>
  </si>
  <si>
    <t>3.1.2.1.2</t>
  </si>
  <si>
    <t>3.1.2.1.1</t>
  </si>
  <si>
    <t>Aging+충방전</t>
  </si>
  <si>
    <t>3.1.2.1</t>
  </si>
  <si>
    <t>MSC Crane</t>
  </si>
  <si>
    <t>3.1.2</t>
  </si>
  <si>
    <t>3.1.1.1.1</t>
  </si>
  <si>
    <t>RACK &amp; DECK</t>
  </si>
  <si>
    <t>3.1.1.1</t>
  </si>
  <si>
    <t>3.1.1</t>
  </si>
  <si>
    <t>3.1</t>
  </si>
  <si>
    <t>3</t>
  </si>
  <si>
    <t>전장조립</t>
  </si>
  <si>
    <t>2.1.3.7.4</t>
  </si>
  <si>
    <t>기구조립</t>
  </si>
  <si>
    <t>2.1.3.7.3</t>
  </si>
  <si>
    <t>가공품 발주 및 입고</t>
  </si>
  <si>
    <t>2.1.3.7.2</t>
  </si>
  <si>
    <t>장납기 구매품 발주 및 입고</t>
  </si>
  <si>
    <t>2.1.3.7.1</t>
  </si>
  <si>
    <t>2F 고온#2, 상온#2 Aging (Degasssing CV)</t>
  </si>
  <si>
    <t>2.1.3.6.4</t>
  </si>
  <si>
    <t>2.1.3.6.3</t>
  </si>
  <si>
    <t>2.1.3.6.2</t>
  </si>
  <si>
    <t>2.1.3.6.1</t>
  </si>
  <si>
    <t>2F 상온#1, 고온#1 Aging (Degasssing CV)</t>
  </si>
  <si>
    <t>2.1.3.5.4</t>
  </si>
  <si>
    <t>2.1.3.5.3</t>
  </si>
  <si>
    <t>2.1.3.5.2</t>
  </si>
  <si>
    <t>2.1.3.5.1</t>
  </si>
  <si>
    <t>1F 고온#2, 상온#2 Aging (Folding CV)</t>
  </si>
  <si>
    <t>2.1.3.4.4</t>
  </si>
  <si>
    <t>2.1.3.4.3</t>
  </si>
  <si>
    <t>2.1.3.4.2</t>
  </si>
  <si>
    <t>2.1.3.4.1</t>
  </si>
  <si>
    <t>1F 충방전 CV</t>
  </si>
  <si>
    <t>2.1.3.3.4</t>
  </si>
  <si>
    <t>2.1.3.3.3</t>
  </si>
  <si>
    <t>2.1.3.3.2</t>
  </si>
  <si>
    <t>2.1.3.3.1</t>
  </si>
  <si>
    <t>1F PPC CV</t>
  </si>
  <si>
    <t>2.1.3.2.4</t>
  </si>
  <si>
    <t>2.1.3.2.3</t>
  </si>
  <si>
    <t>2.1.3.2.2</t>
  </si>
  <si>
    <t>2.1.3.2.1</t>
  </si>
  <si>
    <t>1F 상온#1,고온#1 Aging</t>
  </si>
  <si>
    <t>2.1.3.1.4</t>
  </si>
  <si>
    <t>2.1.3.1.3</t>
  </si>
  <si>
    <t>2.1.3.1.2</t>
  </si>
  <si>
    <t>2.1.3.1.1</t>
  </si>
  <si>
    <t>조립동 CV</t>
  </si>
  <si>
    <t>Conveyor &amp; Deck</t>
  </si>
  <si>
    <t>2.1.2.7.4</t>
  </si>
  <si>
    <t>2.1.2.7.3</t>
  </si>
  <si>
    <t>단품제작</t>
  </si>
  <si>
    <t>2.1.2.7.2</t>
  </si>
  <si>
    <t>2.1.2.7.1</t>
  </si>
  <si>
    <t>공 Tray Buffer</t>
  </si>
  <si>
    <t>2.1.2.6.4</t>
  </si>
  <si>
    <t>2.1.2.6.3</t>
  </si>
  <si>
    <t>2.1.2.6.2</t>
  </si>
  <si>
    <t>2.1.2.6.1</t>
  </si>
  <si>
    <t>상온#2 Aging</t>
  </si>
  <si>
    <t>2.1.2.5.4</t>
  </si>
  <si>
    <t>2.1.2.5.3</t>
  </si>
  <si>
    <t>2.1.2.5.2</t>
  </si>
  <si>
    <t>2.1.2.5.1</t>
  </si>
  <si>
    <t>고온#2 Aging</t>
  </si>
  <si>
    <t>2.1.2.4.4</t>
  </si>
  <si>
    <t>2.1.2.4.3</t>
  </si>
  <si>
    <t>2.1.2.4.2</t>
  </si>
  <si>
    <t>2.1.2.4.1</t>
  </si>
  <si>
    <t>충방전</t>
  </si>
  <si>
    <t>2.1.2.3.4</t>
  </si>
  <si>
    <t>2.1.2.3.3</t>
  </si>
  <si>
    <t>2.1.2.3.2</t>
  </si>
  <si>
    <t>2.1.2.3.1</t>
  </si>
  <si>
    <t>PPC</t>
  </si>
  <si>
    <t>2.1.2.2.4</t>
  </si>
  <si>
    <t>2.1.2.2.3</t>
  </si>
  <si>
    <t>2.1.2.2.2</t>
  </si>
  <si>
    <t>2.1.2.2.1</t>
  </si>
  <si>
    <t>고온#1 Aging</t>
  </si>
  <si>
    <t>2.1.2.1.4</t>
  </si>
  <si>
    <t>2.1.2.1.3</t>
  </si>
  <si>
    <t>2.1.2.1.2</t>
  </si>
  <si>
    <t>2.1.2.1.1</t>
  </si>
  <si>
    <t>상온#1 Aging</t>
  </si>
  <si>
    <t>단품 및 제작</t>
  </si>
  <si>
    <t>2.1.1.12.1</t>
  </si>
  <si>
    <t>RACK 기타 마감자재</t>
  </si>
  <si>
    <t>1차조립</t>
  </si>
  <si>
    <t>2.1.1.11.2</t>
  </si>
  <si>
    <t>단품 및 Post 생산/제작</t>
  </si>
  <si>
    <t>2.1.1.11.1</t>
  </si>
  <si>
    <t>공Tray Buffer</t>
  </si>
  <si>
    <t>2.1.1.10.2</t>
  </si>
  <si>
    <t>2.1.1.10.1</t>
  </si>
  <si>
    <t>상온#2 Aging (Deck&amp;Accessory)</t>
  </si>
  <si>
    <t>2.1.1.9.2</t>
  </si>
  <si>
    <t>2.1.1.9.1</t>
  </si>
  <si>
    <t>고온#2 Aging (Deck&amp;Accessory)</t>
  </si>
  <si>
    <t>2.1.1.8.1</t>
  </si>
  <si>
    <t>2.1.1.7.2</t>
  </si>
  <si>
    <t>2.1.1.7.1</t>
  </si>
  <si>
    <t>2.1.1.6.2</t>
  </si>
  <si>
    <t>2.1.1.6.1</t>
  </si>
  <si>
    <t>2.1.1.5.2</t>
  </si>
  <si>
    <t>2.1.1.5.1</t>
  </si>
  <si>
    <t>2.1.1.4.2</t>
  </si>
  <si>
    <t>2.1.1.4.1</t>
  </si>
  <si>
    <t>충방전 (Deck&amp;Accessory)</t>
  </si>
  <si>
    <t>2.1.1.3.2</t>
  </si>
  <si>
    <t>2.1.1.3.1</t>
  </si>
  <si>
    <t>PPC (Deck&amp;Accessory)</t>
  </si>
  <si>
    <t>2.1.1.2.2</t>
  </si>
  <si>
    <t>2.1.1.2.1</t>
  </si>
  <si>
    <t>고온#1 Aging (Deck&amp;Accessory)</t>
  </si>
  <si>
    <t>2.1.1.1.2</t>
  </si>
  <si>
    <t>2.1.1.1.1</t>
  </si>
  <si>
    <t>상온#1 Aging, FCH (Deck&amp;Accessory)</t>
  </si>
  <si>
    <t>제작</t>
  </si>
  <si>
    <t>DR</t>
  </si>
  <si>
    <t>Conveyor</t>
  </si>
  <si>
    <t>Part - (Carriage/Fork)</t>
  </si>
  <si>
    <t>1.1.3.4.4</t>
  </si>
  <si>
    <t>Part - (Main Frame)</t>
  </si>
  <si>
    <t>1.1.3.4.3</t>
  </si>
  <si>
    <t>Assy</t>
  </si>
  <si>
    <t>1.1.3.4.2</t>
  </si>
  <si>
    <t>Concept (R/Sketch)</t>
  </si>
  <si>
    <t>1.1.3.4.1</t>
  </si>
  <si>
    <t>1.1.3.3.4</t>
  </si>
  <si>
    <t>1.1.3.3.3</t>
  </si>
  <si>
    <t>1.1.3.3.2</t>
  </si>
  <si>
    <t>1.1.3.3.1</t>
  </si>
  <si>
    <t>상온/고온 Aging, 충방전</t>
  </si>
  <si>
    <t>장납기 구매품 발주(모터류)</t>
  </si>
  <si>
    <t>상세설계</t>
  </si>
  <si>
    <t>1.1.2.2.2</t>
  </si>
  <si>
    <t>Layout 확정 및 기초설계</t>
  </si>
  <si>
    <t>1.1.2.2.1</t>
  </si>
  <si>
    <t>Aging 창고</t>
  </si>
  <si>
    <t>Layout</t>
  </si>
  <si>
    <t>설계</t>
  </si>
  <si>
    <t>09/08
W37</t>
  </si>
  <si>
    <t>08/11
W33</t>
  </si>
  <si>
    <t>11/05
W45</t>
  </si>
  <si>
    <t>10/08
W41</t>
  </si>
  <si>
    <t>09/10
W37</t>
  </si>
  <si>
    <t>08/13
W33</t>
  </si>
  <si>
    <t>07/16
W29</t>
  </si>
  <si>
    <t>06/18
W25</t>
  </si>
  <si>
    <t>05/21
W21</t>
  </si>
  <si>
    <t>04/23
W17</t>
  </si>
  <si>
    <t>03/26
W13</t>
  </si>
  <si>
    <t>02/26
W9</t>
  </si>
  <si>
    <t>2023
W5</t>
  </si>
  <si>
    <t>실적*</t>
    <phoneticPr fontId="43" type="noConversion"/>
  </si>
  <si>
    <t>계획</t>
    <phoneticPr fontId="43" type="noConversion"/>
  </si>
  <si>
    <t>산출물</t>
    <phoneticPr fontId="43" type="noConversion"/>
  </si>
  <si>
    <t>담당</t>
    <phoneticPr fontId="43" type="noConversion"/>
  </si>
  <si>
    <t>가중치</t>
    <phoneticPr fontId="43" type="noConversion"/>
  </si>
  <si>
    <t>실제_x000D_
총기간</t>
    <phoneticPr fontId="43" type="noConversion"/>
  </si>
  <si>
    <t>실제_x000D_
총작업량</t>
    <phoneticPr fontId="43" type="noConversion"/>
  </si>
  <si>
    <t>실제_x000D_
완료일</t>
    <phoneticPr fontId="43" type="noConversion"/>
  </si>
  <si>
    <t>실제_x000D_
시작일</t>
    <phoneticPr fontId="43" type="noConversion"/>
  </si>
  <si>
    <t>계획_x000D_
기간</t>
    <phoneticPr fontId="43" type="noConversion"/>
  </si>
  <si>
    <t>총_x000D_
기간</t>
    <phoneticPr fontId="43" type="noConversion"/>
  </si>
  <si>
    <t>계획_x000D_
작업량</t>
    <phoneticPr fontId="43" type="noConversion"/>
  </si>
  <si>
    <t>총_x000D_
작업량</t>
    <phoneticPr fontId="43" type="noConversion"/>
  </si>
  <si>
    <t>Calendar</t>
    <phoneticPr fontId="43" type="noConversion"/>
  </si>
  <si>
    <t>완료일*</t>
    <phoneticPr fontId="43" type="noConversion"/>
  </si>
  <si>
    <t>시작일*</t>
    <phoneticPr fontId="43" type="noConversion"/>
  </si>
  <si>
    <t xml:space="preserve"> </t>
    <phoneticPr fontId="43" type="noConversion"/>
  </si>
  <si>
    <t>비고</t>
    <phoneticPr fontId="43" type="noConversion"/>
  </si>
  <si>
    <t>작업*</t>
    <phoneticPr fontId="43" type="noConversion"/>
  </si>
  <si>
    <t>WBS</t>
    <phoneticPr fontId="43" type="noConversion"/>
  </si>
  <si>
    <t>wbs_level</t>
    <phoneticPr fontId="43" type="noConversion"/>
  </si>
  <si>
    <t>task_group</t>
    <phoneticPr fontId="43" type="noConversion"/>
  </si>
  <si>
    <t>reserved</t>
    <phoneticPr fontId="43" type="noConversion"/>
  </si>
  <si>
    <t>W85</t>
  </si>
  <si>
    <t>W81</t>
  </si>
  <si>
    <t>W77</t>
  </si>
  <si>
    <t>W73</t>
  </si>
  <si>
    <t>W69</t>
  </si>
  <si>
    <t>W65</t>
  </si>
  <si>
    <t>W61</t>
  </si>
  <si>
    <t>W57</t>
  </si>
  <si>
    <t>W53</t>
  </si>
  <si>
    <t>W49</t>
  </si>
  <si>
    <t>W45</t>
  </si>
  <si>
    <t>W41</t>
  </si>
  <si>
    <t>W37</t>
  </si>
  <si>
    <t>W33</t>
  </si>
  <si>
    <t>W29</t>
  </si>
  <si>
    <t>W25</t>
  </si>
  <si>
    <t>W21</t>
  </si>
  <si>
    <t>W17</t>
  </si>
  <si>
    <t>W13</t>
  </si>
  <si>
    <t>W9</t>
  </si>
  <si>
    <t>W5</t>
  </si>
  <si>
    <t>W1</t>
  </si>
  <si>
    <t>BOSK TN1 Aging &amp; Convyeyor System</t>
    <phoneticPr fontId="1" type="noConversion"/>
  </si>
  <si>
    <t>CV,MSC,RACK 레벨 작업</t>
    <phoneticPr fontId="1" type="noConversion"/>
  </si>
  <si>
    <t>CV,MSC,RACK 직진도 작업</t>
    <phoneticPr fontId="1" type="noConversion"/>
  </si>
  <si>
    <t>CV,MSC Duct 배관 작업</t>
    <phoneticPr fontId="1" type="noConversion"/>
  </si>
  <si>
    <t>CV,MSC 배선 작업</t>
    <phoneticPr fontId="1" type="noConversion"/>
  </si>
  <si>
    <t>Rail,Rack, 설비 설치 중 협착 위험</t>
    <phoneticPr fontId="1" type="noConversion"/>
  </si>
  <si>
    <t>CV,MSC,RACK 양중 작업</t>
    <phoneticPr fontId="1" type="noConversion"/>
  </si>
  <si>
    <t>지게차
크레인</t>
    <phoneticPr fontId="1" type="noConversion"/>
  </si>
  <si>
    <t>없음</t>
    <phoneticPr fontId="1" type="noConversion"/>
  </si>
  <si>
    <t>1.3 기계·설비의 낙하, 비래, 전복, 붕괴, 전도위험 부분</t>
    <phoneticPr fontId="1" type="noConversion"/>
  </si>
  <si>
    <t>C/V, Rail,Rack, 설비 설치 중 협착 위험</t>
    <phoneticPr fontId="1" type="noConversion"/>
  </si>
  <si>
    <t>8/19</t>
    <phoneticPr fontId="1" type="noConversion"/>
  </si>
  <si>
    <t>2024. 08. 19.</t>
    <phoneticPr fontId="1" type="noConversion"/>
  </si>
  <si>
    <t>양중물 전도, 낙하 위험</t>
    <phoneticPr fontId="1" type="noConversion"/>
  </si>
  <si>
    <t>공정명: BOSK TN1 Aging &amp; Convyeyor System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</si>
</sst>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26" formatCode="\$#,##0.00_);[Red]\(\$#,##0.00\)"/>
    <numFmt numFmtId="176" formatCode="mm&quot;월&quot;\ dd&quot;일&quot;"/>
    <numFmt numFmtId="177" formatCode="0_);[Red]\(0\)"/>
    <numFmt numFmtId="178" formatCode="0.0_);[Red]\(0.0\)"/>
    <numFmt numFmtId="179" formatCode="0.0"/>
    <numFmt numFmtId="180" formatCode="dd"/>
  </numFmts>
  <fonts count="5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4" tint="0.3999755851924192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1"/>
      <name val="굴림체"/>
      <family val="3"/>
      <charset val="129"/>
    </font>
    <font>
      <b/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theme="0"/>
      <name val="맑은 고딕"/>
      <family val="2"/>
      <charset val="129"/>
    </font>
    <font>
      <sz val="8"/>
      <color theme="0"/>
      <name val="Calibri"/>
      <family val="2"/>
    </font>
    <font>
      <sz val="9"/>
      <color rgb="FFFF8800"/>
      <name val="맑은 고딕"/>
      <family val="3"/>
      <charset val="129"/>
      <scheme val="minor"/>
    </font>
    <font>
      <sz val="8"/>
      <color rgb="FFFF8800"/>
      <name val="Calibri"/>
      <family val="2"/>
    </font>
    <font>
      <sz val="9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rgb="FFFF8800"/>
      <name val="Calibri"/>
      <family val="2"/>
    </font>
    <font>
      <u/>
      <sz val="11"/>
      <color theme="10"/>
      <name val="돋움"/>
      <family val="3"/>
      <charset val="129"/>
    </font>
    <font>
      <sz val="9"/>
      <color rgb="FF0070C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6"/>
      <color rgb="FF0070C0"/>
      <name val="맑은 고딕"/>
      <family val="3"/>
      <charset val="129"/>
      <scheme val="minor"/>
    </font>
    <font>
      <b/>
      <sz val="13"/>
      <color rgb="FFFF8800"/>
      <name val="Calibri"/>
      <family val="2"/>
    </font>
    <font>
      <b/>
      <sz val="10"/>
      <color rgb="FF0070C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2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9" fontId="32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</cellStyleXfs>
  <cellXfs count="3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6" fillId="0" borderId="1" xfId="0" quotePrefix="1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29" fillId="0" borderId="34" xfId="1" applyFont="1" applyBorder="1" applyAlignment="1">
      <alignment horizontal="center" vertical="center" wrapText="1"/>
    </xf>
    <xf numFmtId="0" fontId="29" fillId="0" borderId="79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29" fillId="0" borderId="35" xfId="1" applyFont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25" fillId="0" borderId="80" xfId="12" applyFont="1" applyFill="1" applyBorder="1" applyAlignment="1" applyProtection="1">
      <alignment horizontal="left" vertical="center"/>
      <protection locked="0"/>
    </xf>
    <xf numFmtId="10" fontId="25" fillId="0" borderId="81" xfId="21" applyNumberFormat="1" applyFont="1" applyFill="1" applyBorder="1" applyAlignment="1" applyProtection="1">
      <alignment horizontal="right" vertical="top"/>
      <protection locked="0"/>
    </xf>
    <xf numFmtId="10" fontId="25" fillId="0" borderId="81" xfId="21" applyNumberFormat="1" applyFont="1" applyFill="1" applyBorder="1" applyAlignment="1" applyProtection="1">
      <alignment horizontal="right" vertical="top" wrapText="1"/>
      <protection locked="0"/>
    </xf>
    <xf numFmtId="14" fontId="25" fillId="0" borderId="81" xfId="12" applyNumberFormat="1" applyFont="1" applyFill="1" applyBorder="1" applyAlignment="1" applyProtection="1">
      <alignment horizontal="left" vertical="top"/>
      <protection locked="0"/>
    </xf>
    <xf numFmtId="0" fontId="25" fillId="0" borderId="81" xfId="12" applyNumberFormat="1" applyFont="1" applyFill="1" applyBorder="1" applyAlignment="1" applyProtection="1">
      <alignment horizontal="center" vertical="top"/>
      <protection locked="0"/>
    </xf>
    <xf numFmtId="178" fontId="25" fillId="0" borderId="81" xfId="12" applyNumberFormat="1" applyFont="1" applyFill="1" applyBorder="1" applyAlignment="1" applyProtection="1">
      <alignment horizontal="center" vertical="top"/>
      <protection locked="0"/>
    </xf>
    <xf numFmtId="1" fontId="25" fillId="0" borderId="81" xfId="12" applyNumberFormat="1" applyFont="1" applyFill="1" applyBorder="1" applyAlignment="1" applyProtection="1">
      <alignment horizontal="center" vertical="top"/>
      <protection locked="0"/>
    </xf>
    <xf numFmtId="179" fontId="25" fillId="0" borderId="81" xfId="12" applyNumberFormat="1" applyFont="1" applyFill="1" applyBorder="1" applyAlignment="1" applyProtection="1">
      <alignment horizontal="center" vertical="top"/>
      <protection locked="0"/>
    </xf>
    <xf numFmtId="14" fontId="25" fillId="0" borderId="81" xfId="12" applyNumberFormat="1" applyFont="1" applyFill="1" applyBorder="1" applyAlignment="1" applyProtection="1">
      <alignment horizontal="center" vertical="top"/>
      <protection locked="0"/>
    </xf>
    <xf numFmtId="0" fontId="25" fillId="0" borderId="81" xfId="12" applyFont="1" applyFill="1" applyBorder="1" applyAlignment="1" applyProtection="1">
      <alignment horizontal="center" vertical="center"/>
      <protection locked="0"/>
    </xf>
    <xf numFmtId="0" fontId="25" fillId="0" borderId="81" xfId="12" applyFont="1" applyFill="1" applyBorder="1" applyAlignment="1" applyProtection="1">
      <alignment horizontal="left" vertical="top"/>
      <protection locked="0"/>
    </xf>
    <xf numFmtId="0" fontId="25" fillId="0" borderId="81" xfId="12" applyFont="1" applyFill="1" applyBorder="1" applyAlignment="1" applyProtection="1">
      <alignment horizontal="right" vertical="top"/>
      <protection locked="0"/>
    </xf>
    <xf numFmtId="0" fontId="25" fillId="0" borderId="81" xfId="12" applyFont="1" applyFill="1" applyBorder="1" applyAlignment="1" applyProtection="1">
      <alignment vertical="top"/>
      <protection locked="0"/>
    </xf>
    <xf numFmtId="0" fontId="25" fillId="0" borderId="82" xfId="12" applyNumberFormat="1" applyFont="1" applyFill="1" applyBorder="1" applyAlignment="1" applyProtection="1">
      <alignment horizontal="center" vertical="top"/>
      <protection locked="0"/>
    </xf>
    <xf numFmtId="0" fontId="25" fillId="0" borderId="83" xfId="12" applyFont="1" applyFill="1" applyBorder="1" applyAlignment="1" applyProtection="1">
      <alignment horizontal="left" vertical="center"/>
      <protection locked="0"/>
    </xf>
    <xf numFmtId="10" fontId="25" fillId="0" borderId="84" xfId="21" applyNumberFormat="1" applyFont="1" applyFill="1" applyBorder="1" applyAlignment="1" applyProtection="1">
      <alignment horizontal="right" vertical="top"/>
      <protection locked="0"/>
    </xf>
    <xf numFmtId="10" fontId="25" fillId="0" borderId="84" xfId="21" applyNumberFormat="1" applyFont="1" applyFill="1" applyBorder="1" applyAlignment="1" applyProtection="1">
      <alignment horizontal="right" vertical="top" wrapText="1"/>
      <protection locked="0"/>
    </xf>
    <xf numFmtId="14" fontId="25" fillId="0" borderId="84" xfId="12" applyNumberFormat="1" applyFont="1" applyFill="1" applyBorder="1" applyAlignment="1" applyProtection="1">
      <alignment horizontal="left" vertical="top"/>
      <protection locked="0"/>
    </xf>
    <xf numFmtId="0" fontId="25" fillId="0" borderId="84" xfId="12" applyNumberFormat="1" applyFont="1" applyFill="1" applyBorder="1" applyAlignment="1" applyProtection="1">
      <alignment horizontal="center" vertical="top"/>
      <protection locked="0"/>
    </xf>
    <xf numFmtId="178" fontId="25" fillId="0" borderId="84" xfId="12" applyNumberFormat="1" applyFont="1" applyFill="1" applyBorder="1" applyAlignment="1" applyProtection="1">
      <alignment horizontal="center" vertical="top"/>
      <protection locked="0"/>
    </xf>
    <xf numFmtId="1" fontId="25" fillId="0" borderId="84" xfId="12" applyNumberFormat="1" applyFont="1" applyFill="1" applyBorder="1" applyAlignment="1" applyProtection="1">
      <alignment horizontal="center" vertical="top"/>
      <protection locked="0"/>
    </xf>
    <xf numFmtId="179" fontId="25" fillId="0" borderId="84" xfId="12" applyNumberFormat="1" applyFont="1" applyFill="1" applyBorder="1" applyAlignment="1" applyProtection="1">
      <alignment horizontal="center" vertical="top"/>
      <protection locked="0"/>
    </xf>
    <xf numFmtId="14" fontId="25" fillId="0" borderId="84" xfId="12" applyNumberFormat="1" applyFont="1" applyFill="1" applyBorder="1" applyAlignment="1" applyProtection="1">
      <alignment horizontal="center" vertical="top"/>
      <protection locked="0"/>
    </xf>
    <xf numFmtId="0" fontId="25" fillId="0" borderId="84" xfId="12" applyFont="1" applyFill="1" applyBorder="1" applyAlignment="1" applyProtection="1">
      <alignment horizontal="center" vertical="center"/>
      <protection locked="0"/>
    </xf>
    <xf numFmtId="0" fontId="25" fillId="0" borderId="84" xfId="12" applyFont="1" applyFill="1" applyBorder="1" applyAlignment="1" applyProtection="1">
      <alignment horizontal="left" vertical="top"/>
      <protection locked="0"/>
    </xf>
    <xf numFmtId="0" fontId="25" fillId="0" borderId="84" xfId="12" applyFont="1" applyFill="1" applyBorder="1" applyAlignment="1" applyProtection="1">
      <alignment horizontal="right" vertical="top"/>
      <protection locked="0"/>
    </xf>
    <xf numFmtId="0" fontId="25" fillId="0" borderId="84" xfId="12" applyFont="1" applyFill="1" applyBorder="1" applyAlignment="1" applyProtection="1">
      <alignment vertical="top"/>
      <protection locked="0"/>
    </xf>
    <xf numFmtId="0" fontId="25" fillId="0" borderId="81" xfId="12" applyFont="1" applyFill="1" applyBorder="1" applyAlignment="1" applyProtection="1">
      <alignment horizontal="left" vertical="center"/>
      <protection locked="0"/>
    </xf>
    <xf numFmtId="10" fontId="25" fillId="12" borderId="81" xfId="20" applyNumberFormat="1" applyFont="1" applyFill="1" applyBorder="1" applyAlignment="1" applyProtection="1">
      <alignment horizontal="right" vertical="top"/>
      <protection locked="0"/>
    </xf>
    <xf numFmtId="10" fontId="25" fillId="0" borderId="81" xfId="20" applyNumberFormat="1" applyFont="1" applyFill="1" applyBorder="1" applyAlignment="1" applyProtection="1">
      <alignment horizontal="right" vertical="top" wrapText="1"/>
      <protection locked="0"/>
    </xf>
    <xf numFmtId="14" fontId="25" fillId="9" borderId="81" xfId="12" applyNumberFormat="1" applyFont="1" applyFill="1" applyBorder="1" applyAlignment="1" applyProtection="1">
      <alignment horizontal="center" vertical="top"/>
      <protection locked="0"/>
    </xf>
    <xf numFmtId="0" fontId="25" fillId="0" borderId="81" xfId="12" quotePrefix="1" applyFont="1" applyFill="1" applyBorder="1" applyAlignment="1" applyProtection="1">
      <alignment horizontal="right" vertical="top"/>
      <protection locked="0"/>
    </xf>
    <xf numFmtId="0" fontId="25" fillId="0" borderId="85" xfId="12" applyFont="1" applyFill="1" applyBorder="1" applyAlignment="1" applyProtection="1">
      <alignment vertical="top"/>
      <protection locked="0"/>
    </xf>
    <xf numFmtId="0" fontId="25" fillId="0" borderId="82" xfId="12" applyFont="1" applyFill="1" applyBorder="1" applyAlignment="1" applyProtection="1">
      <alignment vertical="top"/>
      <protection locked="0"/>
    </xf>
    <xf numFmtId="10" fontId="36" fillId="12" borderId="81" xfId="20" applyNumberFormat="1" applyFont="1" applyFill="1" applyBorder="1" applyAlignment="1" applyProtection="1">
      <alignment horizontal="right" vertical="top"/>
      <protection locked="0"/>
    </xf>
    <xf numFmtId="10" fontId="25" fillId="0" borderId="81" xfId="20" applyNumberFormat="1" applyFont="1" applyFill="1" applyBorder="1" applyAlignment="1" applyProtection="1">
      <alignment horizontal="right" vertical="top"/>
      <protection locked="0"/>
    </xf>
    <xf numFmtId="10" fontId="36" fillId="0" borderId="81" xfId="20" applyNumberFormat="1" applyFont="1" applyFill="1" applyBorder="1" applyAlignment="1" applyProtection="1">
      <alignment horizontal="right" vertical="top"/>
      <protection locked="0"/>
    </xf>
    <xf numFmtId="14" fontId="37" fillId="9" borderId="81" xfId="12" applyNumberFormat="1" applyFont="1" applyFill="1" applyBorder="1" applyAlignment="1" applyProtection="1">
      <alignment horizontal="center" vertical="top"/>
      <protection locked="0"/>
    </xf>
    <xf numFmtId="0" fontId="25" fillId="0" borderId="81" xfId="12" applyFont="1" applyFill="1" applyBorder="1" applyAlignment="1" applyProtection="1">
      <alignment horizontal="center" vertical="top"/>
      <protection locked="0"/>
    </xf>
    <xf numFmtId="0" fontId="25" fillId="9" borderId="81" xfId="12" applyFont="1" applyFill="1" applyBorder="1" applyAlignment="1" applyProtection="1">
      <alignment horizontal="left" vertical="top"/>
      <protection locked="0"/>
    </xf>
    <xf numFmtId="0" fontId="25" fillId="9" borderId="81" xfId="12" applyFont="1" applyFill="1" applyBorder="1" applyAlignment="1" applyProtection="1">
      <alignment horizontal="left" vertical="center"/>
      <protection locked="0"/>
    </xf>
    <xf numFmtId="10" fontId="25" fillId="13" borderId="81" xfId="20" applyNumberFormat="1" applyFont="1" applyFill="1" applyBorder="1" applyAlignment="1" applyProtection="1">
      <alignment horizontal="right" vertical="top"/>
      <protection locked="0"/>
    </xf>
    <xf numFmtId="10" fontId="36" fillId="13" borderId="81" xfId="20" applyNumberFormat="1" applyFont="1" applyFill="1" applyBorder="1" applyAlignment="1" applyProtection="1">
      <alignment horizontal="right" vertical="top"/>
      <protection locked="0"/>
    </xf>
    <xf numFmtId="0" fontId="25" fillId="0" borderId="81" xfId="22" applyFont="1" applyFill="1" applyBorder="1" applyAlignment="1">
      <alignment horizontal="left" vertical="center"/>
    </xf>
    <xf numFmtId="0" fontId="25" fillId="0" borderId="81" xfId="12" applyNumberFormat="1" applyFont="1" applyFill="1" applyBorder="1" applyAlignment="1" applyProtection="1">
      <alignment horizontal="left" vertical="top"/>
      <protection locked="0"/>
    </xf>
    <xf numFmtId="0" fontId="25" fillId="9" borderId="81" xfId="12" applyFont="1" applyFill="1" applyBorder="1" applyAlignment="1" applyProtection="1">
      <alignment horizontal="center" vertical="center"/>
      <protection locked="0"/>
    </xf>
    <xf numFmtId="0" fontId="25" fillId="9" borderId="81" xfId="12" applyFont="1" applyFill="1" applyBorder="1" applyAlignment="1" applyProtection="1">
      <alignment horizontal="center" vertical="top"/>
      <protection locked="0"/>
    </xf>
    <xf numFmtId="0" fontId="36" fillId="4" borderId="81" xfId="12" applyFont="1" applyFill="1" applyBorder="1" applyAlignment="1" applyProtection="1">
      <alignment horizontal="left" vertical="top"/>
      <protection locked="0"/>
    </xf>
    <xf numFmtId="10" fontId="36" fillId="0" borderId="81" xfId="20" applyNumberFormat="1" applyFont="1" applyFill="1" applyBorder="1" applyAlignment="1" applyProtection="1">
      <alignment horizontal="right" vertical="top" wrapText="1"/>
      <protection locked="0"/>
    </xf>
    <xf numFmtId="14" fontId="36" fillId="0" borderId="81" xfId="12" applyNumberFormat="1" applyFont="1" applyFill="1" applyBorder="1" applyAlignment="1" applyProtection="1">
      <alignment horizontal="left" vertical="top"/>
      <protection locked="0"/>
    </xf>
    <xf numFmtId="0" fontId="36" fillId="0" borderId="81" xfId="12" applyNumberFormat="1" applyFont="1" applyFill="1" applyBorder="1" applyAlignment="1" applyProtection="1">
      <alignment horizontal="left" vertical="top"/>
      <protection locked="0"/>
    </xf>
    <xf numFmtId="178" fontId="36" fillId="0" borderId="81" xfId="12" applyNumberFormat="1" applyFont="1" applyFill="1" applyBorder="1" applyAlignment="1" applyProtection="1">
      <alignment horizontal="center" vertical="top"/>
      <protection locked="0"/>
    </xf>
    <xf numFmtId="1" fontId="36" fillId="0" borderId="81" xfId="12" applyNumberFormat="1" applyFont="1" applyFill="1" applyBorder="1" applyAlignment="1" applyProtection="1">
      <alignment horizontal="center" vertical="top"/>
      <protection locked="0"/>
    </xf>
    <xf numFmtId="179" fontId="36" fillId="0" borderId="81" xfId="12" applyNumberFormat="1" applyFont="1" applyFill="1" applyBorder="1" applyAlignment="1" applyProtection="1">
      <alignment horizontal="center" vertical="top"/>
      <protection locked="0"/>
    </xf>
    <xf numFmtId="14" fontId="36" fillId="0" borderId="81" xfId="12" applyNumberFormat="1" applyFont="1" applyFill="1" applyBorder="1" applyAlignment="1" applyProtection="1">
      <alignment horizontal="center" vertical="top"/>
      <protection locked="0"/>
    </xf>
    <xf numFmtId="0" fontId="36" fillId="0" borderId="81" xfId="12" applyNumberFormat="1" applyFont="1" applyFill="1" applyBorder="1" applyAlignment="1" applyProtection="1">
      <alignment horizontal="center" vertical="top"/>
      <protection locked="0"/>
    </xf>
    <xf numFmtId="0" fontId="36" fillId="9" borderId="81" xfId="12" applyFont="1" applyFill="1" applyBorder="1" applyAlignment="1" applyProtection="1">
      <alignment horizontal="center" vertical="top"/>
      <protection locked="0"/>
    </xf>
    <xf numFmtId="0" fontId="36" fillId="9" borderId="81" xfId="12" applyFont="1" applyFill="1" applyBorder="1" applyAlignment="1" applyProtection="1">
      <alignment horizontal="left" vertical="top"/>
      <protection locked="0"/>
    </xf>
    <xf numFmtId="0" fontId="36" fillId="0" borderId="81" xfId="12" applyFont="1" applyFill="1" applyBorder="1" applyAlignment="1" applyProtection="1">
      <alignment horizontal="left" vertical="top"/>
      <protection locked="0"/>
    </xf>
    <xf numFmtId="0" fontId="36" fillId="0" borderId="81" xfId="12" quotePrefix="1" applyFont="1" applyFill="1" applyBorder="1" applyAlignment="1" applyProtection="1">
      <alignment horizontal="right" vertical="top"/>
      <protection locked="0"/>
    </xf>
    <xf numFmtId="0" fontId="29" fillId="0" borderId="81" xfId="12" applyFont="1" applyFill="1" applyBorder="1" applyAlignment="1" applyProtection="1">
      <alignment horizontal="left" vertical="top"/>
      <protection locked="0"/>
    </xf>
    <xf numFmtId="0" fontId="25" fillId="14" borderId="81" xfId="12" applyFont="1" applyFill="1" applyBorder="1" applyAlignment="1" applyProtection="1">
      <alignment horizontal="left" vertical="top"/>
      <protection locked="0"/>
    </xf>
    <xf numFmtId="10" fontId="36" fillId="4" borderId="81" xfId="20" applyNumberFormat="1" applyFont="1" applyFill="1" applyBorder="1" applyAlignment="1" applyProtection="1">
      <alignment horizontal="right" vertical="top" wrapText="1"/>
      <protection locked="0"/>
    </xf>
    <xf numFmtId="14" fontId="36" fillId="4" borderId="81" xfId="12" applyNumberFormat="1" applyFont="1" applyFill="1" applyBorder="1" applyAlignment="1" applyProtection="1">
      <alignment horizontal="left" vertical="top"/>
      <protection locked="0"/>
    </xf>
    <xf numFmtId="0" fontId="36" fillId="4" borderId="81" xfId="12" applyNumberFormat="1" applyFont="1" applyFill="1" applyBorder="1" applyAlignment="1" applyProtection="1">
      <alignment horizontal="center" vertical="top"/>
      <protection locked="0"/>
    </xf>
    <xf numFmtId="178" fontId="36" fillId="4" borderId="81" xfId="12" applyNumberFormat="1" applyFont="1" applyFill="1" applyBorder="1" applyAlignment="1" applyProtection="1">
      <alignment horizontal="center" vertical="top"/>
      <protection locked="0"/>
    </xf>
    <xf numFmtId="1" fontId="36" fillId="4" borderId="81" xfId="12" applyNumberFormat="1" applyFont="1" applyFill="1" applyBorder="1" applyAlignment="1" applyProtection="1">
      <alignment horizontal="center" vertical="top"/>
      <protection locked="0"/>
    </xf>
    <xf numFmtId="179" fontId="36" fillId="4" borderId="81" xfId="12" applyNumberFormat="1" applyFont="1" applyFill="1" applyBorder="1" applyAlignment="1" applyProtection="1">
      <alignment horizontal="center" vertical="top"/>
      <protection locked="0"/>
    </xf>
    <xf numFmtId="14" fontId="36" fillId="4" borderId="81" xfId="12" applyNumberFormat="1" applyFont="1" applyFill="1" applyBorder="1" applyAlignment="1" applyProtection="1">
      <alignment horizontal="center" vertical="top"/>
      <protection locked="0"/>
    </xf>
    <xf numFmtId="14" fontId="36" fillId="9" borderId="81" xfId="12" applyNumberFormat="1" applyFont="1" applyFill="1" applyBorder="1" applyAlignment="1" applyProtection="1">
      <alignment horizontal="center" vertical="top"/>
      <protection locked="0"/>
    </xf>
    <xf numFmtId="0" fontId="36" fillId="4" borderId="81" xfId="12" applyFont="1" applyFill="1" applyBorder="1" applyAlignment="1" applyProtection="1">
      <alignment horizontal="center" vertical="center"/>
      <protection locked="0"/>
    </xf>
    <xf numFmtId="0" fontId="36" fillId="4" borderId="81" xfId="12" quotePrefix="1" applyFont="1" applyFill="1" applyBorder="1" applyAlignment="1" applyProtection="1">
      <alignment horizontal="right" vertical="top"/>
      <protection locked="0"/>
    </xf>
    <xf numFmtId="10" fontId="25" fillId="4" borderId="81" xfId="20" applyNumberFormat="1" applyFont="1" applyFill="1" applyBorder="1" applyAlignment="1" applyProtection="1">
      <alignment horizontal="right" vertical="top" wrapText="1"/>
      <protection locked="0"/>
    </xf>
    <xf numFmtId="14" fontId="25" fillId="4" borderId="81" xfId="12" applyNumberFormat="1" applyFont="1" applyFill="1" applyBorder="1" applyAlignment="1" applyProtection="1">
      <alignment horizontal="left" vertical="top"/>
      <protection locked="0"/>
    </xf>
    <xf numFmtId="0" fontId="25" fillId="4" borderId="81" xfId="12" applyNumberFormat="1" applyFont="1" applyFill="1" applyBorder="1" applyAlignment="1" applyProtection="1">
      <alignment horizontal="center" vertical="top"/>
      <protection locked="0"/>
    </xf>
    <xf numFmtId="178" fontId="25" fillId="4" borderId="81" xfId="12" applyNumberFormat="1" applyFont="1" applyFill="1" applyBorder="1" applyAlignment="1" applyProtection="1">
      <alignment horizontal="center" vertical="top"/>
      <protection locked="0"/>
    </xf>
    <xf numFmtId="1" fontId="25" fillId="4" borderId="81" xfId="12" applyNumberFormat="1" applyFont="1" applyFill="1" applyBorder="1" applyAlignment="1" applyProtection="1">
      <alignment horizontal="center" vertical="top"/>
      <protection locked="0"/>
    </xf>
    <xf numFmtId="179" fontId="25" fillId="4" borderId="81" xfId="12" applyNumberFormat="1" applyFont="1" applyFill="1" applyBorder="1" applyAlignment="1" applyProtection="1">
      <alignment horizontal="center" vertical="top"/>
      <protection locked="0"/>
    </xf>
    <xf numFmtId="14" fontId="25" fillId="4" borderId="81" xfId="12" applyNumberFormat="1" applyFont="1" applyFill="1" applyBorder="1" applyAlignment="1" applyProtection="1">
      <alignment horizontal="center" vertical="top"/>
      <protection locked="0"/>
    </xf>
    <xf numFmtId="0" fontId="25" fillId="4" borderId="81" xfId="12" applyFont="1" applyFill="1" applyBorder="1" applyAlignment="1" applyProtection="1">
      <alignment horizontal="center" vertical="center"/>
      <protection locked="0"/>
    </xf>
    <xf numFmtId="0" fontId="25" fillId="4" borderId="81" xfId="12" applyFont="1" applyFill="1" applyBorder="1" applyAlignment="1" applyProtection="1">
      <alignment horizontal="left" vertical="top"/>
      <protection locked="0"/>
    </xf>
    <xf numFmtId="0" fontId="25" fillId="4" borderId="85" xfId="12" applyFont="1" applyFill="1" applyBorder="1" applyAlignment="1" applyProtection="1">
      <alignment vertical="top"/>
      <protection locked="0"/>
    </xf>
    <xf numFmtId="0" fontId="25" fillId="4" borderId="82" xfId="12" applyFont="1" applyFill="1" applyBorder="1" applyAlignment="1" applyProtection="1">
      <alignment vertical="top"/>
      <protection locked="0"/>
    </xf>
    <xf numFmtId="0" fontId="36" fillId="4" borderId="81" xfId="12" applyFont="1" applyFill="1" applyBorder="1" applyAlignment="1" applyProtection="1">
      <alignment horizontal="center" vertical="top"/>
      <protection locked="0"/>
    </xf>
    <xf numFmtId="0" fontId="25" fillId="0" borderId="0" xfId="12" applyFont="1" applyFill="1" applyBorder="1" applyAlignment="1" applyProtection="1">
      <alignment horizontal="left" vertical="center"/>
    </xf>
    <xf numFmtId="0" fontId="40" fillId="0" borderId="0" xfId="12" applyFont="1" applyFill="1" applyBorder="1" applyAlignment="1" applyProtection="1">
      <alignment horizontal="left" vertical="center"/>
    </xf>
    <xf numFmtId="0" fontId="40" fillId="0" borderId="81" xfId="12" applyFont="1" applyFill="1" applyBorder="1" applyAlignment="1" applyProtection="1">
      <alignment horizontal="left" vertical="center"/>
    </xf>
    <xf numFmtId="180" fontId="41" fillId="15" borderId="81" xfId="12" applyNumberFormat="1" applyFont="1" applyFill="1" applyBorder="1" applyAlignment="1" applyProtection="1">
      <alignment horizontal="center" vertical="center"/>
    </xf>
    <xf numFmtId="14" fontId="42" fillId="10" borderId="81" xfId="12" applyNumberFormat="1" applyFont="1" applyFill="1" applyBorder="1" applyAlignment="1" applyProtection="1">
      <alignment horizontal="center" vertical="center"/>
    </xf>
    <xf numFmtId="0" fontId="25" fillId="0" borderId="0" xfId="22" applyFont="1" applyFill="1" applyBorder="1" applyAlignment="1">
      <alignment horizontal="left" vertical="center"/>
    </xf>
    <xf numFmtId="14" fontId="42" fillId="16" borderId="81" xfId="12" applyNumberFormat="1" applyFont="1" applyFill="1" applyBorder="1" applyAlignment="1" applyProtection="1">
      <alignment horizontal="center" vertical="center"/>
    </xf>
    <xf numFmtId="0" fontId="25" fillId="12" borderId="0" xfId="22" applyFont="1" applyFill="1" applyBorder="1" applyAlignment="1">
      <alignment horizontal="left" vertical="center"/>
    </xf>
    <xf numFmtId="0" fontId="44" fillId="12" borderId="0" xfId="22" applyFont="1" applyFill="1" applyBorder="1" applyAlignment="1">
      <alignment horizontal="left" vertical="center"/>
    </xf>
    <xf numFmtId="0" fontId="46" fillId="12" borderId="0" xfId="23" applyNumberFormat="1" applyFont="1" applyFill="1" applyBorder="1" applyAlignment="1">
      <alignment horizontal="right" vertical="center"/>
    </xf>
    <xf numFmtId="0" fontId="47" fillId="12" borderId="0" xfId="23" applyNumberFormat="1" applyFont="1" applyFill="1" applyBorder="1" applyAlignment="1">
      <alignment horizontal="right" vertical="top"/>
    </xf>
    <xf numFmtId="0" fontId="47" fillId="12" borderId="0" xfId="23" applyNumberFormat="1" applyFont="1" applyFill="1" applyBorder="1" applyAlignment="1">
      <alignment vertical="top"/>
    </xf>
    <xf numFmtId="0" fontId="46" fillId="12" borderId="0" xfId="23" applyNumberFormat="1" applyFont="1" applyFill="1" applyBorder="1" applyAlignment="1">
      <alignment horizontal="center" vertical="center"/>
    </xf>
    <xf numFmtId="178" fontId="46" fillId="12" borderId="0" xfId="23" applyNumberFormat="1" applyFont="1" applyFill="1" applyBorder="1" applyAlignment="1">
      <alignment horizontal="right" vertical="center"/>
    </xf>
    <xf numFmtId="0" fontId="46" fillId="12" borderId="0" xfId="23" applyNumberFormat="1" applyFont="1" applyFill="1" applyBorder="1" applyAlignment="1">
      <alignment vertical="center"/>
    </xf>
    <xf numFmtId="10" fontId="46" fillId="12" borderId="0" xfId="21" applyNumberFormat="1" applyFont="1" applyFill="1" applyBorder="1" applyAlignment="1">
      <alignment horizontal="right" vertical="center"/>
    </xf>
    <xf numFmtId="0" fontId="48" fillId="12" borderId="0" xfId="22" applyFont="1" applyFill="1" applyBorder="1" applyAlignment="1">
      <alignment horizontal="left" vertical="top"/>
    </xf>
    <xf numFmtId="0" fontId="49" fillId="12" borderId="0" xfId="22" applyFont="1" applyFill="1" applyBorder="1" applyAlignment="1">
      <alignment horizontal="left" vertical="top"/>
    </xf>
    <xf numFmtId="0" fontId="45" fillId="12" borderId="0" xfId="23" applyFill="1" applyBorder="1" applyAlignment="1">
      <alignment horizontal="left" vertical="center"/>
    </xf>
    <xf numFmtId="0" fontId="50" fillId="12" borderId="0" xfId="23" applyFont="1" applyFill="1" applyBorder="1" applyAlignment="1">
      <alignment horizontal="left" vertical="center"/>
    </xf>
    <xf numFmtId="0" fontId="48" fillId="12" borderId="0" xfId="23" applyFont="1" applyFill="1" applyBorder="1" applyAlignment="1">
      <alignment horizontal="right" vertical="center"/>
    </xf>
    <xf numFmtId="0" fontId="48" fillId="12" borderId="0" xfId="23" applyFont="1" applyFill="1" applyBorder="1" applyAlignment="1">
      <alignment horizontal="right" vertical="top"/>
    </xf>
    <xf numFmtId="0" fontId="51" fillId="12" borderId="0" xfId="23" applyFont="1" applyFill="1" applyBorder="1" applyAlignment="1">
      <alignment vertical="top"/>
    </xf>
    <xf numFmtId="0" fontId="51" fillId="12" borderId="0" xfId="23" applyNumberFormat="1" applyFont="1" applyFill="1" applyBorder="1" applyAlignment="1">
      <alignment horizontal="center" vertical="top"/>
    </xf>
    <xf numFmtId="0" fontId="51" fillId="12" borderId="0" xfId="23" applyFont="1" applyFill="1" applyBorder="1" applyAlignment="1">
      <alignment vertical="top" wrapText="1"/>
    </xf>
    <xf numFmtId="1" fontId="52" fillId="12" borderId="0" xfId="22" applyNumberFormat="1" applyFont="1" applyFill="1" applyBorder="1" applyAlignment="1">
      <alignment horizontal="center" vertical="top"/>
    </xf>
    <xf numFmtId="0" fontId="49" fillId="12" borderId="0" xfId="22" applyFont="1" applyFill="1" applyBorder="1" applyAlignment="1">
      <alignment horizontal="left" vertical="center"/>
    </xf>
    <xf numFmtId="14" fontId="52" fillId="12" borderId="0" xfId="22" applyNumberFormat="1" applyFont="1" applyFill="1" applyBorder="1" applyAlignment="1">
      <alignment horizontal="center" vertical="top"/>
    </xf>
    <xf numFmtId="178" fontId="52" fillId="12" borderId="0" xfId="22" applyNumberFormat="1" applyFont="1" applyFill="1" applyBorder="1" applyAlignment="1">
      <alignment horizontal="center" vertical="top"/>
    </xf>
    <xf numFmtId="178" fontId="49" fillId="12" borderId="0" xfId="22" applyNumberFormat="1" applyFont="1" applyFill="1" applyBorder="1" applyAlignment="1">
      <alignment horizontal="center" vertical="top"/>
    </xf>
    <xf numFmtId="178" fontId="51" fillId="12" borderId="0" xfId="22" applyNumberFormat="1" applyFont="1" applyFill="1" applyBorder="1" applyAlignment="1">
      <alignment horizontal="center" vertical="top"/>
    </xf>
    <xf numFmtId="14" fontId="53" fillId="12" borderId="0" xfId="22" applyNumberFormat="1" applyFont="1" applyFill="1" applyBorder="1" applyAlignment="1">
      <alignment horizontal="center" vertical="top" wrapText="1"/>
    </xf>
    <xf numFmtId="14" fontId="52" fillId="12" borderId="0" xfId="22" applyNumberFormat="1" applyFont="1" applyFill="1" applyBorder="1" applyAlignment="1">
      <alignment vertical="top"/>
    </xf>
    <xf numFmtId="9" fontId="52" fillId="12" borderId="0" xfId="20" applyFont="1" applyFill="1" applyBorder="1" applyAlignment="1">
      <alignment vertical="center"/>
    </xf>
    <xf numFmtId="0" fontId="52" fillId="12" borderId="0" xfId="22" applyFont="1" applyFill="1" applyBorder="1" applyAlignment="1">
      <alignment horizontal="center" vertical="center"/>
    </xf>
    <xf numFmtId="0" fontId="52" fillId="12" borderId="0" xfId="22" applyFont="1" applyFill="1" applyBorder="1" applyAlignment="1">
      <alignment vertical="center"/>
    </xf>
    <xf numFmtId="0" fontId="52" fillId="12" borderId="0" xfId="22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4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10" fillId="0" borderId="43" xfId="1" applyFont="1" applyBorder="1" applyAlignment="1">
      <alignment horizontal="left" vertical="center" wrapText="1" indent="1"/>
    </xf>
    <xf numFmtId="0" fontId="8" fillId="2" borderId="38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 wrapText="1"/>
    </xf>
    <xf numFmtId="0" fontId="8" fillId="0" borderId="45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26" fillId="0" borderId="71" xfId="1" applyFont="1" applyBorder="1" applyAlignment="1">
      <alignment horizontal="center" vertical="center" wrapText="1"/>
    </xf>
    <xf numFmtId="0" fontId="26" fillId="0" borderId="72" xfId="1" applyFont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26" fontId="5" fillId="0" borderId="28" xfId="1" applyNumberFormat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0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47" xfId="1" applyFont="1" applyBorder="1" applyAlignment="1">
      <alignment horizontal="center" vertical="center" wrapText="1"/>
    </xf>
    <xf numFmtId="0" fontId="25" fillId="0" borderId="75" xfId="1" applyFont="1" applyBorder="1" applyAlignment="1">
      <alignment horizontal="center" vertical="center" wrapText="1"/>
    </xf>
    <xf numFmtId="0" fontId="44" fillId="12" borderId="0" xfId="22" applyFont="1" applyFill="1" applyBorder="1" applyAlignment="1">
      <alignment horizontal="left" vertical="center"/>
    </xf>
    <xf numFmtId="0" fontId="42" fillId="17" borderId="88" xfId="12" applyFont="1" applyFill="1" applyBorder="1" applyAlignment="1" applyProtection="1">
      <alignment horizontal="center" vertical="center" wrapText="1"/>
    </xf>
    <xf numFmtId="0" fontId="42" fillId="17" borderId="0" xfId="12" applyFont="1" applyFill="1" applyBorder="1" applyAlignment="1" applyProtection="1">
      <alignment horizontal="center" vertical="center" wrapText="1"/>
    </xf>
    <xf numFmtId="0" fontId="42" fillId="17" borderId="87" xfId="12" applyFont="1" applyFill="1" applyBorder="1" applyAlignment="1" applyProtection="1">
      <alignment horizontal="center" vertical="center"/>
    </xf>
    <xf numFmtId="0" fontId="42" fillId="17" borderId="9" xfId="12" applyFont="1" applyFill="1" applyBorder="1" applyAlignment="1" applyProtection="1">
      <alignment horizontal="center" vertical="center"/>
    </xf>
    <xf numFmtId="0" fontId="42" fillId="17" borderId="86" xfId="12" applyFont="1" applyFill="1" applyBorder="1" applyAlignment="1" applyProtection="1">
      <alignment horizontal="center" vertical="center" wrapText="1"/>
    </xf>
    <xf numFmtId="0" fontId="42" fillId="15" borderId="81" xfId="12" applyFont="1" applyFill="1" applyBorder="1" applyAlignment="1" applyProtection="1">
      <alignment horizontal="center" vertical="center"/>
    </xf>
    <xf numFmtId="0" fontId="42" fillId="10" borderId="81" xfId="12" applyFont="1" applyFill="1" applyBorder="1" applyAlignment="1" applyProtection="1">
      <alignment horizontal="center" vertical="center"/>
    </xf>
    <xf numFmtId="0" fontId="42" fillId="16" borderId="81" xfId="12" applyFont="1" applyFill="1" applyBorder="1" applyAlignment="1" applyProtection="1">
      <alignment horizontal="center" vertical="center"/>
    </xf>
    <xf numFmtId="0" fontId="46" fillId="12" borderId="0" xfId="21" applyNumberFormat="1" applyFont="1" applyFill="1" applyBorder="1" applyAlignment="1">
      <alignment horizontal="center" vertical="center" wrapText="1"/>
    </xf>
    <xf numFmtId="14" fontId="42" fillId="16" borderId="81" xfId="12" applyNumberFormat="1" applyFont="1" applyFill="1" applyBorder="1" applyAlignment="1" applyProtection="1">
      <alignment horizontal="center" vertical="center"/>
    </xf>
    <xf numFmtId="14" fontId="42" fillId="10" borderId="81" xfId="12" applyNumberFormat="1" applyFont="1" applyFill="1" applyBorder="1" applyAlignment="1" applyProtection="1">
      <alignment horizontal="center" vertical="center"/>
    </xf>
    <xf numFmtId="178" fontId="42" fillId="15" borderId="81" xfId="12" applyNumberFormat="1" applyFont="1" applyFill="1" applyBorder="1" applyAlignment="1" applyProtection="1">
      <alignment horizontal="center" vertical="center" wrapText="1"/>
    </xf>
    <xf numFmtId="14" fontId="42" fillId="16" borderId="81" xfId="12" applyNumberFormat="1" applyFont="1" applyFill="1" applyBorder="1" applyAlignment="1" applyProtection="1">
      <alignment horizontal="center" vertical="center" wrapText="1"/>
    </xf>
    <xf numFmtId="179" fontId="42" fillId="15" borderId="81" xfId="12" applyNumberFormat="1" applyFont="1" applyFill="1" applyBorder="1" applyAlignment="1" applyProtection="1">
      <alignment horizontal="center" vertical="center" wrapText="1"/>
    </xf>
    <xf numFmtId="1" fontId="42" fillId="15" borderId="81" xfId="12" applyNumberFormat="1" applyFont="1" applyFill="1" applyBorder="1" applyAlignment="1" applyProtection="1">
      <alignment horizontal="center" vertical="center" wrapText="1"/>
    </xf>
    <xf numFmtId="177" fontId="42" fillId="16" borderId="81" xfId="12" applyNumberFormat="1" applyFont="1" applyFill="1" applyBorder="1" applyAlignment="1" applyProtection="1">
      <alignment horizontal="center" vertical="center"/>
    </xf>
    <xf numFmtId="10" fontId="42" fillId="15" borderId="81" xfId="21" applyNumberFormat="1" applyFont="1" applyFill="1" applyBorder="1" applyAlignment="1" applyProtection="1">
      <alignment horizontal="center" vertical="center" wrapText="1"/>
    </xf>
    <xf numFmtId="10" fontId="42" fillId="16" borderId="81" xfId="21" applyNumberFormat="1" applyFont="1" applyFill="1" applyBorder="1" applyAlignment="1" applyProtection="1">
      <alignment horizontal="center" vertical="center" wrapText="1"/>
    </xf>
    <xf numFmtId="0" fontId="39" fillId="15" borderId="81" xfId="22" applyFont="1" applyFill="1" applyBorder="1" applyAlignment="1">
      <alignment horizontal="left" vertical="center" wrapText="1"/>
    </xf>
    <xf numFmtId="0" fontId="39" fillId="15" borderId="81" xfId="22" applyFont="1" applyFill="1" applyBorder="1" applyAlignment="1">
      <alignment horizontal="left" vertical="center"/>
    </xf>
    <xf numFmtId="0" fontId="39" fillId="0" borderId="81" xfId="22" applyFont="1" applyFill="1" applyBorder="1" applyAlignment="1">
      <alignment horizontal="left" vertical="center" wrapText="1"/>
    </xf>
    <xf numFmtId="0" fontId="39" fillId="0" borderId="81" xfId="22" applyFont="1" applyFill="1" applyBorder="1" applyAlignment="1">
      <alignment horizontal="left" vertical="center"/>
    </xf>
    <xf numFmtId="178" fontId="42" fillId="15" borderId="81" xfId="12" applyNumberFormat="1" applyFont="1" applyFill="1" applyBorder="1" applyAlignment="1" applyProtection="1">
      <alignment horizontal="center" vertical="top" wrapText="1"/>
    </xf>
    <xf numFmtId="0" fontId="42" fillId="16" borderId="81" xfId="12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7" xfId="1" applyFont="1" applyFill="1" applyBorder="1" applyAlignment="1">
      <alignment horizontal="center" vertical="center" wrapText="1"/>
    </xf>
    <xf numFmtId="0" fontId="14" fillId="8" borderId="48" xfId="1" applyFont="1" applyFill="1" applyBorder="1" applyAlignment="1">
      <alignment horizontal="center" vertical="center" wrapText="1"/>
    </xf>
    <xf numFmtId="0" fontId="14" fillId="8" borderId="39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58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3" fillId="3" borderId="5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3" fillId="3" borderId="63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left" vertical="center" wrapText="1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/>
    </xf>
  </cellXfs>
  <cellStyles count="24">
    <cellStyle name="강조색5 2" xfId="22"/>
    <cellStyle name="백분율" xfId="20" builtinId="5"/>
    <cellStyle name="백분율 2" xfId="21"/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16 2" xfId="18"/>
    <cellStyle name="표준 18" xfId="19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3 2" xfId="17"/>
    <cellStyle name="표준 8" xfId="2"/>
    <cellStyle name="하이퍼링크" xfId="23" builtinId="8"/>
  </cellStyles>
  <dxfs count="5">
    <dxf>
      <font>
        <b/>
        <i val="0"/>
      </font>
      <fill>
        <patternFill>
          <bgColor rgb="FFF2F2F2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theme="0" tint="-0.34998626667073579"/>
      </font>
    </dxf>
    <dxf>
      <fill>
        <patternFill>
          <fgColor indexed="64"/>
          <bgColor rgb="FFFFFF99"/>
        </patternFill>
      </fill>
    </dxf>
    <dxf>
      <font>
        <b/>
        <i val="0"/>
      </font>
      <fill>
        <patternFill>
          <bgColor rgb="FFF2F2F2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theme="0" tint="-0.34998626667073579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customXml" Target="../customXml/item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3</xdr:row>
      <xdr:rowOff>76073</xdr:rowOff>
    </xdr:from>
    <xdr:to>
      <xdr:col>48</xdr:col>
      <xdr:colOff>0</xdr:colOff>
      <xdr:row>888</xdr:row>
      <xdr:rowOff>0</xdr:rowOff>
    </xdr:to>
    <xdr:cxnSp macro="">
      <xdr:nvCxnSpPr>
        <xdr:cNvPr id="2" name="직선 화살표 연결선 1"/>
        <xdr:cNvCxnSpPr/>
      </xdr:nvCxnSpPr>
      <xdr:spPr>
        <a:xfrm>
          <a:off x="36576000" y="704723"/>
          <a:ext cx="0" cy="18537567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3</xdr:row>
      <xdr:rowOff>76073</xdr:rowOff>
    </xdr:from>
    <xdr:to>
      <xdr:col>64</xdr:col>
      <xdr:colOff>0</xdr:colOff>
      <xdr:row>888</xdr:row>
      <xdr:rowOff>0</xdr:rowOff>
    </xdr:to>
    <xdr:cxnSp macro="">
      <xdr:nvCxnSpPr>
        <xdr:cNvPr id="3" name="직선 화살표 연결선 2"/>
        <xdr:cNvCxnSpPr/>
      </xdr:nvCxnSpPr>
      <xdr:spPr>
        <a:xfrm>
          <a:off x="48768000" y="704723"/>
          <a:ext cx="0" cy="18537567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3</xdr:row>
      <xdr:rowOff>76073</xdr:rowOff>
    </xdr:from>
    <xdr:to>
      <xdr:col>80</xdr:col>
      <xdr:colOff>0</xdr:colOff>
      <xdr:row>888</xdr:row>
      <xdr:rowOff>0</xdr:rowOff>
    </xdr:to>
    <xdr:cxnSp macro="">
      <xdr:nvCxnSpPr>
        <xdr:cNvPr id="4" name="직선 화살표 연결선 3"/>
        <xdr:cNvCxnSpPr/>
      </xdr:nvCxnSpPr>
      <xdr:spPr>
        <a:xfrm>
          <a:off x="60960000" y="704723"/>
          <a:ext cx="0" cy="18537567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3</xdr:row>
      <xdr:rowOff>76073</xdr:rowOff>
    </xdr:from>
    <xdr:to>
      <xdr:col>96</xdr:col>
      <xdr:colOff>0</xdr:colOff>
      <xdr:row>888</xdr:row>
      <xdr:rowOff>0</xdr:rowOff>
    </xdr:to>
    <xdr:cxnSp macro="">
      <xdr:nvCxnSpPr>
        <xdr:cNvPr id="5" name="직선 화살표 연결선 4"/>
        <xdr:cNvCxnSpPr/>
      </xdr:nvCxnSpPr>
      <xdr:spPr>
        <a:xfrm>
          <a:off x="73152000" y="704723"/>
          <a:ext cx="0" cy="18537567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3</xdr:row>
      <xdr:rowOff>76073</xdr:rowOff>
    </xdr:from>
    <xdr:to>
      <xdr:col>112</xdr:col>
      <xdr:colOff>0</xdr:colOff>
      <xdr:row>888</xdr:row>
      <xdr:rowOff>0</xdr:rowOff>
    </xdr:to>
    <xdr:cxnSp macro="">
      <xdr:nvCxnSpPr>
        <xdr:cNvPr id="6" name="직선 화살표 연결선 5"/>
        <xdr:cNvCxnSpPr/>
      </xdr:nvCxnSpPr>
      <xdr:spPr>
        <a:xfrm>
          <a:off x="85344000" y="704723"/>
          <a:ext cx="0" cy="18537567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20411</xdr:colOff>
      <xdr:row>887</xdr:row>
      <xdr:rowOff>38100</xdr:rowOff>
    </xdr:from>
    <xdr:to>
      <xdr:col>119</xdr:col>
      <xdr:colOff>42090</xdr:colOff>
      <xdr:row>887</xdr:row>
      <xdr:rowOff>152400</xdr:rowOff>
    </xdr:to>
    <xdr:sp macro="" textlink="">
      <xdr:nvSpPr>
        <xdr:cNvPr id="7" name="329"/>
        <xdr:cNvSpPr/>
      </xdr:nvSpPr>
      <xdr:spPr>
        <a:xfrm>
          <a:off x="82316411" y="185908950"/>
          <a:ext cx="8403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108</xdr:col>
      <xdr:colOff>20411</xdr:colOff>
      <xdr:row>887</xdr:row>
      <xdr:rowOff>95250</xdr:rowOff>
    </xdr:from>
    <xdr:to>
      <xdr:col>108</xdr:col>
      <xdr:colOff>20411</xdr:colOff>
      <xdr:row>887</xdr:row>
      <xdr:rowOff>95250</xdr:rowOff>
    </xdr:to>
    <xdr:cxnSp macro="">
      <xdr:nvCxnSpPr>
        <xdr:cNvPr id="8" name="직선 화살표 연결선 7"/>
        <xdr:cNvCxnSpPr/>
      </xdr:nvCxnSpPr>
      <xdr:spPr>
        <a:xfrm>
          <a:off x="82316411" y="185966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122464</xdr:colOff>
      <xdr:row>886</xdr:row>
      <xdr:rowOff>38100</xdr:rowOff>
    </xdr:from>
    <xdr:to>
      <xdr:col>108</xdr:col>
      <xdr:colOff>42090</xdr:colOff>
      <xdr:row>886</xdr:row>
      <xdr:rowOff>152400</xdr:rowOff>
    </xdr:to>
    <xdr:sp macro="" textlink="">
      <xdr:nvSpPr>
        <xdr:cNvPr id="9" name="328"/>
        <xdr:cNvSpPr/>
      </xdr:nvSpPr>
      <xdr:spPr>
        <a:xfrm>
          <a:off x="78608464" y="185699400"/>
          <a:ext cx="372962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103</xdr:col>
      <xdr:colOff>122464</xdr:colOff>
      <xdr:row>886</xdr:row>
      <xdr:rowOff>95250</xdr:rowOff>
    </xdr:from>
    <xdr:to>
      <xdr:col>103</xdr:col>
      <xdr:colOff>122464</xdr:colOff>
      <xdr:row>886</xdr:row>
      <xdr:rowOff>95250</xdr:rowOff>
    </xdr:to>
    <xdr:cxnSp macro="">
      <xdr:nvCxnSpPr>
        <xdr:cNvPr id="10" name="직선 화살표 연결선 9"/>
        <xdr:cNvCxnSpPr/>
      </xdr:nvCxnSpPr>
      <xdr:spPr>
        <a:xfrm>
          <a:off x="78608464" y="185756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20411</xdr:colOff>
      <xdr:row>885</xdr:row>
      <xdr:rowOff>38100</xdr:rowOff>
    </xdr:from>
    <xdr:to>
      <xdr:col>101</xdr:col>
      <xdr:colOff>123734</xdr:colOff>
      <xdr:row>885</xdr:row>
      <xdr:rowOff>152400</xdr:rowOff>
    </xdr:to>
    <xdr:sp macro="" textlink="">
      <xdr:nvSpPr>
        <xdr:cNvPr id="11" name="327"/>
        <xdr:cNvSpPr/>
      </xdr:nvSpPr>
      <xdr:spPr>
        <a:xfrm>
          <a:off x="70886411" y="185489850"/>
          <a:ext cx="619932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20411</xdr:colOff>
      <xdr:row>885</xdr:row>
      <xdr:rowOff>95250</xdr:rowOff>
    </xdr:from>
    <xdr:to>
      <xdr:col>93</xdr:col>
      <xdr:colOff>20411</xdr:colOff>
      <xdr:row>885</xdr:row>
      <xdr:rowOff>95250</xdr:rowOff>
    </xdr:to>
    <xdr:cxnSp macro="">
      <xdr:nvCxnSpPr>
        <xdr:cNvPr id="12" name="직선 화살표 연결선 11"/>
        <xdr:cNvCxnSpPr/>
      </xdr:nvCxnSpPr>
      <xdr:spPr>
        <a:xfrm>
          <a:off x="70886411" y="185547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20411</xdr:colOff>
      <xdr:row>884</xdr:row>
      <xdr:rowOff>38100</xdr:rowOff>
    </xdr:from>
    <xdr:to>
      <xdr:col>119</xdr:col>
      <xdr:colOff>42090</xdr:colOff>
      <xdr:row>884</xdr:row>
      <xdr:rowOff>152400</xdr:rowOff>
    </xdr:to>
    <xdr:sp macro="" textlink="">
      <xdr:nvSpPr>
        <xdr:cNvPr id="13" name="326"/>
        <xdr:cNvSpPr/>
      </xdr:nvSpPr>
      <xdr:spPr>
        <a:xfrm>
          <a:off x="70886411" y="185280300"/>
          <a:ext cx="1983367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20411</xdr:colOff>
      <xdr:row>884</xdr:row>
      <xdr:rowOff>95250</xdr:rowOff>
    </xdr:from>
    <xdr:to>
      <xdr:col>93</xdr:col>
      <xdr:colOff>20411</xdr:colOff>
      <xdr:row>884</xdr:row>
      <xdr:rowOff>95250</xdr:rowOff>
    </xdr:to>
    <xdr:cxnSp macro="">
      <xdr:nvCxnSpPr>
        <xdr:cNvPr id="14" name="직선 화살표 연결선 13"/>
        <xdr:cNvCxnSpPr/>
      </xdr:nvCxnSpPr>
      <xdr:spPr>
        <a:xfrm>
          <a:off x="70886411" y="185337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20411</xdr:colOff>
      <xdr:row>883</xdr:row>
      <xdr:rowOff>38100</xdr:rowOff>
    </xdr:from>
    <xdr:to>
      <xdr:col>119</xdr:col>
      <xdr:colOff>42090</xdr:colOff>
      <xdr:row>883</xdr:row>
      <xdr:rowOff>152400</xdr:rowOff>
    </xdr:to>
    <xdr:sp macro="" textlink="">
      <xdr:nvSpPr>
        <xdr:cNvPr id="15" name="325"/>
        <xdr:cNvSpPr/>
      </xdr:nvSpPr>
      <xdr:spPr>
        <a:xfrm>
          <a:off x="70886411" y="185070750"/>
          <a:ext cx="1983367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20411</xdr:colOff>
      <xdr:row>883</xdr:row>
      <xdr:rowOff>95250</xdr:rowOff>
    </xdr:from>
    <xdr:to>
      <xdr:col>93</xdr:col>
      <xdr:colOff>20411</xdr:colOff>
      <xdr:row>883</xdr:row>
      <xdr:rowOff>95250</xdr:rowOff>
    </xdr:to>
    <xdr:cxnSp macro="">
      <xdr:nvCxnSpPr>
        <xdr:cNvPr id="16" name="직선 화살표 연결선 15"/>
        <xdr:cNvCxnSpPr/>
      </xdr:nvCxnSpPr>
      <xdr:spPr>
        <a:xfrm>
          <a:off x="70886411" y="185127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102054</xdr:colOff>
      <xdr:row>299</xdr:row>
      <xdr:rowOff>38100</xdr:rowOff>
    </xdr:from>
    <xdr:to>
      <xdr:col>82</xdr:col>
      <xdr:colOff>123734</xdr:colOff>
      <xdr:row>299</xdr:row>
      <xdr:rowOff>152400</xdr:rowOff>
    </xdr:to>
    <xdr:sp macro="" textlink="">
      <xdr:nvSpPr>
        <xdr:cNvPr id="17" name="296"/>
        <xdr:cNvSpPr/>
      </xdr:nvSpPr>
      <xdr:spPr>
        <a:xfrm>
          <a:off x="62586054" y="626935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299</xdr:row>
      <xdr:rowOff>95250</xdr:rowOff>
    </xdr:from>
    <xdr:to>
      <xdr:col>82</xdr:col>
      <xdr:colOff>102054</xdr:colOff>
      <xdr:row>299</xdr:row>
      <xdr:rowOff>95250</xdr:rowOff>
    </xdr:to>
    <xdr:cxnSp macro="">
      <xdr:nvCxnSpPr>
        <xdr:cNvPr id="18" name="직선 화살표 연결선 17"/>
        <xdr:cNvCxnSpPr/>
      </xdr:nvCxnSpPr>
      <xdr:spPr>
        <a:xfrm>
          <a:off x="62586054" y="62750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298</xdr:row>
      <xdr:rowOff>38100</xdr:rowOff>
    </xdr:from>
    <xdr:to>
      <xdr:col>82</xdr:col>
      <xdr:colOff>103324</xdr:colOff>
      <xdr:row>298</xdr:row>
      <xdr:rowOff>152400</xdr:rowOff>
    </xdr:to>
    <xdr:sp macro="" textlink="">
      <xdr:nvSpPr>
        <xdr:cNvPr id="19" name="295"/>
        <xdr:cNvSpPr/>
      </xdr:nvSpPr>
      <xdr:spPr>
        <a:xfrm>
          <a:off x="62484000" y="62484000"/>
          <a:ext cx="103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0</xdr:colOff>
      <xdr:row>298</xdr:row>
      <xdr:rowOff>95250</xdr:rowOff>
    </xdr:from>
    <xdr:to>
      <xdr:col>82</xdr:col>
      <xdr:colOff>0</xdr:colOff>
      <xdr:row>298</xdr:row>
      <xdr:rowOff>95250</xdr:rowOff>
    </xdr:to>
    <xdr:cxnSp macro="">
      <xdr:nvCxnSpPr>
        <xdr:cNvPr id="20" name="직선 화살표 연결선 19"/>
        <xdr:cNvCxnSpPr/>
      </xdr:nvCxnSpPr>
      <xdr:spPr>
        <a:xfrm>
          <a:off x="62484000" y="62541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297</xdr:row>
      <xdr:rowOff>38100</xdr:rowOff>
    </xdr:from>
    <xdr:to>
      <xdr:col>82</xdr:col>
      <xdr:colOff>1270</xdr:colOff>
      <xdr:row>297</xdr:row>
      <xdr:rowOff>152400</xdr:rowOff>
    </xdr:to>
    <xdr:sp macro="" textlink="">
      <xdr:nvSpPr>
        <xdr:cNvPr id="21" name="294"/>
        <xdr:cNvSpPr/>
      </xdr:nvSpPr>
      <xdr:spPr>
        <a:xfrm>
          <a:off x="61062054" y="62274450"/>
          <a:ext cx="1423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297</xdr:row>
      <xdr:rowOff>95250</xdr:rowOff>
    </xdr:from>
    <xdr:to>
      <xdr:col>80</xdr:col>
      <xdr:colOff>102054</xdr:colOff>
      <xdr:row>297</xdr:row>
      <xdr:rowOff>95250</xdr:rowOff>
    </xdr:to>
    <xdr:cxnSp macro="">
      <xdr:nvCxnSpPr>
        <xdr:cNvPr id="22" name="직선 화살표 연결선 21"/>
        <xdr:cNvCxnSpPr/>
      </xdr:nvCxnSpPr>
      <xdr:spPr>
        <a:xfrm>
          <a:off x="61062054" y="62331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296</xdr:row>
      <xdr:rowOff>38100</xdr:rowOff>
    </xdr:from>
    <xdr:to>
      <xdr:col>82</xdr:col>
      <xdr:colOff>123734</xdr:colOff>
      <xdr:row>296</xdr:row>
      <xdr:rowOff>152400</xdr:rowOff>
    </xdr:to>
    <xdr:sp macro="" textlink="">
      <xdr:nvSpPr>
        <xdr:cNvPr id="23" name="293"/>
        <xdr:cNvSpPr/>
      </xdr:nvSpPr>
      <xdr:spPr>
        <a:xfrm>
          <a:off x="61062054" y="62064900"/>
          <a:ext cx="154568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296</xdr:row>
      <xdr:rowOff>95250</xdr:rowOff>
    </xdr:from>
    <xdr:to>
      <xdr:col>80</xdr:col>
      <xdr:colOff>102054</xdr:colOff>
      <xdr:row>296</xdr:row>
      <xdr:rowOff>95250</xdr:rowOff>
    </xdr:to>
    <xdr:cxnSp macro="">
      <xdr:nvCxnSpPr>
        <xdr:cNvPr id="24" name="직선 화살표 연결선 23"/>
        <xdr:cNvCxnSpPr/>
      </xdr:nvCxnSpPr>
      <xdr:spPr>
        <a:xfrm>
          <a:off x="61062054" y="62122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102054</xdr:colOff>
      <xdr:row>293</xdr:row>
      <xdr:rowOff>38100</xdr:rowOff>
    </xdr:from>
    <xdr:to>
      <xdr:col>82</xdr:col>
      <xdr:colOff>123734</xdr:colOff>
      <xdr:row>293</xdr:row>
      <xdr:rowOff>152400</xdr:rowOff>
    </xdr:to>
    <xdr:sp macro="" textlink="">
      <xdr:nvSpPr>
        <xdr:cNvPr id="25" name="290"/>
        <xdr:cNvSpPr/>
      </xdr:nvSpPr>
      <xdr:spPr>
        <a:xfrm>
          <a:off x="62586054" y="614362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293</xdr:row>
      <xdr:rowOff>95250</xdr:rowOff>
    </xdr:from>
    <xdr:to>
      <xdr:col>82</xdr:col>
      <xdr:colOff>102054</xdr:colOff>
      <xdr:row>293</xdr:row>
      <xdr:rowOff>95250</xdr:rowOff>
    </xdr:to>
    <xdr:cxnSp macro="">
      <xdr:nvCxnSpPr>
        <xdr:cNvPr id="26" name="직선 화살표 연결선 25"/>
        <xdr:cNvCxnSpPr/>
      </xdr:nvCxnSpPr>
      <xdr:spPr>
        <a:xfrm>
          <a:off x="62586054" y="61493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292</xdr:row>
      <xdr:rowOff>38100</xdr:rowOff>
    </xdr:from>
    <xdr:to>
      <xdr:col>82</xdr:col>
      <xdr:colOff>103324</xdr:colOff>
      <xdr:row>292</xdr:row>
      <xdr:rowOff>152400</xdr:rowOff>
    </xdr:to>
    <xdr:sp macro="" textlink="">
      <xdr:nvSpPr>
        <xdr:cNvPr id="27" name="289"/>
        <xdr:cNvSpPr/>
      </xdr:nvSpPr>
      <xdr:spPr>
        <a:xfrm>
          <a:off x="62484000" y="61226700"/>
          <a:ext cx="103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0</xdr:colOff>
      <xdr:row>292</xdr:row>
      <xdr:rowOff>95250</xdr:rowOff>
    </xdr:from>
    <xdr:to>
      <xdr:col>82</xdr:col>
      <xdr:colOff>0</xdr:colOff>
      <xdr:row>292</xdr:row>
      <xdr:rowOff>95250</xdr:rowOff>
    </xdr:to>
    <xdr:cxnSp macro="">
      <xdr:nvCxnSpPr>
        <xdr:cNvPr id="28" name="직선 화살표 연결선 27"/>
        <xdr:cNvCxnSpPr/>
      </xdr:nvCxnSpPr>
      <xdr:spPr>
        <a:xfrm>
          <a:off x="62484000" y="61283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291</xdr:row>
      <xdr:rowOff>38100</xdr:rowOff>
    </xdr:from>
    <xdr:to>
      <xdr:col>82</xdr:col>
      <xdr:colOff>1270</xdr:colOff>
      <xdr:row>291</xdr:row>
      <xdr:rowOff>152400</xdr:rowOff>
    </xdr:to>
    <xdr:sp macro="" textlink="">
      <xdr:nvSpPr>
        <xdr:cNvPr id="29" name="288"/>
        <xdr:cNvSpPr/>
      </xdr:nvSpPr>
      <xdr:spPr>
        <a:xfrm>
          <a:off x="61062054" y="61017150"/>
          <a:ext cx="1423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291</xdr:row>
      <xdr:rowOff>95250</xdr:rowOff>
    </xdr:from>
    <xdr:to>
      <xdr:col>80</xdr:col>
      <xdr:colOff>102054</xdr:colOff>
      <xdr:row>291</xdr:row>
      <xdr:rowOff>95250</xdr:rowOff>
    </xdr:to>
    <xdr:cxnSp macro="">
      <xdr:nvCxnSpPr>
        <xdr:cNvPr id="30" name="직선 화살표 연결선 29"/>
        <xdr:cNvCxnSpPr/>
      </xdr:nvCxnSpPr>
      <xdr:spPr>
        <a:xfrm>
          <a:off x="61062054" y="61074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290</xdr:row>
      <xdr:rowOff>38100</xdr:rowOff>
    </xdr:from>
    <xdr:to>
      <xdr:col>82</xdr:col>
      <xdr:colOff>123734</xdr:colOff>
      <xdr:row>290</xdr:row>
      <xdr:rowOff>152400</xdr:rowOff>
    </xdr:to>
    <xdr:sp macro="" textlink="">
      <xdr:nvSpPr>
        <xdr:cNvPr id="31" name="287"/>
        <xdr:cNvSpPr/>
      </xdr:nvSpPr>
      <xdr:spPr>
        <a:xfrm>
          <a:off x="61062054" y="60807600"/>
          <a:ext cx="154568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290</xdr:row>
      <xdr:rowOff>95250</xdr:rowOff>
    </xdr:from>
    <xdr:to>
      <xdr:col>80</xdr:col>
      <xdr:colOff>102054</xdr:colOff>
      <xdr:row>290</xdr:row>
      <xdr:rowOff>95250</xdr:rowOff>
    </xdr:to>
    <xdr:cxnSp macro="">
      <xdr:nvCxnSpPr>
        <xdr:cNvPr id="32" name="직선 화살표 연결선 31"/>
        <xdr:cNvCxnSpPr/>
      </xdr:nvCxnSpPr>
      <xdr:spPr>
        <a:xfrm>
          <a:off x="61062054" y="60864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102054</xdr:colOff>
      <xdr:row>287</xdr:row>
      <xdr:rowOff>38100</xdr:rowOff>
    </xdr:from>
    <xdr:to>
      <xdr:col>82</xdr:col>
      <xdr:colOff>123734</xdr:colOff>
      <xdr:row>287</xdr:row>
      <xdr:rowOff>152400</xdr:rowOff>
    </xdr:to>
    <xdr:sp macro="" textlink="">
      <xdr:nvSpPr>
        <xdr:cNvPr id="33" name="284"/>
        <xdr:cNvSpPr/>
      </xdr:nvSpPr>
      <xdr:spPr>
        <a:xfrm>
          <a:off x="62586054" y="601789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287</xdr:row>
      <xdr:rowOff>95250</xdr:rowOff>
    </xdr:from>
    <xdr:to>
      <xdr:col>82</xdr:col>
      <xdr:colOff>102054</xdr:colOff>
      <xdr:row>287</xdr:row>
      <xdr:rowOff>95250</xdr:rowOff>
    </xdr:to>
    <xdr:cxnSp macro="">
      <xdr:nvCxnSpPr>
        <xdr:cNvPr id="34" name="직선 화살표 연결선 33"/>
        <xdr:cNvCxnSpPr/>
      </xdr:nvCxnSpPr>
      <xdr:spPr>
        <a:xfrm>
          <a:off x="62586054" y="60236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286</xdr:row>
      <xdr:rowOff>38100</xdr:rowOff>
    </xdr:from>
    <xdr:to>
      <xdr:col>82</xdr:col>
      <xdr:colOff>103324</xdr:colOff>
      <xdr:row>286</xdr:row>
      <xdr:rowOff>152400</xdr:rowOff>
    </xdr:to>
    <xdr:sp macro="" textlink="">
      <xdr:nvSpPr>
        <xdr:cNvPr id="35" name="283"/>
        <xdr:cNvSpPr/>
      </xdr:nvSpPr>
      <xdr:spPr>
        <a:xfrm>
          <a:off x="62484000" y="59969400"/>
          <a:ext cx="103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0</xdr:colOff>
      <xdr:row>286</xdr:row>
      <xdr:rowOff>95250</xdr:rowOff>
    </xdr:from>
    <xdr:to>
      <xdr:col>82</xdr:col>
      <xdr:colOff>0</xdr:colOff>
      <xdr:row>286</xdr:row>
      <xdr:rowOff>95250</xdr:rowOff>
    </xdr:to>
    <xdr:cxnSp macro="">
      <xdr:nvCxnSpPr>
        <xdr:cNvPr id="36" name="직선 화살표 연결선 35"/>
        <xdr:cNvCxnSpPr/>
      </xdr:nvCxnSpPr>
      <xdr:spPr>
        <a:xfrm>
          <a:off x="62484000" y="60026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285</xdr:row>
      <xdr:rowOff>38100</xdr:rowOff>
    </xdr:from>
    <xdr:to>
      <xdr:col>82</xdr:col>
      <xdr:colOff>1270</xdr:colOff>
      <xdr:row>285</xdr:row>
      <xdr:rowOff>152400</xdr:rowOff>
    </xdr:to>
    <xdr:sp macro="" textlink="">
      <xdr:nvSpPr>
        <xdr:cNvPr id="37" name="282"/>
        <xdr:cNvSpPr/>
      </xdr:nvSpPr>
      <xdr:spPr>
        <a:xfrm>
          <a:off x="61062054" y="59759850"/>
          <a:ext cx="1423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285</xdr:row>
      <xdr:rowOff>95250</xdr:rowOff>
    </xdr:from>
    <xdr:to>
      <xdr:col>80</xdr:col>
      <xdr:colOff>102054</xdr:colOff>
      <xdr:row>285</xdr:row>
      <xdr:rowOff>95250</xdr:rowOff>
    </xdr:to>
    <xdr:cxnSp macro="">
      <xdr:nvCxnSpPr>
        <xdr:cNvPr id="38" name="직선 화살표 연결선 37"/>
        <xdr:cNvCxnSpPr/>
      </xdr:nvCxnSpPr>
      <xdr:spPr>
        <a:xfrm>
          <a:off x="61062054" y="59817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284</xdr:row>
      <xdr:rowOff>38100</xdr:rowOff>
    </xdr:from>
    <xdr:to>
      <xdr:col>82</xdr:col>
      <xdr:colOff>123734</xdr:colOff>
      <xdr:row>284</xdr:row>
      <xdr:rowOff>152400</xdr:rowOff>
    </xdr:to>
    <xdr:sp macro="" textlink="">
      <xdr:nvSpPr>
        <xdr:cNvPr id="39" name="281"/>
        <xdr:cNvSpPr/>
      </xdr:nvSpPr>
      <xdr:spPr>
        <a:xfrm>
          <a:off x="61062054" y="59550300"/>
          <a:ext cx="154568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284</xdr:row>
      <xdr:rowOff>95250</xdr:rowOff>
    </xdr:from>
    <xdr:to>
      <xdr:col>80</xdr:col>
      <xdr:colOff>102054</xdr:colOff>
      <xdr:row>284</xdr:row>
      <xdr:rowOff>95250</xdr:rowOff>
    </xdr:to>
    <xdr:cxnSp macro="">
      <xdr:nvCxnSpPr>
        <xdr:cNvPr id="40" name="직선 화살표 연결선 39"/>
        <xdr:cNvCxnSpPr/>
      </xdr:nvCxnSpPr>
      <xdr:spPr>
        <a:xfrm>
          <a:off x="61062054" y="59607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102054</xdr:colOff>
      <xdr:row>281</xdr:row>
      <xdr:rowOff>38100</xdr:rowOff>
    </xdr:from>
    <xdr:to>
      <xdr:col>82</xdr:col>
      <xdr:colOff>123734</xdr:colOff>
      <xdr:row>281</xdr:row>
      <xdr:rowOff>152400</xdr:rowOff>
    </xdr:to>
    <xdr:sp macro="" textlink="">
      <xdr:nvSpPr>
        <xdr:cNvPr id="41" name="278"/>
        <xdr:cNvSpPr/>
      </xdr:nvSpPr>
      <xdr:spPr>
        <a:xfrm>
          <a:off x="62586054" y="589216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281</xdr:row>
      <xdr:rowOff>95250</xdr:rowOff>
    </xdr:from>
    <xdr:to>
      <xdr:col>82</xdr:col>
      <xdr:colOff>102054</xdr:colOff>
      <xdr:row>281</xdr:row>
      <xdr:rowOff>95250</xdr:rowOff>
    </xdr:to>
    <xdr:cxnSp macro="">
      <xdr:nvCxnSpPr>
        <xdr:cNvPr id="42" name="직선 화살표 연결선 41"/>
        <xdr:cNvCxnSpPr/>
      </xdr:nvCxnSpPr>
      <xdr:spPr>
        <a:xfrm>
          <a:off x="62586054" y="589788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280</xdr:row>
      <xdr:rowOff>38100</xdr:rowOff>
    </xdr:from>
    <xdr:to>
      <xdr:col>82</xdr:col>
      <xdr:colOff>103324</xdr:colOff>
      <xdr:row>280</xdr:row>
      <xdr:rowOff>152400</xdr:rowOff>
    </xdr:to>
    <xdr:sp macro="" textlink="">
      <xdr:nvSpPr>
        <xdr:cNvPr id="43" name="277"/>
        <xdr:cNvSpPr/>
      </xdr:nvSpPr>
      <xdr:spPr>
        <a:xfrm>
          <a:off x="62484000" y="58712100"/>
          <a:ext cx="103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0</xdr:colOff>
      <xdr:row>280</xdr:row>
      <xdr:rowOff>95250</xdr:rowOff>
    </xdr:from>
    <xdr:to>
      <xdr:col>82</xdr:col>
      <xdr:colOff>0</xdr:colOff>
      <xdr:row>280</xdr:row>
      <xdr:rowOff>95250</xdr:rowOff>
    </xdr:to>
    <xdr:cxnSp macro="">
      <xdr:nvCxnSpPr>
        <xdr:cNvPr id="44" name="직선 화살표 연결선 43"/>
        <xdr:cNvCxnSpPr/>
      </xdr:nvCxnSpPr>
      <xdr:spPr>
        <a:xfrm>
          <a:off x="62484000" y="587692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279</xdr:row>
      <xdr:rowOff>38100</xdr:rowOff>
    </xdr:from>
    <xdr:to>
      <xdr:col>82</xdr:col>
      <xdr:colOff>1270</xdr:colOff>
      <xdr:row>279</xdr:row>
      <xdr:rowOff>152400</xdr:rowOff>
    </xdr:to>
    <xdr:sp macro="" textlink="">
      <xdr:nvSpPr>
        <xdr:cNvPr id="45" name="276"/>
        <xdr:cNvSpPr/>
      </xdr:nvSpPr>
      <xdr:spPr>
        <a:xfrm>
          <a:off x="61062054" y="58502550"/>
          <a:ext cx="1423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279</xdr:row>
      <xdr:rowOff>95250</xdr:rowOff>
    </xdr:from>
    <xdr:to>
      <xdr:col>80</xdr:col>
      <xdr:colOff>102054</xdr:colOff>
      <xdr:row>279</xdr:row>
      <xdr:rowOff>95250</xdr:rowOff>
    </xdr:to>
    <xdr:cxnSp macro="">
      <xdr:nvCxnSpPr>
        <xdr:cNvPr id="46" name="직선 화살표 연결선 45"/>
        <xdr:cNvCxnSpPr/>
      </xdr:nvCxnSpPr>
      <xdr:spPr>
        <a:xfrm>
          <a:off x="61062054" y="58559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278</xdr:row>
      <xdr:rowOff>38100</xdr:rowOff>
    </xdr:from>
    <xdr:to>
      <xdr:col>82</xdr:col>
      <xdr:colOff>123734</xdr:colOff>
      <xdr:row>278</xdr:row>
      <xdr:rowOff>152400</xdr:rowOff>
    </xdr:to>
    <xdr:sp macro="" textlink="">
      <xdr:nvSpPr>
        <xdr:cNvPr id="47" name="275"/>
        <xdr:cNvSpPr/>
      </xdr:nvSpPr>
      <xdr:spPr>
        <a:xfrm>
          <a:off x="61062054" y="58293000"/>
          <a:ext cx="154568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278</xdr:row>
      <xdr:rowOff>95250</xdr:rowOff>
    </xdr:from>
    <xdr:to>
      <xdr:col>80</xdr:col>
      <xdr:colOff>102054</xdr:colOff>
      <xdr:row>278</xdr:row>
      <xdr:rowOff>95250</xdr:rowOff>
    </xdr:to>
    <xdr:cxnSp macro="">
      <xdr:nvCxnSpPr>
        <xdr:cNvPr id="48" name="직선 화살표 연결선 47"/>
        <xdr:cNvCxnSpPr/>
      </xdr:nvCxnSpPr>
      <xdr:spPr>
        <a:xfrm>
          <a:off x="61062054" y="58350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102054</xdr:colOff>
      <xdr:row>275</xdr:row>
      <xdr:rowOff>38100</xdr:rowOff>
    </xdr:from>
    <xdr:to>
      <xdr:col>82</xdr:col>
      <xdr:colOff>123734</xdr:colOff>
      <xdr:row>275</xdr:row>
      <xdr:rowOff>152400</xdr:rowOff>
    </xdr:to>
    <xdr:sp macro="" textlink="">
      <xdr:nvSpPr>
        <xdr:cNvPr id="49" name="272"/>
        <xdr:cNvSpPr/>
      </xdr:nvSpPr>
      <xdr:spPr>
        <a:xfrm>
          <a:off x="62586054" y="576643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275</xdr:row>
      <xdr:rowOff>95250</xdr:rowOff>
    </xdr:from>
    <xdr:to>
      <xdr:col>82</xdr:col>
      <xdr:colOff>102054</xdr:colOff>
      <xdr:row>275</xdr:row>
      <xdr:rowOff>95250</xdr:rowOff>
    </xdr:to>
    <xdr:cxnSp macro="">
      <xdr:nvCxnSpPr>
        <xdr:cNvPr id="50" name="직선 화살표 연결선 49"/>
        <xdr:cNvCxnSpPr/>
      </xdr:nvCxnSpPr>
      <xdr:spPr>
        <a:xfrm>
          <a:off x="62586054" y="57721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274</xdr:row>
      <xdr:rowOff>38100</xdr:rowOff>
    </xdr:from>
    <xdr:to>
      <xdr:col>82</xdr:col>
      <xdr:colOff>103324</xdr:colOff>
      <xdr:row>274</xdr:row>
      <xdr:rowOff>152400</xdr:rowOff>
    </xdr:to>
    <xdr:sp macro="" textlink="">
      <xdr:nvSpPr>
        <xdr:cNvPr id="51" name="271"/>
        <xdr:cNvSpPr/>
      </xdr:nvSpPr>
      <xdr:spPr>
        <a:xfrm>
          <a:off x="62484000" y="57454800"/>
          <a:ext cx="103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0</xdr:colOff>
      <xdr:row>274</xdr:row>
      <xdr:rowOff>95250</xdr:rowOff>
    </xdr:from>
    <xdr:to>
      <xdr:col>82</xdr:col>
      <xdr:colOff>0</xdr:colOff>
      <xdr:row>274</xdr:row>
      <xdr:rowOff>95250</xdr:rowOff>
    </xdr:to>
    <xdr:cxnSp macro="">
      <xdr:nvCxnSpPr>
        <xdr:cNvPr id="52" name="직선 화살표 연결선 51"/>
        <xdr:cNvCxnSpPr/>
      </xdr:nvCxnSpPr>
      <xdr:spPr>
        <a:xfrm>
          <a:off x="62484000" y="57511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273</xdr:row>
      <xdr:rowOff>38100</xdr:rowOff>
    </xdr:from>
    <xdr:to>
      <xdr:col>82</xdr:col>
      <xdr:colOff>1270</xdr:colOff>
      <xdr:row>273</xdr:row>
      <xdr:rowOff>152400</xdr:rowOff>
    </xdr:to>
    <xdr:sp macro="" textlink="">
      <xdr:nvSpPr>
        <xdr:cNvPr id="53" name="270"/>
        <xdr:cNvSpPr/>
      </xdr:nvSpPr>
      <xdr:spPr>
        <a:xfrm>
          <a:off x="61062054" y="57245250"/>
          <a:ext cx="1423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273</xdr:row>
      <xdr:rowOff>95250</xdr:rowOff>
    </xdr:from>
    <xdr:to>
      <xdr:col>80</xdr:col>
      <xdr:colOff>102054</xdr:colOff>
      <xdr:row>273</xdr:row>
      <xdr:rowOff>95250</xdr:rowOff>
    </xdr:to>
    <xdr:cxnSp macro="">
      <xdr:nvCxnSpPr>
        <xdr:cNvPr id="54" name="직선 화살표 연결선 53"/>
        <xdr:cNvCxnSpPr/>
      </xdr:nvCxnSpPr>
      <xdr:spPr>
        <a:xfrm>
          <a:off x="61062054" y="57302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272</xdr:row>
      <xdr:rowOff>38100</xdr:rowOff>
    </xdr:from>
    <xdr:to>
      <xdr:col>82</xdr:col>
      <xdr:colOff>123734</xdr:colOff>
      <xdr:row>272</xdr:row>
      <xdr:rowOff>152400</xdr:rowOff>
    </xdr:to>
    <xdr:sp macro="" textlink="">
      <xdr:nvSpPr>
        <xdr:cNvPr id="55" name="269"/>
        <xdr:cNvSpPr/>
      </xdr:nvSpPr>
      <xdr:spPr>
        <a:xfrm>
          <a:off x="61062054" y="57035700"/>
          <a:ext cx="154568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272</xdr:row>
      <xdr:rowOff>95250</xdr:rowOff>
    </xdr:from>
    <xdr:to>
      <xdr:col>80</xdr:col>
      <xdr:colOff>102054</xdr:colOff>
      <xdr:row>272</xdr:row>
      <xdr:rowOff>95250</xdr:rowOff>
    </xdr:to>
    <xdr:cxnSp macro="">
      <xdr:nvCxnSpPr>
        <xdr:cNvPr id="56" name="직선 화살표 연결선 55"/>
        <xdr:cNvCxnSpPr/>
      </xdr:nvCxnSpPr>
      <xdr:spPr>
        <a:xfrm>
          <a:off x="61062054" y="57092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269</xdr:row>
      <xdr:rowOff>38100</xdr:rowOff>
    </xdr:from>
    <xdr:to>
      <xdr:col>70</xdr:col>
      <xdr:colOff>123734</xdr:colOff>
      <xdr:row>269</xdr:row>
      <xdr:rowOff>152400</xdr:rowOff>
    </xdr:to>
    <xdr:sp macro="" textlink="">
      <xdr:nvSpPr>
        <xdr:cNvPr id="57" name="266"/>
        <xdr:cNvSpPr/>
      </xdr:nvSpPr>
      <xdr:spPr>
        <a:xfrm>
          <a:off x="53442054" y="564070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269</xdr:row>
      <xdr:rowOff>95250</xdr:rowOff>
    </xdr:from>
    <xdr:to>
      <xdr:col>70</xdr:col>
      <xdr:colOff>102054</xdr:colOff>
      <xdr:row>269</xdr:row>
      <xdr:rowOff>95250</xdr:rowOff>
    </xdr:to>
    <xdr:cxnSp macro="">
      <xdr:nvCxnSpPr>
        <xdr:cNvPr id="58" name="직선 화살표 연결선 57"/>
        <xdr:cNvCxnSpPr/>
      </xdr:nvCxnSpPr>
      <xdr:spPr>
        <a:xfrm>
          <a:off x="53442054" y="56464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102053</xdr:colOff>
      <xdr:row>268</xdr:row>
      <xdr:rowOff>38100</xdr:rowOff>
    </xdr:from>
    <xdr:to>
      <xdr:col>70</xdr:col>
      <xdr:colOff>82913</xdr:colOff>
      <xdr:row>268</xdr:row>
      <xdr:rowOff>152400</xdr:rowOff>
    </xdr:to>
    <xdr:sp macro="" textlink="">
      <xdr:nvSpPr>
        <xdr:cNvPr id="59" name="265"/>
        <xdr:cNvSpPr/>
      </xdr:nvSpPr>
      <xdr:spPr>
        <a:xfrm>
          <a:off x="52680053" y="56197500"/>
          <a:ext cx="74286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102053</xdr:colOff>
      <xdr:row>268</xdr:row>
      <xdr:rowOff>95250</xdr:rowOff>
    </xdr:from>
    <xdr:to>
      <xdr:col>69</xdr:col>
      <xdr:colOff>102053</xdr:colOff>
      <xdr:row>268</xdr:row>
      <xdr:rowOff>95250</xdr:rowOff>
    </xdr:to>
    <xdr:cxnSp macro="">
      <xdr:nvCxnSpPr>
        <xdr:cNvPr id="60" name="직선 화살표 연결선 59"/>
        <xdr:cNvCxnSpPr/>
      </xdr:nvCxnSpPr>
      <xdr:spPr>
        <a:xfrm>
          <a:off x="52680053" y="56254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267</xdr:row>
      <xdr:rowOff>38100</xdr:rowOff>
    </xdr:from>
    <xdr:to>
      <xdr:col>69</xdr:col>
      <xdr:colOff>103323</xdr:colOff>
      <xdr:row>267</xdr:row>
      <xdr:rowOff>152400</xdr:rowOff>
    </xdr:to>
    <xdr:sp macro="" textlink="">
      <xdr:nvSpPr>
        <xdr:cNvPr id="61" name="264"/>
        <xdr:cNvSpPr/>
      </xdr:nvSpPr>
      <xdr:spPr>
        <a:xfrm>
          <a:off x="51856822" y="55987950"/>
          <a:ext cx="8245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267</xdr:row>
      <xdr:rowOff>95250</xdr:rowOff>
    </xdr:from>
    <xdr:to>
      <xdr:col>68</xdr:col>
      <xdr:colOff>40822</xdr:colOff>
      <xdr:row>267</xdr:row>
      <xdr:rowOff>95250</xdr:rowOff>
    </xdr:to>
    <xdr:cxnSp macro="">
      <xdr:nvCxnSpPr>
        <xdr:cNvPr id="62" name="직선 화살표 연결선 61"/>
        <xdr:cNvCxnSpPr/>
      </xdr:nvCxnSpPr>
      <xdr:spPr>
        <a:xfrm>
          <a:off x="51856822" y="56045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266</xdr:row>
      <xdr:rowOff>38100</xdr:rowOff>
    </xdr:from>
    <xdr:to>
      <xdr:col>70</xdr:col>
      <xdr:colOff>123734</xdr:colOff>
      <xdr:row>266</xdr:row>
      <xdr:rowOff>152400</xdr:rowOff>
    </xdr:to>
    <xdr:sp macro="" textlink="">
      <xdr:nvSpPr>
        <xdr:cNvPr id="63" name="263"/>
        <xdr:cNvSpPr/>
      </xdr:nvSpPr>
      <xdr:spPr>
        <a:xfrm>
          <a:off x="51856822" y="55778400"/>
          <a:ext cx="160691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266</xdr:row>
      <xdr:rowOff>95250</xdr:rowOff>
    </xdr:from>
    <xdr:to>
      <xdr:col>68</xdr:col>
      <xdr:colOff>40822</xdr:colOff>
      <xdr:row>266</xdr:row>
      <xdr:rowOff>95250</xdr:rowOff>
    </xdr:to>
    <xdr:cxnSp macro="">
      <xdr:nvCxnSpPr>
        <xdr:cNvPr id="64" name="직선 화살표 연결선 63"/>
        <xdr:cNvCxnSpPr/>
      </xdr:nvCxnSpPr>
      <xdr:spPr>
        <a:xfrm>
          <a:off x="51856822" y="55835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263</xdr:row>
      <xdr:rowOff>38100</xdr:rowOff>
    </xdr:from>
    <xdr:to>
      <xdr:col>70</xdr:col>
      <xdr:colOff>123734</xdr:colOff>
      <xdr:row>263</xdr:row>
      <xdr:rowOff>152400</xdr:rowOff>
    </xdr:to>
    <xdr:sp macro="" textlink="">
      <xdr:nvSpPr>
        <xdr:cNvPr id="65" name="260"/>
        <xdr:cNvSpPr/>
      </xdr:nvSpPr>
      <xdr:spPr>
        <a:xfrm>
          <a:off x="53442054" y="551497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263</xdr:row>
      <xdr:rowOff>95250</xdr:rowOff>
    </xdr:from>
    <xdr:to>
      <xdr:col>70</xdr:col>
      <xdr:colOff>102054</xdr:colOff>
      <xdr:row>263</xdr:row>
      <xdr:rowOff>95250</xdr:rowOff>
    </xdr:to>
    <xdr:cxnSp macro="">
      <xdr:nvCxnSpPr>
        <xdr:cNvPr id="66" name="직선 화살표 연결선 65"/>
        <xdr:cNvCxnSpPr/>
      </xdr:nvCxnSpPr>
      <xdr:spPr>
        <a:xfrm>
          <a:off x="53442054" y="55206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102053</xdr:colOff>
      <xdr:row>262</xdr:row>
      <xdr:rowOff>38100</xdr:rowOff>
    </xdr:from>
    <xdr:to>
      <xdr:col>70</xdr:col>
      <xdr:colOff>82913</xdr:colOff>
      <xdr:row>262</xdr:row>
      <xdr:rowOff>152400</xdr:rowOff>
    </xdr:to>
    <xdr:sp macro="" textlink="">
      <xdr:nvSpPr>
        <xdr:cNvPr id="67" name="259"/>
        <xdr:cNvSpPr/>
      </xdr:nvSpPr>
      <xdr:spPr>
        <a:xfrm>
          <a:off x="52680053" y="54940200"/>
          <a:ext cx="74286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102053</xdr:colOff>
      <xdr:row>262</xdr:row>
      <xdr:rowOff>95250</xdr:rowOff>
    </xdr:from>
    <xdr:to>
      <xdr:col>69</xdr:col>
      <xdr:colOff>102053</xdr:colOff>
      <xdr:row>262</xdr:row>
      <xdr:rowOff>95250</xdr:rowOff>
    </xdr:to>
    <xdr:cxnSp macro="">
      <xdr:nvCxnSpPr>
        <xdr:cNvPr id="68" name="직선 화살표 연결선 67"/>
        <xdr:cNvCxnSpPr/>
      </xdr:nvCxnSpPr>
      <xdr:spPr>
        <a:xfrm>
          <a:off x="52680053" y="54997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261</xdr:row>
      <xdr:rowOff>38100</xdr:rowOff>
    </xdr:from>
    <xdr:to>
      <xdr:col>69</xdr:col>
      <xdr:colOff>103323</xdr:colOff>
      <xdr:row>261</xdr:row>
      <xdr:rowOff>152400</xdr:rowOff>
    </xdr:to>
    <xdr:sp macro="" textlink="">
      <xdr:nvSpPr>
        <xdr:cNvPr id="69" name="258"/>
        <xdr:cNvSpPr/>
      </xdr:nvSpPr>
      <xdr:spPr>
        <a:xfrm>
          <a:off x="51856822" y="54730650"/>
          <a:ext cx="8245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261</xdr:row>
      <xdr:rowOff>95250</xdr:rowOff>
    </xdr:from>
    <xdr:to>
      <xdr:col>68</xdr:col>
      <xdr:colOff>40822</xdr:colOff>
      <xdr:row>261</xdr:row>
      <xdr:rowOff>95250</xdr:rowOff>
    </xdr:to>
    <xdr:cxnSp macro="">
      <xdr:nvCxnSpPr>
        <xdr:cNvPr id="70" name="직선 화살표 연결선 69"/>
        <xdr:cNvCxnSpPr/>
      </xdr:nvCxnSpPr>
      <xdr:spPr>
        <a:xfrm>
          <a:off x="51856822" y="547878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260</xdr:row>
      <xdr:rowOff>38100</xdr:rowOff>
    </xdr:from>
    <xdr:to>
      <xdr:col>70</xdr:col>
      <xdr:colOff>123734</xdr:colOff>
      <xdr:row>260</xdr:row>
      <xdr:rowOff>152400</xdr:rowOff>
    </xdr:to>
    <xdr:sp macro="" textlink="">
      <xdr:nvSpPr>
        <xdr:cNvPr id="71" name="257"/>
        <xdr:cNvSpPr/>
      </xdr:nvSpPr>
      <xdr:spPr>
        <a:xfrm>
          <a:off x="51856822" y="54521100"/>
          <a:ext cx="160691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260</xdr:row>
      <xdr:rowOff>95250</xdr:rowOff>
    </xdr:from>
    <xdr:to>
      <xdr:col>68</xdr:col>
      <xdr:colOff>40822</xdr:colOff>
      <xdr:row>260</xdr:row>
      <xdr:rowOff>95250</xdr:rowOff>
    </xdr:to>
    <xdr:cxnSp macro="">
      <xdr:nvCxnSpPr>
        <xdr:cNvPr id="72" name="직선 화살표 연결선 71"/>
        <xdr:cNvCxnSpPr/>
      </xdr:nvCxnSpPr>
      <xdr:spPr>
        <a:xfrm>
          <a:off x="51856822" y="545782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257</xdr:row>
      <xdr:rowOff>38100</xdr:rowOff>
    </xdr:from>
    <xdr:to>
      <xdr:col>70</xdr:col>
      <xdr:colOff>123734</xdr:colOff>
      <xdr:row>257</xdr:row>
      <xdr:rowOff>152400</xdr:rowOff>
    </xdr:to>
    <xdr:sp macro="" textlink="">
      <xdr:nvSpPr>
        <xdr:cNvPr id="73" name="254"/>
        <xdr:cNvSpPr/>
      </xdr:nvSpPr>
      <xdr:spPr>
        <a:xfrm>
          <a:off x="53442054" y="538924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257</xdr:row>
      <xdr:rowOff>95250</xdr:rowOff>
    </xdr:from>
    <xdr:to>
      <xdr:col>70</xdr:col>
      <xdr:colOff>102054</xdr:colOff>
      <xdr:row>257</xdr:row>
      <xdr:rowOff>95250</xdr:rowOff>
    </xdr:to>
    <xdr:cxnSp macro="">
      <xdr:nvCxnSpPr>
        <xdr:cNvPr id="74" name="직선 화살표 연결선 73"/>
        <xdr:cNvCxnSpPr/>
      </xdr:nvCxnSpPr>
      <xdr:spPr>
        <a:xfrm>
          <a:off x="53442054" y="53949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102053</xdr:colOff>
      <xdr:row>256</xdr:row>
      <xdr:rowOff>38100</xdr:rowOff>
    </xdr:from>
    <xdr:to>
      <xdr:col>70</xdr:col>
      <xdr:colOff>82913</xdr:colOff>
      <xdr:row>256</xdr:row>
      <xdr:rowOff>152400</xdr:rowOff>
    </xdr:to>
    <xdr:sp macro="" textlink="">
      <xdr:nvSpPr>
        <xdr:cNvPr id="75" name="253"/>
        <xdr:cNvSpPr/>
      </xdr:nvSpPr>
      <xdr:spPr>
        <a:xfrm>
          <a:off x="52680053" y="53682900"/>
          <a:ext cx="74286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102053</xdr:colOff>
      <xdr:row>256</xdr:row>
      <xdr:rowOff>95250</xdr:rowOff>
    </xdr:from>
    <xdr:to>
      <xdr:col>69</xdr:col>
      <xdr:colOff>102053</xdr:colOff>
      <xdr:row>256</xdr:row>
      <xdr:rowOff>95250</xdr:rowOff>
    </xdr:to>
    <xdr:cxnSp macro="">
      <xdr:nvCxnSpPr>
        <xdr:cNvPr id="76" name="직선 화살표 연결선 75"/>
        <xdr:cNvCxnSpPr/>
      </xdr:nvCxnSpPr>
      <xdr:spPr>
        <a:xfrm>
          <a:off x="52680053" y="53740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255</xdr:row>
      <xdr:rowOff>38100</xdr:rowOff>
    </xdr:from>
    <xdr:to>
      <xdr:col>69</xdr:col>
      <xdr:colOff>103323</xdr:colOff>
      <xdr:row>255</xdr:row>
      <xdr:rowOff>152400</xdr:rowOff>
    </xdr:to>
    <xdr:sp macro="" textlink="">
      <xdr:nvSpPr>
        <xdr:cNvPr id="77" name="252"/>
        <xdr:cNvSpPr/>
      </xdr:nvSpPr>
      <xdr:spPr>
        <a:xfrm>
          <a:off x="51856822" y="53473350"/>
          <a:ext cx="8245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255</xdr:row>
      <xdr:rowOff>95250</xdr:rowOff>
    </xdr:from>
    <xdr:to>
      <xdr:col>68</xdr:col>
      <xdr:colOff>40822</xdr:colOff>
      <xdr:row>255</xdr:row>
      <xdr:rowOff>95250</xdr:rowOff>
    </xdr:to>
    <xdr:cxnSp macro="">
      <xdr:nvCxnSpPr>
        <xdr:cNvPr id="78" name="직선 화살표 연결선 77"/>
        <xdr:cNvCxnSpPr/>
      </xdr:nvCxnSpPr>
      <xdr:spPr>
        <a:xfrm>
          <a:off x="51856822" y="53530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254</xdr:row>
      <xdr:rowOff>38100</xdr:rowOff>
    </xdr:from>
    <xdr:to>
      <xdr:col>70</xdr:col>
      <xdr:colOff>123734</xdr:colOff>
      <xdr:row>254</xdr:row>
      <xdr:rowOff>152400</xdr:rowOff>
    </xdr:to>
    <xdr:sp macro="" textlink="">
      <xdr:nvSpPr>
        <xdr:cNvPr id="79" name="251"/>
        <xdr:cNvSpPr/>
      </xdr:nvSpPr>
      <xdr:spPr>
        <a:xfrm>
          <a:off x="51856822" y="53263800"/>
          <a:ext cx="160691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254</xdr:row>
      <xdr:rowOff>95250</xdr:rowOff>
    </xdr:from>
    <xdr:to>
      <xdr:col>68</xdr:col>
      <xdr:colOff>40822</xdr:colOff>
      <xdr:row>254</xdr:row>
      <xdr:rowOff>95250</xdr:rowOff>
    </xdr:to>
    <xdr:cxnSp macro="">
      <xdr:nvCxnSpPr>
        <xdr:cNvPr id="80" name="직선 화살표 연결선 79"/>
        <xdr:cNvCxnSpPr/>
      </xdr:nvCxnSpPr>
      <xdr:spPr>
        <a:xfrm>
          <a:off x="51856822" y="53320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251</xdr:row>
      <xdr:rowOff>38100</xdr:rowOff>
    </xdr:from>
    <xdr:to>
      <xdr:col>70</xdr:col>
      <xdr:colOff>123734</xdr:colOff>
      <xdr:row>251</xdr:row>
      <xdr:rowOff>152400</xdr:rowOff>
    </xdr:to>
    <xdr:sp macro="" textlink="">
      <xdr:nvSpPr>
        <xdr:cNvPr id="81" name="248"/>
        <xdr:cNvSpPr/>
      </xdr:nvSpPr>
      <xdr:spPr>
        <a:xfrm>
          <a:off x="53442054" y="526351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251</xdr:row>
      <xdr:rowOff>95250</xdr:rowOff>
    </xdr:from>
    <xdr:to>
      <xdr:col>70</xdr:col>
      <xdr:colOff>102054</xdr:colOff>
      <xdr:row>251</xdr:row>
      <xdr:rowOff>95250</xdr:rowOff>
    </xdr:to>
    <xdr:cxnSp macro="">
      <xdr:nvCxnSpPr>
        <xdr:cNvPr id="82" name="직선 화살표 연결선 81"/>
        <xdr:cNvCxnSpPr/>
      </xdr:nvCxnSpPr>
      <xdr:spPr>
        <a:xfrm>
          <a:off x="53442054" y="52692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102053</xdr:colOff>
      <xdr:row>250</xdr:row>
      <xdr:rowOff>38100</xdr:rowOff>
    </xdr:from>
    <xdr:to>
      <xdr:col>70</xdr:col>
      <xdr:colOff>82913</xdr:colOff>
      <xdr:row>250</xdr:row>
      <xdr:rowOff>152400</xdr:rowOff>
    </xdr:to>
    <xdr:sp macro="" textlink="">
      <xdr:nvSpPr>
        <xdr:cNvPr id="83" name="247"/>
        <xdr:cNvSpPr/>
      </xdr:nvSpPr>
      <xdr:spPr>
        <a:xfrm>
          <a:off x="52680053" y="52425600"/>
          <a:ext cx="74286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102053</xdr:colOff>
      <xdr:row>250</xdr:row>
      <xdr:rowOff>95250</xdr:rowOff>
    </xdr:from>
    <xdr:to>
      <xdr:col>69</xdr:col>
      <xdr:colOff>102053</xdr:colOff>
      <xdr:row>250</xdr:row>
      <xdr:rowOff>95250</xdr:rowOff>
    </xdr:to>
    <xdr:cxnSp macro="">
      <xdr:nvCxnSpPr>
        <xdr:cNvPr id="84" name="직선 화살표 연결선 83"/>
        <xdr:cNvCxnSpPr/>
      </xdr:nvCxnSpPr>
      <xdr:spPr>
        <a:xfrm>
          <a:off x="52680053" y="52482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249</xdr:row>
      <xdr:rowOff>38100</xdr:rowOff>
    </xdr:from>
    <xdr:to>
      <xdr:col>69</xdr:col>
      <xdr:colOff>103323</xdr:colOff>
      <xdr:row>249</xdr:row>
      <xdr:rowOff>152400</xdr:rowOff>
    </xdr:to>
    <xdr:sp macro="" textlink="">
      <xdr:nvSpPr>
        <xdr:cNvPr id="85" name="246"/>
        <xdr:cNvSpPr/>
      </xdr:nvSpPr>
      <xdr:spPr>
        <a:xfrm>
          <a:off x="51856822" y="52216050"/>
          <a:ext cx="8245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249</xdr:row>
      <xdr:rowOff>95250</xdr:rowOff>
    </xdr:from>
    <xdr:to>
      <xdr:col>68</xdr:col>
      <xdr:colOff>40822</xdr:colOff>
      <xdr:row>249</xdr:row>
      <xdr:rowOff>95250</xdr:rowOff>
    </xdr:to>
    <xdr:cxnSp macro="">
      <xdr:nvCxnSpPr>
        <xdr:cNvPr id="86" name="직선 화살표 연결선 85"/>
        <xdr:cNvCxnSpPr/>
      </xdr:nvCxnSpPr>
      <xdr:spPr>
        <a:xfrm>
          <a:off x="51856822" y="52273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248</xdr:row>
      <xdr:rowOff>38100</xdr:rowOff>
    </xdr:from>
    <xdr:to>
      <xdr:col>70</xdr:col>
      <xdr:colOff>123734</xdr:colOff>
      <xdr:row>248</xdr:row>
      <xdr:rowOff>152400</xdr:rowOff>
    </xdr:to>
    <xdr:sp macro="" textlink="">
      <xdr:nvSpPr>
        <xdr:cNvPr id="87" name="245"/>
        <xdr:cNvSpPr/>
      </xdr:nvSpPr>
      <xdr:spPr>
        <a:xfrm>
          <a:off x="51856822" y="52006500"/>
          <a:ext cx="160691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248</xdr:row>
      <xdr:rowOff>95250</xdr:rowOff>
    </xdr:from>
    <xdr:to>
      <xdr:col>68</xdr:col>
      <xdr:colOff>40822</xdr:colOff>
      <xdr:row>248</xdr:row>
      <xdr:rowOff>95250</xdr:rowOff>
    </xdr:to>
    <xdr:cxnSp macro="">
      <xdr:nvCxnSpPr>
        <xdr:cNvPr id="88" name="직선 화살표 연결선 87"/>
        <xdr:cNvCxnSpPr/>
      </xdr:nvCxnSpPr>
      <xdr:spPr>
        <a:xfrm>
          <a:off x="51856822" y="52063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245</xdr:row>
      <xdr:rowOff>38100</xdr:rowOff>
    </xdr:from>
    <xdr:to>
      <xdr:col>70</xdr:col>
      <xdr:colOff>123734</xdr:colOff>
      <xdr:row>245</xdr:row>
      <xdr:rowOff>152400</xdr:rowOff>
    </xdr:to>
    <xdr:sp macro="" textlink="">
      <xdr:nvSpPr>
        <xdr:cNvPr id="89" name="242"/>
        <xdr:cNvSpPr/>
      </xdr:nvSpPr>
      <xdr:spPr>
        <a:xfrm>
          <a:off x="53442054" y="513778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245</xdr:row>
      <xdr:rowOff>95250</xdr:rowOff>
    </xdr:from>
    <xdr:to>
      <xdr:col>70</xdr:col>
      <xdr:colOff>102054</xdr:colOff>
      <xdr:row>245</xdr:row>
      <xdr:rowOff>95250</xdr:rowOff>
    </xdr:to>
    <xdr:cxnSp macro="">
      <xdr:nvCxnSpPr>
        <xdr:cNvPr id="90" name="직선 화살표 연결선 89"/>
        <xdr:cNvCxnSpPr/>
      </xdr:nvCxnSpPr>
      <xdr:spPr>
        <a:xfrm>
          <a:off x="53442054" y="51435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102053</xdr:colOff>
      <xdr:row>244</xdr:row>
      <xdr:rowOff>38100</xdr:rowOff>
    </xdr:from>
    <xdr:to>
      <xdr:col>70</xdr:col>
      <xdr:colOff>82913</xdr:colOff>
      <xdr:row>244</xdr:row>
      <xdr:rowOff>152400</xdr:rowOff>
    </xdr:to>
    <xdr:sp macro="" textlink="">
      <xdr:nvSpPr>
        <xdr:cNvPr id="91" name="241"/>
        <xdr:cNvSpPr/>
      </xdr:nvSpPr>
      <xdr:spPr>
        <a:xfrm>
          <a:off x="52680053" y="51168300"/>
          <a:ext cx="74286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102053</xdr:colOff>
      <xdr:row>244</xdr:row>
      <xdr:rowOff>95250</xdr:rowOff>
    </xdr:from>
    <xdr:to>
      <xdr:col>69</xdr:col>
      <xdr:colOff>102053</xdr:colOff>
      <xdr:row>244</xdr:row>
      <xdr:rowOff>95250</xdr:rowOff>
    </xdr:to>
    <xdr:cxnSp macro="">
      <xdr:nvCxnSpPr>
        <xdr:cNvPr id="92" name="직선 화살표 연결선 91"/>
        <xdr:cNvCxnSpPr/>
      </xdr:nvCxnSpPr>
      <xdr:spPr>
        <a:xfrm>
          <a:off x="52680053" y="51225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243</xdr:row>
      <xdr:rowOff>38100</xdr:rowOff>
    </xdr:from>
    <xdr:to>
      <xdr:col>69</xdr:col>
      <xdr:colOff>103323</xdr:colOff>
      <xdr:row>243</xdr:row>
      <xdr:rowOff>152400</xdr:rowOff>
    </xdr:to>
    <xdr:sp macro="" textlink="">
      <xdr:nvSpPr>
        <xdr:cNvPr id="93" name="240"/>
        <xdr:cNvSpPr/>
      </xdr:nvSpPr>
      <xdr:spPr>
        <a:xfrm>
          <a:off x="51856822" y="50958750"/>
          <a:ext cx="8245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243</xdr:row>
      <xdr:rowOff>95250</xdr:rowOff>
    </xdr:from>
    <xdr:to>
      <xdr:col>68</xdr:col>
      <xdr:colOff>40822</xdr:colOff>
      <xdr:row>243</xdr:row>
      <xdr:rowOff>95250</xdr:rowOff>
    </xdr:to>
    <xdr:cxnSp macro="">
      <xdr:nvCxnSpPr>
        <xdr:cNvPr id="94" name="직선 화살표 연결선 93"/>
        <xdr:cNvCxnSpPr/>
      </xdr:nvCxnSpPr>
      <xdr:spPr>
        <a:xfrm>
          <a:off x="51856822" y="51015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242</xdr:row>
      <xdr:rowOff>38100</xdr:rowOff>
    </xdr:from>
    <xdr:to>
      <xdr:col>70</xdr:col>
      <xdr:colOff>123734</xdr:colOff>
      <xdr:row>242</xdr:row>
      <xdr:rowOff>152400</xdr:rowOff>
    </xdr:to>
    <xdr:sp macro="" textlink="">
      <xdr:nvSpPr>
        <xdr:cNvPr id="95" name="239"/>
        <xdr:cNvSpPr/>
      </xdr:nvSpPr>
      <xdr:spPr>
        <a:xfrm>
          <a:off x="51856822" y="50749200"/>
          <a:ext cx="160691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242</xdr:row>
      <xdr:rowOff>95250</xdr:rowOff>
    </xdr:from>
    <xdr:to>
      <xdr:col>68</xdr:col>
      <xdr:colOff>40822</xdr:colOff>
      <xdr:row>242</xdr:row>
      <xdr:rowOff>95250</xdr:rowOff>
    </xdr:to>
    <xdr:cxnSp macro="">
      <xdr:nvCxnSpPr>
        <xdr:cNvPr id="96" name="직선 화살표 연결선 95"/>
        <xdr:cNvCxnSpPr/>
      </xdr:nvCxnSpPr>
      <xdr:spPr>
        <a:xfrm>
          <a:off x="51856822" y="50806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241</xdr:row>
      <xdr:rowOff>38100</xdr:rowOff>
    </xdr:from>
    <xdr:to>
      <xdr:col>82</xdr:col>
      <xdr:colOff>123734</xdr:colOff>
      <xdr:row>241</xdr:row>
      <xdr:rowOff>152400</xdr:rowOff>
    </xdr:to>
    <xdr:sp macro="" textlink="">
      <xdr:nvSpPr>
        <xdr:cNvPr id="97" name="238"/>
        <xdr:cNvSpPr/>
      </xdr:nvSpPr>
      <xdr:spPr>
        <a:xfrm>
          <a:off x="51856822" y="50539650"/>
          <a:ext cx="1075091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241</xdr:row>
      <xdr:rowOff>95250</xdr:rowOff>
    </xdr:from>
    <xdr:to>
      <xdr:col>68</xdr:col>
      <xdr:colOff>40822</xdr:colOff>
      <xdr:row>241</xdr:row>
      <xdr:rowOff>95250</xdr:rowOff>
    </xdr:to>
    <xdr:cxnSp macro="">
      <xdr:nvCxnSpPr>
        <xdr:cNvPr id="98" name="직선 화살표 연결선 97"/>
        <xdr:cNvCxnSpPr/>
      </xdr:nvCxnSpPr>
      <xdr:spPr>
        <a:xfrm>
          <a:off x="51856822" y="505968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81643</xdr:colOff>
      <xdr:row>238</xdr:row>
      <xdr:rowOff>38100</xdr:rowOff>
    </xdr:from>
    <xdr:to>
      <xdr:col>84</xdr:col>
      <xdr:colOff>103324</xdr:colOff>
      <xdr:row>238</xdr:row>
      <xdr:rowOff>152400</xdr:rowOff>
    </xdr:to>
    <xdr:sp macro="" textlink="">
      <xdr:nvSpPr>
        <xdr:cNvPr id="99" name="235"/>
        <xdr:cNvSpPr/>
      </xdr:nvSpPr>
      <xdr:spPr>
        <a:xfrm>
          <a:off x="64089643" y="4991100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81643</xdr:colOff>
      <xdr:row>238</xdr:row>
      <xdr:rowOff>95250</xdr:rowOff>
    </xdr:from>
    <xdr:to>
      <xdr:col>84</xdr:col>
      <xdr:colOff>81643</xdr:colOff>
      <xdr:row>238</xdr:row>
      <xdr:rowOff>95250</xdr:rowOff>
    </xdr:to>
    <xdr:cxnSp macro="">
      <xdr:nvCxnSpPr>
        <xdr:cNvPr id="100" name="직선 화살표 연결선 99"/>
        <xdr:cNvCxnSpPr/>
      </xdr:nvCxnSpPr>
      <xdr:spPr>
        <a:xfrm>
          <a:off x="64089643" y="49968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81643</xdr:colOff>
      <xdr:row>237</xdr:row>
      <xdr:rowOff>38100</xdr:rowOff>
    </xdr:from>
    <xdr:to>
      <xdr:col>84</xdr:col>
      <xdr:colOff>62502</xdr:colOff>
      <xdr:row>237</xdr:row>
      <xdr:rowOff>152400</xdr:rowOff>
    </xdr:to>
    <xdr:sp macro="" textlink="">
      <xdr:nvSpPr>
        <xdr:cNvPr id="101" name="234"/>
        <xdr:cNvSpPr/>
      </xdr:nvSpPr>
      <xdr:spPr>
        <a:xfrm>
          <a:off x="63327643" y="49701450"/>
          <a:ext cx="74285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83</xdr:col>
      <xdr:colOff>81643</xdr:colOff>
      <xdr:row>237</xdr:row>
      <xdr:rowOff>95250</xdr:rowOff>
    </xdr:from>
    <xdr:to>
      <xdr:col>83</xdr:col>
      <xdr:colOff>81643</xdr:colOff>
      <xdr:row>237</xdr:row>
      <xdr:rowOff>95250</xdr:rowOff>
    </xdr:to>
    <xdr:cxnSp macro="">
      <xdr:nvCxnSpPr>
        <xdr:cNvPr id="102" name="직선 화살표 연결선 101"/>
        <xdr:cNvCxnSpPr/>
      </xdr:nvCxnSpPr>
      <xdr:spPr>
        <a:xfrm>
          <a:off x="63327643" y="49758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20411</xdr:colOff>
      <xdr:row>236</xdr:row>
      <xdr:rowOff>38100</xdr:rowOff>
    </xdr:from>
    <xdr:to>
      <xdr:col>83</xdr:col>
      <xdr:colOff>82913</xdr:colOff>
      <xdr:row>236</xdr:row>
      <xdr:rowOff>152400</xdr:rowOff>
    </xdr:to>
    <xdr:sp macro="" textlink="">
      <xdr:nvSpPr>
        <xdr:cNvPr id="103" name="233"/>
        <xdr:cNvSpPr/>
      </xdr:nvSpPr>
      <xdr:spPr>
        <a:xfrm>
          <a:off x="62504411" y="49491900"/>
          <a:ext cx="824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20411</xdr:colOff>
      <xdr:row>236</xdr:row>
      <xdr:rowOff>95250</xdr:rowOff>
    </xdr:from>
    <xdr:to>
      <xdr:col>82</xdr:col>
      <xdr:colOff>20411</xdr:colOff>
      <xdr:row>236</xdr:row>
      <xdr:rowOff>95250</xdr:rowOff>
    </xdr:to>
    <xdr:cxnSp macro="">
      <xdr:nvCxnSpPr>
        <xdr:cNvPr id="104" name="직선 화살표 연결선 103"/>
        <xdr:cNvCxnSpPr/>
      </xdr:nvCxnSpPr>
      <xdr:spPr>
        <a:xfrm>
          <a:off x="62504411" y="49549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20411</xdr:colOff>
      <xdr:row>235</xdr:row>
      <xdr:rowOff>38100</xdr:rowOff>
    </xdr:from>
    <xdr:to>
      <xdr:col>84</xdr:col>
      <xdr:colOff>103324</xdr:colOff>
      <xdr:row>235</xdr:row>
      <xdr:rowOff>152400</xdr:rowOff>
    </xdr:to>
    <xdr:sp macro="" textlink="">
      <xdr:nvSpPr>
        <xdr:cNvPr id="105" name="232"/>
        <xdr:cNvSpPr/>
      </xdr:nvSpPr>
      <xdr:spPr>
        <a:xfrm>
          <a:off x="62504411" y="49282350"/>
          <a:ext cx="160691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20411</xdr:colOff>
      <xdr:row>235</xdr:row>
      <xdr:rowOff>95250</xdr:rowOff>
    </xdr:from>
    <xdr:to>
      <xdr:col>82</xdr:col>
      <xdr:colOff>20411</xdr:colOff>
      <xdr:row>235</xdr:row>
      <xdr:rowOff>95250</xdr:rowOff>
    </xdr:to>
    <xdr:cxnSp macro="">
      <xdr:nvCxnSpPr>
        <xdr:cNvPr id="106" name="직선 화살표 연결선 105"/>
        <xdr:cNvCxnSpPr/>
      </xdr:nvCxnSpPr>
      <xdr:spPr>
        <a:xfrm>
          <a:off x="62504411" y="49339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61232</xdr:colOff>
      <xdr:row>232</xdr:row>
      <xdr:rowOff>38100</xdr:rowOff>
    </xdr:from>
    <xdr:to>
      <xdr:col>73</xdr:col>
      <xdr:colOff>82913</xdr:colOff>
      <xdr:row>232</xdr:row>
      <xdr:rowOff>152400</xdr:rowOff>
    </xdr:to>
    <xdr:sp macro="" textlink="">
      <xdr:nvSpPr>
        <xdr:cNvPr id="107" name="229"/>
        <xdr:cNvSpPr/>
      </xdr:nvSpPr>
      <xdr:spPr>
        <a:xfrm>
          <a:off x="55687232" y="4865370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61232</xdr:colOff>
      <xdr:row>232</xdr:row>
      <xdr:rowOff>95250</xdr:rowOff>
    </xdr:from>
    <xdr:to>
      <xdr:col>73</xdr:col>
      <xdr:colOff>61232</xdr:colOff>
      <xdr:row>232</xdr:row>
      <xdr:rowOff>95250</xdr:rowOff>
    </xdr:to>
    <xdr:cxnSp macro="">
      <xdr:nvCxnSpPr>
        <xdr:cNvPr id="108" name="직선 화살표 연결선 107"/>
        <xdr:cNvCxnSpPr/>
      </xdr:nvCxnSpPr>
      <xdr:spPr>
        <a:xfrm>
          <a:off x="55687232" y="48710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102054</xdr:colOff>
      <xdr:row>231</xdr:row>
      <xdr:rowOff>38100</xdr:rowOff>
    </xdr:from>
    <xdr:to>
      <xdr:col>73</xdr:col>
      <xdr:colOff>62502</xdr:colOff>
      <xdr:row>231</xdr:row>
      <xdr:rowOff>152400</xdr:rowOff>
    </xdr:to>
    <xdr:sp macro="" textlink="">
      <xdr:nvSpPr>
        <xdr:cNvPr id="109" name="228"/>
        <xdr:cNvSpPr/>
      </xdr:nvSpPr>
      <xdr:spPr>
        <a:xfrm>
          <a:off x="54966054" y="48444150"/>
          <a:ext cx="7224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102054</xdr:colOff>
      <xdr:row>231</xdr:row>
      <xdr:rowOff>95250</xdr:rowOff>
    </xdr:from>
    <xdr:to>
      <xdr:col>72</xdr:col>
      <xdr:colOff>102054</xdr:colOff>
      <xdr:row>231</xdr:row>
      <xdr:rowOff>95250</xdr:rowOff>
    </xdr:to>
    <xdr:cxnSp macro="">
      <xdr:nvCxnSpPr>
        <xdr:cNvPr id="110" name="직선 화살표 연결선 109"/>
        <xdr:cNvCxnSpPr/>
      </xdr:nvCxnSpPr>
      <xdr:spPr>
        <a:xfrm>
          <a:off x="54966054" y="48501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230</xdr:row>
      <xdr:rowOff>38100</xdr:rowOff>
    </xdr:from>
    <xdr:to>
      <xdr:col>72</xdr:col>
      <xdr:colOff>123734</xdr:colOff>
      <xdr:row>230</xdr:row>
      <xdr:rowOff>152400</xdr:rowOff>
    </xdr:to>
    <xdr:sp macro="" textlink="">
      <xdr:nvSpPr>
        <xdr:cNvPr id="111" name="227"/>
        <xdr:cNvSpPr/>
      </xdr:nvSpPr>
      <xdr:spPr>
        <a:xfrm>
          <a:off x="54163232" y="48234600"/>
          <a:ext cx="824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230</xdr:row>
      <xdr:rowOff>95250</xdr:rowOff>
    </xdr:from>
    <xdr:to>
      <xdr:col>71</xdr:col>
      <xdr:colOff>61232</xdr:colOff>
      <xdr:row>230</xdr:row>
      <xdr:rowOff>95250</xdr:rowOff>
    </xdr:to>
    <xdr:cxnSp macro="">
      <xdr:nvCxnSpPr>
        <xdr:cNvPr id="112" name="직선 화살표 연결선 111"/>
        <xdr:cNvCxnSpPr/>
      </xdr:nvCxnSpPr>
      <xdr:spPr>
        <a:xfrm>
          <a:off x="54163232" y="48291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229</xdr:row>
      <xdr:rowOff>38100</xdr:rowOff>
    </xdr:from>
    <xdr:to>
      <xdr:col>73</xdr:col>
      <xdr:colOff>82913</xdr:colOff>
      <xdr:row>229</xdr:row>
      <xdr:rowOff>152400</xdr:rowOff>
    </xdr:to>
    <xdr:sp macro="" textlink="">
      <xdr:nvSpPr>
        <xdr:cNvPr id="113" name="226"/>
        <xdr:cNvSpPr/>
      </xdr:nvSpPr>
      <xdr:spPr>
        <a:xfrm>
          <a:off x="54163232" y="48025050"/>
          <a:ext cx="154568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229</xdr:row>
      <xdr:rowOff>95250</xdr:rowOff>
    </xdr:from>
    <xdr:to>
      <xdr:col>71</xdr:col>
      <xdr:colOff>61232</xdr:colOff>
      <xdr:row>229</xdr:row>
      <xdr:rowOff>95250</xdr:rowOff>
    </xdr:to>
    <xdr:cxnSp macro="">
      <xdr:nvCxnSpPr>
        <xdr:cNvPr id="114" name="직선 화살표 연결선 113"/>
        <xdr:cNvCxnSpPr/>
      </xdr:nvCxnSpPr>
      <xdr:spPr>
        <a:xfrm>
          <a:off x="54163232" y="48082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228</xdr:row>
      <xdr:rowOff>38100</xdr:rowOff>
    </xdr:from>
    <xdr:to>
      <xdr:col>84</xdr:col>
      <xdr:colOff>103324</xdr:colOff>
      <xdr:row>228</xdr:row>
      <xdr:rowOff>152400</xdr:rowOff>
    </xdr:to>
    <xdr:sp macro="" textlink="">
      <xdr:nvSpPr>
        <xdr:cNvPr id="115" name="225"/>
        <xdr:cNvSpPr/>
      </xdr:nvSpPr>
      <xdr:spPr>
        <a:xfrm>
          <a:off x="54163232" y="47815500"/>
          <a:ext cx="9948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228</xdr:row>
      <xdr:rowOff>95250</xdr:rowOff>
    </xdr:from>
    <xdr:to>
      <xdr:col>71</xdr:col>
      <xdr:colOff>61232</xdr:colOff>
      <xdr:row>228</xdr:row>
      <xdr:rowOff>95250</xdr:rowOff>
    </xdr:to>
    <xdr:cxnSp macro="">
      <xdr:nvCxnSpPr>
        <xdr:cNvPr id="116" name="직선 화살표 연결선 115"/>
        <xdr:cNvCxnSpPr/>
      </xdr:nvCxnSpPr>
      <xdr:spPr>
        <a:xfrm>
          <a:off x="54163232" y="47872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102054</xdr:colOff>
      <xdr:row>225</xdr:row>
      <xdr:rowOff>38100</xdr:rowOff>
    </xdr:from>
    <xdr:to>
      <xdr:col>82</xdr:col>
      <xdr:colOff>123734</xdr:colOff>
      <xdr:row>225</xdr:row>
      <xdr:rowOff>152400</xdr:rowOff>
    </xdr:to>
    <xdr:sp macro="" textlink="">
      <xdr:nvSpPr>
        <xdr:cNvPr id="117" name="222"/>
        <xdr:cNvSpPr/>
      </xdr:nvSpPr>
      <xdr:spPr>
        <a:xfrm>
          <a:off x="62586054" y="471868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225</xdr:row>
      <xdr:rowOff>95250</xdr:rowOff>
    </xdr:from>
    <xdr:to>
      <xdr:col>82</xdr:col>
      <xdr:colOff>102054</xdr:colOff>
      <xdr:row>225</xdr:row>
      <xdr:rowOff>95250</xdr:rowOff>
    </xdr:to>
    <xdr:cxnSp macro="">
      <xdr:nvCxnSpPr>
        <xdr:cNvPr id="118" name="직선 화살표 연결선 117"/>
        <xdr:cNvCxnSpPr/>
      </xdr:nvCxnSpPr>
      <xdr:spPr>
        <a:xfrm>
          <a:off x="62586054" y="47244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224</xdr:row>
      <xdr:rowOff>38100</xdr:rowOff>
    </xdr:from>
    <xdr:to>
      <xdr:col>82</xdr:col>
      <xdr:colOff>103324</xdr:colOff>
      <xdr:row>224</xdr:row>
      <xdr:rowOff>152400</xdr:rowOff>
    </xdr:to>
    <xdr:sp macro="" textlink="">
      <xdr:nvSpPr>
        <xdr:cNvPr id="119" name="221"/>
        <xdr:cNvSpPr/>
      </xdr:nvSpPr>
      <xdr:spPr>
        <a:xfrm>
          <a:off x="62484000" y="46977300"/>
          <a:ext cx="103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0</xdr:colOff>
      <xdr:row>224</xdr:row>
      <xdr:rowOff>95250</xdr:rowOff>
    </xdr:from>
    <xdr:to>
      <xdr:col>82</xdr:col>
      <xdr:colOff>0</xdr:colOff>
      <xdr:row>224</xdr:row>
      <xdr:rowOff>95250</xdr:rowOff>
    </xdr:to>
    <xdr:cxnSp macro="">
      <xdr:nvCxnSpPr>
        <xdr:cNvPr id="120" name="직선 화살표 연결선 119"/>
        <xdr:cNvCxnSpPr/>
      </xdr:nvCxnSpPr>
      <xdr:spPr>
        <a:xfrm>
          <a:off x="62484000" y="47034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223</xdr:row>
      <xdr:rowOff>38100</xdr:rowOff>
    </xdr:from>
    <xdr:to>
      <xdr:col>82</xdr:col>
      <xdr:colOff>1270</xdr:colOff>
      <xdr:row>223</xdr:row>
      <xdr:rowOff>152400</xdr:rowOff>
    </xdr:to>
    <xdr:sp macro="" textlink="">
      <xdr:nvSpPr>
        <xdr:cNvPr id="121" name="220"/>
        <xdr:cNvSpPr/>
      </xdr:nvSpPr>
      <xdr:spPr>
        <a:xfrm>
          <a:off x="61062054" y="46767750"/>
          <a:ext cx="1423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223</xdr:row>
      <xdr:rowOff>95250</xdr:rowOff>
    </xdr:from>
    <xdr:to>
      <xdr:col>80</xdr:col>
      <xdr:colOff>102054</xdr:colOff>
      <xdr:row>223</xdr:row>
      <xdr:rowOff>95250</xdr:rowOff>
    </xdr:to>
    <xdr:cxnSp macro="">
      <xdr:nvCxnSpPr>
        <xdr:cNvPr id="122" name="직선 화살표 연결선 121"/>
        <xdr:cNvCxnSpPr/>
      </xdr:nvCxnSpPr>
      <xdr:spPr>
        <a:xfrm>
          <a:off x="61062054" y="46824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222</xdr:row>
      <xdr:rowOff>38100</xdr:rowOff>
    </xdr:from>
    <xdr:to>
      <xdr:col>82</xdr:col>
      <xdr:colOff>123734</xdr:colOff>
      <xdr:row>222</xdr:row>
      <xdr:rowOff>152400</xdr:rowOff>
    </xdr:to>
    <xdr:sp macro="" textlink="">
      <xdr:nvSpPr>
        <xdr:cNvPr id="123" name="219"/>
        <xdr:cNvSpPr/>
      </xdr:nvSpPr>
      <xdr:spPr>
        <a:xfrm>
          <a:off x="61062054" y="46558200"/>
          <a:ext cx="154568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222</xdr:row>
      <xdr:rowOff>95250</xdr:rowOff>
    </xdr:from>
    <xdr:to>
      <xdr:col>80</xdr:col>
      <xdr:colOff>102054</xdr:colOff>
      <xdr:row>222</xdr:row>
      <xdr:rowOff>95250</xdr:rowOff>
    </xdr:to>
    <xdr:cxnSp macro="">
      <xdr:nvCxnSpPr>
        <xdr:cNvPr id="124" name="직선 화살표 연결선 123"/>
        <xdr:cNvCxnSpPr/>
      </xdr:nvCxnSpPr>
      <xdr:spPr>
        <a:xfrm>
          <a:off x="61062054" y="46615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102054</xdr:colOff>
      <xdr:row>219</xdr:row>
      <xdr:rowOff>38100</xdr:rowOff>
    </xdr:from>
    <xdr:to>
      <xdr:col>82</xdr:col>
      <xdr:colOff>123734</xdr:colOff>
      <xdr:row>219</xdr:row>
      <xdr:rowOff>152400</xdr:rowOff>
    </xdr:to>
    <xdr:sp macro="" textlink="">
      <xdr:nvSpPr>
        <xdr:cNvPr id="125" name="216"/>
        <xdr:cNvSpPr/>
      </xdr:nvSpPr>
      <xdr:spPr>
        <a:xfrm>
          <a:off x="62586054" y="459295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219</xdr:row>
      <xdr:rowOff>95250</xdr:rowOff>
    </xdr:from>
    <xdr:to>
      <xdr:col>82</xdr:col>
      <xdr:colOff>102054</xdr:colOff>
      <xdr:row>219</xdr:row>
      <xdr:rowOff>95250</xdr:rowOff>
    </xdr:to>
    <xdr:cxnSp macro="">
      <xdr:nvCxnSpPr>
        <xdr:cNvPr id="126" name="직선 화살표 연결선 125"/>
        <xdr:cNvCxnSpPr/>
      </xdr:nvCxnSpPr>
      <xdr:spPr>
        <a:xfrm>
          <a:off x="62586054" y="45986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218</xdr:row>
      <xdr:rowOff>38100</xdr:rowOff>
    </xdr:from>
    <xdr:to>
      <xdr:col>82</xdr:col>
      <xdr:colOff>103324</xdr:colOff>
      <xdr:row>218</xdr:row>
      <xdr:rowOff>152400</xdr:rowOff>
    </xdr:to>
    <xdr:sp macro="" textlink="">
      <xdr:nvSpPr>
        <xdr:cNvPr id="127" name="215"/>
        <xdr:cNvSpPr/>
      </xdr:nvSpPr>
      <xdr:spPr>
        <a:xfrm>
          <a:off x="62484000" y="45720000"/>
          <a:ext cx="103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0</xdr:colOff>
      <xdr:row>218</xdr:row>
      <xdr:rowOff>95250</xdr:rowOff>
    </xdr:from>
    <xdr:to>
      <xdr:col>82</xdr:col>
      <xdr:colOff>0</xdr:colOff>
      <xdr:row>218</xdr:row>
      <xdr:rowOff>95250</xdr:rowOff>
    </xdr:to>
    <xdr:cxnSp macro="">
      <xdr:nvCxnSpPr>
        <xdr:cNvPr id="128" name="직선 화살표 연결선 127"/>
        <xdr:cNvCxnSpPr/>
      </xdr:nvCxnSpPr>
      <xdr:spPr>
        <a:xfrm>
          <a:off x="62484000" y="45777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217</xdr:row>
      <xdr:rowOff>38100</xdr:rowOff>
    </xdr:from>
    <xdr:to>
      <xdr:col>82</xdr:col>
      <xdr:colOff>1270</xdr:colOff>
      <xdr:row>217</xdr:row>
      <xdr:rowOff>152400</xdr:rowOff>
    </xdr:to>
    <xdr:sp macro="" textlink="">
      <xdr:nvSpPr>
        <xdr:cNvPr id="129" name="214"/>
        <xdr:cNvSpPr/>
      </xdr:nvSpPr>
      <xdr:spPr>
        <a:xfrm>
          <a:off x="61062054" y="45510450"/>
          <a:ext cx="1423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217</xdr:row>
      <xdr:rowOff>95250</xdr:rowOff>
    </xdr:from>
    <xdr:to>
      <xdr:col>80</xdr:col>
      <xdr:colOff>102054</xdr:colOff>
      <xdr:row>217</xdr:row>
      <xdr:rowOff>95250</xdr:rowOff>
    </xdr:to>
    <xdr:cxnSp macro="">
      <xdr:nvCxnSpPr>
        <xdr:cNvPr id="130" name="직선 화살표 연결선 129"/>
        <xdr:cNvCxnSpPr/>
      </xdr:nvCxnSpPr>
      <xdr:spPr>
        <a:xfrm>
          <a:off x="61062054" y="45567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216</xdr:row>
      <xdr:rowOff>38100</xdr:rowOff>
    </xdr:from>
    <xdr:to>
      <xdr:col>82</xdr:col>
      <xdr:colOff>123734</xdr:colOff>
      <xdr:row>216</xdr:row>
      <xdr:rowOff>152400</xdr:rowOff>
    </xdr:to>
    <xdr:sp macro="" textlink="">
      <xdr:nvSpPr>
        <xdr:cNvPr id="131" name="213"/>
        <xdr:cNvSpPr/>
      </xdr:nvSpPr>
      <xdr:spPr>
        <a:xfrm>
          <a:off x="61062054" y="45300900"/>
          <a:ext cx="154568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216</xdr:row>
      <xdr:rowOff>95250</xdr:rowOff>
    </xdr:from>
    <xdr:to>
      <xdr:col>80</xdr:col>
      <xdr:colOff>102054</xdr:colOff>
      <xdr:row>216</xdr:row>
      <xdr:rowOff>95250</xdr:rowOff>
    </xdr:to>
    <xdr:cxnSp macro="">
      <xdr:nvCxnSpPr>
        <xdr:cNvPr id="132" name="직선 화살표 연결선 131"/>
        <xdr:cNvCxnSpPr/>
      </xdr:nvCxnSpPr>
      <xdr:spPr>
        <a:xfrm>
          <a:off x="61062054" y="45358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102054</xdr:colOff>
      <xdr:row>213</xdr:row>
      <xdr:rowOff>38100</xdr:rowOff>
    </xdr:from>
    <xdr:to>
      <xdr:col>82</xdr:col>
      <xdr:colOff>123734</xdr:colOff>
      <xdr:row>213</xdr:row>
      <xdr:rowOff>152400</xdr:rowOff>
    </xdr:to>
    <xdr:sp macro="" textlink="">
      <xdr:nvSpPr>
        <xdr:cNvPr id="133" name="210"/>
        <xdr:cNvSpPr/>
      </xdr:nvSpPr>
      <xdr:spPr>
        <a:xfrm>
          <a:off x="62586054" y="446722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213</xdr:row>
      <xdr:rowOff>95250</xdr:rowOff>
    </xdr:from>
    <xdr:to>
      <xdr:col>82</xdr:col>
      <xdr:colOff>102054</xdr:colOff>
      <xdr:row>213</xdr:row>
      <xdr:rowOff>95250</xdr:rowOff>
    </xdr:to>
    <xdr:cxnSp macro="">
      <xdr:nvCxnSpPr>
        <xdr:cNvPr id="134" name="직선 화살표 연결선 133"/>
        <xdr:cNvCxnSpPr/>
      </xdr:nvCxnSpPr>
      <xdr:spPr>
        <a:xfrm>
          <a:off x="62586054" y="44729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212</xdr:row>
      <xdr:rowOff>38100</xdr:rowOff>
    </xdr:from>
    <xdr:to>
      <xdr:col>82</xdr:col>
      <xdr:colOff>103324</xdr:colOff>
      <xdr:row>212</xdr:row>
      <xdr:rowOff>152400</xdr:rowOff>
    </xdr:to>
    <xdr:sp macro="" textlink="">
      <xdr:nvSpPr>
        <xdr:cNvPr id="135" name="209"/>
        <xdr:cNvSpPr/>
      </xdr:nvSpPr>
      <xdr:spPr>
        <a:xfrm>
          <a:off x="62484000" y="44462700"/>
          <a:ext cx="103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0</xdr:colOff>
      <xdr:row>212</xdr:row>
      <xdr:rowOff>95250</xdr:rowOff>
    </xdr:from>
    <xdr:to>
      <xdr:col>82</xdr:col>
      <xdr:colOff>0</xdr:colOff>
      <xdr:row>212</xdr:row>
      <xdr:rowOff>95250</xdr:rowOff>
    </xdr:to>
    <xdr:cxnSp macro="">
      <xdr:nvCxnSpPr>
        <xdr:cNvPr id="136" name="직선 화살표 연결선 135"/>
        <xdr:cNvCxnSpPr/>
      </xdr:nvCxnSpPr>
      <xdr:spPr>
        <a:xfrm>
          <a:off x="62484000" y="44519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211</xdr:row>
      <xdr:rowOff>38100</xdr:rowOff>
    </xdr:from>
    <xdr:to>
      <xdr:col>82</xdr:col>
      <xdr:colOff>1270</xdr:colOff>
      <xdr:row>211</xdr:row>
      <xdr:rowOff>152400</xdr:rowOff>
    </xdr:to>
    <xdr:sp macro="" textlink="">
      <xdr:nvSpPr>
        <xdr:cNvPr id="137" name="208"/>
        <xdr:cNvSpPr/>
      </xdr:nvSpPr>
      <xdr:spPr>
        <a:xfrm>
          <a:off x="61062054" y="44253150"/>
          <a:ext cx="1423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211</xdr:row>
      <xdr:rowOff>95250</xdr:rowOff>
    </xdr:from>
    <xdr:to>
      <xdr:col>80</xdr:col>
      <xdr:colOff>102054</xdr:colOff>
      <xdr:row>211</xdr:row>
      <xdr:rowOff>95250</xdr:rowOff>
    </xdr:to>
    <xdr:cxnSp macro="">
      <xdr:nvCxnSpPr>
        <xdr:cNvPr id="138" name="직선 화살표 연결선 137"/>
        <xdr:cNvCxnSpPr/>
      </xdr:nvCxnSpPr>
      <xdr:spPr>
        <a:xfrm>
          <a:off x="61062054" y="44310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210</xdr:row>
      <xdr:rowOff>38100</xdr:rowOff>
    </xdr:from>
    <xdr:to>
      <xdr:col>82</xdr:col>
      <xdr:colOff>123734</xdr:colOff>
      <xdr:row>210</xdr:row>
      <xdr:rowOff>152400</xdr:rowOff>
    </xdr:to>
    <xdr:sp macro="" textlink="">
      <xdr:nvSpPr>
        <xdr:cNvPr id="139" name="207"/>
        <xdr:cNvSpPr/>
      </xdr:nvSpPr>
      <xdr:spPr>
        <a:xfrm>
          <a:off x="61062054" y="44043600"/>
          <a:ext cx="154568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210</xdr:row>
      <xdr:rowOff>95250</xdr:rowOff>
    </xdr:from>
    <xdr:to>
      <xdr:col>80</xdr:col>
      <xdr:colOff>102054</xdr:colOff>
      <xdr:row>210</xdr:row>
      <xdr:rowOff>95250</xdr:rowOff>
    </xdr:to>
    <xdr:cxnSp macro="">
      <xdr:nvCxnSpPr>
        <xdr:cNvPr id="140" name="직선 화살표 연결선 139"/>
        <xdr:cNvCxnSpPr/>
      </xdr:nvCxnSpPr>
      <xdr:spPr>
        <a:xfrm>
          <a:off x="61062054" y="44100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102054</xdr:colOff>
      <xdr:row>207</xdr:row>
      <xdr:rowOff>38100</xdr:rowOff>
    </xdr:from>
    <xdr:to>
      <xdr:col>82</xdr:col>
      <xdr:colOff>123734</xdr:colOff>
      <xdr:row>207</xdr:row>
      <xdr:rowOff>152400</xdr:rowOff>
    </xdr:to>
    <xdr:sp macro="" textlink="">
      <xdr:nvSpPr>
        <xdr:cNvPr id="141" name="204"/>
        <xdr:cNvSpPr/>
      </xdr:nvSpPr>
      <xdr:spPr>
        <a:xfrm>
          <a:off x="62586054" y="434149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207</xdr:row>
      <xdr:rowOff>95250</xdr:rowOff>
    </xdr:from>
    <xdr:to>
      <xdr:col>82</xdr:col>
      <xdr:colOff>102054</xdr:colOff>
      <xdr:row>207</xdr:row>
      <xdr:rowOff>95250</xdr:rowOff>
    </xdr:to>
    <xdr:cxnSp macro="">
      <xdr:nvCxnSpPr>
        <xdr:cNvPr id="142" name="직선 화살표 연결선 141"/>
        <xdr:cNvCxnSpPr/>
      </xdr:nvCxnSpPr>
      <xdr:spPr>
        <a:xfrm>
          <a:off x="62586054" y="43472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206</xdr:row>
      <xdr:rowOff>38100</xdr:rowOff>
    </xdr:from>
    <xdr:to>
      <xdr:col>82</xdr:col>
      <xdr:colOff>103324</xdr:colOff>
      <xdr:row>206</xdr:row>
      <xdr:rowOff>152400</xdr:rowOff>
    </xdr:to>
    <xdr:sp macro="" textlink="">
      <xdr:nvSpPr>
        <xdr:cNvPr id="143" name="203"/>
        <xdr:cNvSpPr/>
      </xdr:nvSpPr>
      <xdr:spPr>
        <a:xfrm>
          <a:off x="62484000" y="43205400"/>
          <a:ext cx="103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0</xdr:colOff>
      <xdr:row>206</xdr:row>
      <xdr:rowOff>95250</xdr:rowOff>
    </xdr:from>
    <xdr:to>
      <xdr:col>82</xdr:col>
      <xdr:colOff>0</xdr:colOff>
      <xdr:row>206</xdr:row>
      <xdr:rowOff>95250</xdr:rowOff>
    </xdr:to>
    <xdr:cxnSp macro="">
      <xdr:nvCxnSpPr>
        <xdr:cNvPr id="144" name="직선 화살표 연결선 143"/>
        <xdr:cNvCxnSpPr/>
      </xdr:nvCxnSpPr>
      <xdr:spPr>
        <a:xfrm>
          <a:off x="62484000" y="43262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205</xdr:row>
      <xdr:rowOff>38100</xdr:rowOff>
    </xdr:from>
    <xdr:to>
      <xdr:col>82</xdr:col>
      <xdr:colOff>1270</xdr:colOff>
      <xdr:row>205</xdr:row>
      <xdr:rowOff>152400</xdr:rowOff>
    </xdr:to>
    <xdr:sp macro="" textlink="">
      <xdr:nvSpPr>
        <xdr:cNvPr id="145" name="202"/>
        <xdr:cNvSpPr/>
      </xdr:nvSpPr>
      <xdr:spPr>
        <a:xfrm>
          <a:off x="61062054" y="42995850"/>
          <a:ext cx="1423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205</xdr:row>
      <xdr:rowOff>95250</xdr:rowOff>
    </xdr:from>
    <xdr:to>
      <xdr:col>80</xdr:col>
      <xdr:colOff>102054</xdr:colOff>
      <xdr:row>205</xdr:row>
      <xdr:rowOff>95250</xdr:rowOff>
    </xdr:to>
    <xdr:cxnSp macro="">
      <xdr:nvCxnSpPr>
        <xdr:cNvPr id="146" name="직선 화살표 연결선 145"/>
        <xdr:cNvCxnSpPr/>
      </xdr:nvCxnSpPr>
      <xdr:spPr>
        <a:xfrm>
          <a:off x="61062054" y="43053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102054</xdr:colOff>
      <xdr:row>204</xdr:row>
      <xdr:rowOff>38100</xdr:rowOff>
    </xdr:from>
    <xdr:to>
      <xdr:col>82</xdr:col>
      <xdr:colOff>123734</xdr:colOff>
      <xdr:row>204</xdr:row>
      <xdr:rowOff>152400</xdr:rowOff>
    </xdr:to>
    <xdr:sp macro="" textlink="">
      <xdr:nvSpPr>
        <xdr:cNvPr id="147" name="201"/>
        <xdr:cNvSpPr/>
      </xdr:nvSpPr>
      <xdr:spPr>
        <a:xfrm>
          <a:off x="61062054" y="42786300"/>
          <a:ext cx="154568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102054</xdr:colOff>
      <xdr:row>204</xdr:row>
      <xdr:rowOff>95250</xdr:rowOff>
    </xdr:from>
    <xdr:to>
      <xdr:col>80</xdr:col>
      <xdr:colOff>102054</xdr:colOff>
      <xdr:row>204</xdr:row>
      <xdr:rowOff>95250</xdr:rowOff>
    </xdr:to>
    <xdr:cxnSp macro="">
      <xdr:nvCxnSpPr>
        <xdr:cNvPr id="148" name="직선 화살표 연결선 147"/>
        <xdr:cNvCxnSpPr/>
      </xdr:nvCxnSpPr>
      <xdr:spPr>
        <a:xfrm>
          <a:off x="61062054" y="42843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201</xdr:row>
      <xdr:rowOff>38100</xdr:rowOff>
    </xdr:from>
    <xdr:to>
      <xdr:col>80</xdr:col>
      <xdr:colOff>82913</xdr:colOff>
      <xdr:row>201</xdr:row>
      <xdr:rowOff>152400</xdr:rowOff>
    </xdr:to>
    <xdr:sp macro="" textlink="">
      <xdr:nvSpPr>
        <xdr:cNvPr id="149" name="198"/>
        <xdr:cNvSpPr/>
      </xdr:nvSpPr>
      <xdr:spPr>
        <a:xfrm>
          <a:off x="61021232" y="4215765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201</xdr:row>
      <xdr:rowOff>95250</xdr:rowOff>
    </xdr:from>
    <xdr:to>
      <xdr:col>80</xdr:col>
      <xdr:colOff>61232</xdr:colOff>
      <xdr:row>201</xdr:row>
      <xdr:rowOff>95250</xdr:rowOff>
    </xdr:to>
    <xdr:cxnSp macro="">
      <xdr:nvCxnSpPr>
        <xdr:cNvPr id="150" name="직선 화살표 연결선 149"/>
        <xdr:cNvCxnSpPr/>
      </xdr:nvCxnSpPr>
      <xdr:spPr>
        <a:xfrm>
          <a:off x="61021232" y="422148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40821</xdr:colOff>
      <xdr:row>200</xdr:row>
      <xdr:rowOff>38100</xdr:rowOff>
    </xdr:from>
    <xdr:to>
      <xdr:col>80</xdr:col>
      <xdr:colOff>1270</xdr:colOff>
      <xdr:row>200</xdr:row>
      <xdr:rowOff>152400</xdr:rowOff>
    </xdr:to>
    <xdr:sp macro="" textlink="">
      <xdr:nvSpPr>
        <xdr:cNvPr id="151" name="197"/>
        <xdr:cNvSpPr/>
      </xdr:nvSpPr>
      <xdr:spPr>
        <a:xfrm>
          <a:off x="60238821" y="41948100"/>
          <a:ext cx="72244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40821</xdr:colOff>
      <xdr:row>200</xdr:row>
      <xdr:rowOff>95250</xdr:rowOff>
    </xdr:from>
    <xdr:to>
      <xdr:col>79</xdr:col>
      <xdr:colOff>40821</xdr:colOff>
      <xdr:row>200</xdr:row>
      <xdr:rowOff>95250</xdr:rowOff>
    </xdr:to>
    <xdr:cxnSp macro="">
      <xdr:nvCxnSpPr>
        <xdr:cNvPr id="152" name="직선 화살표 연결선 151"/>
        <xdr:cNvCxnSpPr/>
      </xdr:nvCxnSpPr>
      <xdr:spPr>
        <a:xfrm>
          <a:off x="60238821" y="420052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102054</xdr:colOff>
      <xdr:row>199</xdr:row>
      <xdr:rowOff>38100</xdr:rowOff>
    </xdr:from>
    <xdr:to>
      <xdr:col>79</xdr:col>
      <xdr:colOff>42090</xdr:colOff>
      <xdr:row>199</xdr:row>
      <xdr:rowOff>152400</xdr:rowOff>
    </xdr:to>
    <xdr:sp macro="" textlink="">
      <xdr:nvSpPr>
        <xdr:cNvPr id="153" name="196"/>
        <xdr:cNvSpPr/>
      </xdr:nvSpPr>
      <xdr:spPr>
        <a:xfrm>
          <a:off x="58776054" y="41738550"/>
          <a:ext cx="14640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102054</xdr:colOff>
      <xdr:row>199</xdr:row>
      <xdr:rowOff>95250</xdr:rowOff>
    </xdr:from>
    <xdr:to>
      <xdr:col>77</xdr:col>
      <xdr:colOff>102054</xdr:colOff>
      <xdr:row>199</xdr:row>
      <xdr:rowOff>95250</xdr:rowOff>
    </xdr:to>
    <xdr:cxnSp macro="">
      <xdr:nvCxnSpPr>
        <xdr:cNvPr id="154" name="직선 화살표 연결선 153"/>
        <xdr:cNvCxnSpPr/>
      </xdr:nvCxnSpPr>
      <xdr:spPr>
        <a:xfrm>
          <a:off x="58776054" y="41795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102054</xdr:colOff>
      <xdr:row>198</xdr:row>
      <xdr:rowOff>38100</xdr:rowOff>
    </xdr:from>
    <xdr:to>
      <xdr:col>80</xdr:col>
      <xdr:colOff>82913</xdr:colOff>
      <xdr:row>198</xdr:row>
      <xdr:rowOff>152400</xdr:rowOff>
    </xdr:to>
    <xdr:sp macro="" textlink="">
      <xdr:nvSpPr>
        <xdr:cNvPr id="155" name="195"/>
        <xdr:cNvSpPr/>
      </xdr:nvSpPr>
      <xdr:spPr>
        <a:xfrm>
          <a:off x="58776054" y="41529000"/>
          <a:ext cx="226685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102054</xdr:colOff>
      <xdr:row>198</xdr:row>
      <xdr:rowOff>95250</xdr:rowOff>
    </xdr:from>
    <xdr:to>
      <xdr:col>77</xdr:col>
      <xdr:colOff>102054</xdr:colOff>
      <xdr:row>198</xdr:row>
      <xdr:rowOff>95250</xdr:rowOff>
    </xdr:to>
    <xdr:cxnSp macro="">
      <xdr:nvCxnSpPr>
        <xdr:cNvPr id="156" name="직선 화살표 연결선 155"/>
        <xdr:cNvCxnSpPr/>
      </xdr:nvCxnSpPr>
      <xdr:spPr>
        <a:xfrm>
          <a:off x="58776054" y="41586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195</xdr:row>
      <xdr:rowOff>38100</xdr:rowOff>
    </xdr:from>
    <xdr:to>
      <xdr:col>80</xdr:col>
      <xdr:colOff>82913</xdr:colOff>
      <xdr:row>195</xdr:row>
      <xdr:rowOff>152400</xdr:rowOff>
    </xdr:to>
    <xdr:sp macro="" textlink="">
      <xdr:nvSpPr>
        <xdr:cNvPr id="157" name="192"/>
        <xdr:cNvSpPr/>
      </xdr:nvSpPr>
      <xdr:spPr>
        <a:xfrm>
          <a:off x="61021232" y="4090035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195</xdr:row>
      <xdr:rowOff>95250</xdr:rowOff>
    </xdr:from>
    <xdr:to>
      <xdr:col>80</xdr:col>
      <xdr:colOff>61232</xdr:colOff>
      <xdr:row>195</xdr:row>
      <xdr:rowOff>95250</xdr:rowOff>
    </xdr:to>
    <xdr:cxnSp macro="">
      <xdr:nvCxnSpPr>
        <xdr:cNvPr id="158" name="직선 화살표 연결선 157"/>
        <xdr:cNvCxnSpPr/>
      </xdr:nvCxnSpPr>
      <xdr:spPr>
        <a:xfrm>
          <a:off x="61021232" y="40957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40821</xdr:colOff>
      <xdr:row>194</xdr:row>
      <xdr:rowOff>38100</xdr:rowOff>
    </xdr:from>
    <xdr:to>
      <xdr:col>80</xdr:col>
      <xdr:colOff>1270</xdr:colOff>
      <xdr:row>194</xdr:row>
      <xdr:rowOff>152400</xdr:rowOff>
    </xdr:to>
    <xdr:sp macro="" textlink="">
      <xdr:nvSpPr>
        <xdr:cNvPr id="159" name="191"/>
        <xdr:cNvSpPr/>
      </xdr:nvSpPr>
      <xdr:spPr>
        <a:xfrm>
          <a:off x="60238821" y="40690800"/>
          <a:ext cx="72244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40821</xdr:colOff>
      <xdr:row>194</xdr:row>
      <xdr:rowOff>95250</xdr:rowOff>
    </xdr:from>
    <xdr:to>
      <xdr:col>79</xdr:col>
      <xdr:colOff>40821</xdr:colOff>
      <xdr:row>194</xdr:row>
      <xdr:rowOff>95250</xdr:rowOff>
    </xdr:to>
    <xdr:cxnSp macro="">
      <xdr:nvCxnSpPr>
        <xdr:cNvPr id="160" name="직선 화살표 연결선 159"/>
        <xdr:cNvCxnSpPr/>
      </xdr:nvCxnSpPr>
      <xdr:spPr>
        <a:xfrm>
          <a:off x="60238821" y="40747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102054</xdr:colOff>
      <xdr:row>193</xdr:row>
      <xdr:rowOff>38100</xdr:rowOff>
    </xdr:from>
    <xdr:to>
      <xdr:col>79</xdr:col>
      <xdr:colOff>42090</xdr:colOff>
      <xdr:row>193</xdr:row>
      <xdr:rowOff>152400</xdr:rowOff>
    </xdr:to>
    <xdr:sp macro="" textlink="">
      <xdr:nvSpPr>
        <xdr:cNvPr id="161" name="190"/>
        <xdr:cNvSpPr/>
      </xdr:nvSpPr>
      <xdr:spPr>
        <a:xfrm>
          <a:off x="58776054" y="40481250"/>
          <a:ext cx="14640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102054</xdr:colOff>
      <xdr:row>193</xdr:row>
      <xdr:rowOff>95250</xdr:rowOff>
    </xdr:from>
    <xdr:to>
      <xdr:col>77</xdr:col>
      <xdr:colOff>102054</xdr:colOff>
      <xdr:row>193</xdr:row>
      <xdr:rowOff>95250</xdr:rowOff>
    </xdr:to>
    <xdr:cxnSp macro="">
      <xdr:nvCxnSpPr>
        <xdr:cNvPr id="162" name="직선 화살표 연결선 161"/>
        <xdr:cNvCxnSpPr/>
      </xdr:nvCxnSpPr>
      <xdr:spPr>
        <a:xfrm>
          <a:off x="58776054" y="40538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102054</xdr:colOff>
      <xdr:row>192</xdr:row>
      <xdr:rowOff>38100</xdr:rowOff>
    </xdr:from>
    <xdr:to>
      <xdr:col>80</xdr:col>
      <xdr:colOff>82913</xdr:colOff>
      <xdr:row>192</xdr:row>
      <xdr:rowOff>152400</xdr:rowOff>
    </xdr:to>
    <xdr:sp macro="" textlink="">
      <xdr:nvSpPr>
        <xdr:cNvPr id="163" name="189"/>
        <xdr:cNvSpPr/>
      </xdr:nvSpPr>
      <xdr:spPr>
        <a:xfrm>
          <a:off x="58776054" y="40271700"/>
          <a:ext cx="226685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102054</xdr:colOff>
      <xdr:row>192</xdr:row>
      <xdr:rowOff>95250</xdr:rowOff>
    </xdr:from>
    <xdr:to>
      <xdr:col>77</xdr:col>
      <xdr:colOff>102054</xdr:colOff>
      <xdr:row>192</xdr:row>
      <xdr:rowOff>95250</xdr:rowOff>
    </xdr:to>
    <xdr:cxnSp macro="">
      <xdr:nvCxnSpPr>
        <xdr:cNvPr id="164" name="직선 화살표 연결선 163"/>
        <xdr:cNvCxnSpPr/>
      </xdr:nvCxnSpPr>
      <xdr:spPr>
        <a:xfrm>
          <a:off x="58776054" y="40328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189</xdr:row>
      <xdr:rowOff>38100</xdr:rowOff>
    </xdr:from>
    <xdr:to>
      <xdr:col>70</xdr:col>
      <xdr:colOff>123734</xdr:colOff>
      <xdr:row>189</xdr:row>
      <xdr:rowOff>152400</xdr:rowOff>
    </xdr:to>
    <xdr:sp macro="" textlink="">
      <xdr:nvSpPr>
        <xdr:cNvPr id="165" name="186"/>
        <xdr:cNvSpPr/>
      </xdr:nvSpPr>
      <xdr:spPr>
        <a:xfrm>
          <a:off x="53442054" y="396430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189</xdr:row>
      <xdr:rowOff>95250</xdr:rowOff>
    </xdr:from>
    <xdr:to>
      <xdr:col>70</xdr:col>
      <xdr:colOff>102054</xdr:colOff>
      <xdr:row>189</xdr:row>
      <xdr:rowOff>95250</xdr:rowOff>
    </xdr:to>
    <xdr:cxnSp macro="">
      <xdr:nvCxnSpPr>
        <xdr:cNvPr id="166" name="직선 화살표 연결선 165"/>
        <xdr:cNvCxnSpPr/>
      </xdr:nvCxnSpPr>
      <xdr:spPr>
        <a:xfrm>
          <a:off x="53442054" y="39700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102053</xdr:colOff>
      <xdr:row>188</xdr:row>
      <xdr:rowOff>38100</xdr:rowOff>
    </xdr:from>
    <xdr:to>
      <xdr:col>70</xdr:col>
      <xdr:colOff>82913</xdr:colOff>
      <xdr:row>188</xdr:row>
      <xdr:rowOff>152400</xdr:rowOff>
    </xdr:to>
    <xdr:sp macro="" textlink="">
      <xdr:nvSpPr>
        <xdr:cNvPr id="167" name="185"/>
        <xdr:cNvSpPr/>
      </xdr:nvSpPr>
      <xdr:spPr>
        <a:xfrm>
          <a:off x="52680053" y="39433500"/>
          <a:ext cx="74286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102053</xdr:colOff>
      <xdr:row>188</xdr:row>
      <xdr:rowOff>95250</xdr:rowOff>
    </xdr:from>
    <xdr:to>
      <xdr:col>69</xdr:col>
      <xdr:colOff>102053</xdr:colOff>
      <xdr:row>188</xdr:row>
      <xdr:rowOff>95250</xdr:rowOff>
    </xdr:to>
    <xdr:cxnSp macro="">
      <xdr:nvCxnSpPr>
        <xdr:cNvPr id="168" name="직선 화살표 연결선 167"/>
        <xdr:cNvCxnSpPr/>
      </xdr:nvCxnSpPr>
      <xdr:spPr>
        <a:xfrm>
          <a:off x="52680053" y="39490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187</xdr:row>
      <xdr:rowOff>38100</xdr:rowOff>
    </xdr:from>
    <xdr:to>
      <xdr:col>69</xdr:col>
      <xdr:colOff>103323</xdr:colOff>
      <xdr:row>187</xdr:row>
      <xdr:rowOff>152400</xdr:rowOff>
    </xdr:to>
    <xdr:sp macro="" textlink="">
      <xdr:nvSpPr>
        <xdr:cNvPr id="169" name="184"/>
        <xdr:cNvSpPr/>
      </xdr:nvSpPr>
      <xdr:spPr>
        <a:xfrm>
          <a:off x="51856822" y="39223950"/>
          <a:ext cx="8245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187</xdr:row>
      <xdr:rowOff>95250</xdr:rowOff>
    </xdr:from>
    <xdr:to>
      <xdr:col>68</xdr:col>
      <xdr:colOff>40822</xdr:colOff>
      <xdr:row>187</xdr:row>
      <xdr:rowOff>95250</xdr:rowOff>
    </xdr:to>
    <xdr:cxnSp macro="">
      <xdr:nvCxnSpPr>
        <xdr:cNvPr id="170" name="직선 화살표 연결선 169"/>
        <xdr:cNvCxnSpPr/>
      </xdr:nvCxnSpPr>
      <xdr:spPr>
        <a:xfrm>
          <a:off x="51856822" y="39281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186</xdr:row>
      <xdr:rowOff>38100</xdr:rowOff>
    </xdr:from>
    <xdr:to>
      <xdr:col>70</xdr:col>
      <xdr:colOff>123734</xdr:colOff>
      <xdr:row>186</xdr:row>
      <xdr:rowOff>152400</xdr:rowOff>
    </xdr:to>
    <xdr:sp macro="" textlink="">
      <xdr:nvSpPr>
        <xdr:cNvPr id="171" name="183"/>
        <xdr:cNvSpPr/>
      </xdr:nvSpPr>
      <xdr:spPr>
        <a:xfrm>
          <a:off x="51856822" y="39014400"/>
          <a:ext cx="160691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186</xdr:row>
      <xdr:rowOff>95250</xdr:rowOff>
    </xdr:from>
    <xdr:to>
      <xdr:col>68</xdr:col>
      <xdr:colOff>40822</xdr:colOff>
      <xdr:row>186</xdr:row>
      <xdr:rowOff>95250</xdr:rowOff>
    </xdr:to>
    <xdr:cxnSp macro="">
      <xdr:nvCxnSpPr>
        <xdr:cNvPr id="172" name="직선 화살표 연결선 171"/>
        <xdr:cNvCxnSpPr/>
      </xdr:nvCxnSpPr>
      <xdr:spPr>
        <a:xfrm>
          <a:off x="51856822" y="39071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183</xdr:row>
      <xdr:rowOff>38100</xdr:rowOff>
    </xdr:from>
    <xdr:to>
      <xdr:col>70</xdr:col>
      <xdr:colOff>123734</xdr:colOff>
      <xdr:row>183</xdr:row>
      <xdr:rowOff>152400</xdr:rowOff>
    </xdr:to>
    <xdr:sp macro="" textlink="">
      <xdr:nvSpPr>
        <xdr:cNvPr id="173" name="180"/>
        <xdr:cNvSpPr/>
      </xdr:nvSpPr>
      <xdr:spPr>
        <a:xfrm>
          <a:off x="53442054" y="383857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183</xdr:row>
      <xdr:rowOff>95250</xdr:rowOff>
    </xdr:from>
    <xdr:to>
      <xdr:col>70</xdr:col>
      <xdr:colOff>102054</xdr:colOff>
      <xdr:row>183</xdr:row>
      <xdr:rowOff>95250</xdr:rowOff>
    </xdr:to>
    <xdr:cxnSp macro="">
      <xdr:nvCxnSpPr>
        <xdr:cNvPr id="174" name="직선 화살표 연결선 173"/>
        <xdr:cNvCxnSpPr/>
      </xdr:nvCxnSpPr>
      <xdr:spPr>
        <a:xfrm>
          <a:off x="53442054" y="38442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102053</xdr:colOff>
      <xdr:row>182</xdr:row>
      <xdr:rowOff>38100</xdr:rowOff>
    </xdr:from>
    <xdr:to>
      <xdr:col>70</xdr:col>
      <xdr:colOff>82913</xdr:colOff>
      <xdr:row>182</xdr:row>
      <xdr:rowOff>152400</xdr:rowOff>
    </xdr:to>
    <xdr:sp macro="" textlink="">
      <xdr:nvSpPr>
        <xdr:cNvPr id="175" name="179"/>
        <xdr:cNvSpPr/>
      </xdr:nvSpPr>
      <xdr:spPr>
        <a:xfrm>
          <a:off x="52680053" y="38176200"/>
          <a:ext cx="74286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102053</xdr:colOff>
      <xdr:row>182</xdr:row>
      <xdr:rowOff>95250</xdr:rowOff>
    </xdr:from>
    <xdr:to>
      <xdr:col>69</xdr:col>
      <xdr:colOff>102053</xdr:colOff>
      <xdr:row>182</xdr:row>
      <xdr:rowOff>95250</xdr:rowOff>
    </xdr:to>
    <xdr:cxnSp macro="">
      <xdr:nvCxnSpPr>
        <xdr:cNvPr id="176" name="직선 화살표 연결선 175"/>
        <xdr:cNvCxnSpPr/>
      </xdr:nvCxnSpPr>
      <xdr:spPr>
        <a:xfrm>
          <a:off x="52680053" y="38233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181</xdr:row>
      <xdr:rowOff>38100</xdr:rowOff>
    </xdr:from>
    <xdr:to>
      <xdr:col>69</xdr:col>
      <xdr:colOff>103323</xdr:colOff>
      <xdr:row>181</xdr:row>
      <xdr:rowOff>152400</xdr:rowOff>
    </xdr:to>
    <xdr:sp macro="" textlink="">
      <xdr:nvSpPr>
        <xdr:cNvPr id="177" name="178"/>
        <xdr:cNvSpPr/>
      </xdr:nvSpPr>
      <xdr:spPr>
        <a:xfrm>
          <a:off x="51856822" y="37966650"/>
          <a:ext cx="8245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181</xdr:row>
      <xdr:rowOff>95250</xdr:rowOff>
    </xdr:from>
    <xdr:to>
      <xdr:col>68</xdr:col>
      <xdr:colOff>40822</xdr:colOff>
      <xdr:row>181</xdr:row>
      <xdr:rowOff>95250</xdr:rowOff>
    </xdr:to>
    <xdr:cxnSp macro="">
      <xdr:nvCxnSpPr>
        <xdr:cNvPr id="178" name="직선 화살표 연결선 177"/>
        <xdr:cNvCxnSpPr/>
      </xdr:nvCxnSpPr>
      <xdr:spPr>
        <a:xfrm>
          <a:off x="51856822" y="380238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180</xdr:row>
      <xdr:rowOff>38100</xdr:rowOff>
    </xdr:from>
    <xdr:to>
      <xdr:col>70</xdr:col>
      <xdr:colOff>123734</xdr:colOff>
      <xdr:row>180</xdr:row>
      <xdr:rowOff>152400</xdr:rowOff>
    </xdr:to>
    <xdr:sp macro="" textlink="">
      <xdr:nvSpPr>
        <xdr:cNvPr id="179" name="177"/>
        <xdr:cNvSpPr/>
      </xdr:nvSpPr>
      <xdr:spPr>
        <a:xfrm>
          <a:off x="51856822" y="37757100"/>
          <a:ext cx="160691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180</xdr:row>
      <xdr:rowOff>95250</xdr:rowOff>
    </xdr:from>
    <xdr:to>
      <xdr:col>68</xdr:col>
      <xdr:colOff>40822</xdr:colOff>
      <xdr:row>180</xdr:row>
      <xdr:rowOff>95250</xdr:rowOff>
    </xdr:to>
    <xdr:cxnSp macro="">
      <xdr:nvCxnSpPr>
        <xdr:cNvPr id="180" name="직선 화살표 연결선 179"/>
        <xdr:cNvCxnSpPr/>
      </xdr:nvCxnSpPr>
      <xdr:spPr>
        <a:xfrm>
          <a:off x="51856822" y="378142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177</xdr:row>
      <xdr:rowOff>38100</xdr:rowOff>
    </xdr:from>
    <xdr:to>
      <xdr:col>70</xdr:col>
      <xdr:colOff>123734</xdr:colOff>
      <xdr:row>177</xdr:row>
      <xdr:rowOff>152400</xdr:rowOff>
    </xdr:to>
    <xdr:sp macro="" textlink="">
      <xdr:nvSpPr>
        <xdr:cNvPr id="181" name="174"/>
        <xdr:cNvSpPr/>
      </xdr:nvSpPr>
      <xdr:spPr>
        <a:xfrm>
          <a:off x="53442054" y="371284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177</xdr:row>
      <xdr:rowOff>95250</xdr:rowOff>
    </xdr:from>
    <xdr:to>
      <xdr:col>70</xdr:col>
      <xdr:colOff>102054</xdr:colOff>
      <xdr:row>177</xdr:row>
      <xdr:rowOff>95250</xdr:rowOff>
    </xdr:to>
    <xdr:cxnSp macro="">
      <xdr:nvCxnSpPr>
        <xdr:cNvPr id="182" name="직선 화살표 연결선 181"/>
        <xdr:cNvCxnSpPr/>
      </xdr:nvCxnSpPr>
      <xdr:spPr>
        <a:xfrm>
          <a:off x="53442054" y="37185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102053</xdr:colOff>
      <xdr:row>176</xdr:row>
      <xdr:rowOff>38100</xdr:rowOff>
    </xdr:from>
    <xdr:to>
      <xdr:col>70</xdr:col>
      <xdr:colOff>82913</xdr:colOff>
      <xdr:row>176</xdr:row>
      <xdr:rowOff>152400</xdr:rowOff>
    </xdr:to>
    <xdr:sp macro="" textlink="">
      <xdr:nvSpPr>
        <xdr:cNvPr id="183" name="173"/>
        <xdr:cNvSpPr/>
      </xdr:nvSpPr>
      <xdr:spPr>
        <a:xfrm>
          <a:off x="52680053" y="36918900"/>
          <a:ext cx="74286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102053</xdr:colOff>
      <xdr:row>176</xdr:row>
      <xdr:rowOff>95250</xdr:rowOff>
    </xdr:from>
    <xdr:to>
      <xdr:col>69</xdr:col>
      <xdr:colOff>102053</xdr:colOff>
      <xdr:row>176</xdr:row>
      <xdr:rowOff>95250</xdr:rowOff>
    </xdr:to>
    <xdr:cxnSp macro="">
      <xdr:nvCxnSpPr>
        <xdr:cNvPr id="184" name="직선 화살표 연결선 183"/>
        <xdr:cNvCxnSpPr/>
      </xdr:nvCxnSpPr>
      <xdr:spPr>
        <a:xfrm>
          <a:off x="52680053" y="36976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175</xdr:row>
      <xdr:rowOff>38100</xdr:rowOff>
    </xdr:from>
    <xdr:to>
      <xdr:col>69</xdr:col>
      <xdr:colOff>103323</xdr:colOff>
      <xdr:row>175</xdr:row>
      <xdr:rowOff>152400</xdr:rowOff>
    </xdr:to>
    <xdr:sp macro="" textlink="">
      <xdr:nvSpPr>
        <xdr:cNvPr id="185" name="172"/>
        <xdr:cNvSpPr/>
      </xdr:nvSpPr>
      <xdr:spPr>
        <a:xfrm>
          <a:off x="51856822" y="36709350"/>
          <a:ext cx="8245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175</xdr:row>
      <xdr:rowOff>95250</xdr:rowOff>
    </xdr:from>
    <xdr:to>
      <xdr:col>68</xdr:col>
      <xdr:colOff>40822</xdr:colOff>
      <xdr:row>175</xdr:row>
      <xdr:rowOff>95250</xdr:rowOff>
    </xdr:to>
    <xdr:cxnSp macro="">
      <xdr:nvCxnSpPr>
        <xdr:cNvPr id="186" name="직선 화살표 연결선 185"/>
        <xdr:cNvCxnSpPr/>
      </xdr:nvCxnSpPr>
      <xdr:spPr>
        <a:xfrm>
          <a:off x="51856822" y="36766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174</xdr:row>
      <xdr:rowOff>38100</xdr:rowOff>
    </xdr:from>
    <xdr:to>
      <xdr:col>70</xdr:col>
      <xdr:colOff>123734</xdr:colOff>
      <xdr:row>174</xdr:row>
      <xdr:rowOff>152400</xdr:rowOff>
    </xdr:to>
    <xdr:sp macro="" textlink="">
      <xdr:nvSpPr>
        <xdr:cNvPr id="187" name="171"/>
        <xdr:cNvSpPr/>
      </xdr:nvSpPr>
      <xdr:spPr>
        <a:xfrm>
          <a:off x="51856822" y="36499800"/>
          <a:ext cx="160691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174</xdr:row>
      <xdr:rowOff>95250</xdr:rowOff>
    </xdr:from>
    <xdr:to>
      <xdr:col>68</xdr:col>
      <xdr:colOff>40822</xdr:colOff>
      <xdr:row>174</xdr:row>
      <xdr:rowOff>95250</xdr:rowOff>
    </xdr:to>
    <xdr:cxnSp macro="">
      <xdr:nvCxnSpPr>
        <xdr:cNvPr id="188" name="직선 화살표 연결선 187"/>
        <xdr:cNvCxnSpPr/>
      </xdr:nvCxnSpPr>
      <xdr:spPr>
        <a:xfrm>
          <a:off x="51856822" y="36556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171</xdr:row>
      <xdr:rowOff>38100</xdr:rowOff>
    </xdr:from>
    <xdr:to>
      <xdr:col>70</xdr:col>
      <xdr:colOff>123734</xdr:colOff>
      <xdr:row>171</xdr:row>
      <xdr:rowOff>152400</xdr:rowOff>
    </xdr:to>
    <xdr:sp macro="" textlink="">
      <xdr:nvSpPr>
        <xdr:cNvPr id="189" name="168"/>
        <xdr:cNvSpPr/>
      </xdr:nvSpPr>
      <xdr:spPr>
        <a:xfrm>
          <a:off x="53442054" y="358711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171</xdr:row>
      <xdr:rowOff>95250</xdr:rowOff>
    </xdr:from>
    <xdr:to>
      <xdr:col>70</xdr:col>
      <xdr:colOff>102054</xdr:colOff>
      <xdr:row>171</xdr:row>
      <xdr:rowOff>95250</xdr:rowOff>
    </xdr:to>
    <xdr:cxnSp macro="">
      <xdr:nvCxnSpPr>
        <xdr:cNvPr id="190" name="직선 화살표 연결선 189"/>
        <xdr:cNvCxnSpPr/>
      </xdr:nvCxnSpPr>
      <xdr:spPr>
        <a:xfrm>
          <a:off x="53442054" y="35928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102053</xdr:colOff>
      <xdr:row>170</xdr:row>
      <xdr:rowOff>38100</xdr:rowOff>
    </xdr:from>
    <xdr:to>
      <xdr:col>70</xdr:col>
      <xdr:colOff>82913</xdr:colOff>
      <xdr:row>170</xdr:row>
      <xdr:rowOff>152400</xdr:rowOff>
    </xdr:to>
    <xdr:sp macro="" textlink="">
      <xdr:nvSpPr>
        <xdr:cNvPr id="191" name="167"/>
        <xdr:cNvSpPr/>
      </xdr:nvSpPr>
      <xdr:spPr>
        <a:xfrm>
          <a:off x="52680053" y="35661600"/>
          <a:ext cx="74286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102053</xdr:colOff>
      <xdr:row>170</xdr:row>
      <xdr:rowOff>95250</xdr:rowOff>
    </xdr:from>
    <xdr:to>
      <xdr:col>69</xdr:col>
      <xdr:colOff>102053</xdr:colOff>
      <xdr:row>170</xdr:row>
      <xdr:rowOff>95250</xdr:rowOff>
    </xdr:to>
    <xdr:cxnSp macro="">
      <xdr:nvCxnSpPr>
        <xdr:cNvPr id="192" name="직선 화살표 연결선 191"/>
        <xdr:cNvCxnSpPr/>
      </xdr:nvCxnSpPr>
      <xdr:spPr>
        <a:xfrm>
          <a:off x="52680053" y="35718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169</xdr:row>
      <xdr:rowOff>38100</xdr:rowOff>
    </xdr:from>
    <xdr:to>
      <xdr:col>69</xdr:col>
      <xdr:colOff>103323</xdr:colOff>
      <xdr:row>169</xdr:row>
      <xdr:rowOff>152400</xdr:rowOff>
    </xdr:to>
    <xdr:sp macro="" textlink="">
      <xdr:nvSpPr>
        <xdr:cNvPr id="193" name="166"/>
        <xdr:cNvSpPr/>
      </xdr:nvSpPr>
      <xdr:spPr>
        <a:xfrm>
          <a:off x="51856822" y="35452050"/>
          <a:ext cx="8245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169</xdr:row>
      <xdr:rowOff>95250</xdr:rowOff>
    </xdr:from>
    <xdr:to>
      <xdr:col>68</xdr:col>
      <xdr:colOff>40822</xdr:colOff>
      <xdr:row>169</xdr:row>
      <xdr:rowOff>95250</xdr:rowOff>
    </xdr:to>
    <xdr:cxnSp macro="">
      <xdr:nvCxnSpPr>
        <xdr:cNvPr id="194" name="직선 화살표 연결선 193"/>
        <xdr:cNvCxnSpPr/>
      </xdr:nvCxnSpPr>
      <xdr:spPr>
        <a:xfrm>
          <a:off x="51856822" y="35509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168</xdr:row>
      <xdr:rowOff>38100</xdr:rowOff>
    </xdr:from>
    <xdr:to>
      <xdr:col>70</xdr:col>
      <xdr:colOff>123734</xdr:colOff>
      <xdr:row>168</xdr:row>
      <xdr:rowOff>152400</xdr:rowOff>
    </xdr:to>
    <xdr:sp macro="" textlink="">
      <xdr:nvSpPr>
        <xdr:cNvPr id="195" name="165"/>
        <xdr:cNvSpPr/>
      </xdr:nvSpPr>
      <xdr:spPr>
        <a:xfrm>
          <a:off x="51856822" y="35242500"/>
          <a:ext cx="160691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168</xdr:row>
      <xdr:rowOff>95250</xdr:rowOff>
    </xdr:from>
    <xdr:to>
      <xdr:col>68</xdr:col>
      <xdr:colOff>40822</xdr:colOff>
      <xdr:row>168</xdr:row>
      <xdr:rowOff>95250</xdr:rowOff>
    </xdr:to>
    <xdr:cxnSp macro="">
      <xdr:nvCxnSpPr>
        <xdr:cNvPr id="196" name="직선 화살표 연결선 195"/>
        <xdr:cNvCxnSpPr/>
      </xdr:nvCxnSpPr>
      <xdr:spPr>
        <a:xfrm>
          <a:off x="51856822" y="35299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165</xdr:row>
      <xdr:rowOff>38100</xdr:rowOff>
    </xdr:from>
    <xdr:to>
      <xdr:col>67</xdr:col>
      <xdr:colOff>21680</xdr:colOff>
      <xdr:row>165</xdr:row>
      <xdr:rowOff>152400</xdr:rowOff>
    </xdr:to>
    <xdr:sp macro="" textlink="">
      <xdr:nvSpPr>
        <xdr:cNvPr id="197" name="162"/>
        <xdr:cNvSpPr/>
      </xdr:nvSpPr>
      <xdr:spPr>
        <a:xfrm>
          <a:off x="51054000" y="346138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165</xdr:row>
      <xdr:rowOff>95250</xdr:rowOff>
    </xdr:from>
    <xdr:to>
      <xdr:col>67</xdr:col>
      <xdr:colOff>0</xdr:colOff>
      <xdr:row>165</xdr:row>
      <xdr:rowOff>95250</xdr:rowOff>
    </xdr:to>
    <xdr:cxnSp macro="">
      <xdr:nvCxnSpPr>
        <xdr:cNvPr id="198" name="직선 화살표 연결선 197"/>
        <xdr:cNvCxnSpPr/>
      </xdr:nvCxnSpPr>
      <xdr:spPr>
        <a:xfrm>
          <a:off x="51054000" y="34671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20410</xdr:colOff>
      <xdr:row>164</xdr:row>
      <xdr:rowOff>38100</xdr:rowOff>
    </xdr:from>
    <xdr:to>
      <xdr:col>67</xdr:col>
      <xdr:colOff>1270</xdr:colOff>
      <xdr:row>164</xdr:row>
      <xdr:rowOff>152400</xdr:rowOff>
    </xdr:to>
    <xdr:sp macro="" textlink="">
      <xdr:nvSpPr>
        <xdr:cNvPr id="199" name="161"/>
        <xdr:cNvSpPr/>
      </xdr:nvSpPr>
      <xdr:spPr>
        <a:xfrm>
          <a:off x="50312410" y="34404300"/>
          <a:ext cx="74286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20410</xdr:colOff>
      <xdr:row>164</xdr:row>
      <xdr:rowOff>95250</xdr:rowOff>
    </xdr:from>
    <xdr:to>
      <xdr:col>66</xdr:col>
      <xdr:colOff>20410</xdr:colOff>
      <xdr:row>164</xdr:row>
      <xdr:rowOff>95250</xdr:rowOff>
    </xdr:to>
    <xdr:cxnSp macro="">
      <xdr:nvCxnSpPr>
        <xdr:cNvPr id="200" name="직선 화살표 연결선 199"/>
        <xdr:cNvCxnSpPr/>
      </xdr:nvCxnSpPr>
      <xdr:spPr>
        <a:xfrm>
          <a:off x="50312410" y="34461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102053</xdr:colOff>
      <xdr:row>163</xdr:row>
      <xdr:rowOff>38100</xdr:rowOff>
    </xdr:from>
    <xdr:to>
      <xdr:col>66</xdr:col>
      <xdr:colOff>21680</xdr:colOff>
      <xdr:row>163</xdr:row>
      <xdr:rowOff>152400</xdr:rowOff>
    </xdr:to>
    <xdr:sp macro="" textlink="">
      <xdr:nvSpPr>
        <xdr:cNvPr id="201" name="160"/>
        <xdr:cNvSpPr/>
      </xdr:nvSpPr>
      <xdr:spPr>
        <a:xfrm>
          <a:off x="48870053" y="34194750"/>
          <a:ext cx="1443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102053</xdr:colOff>
      <xdr:row>163</xdr:row>
      <xdr:rowOff>95250</xdr:rowOff>
    </xdr:from>
    <xdr:to>
      <xdr:col>64</xdr:col>
      <xdr:colOff>102053</xdr:colOff>
      <xdr:row>163</xdr:row>
      <xdr:rowOff>95250</xdr:rowOff>
    </xdr:to>
    <xdr:cxnSp macro="">
      <xdr:nvCxnSpPr>
        <xdr:cNvPr id="202" name="직선 화살표 연결선 201"/>
        <xdr:cNvCxnSpPr/>
      </xdr:nvCxnSpPr>
      <xdr:spPr>
        <a:xfrm>
          <a:off x="48870053" y="34251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102053</xdr:colOff>
      <xdr:row>162</xdr:row>
      <xdr:rowOff>38100</xdr:rowOff>
    </xdr:from>
    <xdr:to>
      <xdr:col>67</xdr:col>
      <xdr:colOff>21680</xdr:colOff>
      <xdr:row>162</xdr:row>
      <xdr:rowOff>152400</xdr:rowOff>
    </xdr:to>
    <xdr:sp macro="" textlink="">
      <xdr:nvSpPr>
        <xdr:cNvPr id="203" name="159"/>
        <xdr:cNvSpPr/>
      </xdr:nvSpPr>
      <xdr:spPr>
        <a:xfrm>
          <a:off x="48870053" y="33985200"/>
          <a:ext cx="220562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102053</xdr:colOff>
      <xdr:row>162</xdr:row>
      <xdr:rowOff>95250</xdr:rowOff>
    </xdr:from>
    <xdr:to>
      <xdr:col>64</xdr:col>
      <xdr:colOff>102053</xdr:colOff>
      <xdr:row>162</xdr:row>
      <xdr:rowOff>95250</xdr:rowOff>
    </xdr:to>
    <xdr:cxnSp macro="">
      <xdr:nvCxnSpPr>
        <xdr:cNvPr id="204" name="직선 화살표 연결선 203"/>
        <xdr:cNvCxnSpPr/>
      </xdr:nvCxnSpPr>
      <xdr:spPr>
        <a:xfrm>
          <a:off x="48870053" y="34042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159</xdr:row>
      <xdr:rowOff>38100</xdr:rowOff>
    </xdr:from>
    <xdr:to>
      <xdr:col>67</xdr:col>
      <xdr:colOff>21680</xdr:colOff>
      <xdr:row>159</xdr:row>
      <xdr:rowOff>152400</xdr:rowOff>
    </xdr:to>
    <xdr:sp macro="" textlink="">
      <xdr:nvSpPr>
        <xdr:cNvPr id="205" name="156"/>
        <xdr:cNvSpPr/>
      </xdr:nvSpPr>
      <xdr:spPr>
        <a:xfrm>
          <a:off x="51054000" y="3335655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159</xdr:row>
      <xdr:rowOff>95250</xdr:rowOff>
    </xdr:from>
    <xdr:to>
      <xdr:col>67</xdr:col>
      <xdr:colOff>0</xdr:colOff>
      <xdr:row>159</xdr:row>
      <xdr:rowOff>95250</xdr:rowOff>
    </xdr:to>
    <xdr:cxnSp macro="">
      <xdr:nvCxnSpPr>
        <xdr:cNvPr id="206" name="직선 화살표 연결선 205"/>
        <xdr:cNvCxnSpPr/>
      </xdr:nvCxnSpPr>
      <xdr:spPr>
        <a:xfrm>
          <a:off x="51054000" y="33413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20410</xdr:colOff>
      <xdr:row>158</xdr:row>
      <xdr:rowOff>38100</xdr:rowOff>
    </xdr:from>
    <xdr:to>
      <xdr:col>67</xdr:col>
      <xdr:colOff>1270</xdr:colOff>
      <xdr:row>158</xdr:row>
      <xdr:rowOff>152400</xdr:rowOff>
    </xdr:to>
    <xdr:sp macro="" textlink="">
      <xdr:nvSpPr>
        <xdr:cNvPr id="207" name="155"/>
        <xdr:cNvSpPr/>
      </xdr:nvSpPr>
      <xdr:spPr>
        <a:xfrm>
          <a:off x="50312410" y="33147000"/>
          <a:ext cx="74286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20410</xdr:colOff>
      <xdr:row>158</xdr:row>
      <xdr:rowOff>95250</xdr:rowOff>
    </xdr:from>
    <xdr:to>
      <xdr:col>66</xdr:col>
      <xdr:colOff>20410</xdr:colOff>
      <xdr:row>158</xdr:row>
      <xdr:rowOff>95250</xdr:rowOff>
    </xdr:to>
    <xdr:cxnSp macro="">
      <xdr:nvCxnSpPr>
        <xdr:cNvPr id="208" name="직선 화살표 연결선 207"/>
        <xdr:cNvCxnSpPr/>
      </xdr:nvCxnSpPr>
      <xdr:spPr>
        <a:xfrm>
          <a:off x="50312410" y="33204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102053</xdr:colOff>
      <xdr:row>157</xdr:row>
      <xdr:rowOff>38100</xdr:rowOff>
    </xdr:from>
    <xdr:to>
      <xdr:col>66</xdr:col>
      <xdr:colOff>21680</xdr:colOff>
      <xdr:row>157</xdr:row>
      <xdr:rowOff>152400</xdr:rowOff>
    </xdr:to>
    <xdr:sp macro="" textlink="">
      <xdr:nvSpPr>
        <xdr:cNvPr id="209" name="154"/>
        <xdr:cNvSpPr/>
      </xdr:nvSpPr>
      <xdr:spPr>
        <a:xfrm>
          <a:off x="48870053" y="32937450"/>
          <a:ext cx="1443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102053</xdr:colOff>
      <xdr:row>157</xdr:row>
      <xdr:rowOff>95250</xdr:rowOff>
    </xdr:from>
    <xdr:to>
      <xdr:col>64</xdr:col>
      <xdr:colOff>102053</xdr:colOff>
      <xdr:row>157</xdr:row>
      <xdr:rowOff>95250</xdr:rowOff>
    </xdr:to>
    <xdr:cxnSp macro="">
      <xdr:nvCxnSpPr>
        <xdr:cNvPr id="210" name="직선 화살표 연결선 209"/>
        <xdr:cNvCxnSpPr/>
      </xdr:nvCxnSpPr>
      <xdr:spPr>
        <a:xfrm>
          <a:off x="48870053" y="32994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102053</xdr:colOff>
      <xdr:row>156</xdr:row>
      <xdr:rowOff>38100</xdr:rowOff>
    </xdr:from>
    <xdr:to>
      <xdr:col>67</xdr:col>
      <xdr:colOff>21680</xdr:colOff>
      <xdr:row>156</xdr:row>
      <xdr:rowOff>152400</xdr:rowOff>
    </xdr:to>
    <xdr:sp macro="" textlink="">
      <xdr:nvSpPr>
        <xdr:cNvPr id="211" name="153"/>
        <xdr:cNvSpPr/>
      </xdr:nvSpPr>
      <xdr:spPr>
        <a:xfrm>
          <a:off x="48870053" y="32727900"/>
          <a:ext cx="220562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102053</xdr:colOff>
      <xdr:row>156</xdr:row>
      <xdr:rowOff>95250</xdr:rowOff>
    </xdr:from>
    <xdr:to>
      <xdr:col>64</xdr:col>
      <xdr:colOff>102053</xdr:colOff>
      <xdr:row>156</xdr:row>
      <xdr:rowOff>95250</xdr:rowOff>
    </xdr:to>
    <xdr:cxnSp macro="">
      <xdr:nvCxnSpPr>
        <xdr:cNvPr id="212" name="직선 화살표 연결선 211"/>
        <xdr:cNvCxnSpPr/>
      </xdr:nvCxnSpPr>
      <xdr:spPr>
        <a:xfrm>
          <a:off x="48870053" y="32785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102053</xdr:colOff>
      <xdr:row>155</xdr:row>
      <xdr:rowOff>38100</xdr:rowOff>
    </xdr:from>
    <xdr:to>
      <xdr:col>82</xdr:col>
      <xdr:colOff>123734</xdr:colOff>
      <xdr:row>155</xdr:row>
      <xdr:rowOff>152400</xdr:rowOff>
    </xdr:to>
    <xdr:sp macro="" textlink="">
      <xdr:nvSpPr>
        <xdr:cNvPr id="213" name="152"/>
        <xdr:cNvSpPr/>
      </xdr:nvSpPr>
      <xdr:spPr>
        <a:xfrm>
          <a:off x="48870053" y="32518350"/>
          <a:ext cx="1373768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102053</xdr:colOff>
      <xdr:row>155</xdr:row>
      <xdr:rowOff>95250</xdr:rowOff>
    </xdr:from>
    <xdr:to>
      <xdr:col>64</xdr:col>
      <xdr:colOff>102053</xdr:colOff>
      <xdr:row>155</xdr:row>
      <xdr:rowOff>95250</xdr:rowOff>
    </xdr:to>
    <xdr:cxnSp macro="">
      <xdr:nvCxnSpPr>
        <xdr:cNvPr id="214" name="직선 화살표 연결선 213"/>
        <xdr:cNvCxnSpPr/>
      </xdr:nvCxnSpPr>
      <xdr:spPr>
        <a:xfrm>
          <a:off x="48870053" y="32575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102053</xdr:colOff>
      <xdr:row>154</xdr:row>
      <xdr:rowOff>38100</xdr:rowOff>
    </xdr:from>
    <xdr:to>
      <xdr:col>84</xdr:col>
      <xdr:colOff>103324</xdr:colOff>
      <xdr:row>154</xdr:row>
      <xdr:rowOff>152400</xdr:rowOff>
    </xdr:to>
    <xdr:sp macro="" textlink="">
      <xdr:nvSpPr>
        <xdr:cNvPr id="215" name="151"/>
        <xdr:cNvSpPr/>
      </xdr:nvSpPr>
      <xdr:spPr>
        <a:xfrm>
          <a:off x="48870053" y="32308800"/>
          <a:ext cx="15241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102053</xdr:colOff>
      <xdr:row>154</xdr:row>
      <xdr:rowOff>95250</xdr:rowOff>
    </xdr:from>
    <xdr:to>
      <xdr:col>64</xdr:col>
      <xdr:colOff>102053</xdr:colOff>
      <xdr:row>154</xdr:row>
      <xdr:rowOff>95250</xdr:rowOff>
    </xdr:to>
    <xdr:cxnSp macro="">
      <xdr:nvCxnSpPr>
        <xdr:cNvPr id="216" name="직선 화살표 연결선 215"/>
        <xdr:cNvCxnSpPr/>
      </xdr:nvCxnSpPr>
      <xdr:spPr>
        <a:xfrm>
          <a:off x="48870053" y="32365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102053</xdr:colOff>
      <xdr:row>153</xdr:row>
      <xdr:rowOff>38100</xdr:rowOff>
    </xdr:from>
    <xdr:to>
      <xdr:col>84</xdr:col>
      <xdr:colOff>103324</xdr:colOff>
      <xdr:row>153</xdr:row>
      <xdr:rowOff>152400</xdr:rowOff>
    </xdr:to>
    <xdr:sp macro="" textlink="">
      <xdr:nvSpPr>
        <xdr:cNvPr id="217" name="150"/>
        <xdr:cNvSpPr/>
      </xdr:nvSpPr>
      <xdr:spPr>
        <a:xfrm>
          <a:off x="48870053" y="32099250"/>
          <a:ext cx="15241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102053</xdr:colOff>
      <xdr:row>153</xdr:row>
      <xdr:rowOff>95250</xdr:rowOff>
    </xdr:from>
    <xdr:to>
      <xdr:col>64</xdr:col>
      <xdr:colOff>102053</xdr:colOff>
      <xdr:row>153</xdr:row>
      <xdr:rowOff>95250</xdr:rowOff>
    </xdr:to>
    <xdr:cxnSp macro="">
      <xdr:nvCxnSpPr>
        <xdr:cNvPr id="218" name="직선 화살표 연결선 217"/>
        <xdr:cNvCxnSpPr/>
      </xdr:nvCxnSpPr>
      <xdr:spPr>
        <a:xfrm>
          <a:off x="48870053" y="32156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152</xdr:row>
      <xdr:rowOff>38100</xdr:rowOff>
    </xdr:from>
    <xdr:to>
      <xdr:col>71</xdr:col>
      <xdr:colOff>42090</xdr:colOff>
      <xdr:row>152</xdr:row>
      <xdr:rowOff>152400</xdr:rowOff>
    </xdr:to>
    <xdr:sp macro="" textlink="">
      <xdr:nvSpPr>
        <xdr:cNvPr id="219" name="149"/>
        <xdr:cNvSpPr/>
      </xdr:nvSpPr>
      <xdr:spPr>
        <a:xfrm>
          <a:off x="51054000" y="31889700"/>
          <a:ext cx="30900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152</xdr:row>
      <xdr:rowOff>95250</xdr:rowOff>
    </xdr:from>
    <xdr:to>
      <xdr:col>67</xdr:col>
      <xdr:colOff>0</xdr:colOff>
      <xdr:row>152</xdr:row>
      <xdr:rowOff>95250</xdr:rowOff>
    </xdr:to>
    <xdr:cxnSp macro="">
      <xdr:nvCxnSpPr>
        <xdr:cNvPr id="220" name="직선 화살표 연결선 219"/>
        <xdr:cNvCxnSpPr/>
      </xdr:nvCxnSpPr>
      <xdr:spPr>
        <a:xfrm>
          <a:off x="51054000" y="31946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151</xdr:row>
      <xdr:rowOff>38100</xdr:rowOff>
    </xdr:from>
    <xdr:to>
      <xdr:col>75</xdr:col>
      <xdr:colOff>103324</xdr:colOff>
      <xdr:row>151</xdr:row>
      <xdr:rowOff>152400</xdr:rowOff>
    </xdr:to>
    <xdr:sp macro="" textlink="">
      <xdr:nvSpPr>
        <xdr:cNvPr id="221" name="148"/>
        <xdr:cNvSpPr/>
      </xdr:nvSpPr>
      <xdr:spPr>
        <a:xfrm>
          <a:off x="47346053" y="31680150"/>
          <a:ext cx="99072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151</xdr:row>
      <xdr:rowOff>95250</xdr:rowOff>
    </xdr:from>
    <xdr:to>
      <xdr:col>62</xdr:col>
      <xdr:colOff>102053</xdr:colOff>
      <xdr:row>151</xdr:row>
      <xdr:rowOff>95250</xdr:rowOff>
    </xdr:to>
    <xdr:cxnSp macro="">
      <xdr:nvCxnSpPr>
        <xdr:cNvPr id="222" name="직선 화살표 연결선 221"/>
        <xdr:cNvCxnSpPr/>
      </xdr:nvCxnSpPr>
      <xdr:spPr>
        <a:xfrm>
          <a:off x="47346053" y="31737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150</xdr:row>
      <xdr:rowOff>38100</xdr:rowOff>
    </xdr:from>
    <xdr:to>
      <xdr:col>75</xdr:col>
      <xdr:colOff>103324</xdr:colOff>
      <xdr:row>150</xdr:row>
      <xdr:rowOff>152400</xdr:rowOff>
    </xdr:to>
    <xdr:sp macro="" textlink="">
      <xdr:nvSpPr>
        <xdr:cNvPr id="223" name="147"/>
        <xdr:cNvSpPr/>
      </xdr:nvSpPr>
      <xdr:spPr>
        <a:xfrm>
          <a:off x="47346053" y="31470600"/>
          <a:ext cx="9907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150</xdr:row>
      <xdr:rowOff>95250</xdr:rowOff>
    </xdr:from>
    <xdr:to>
      <xdr:col>62</xdr:col>
      <xdr:colOff>102053</xdr:colOff>
      <xdr:row>150</xdr:row>
      <xdr:rowOff>95250</xdr:rowOff>
    </xdr:to>
    <xdr:cxnSp macro="">
      <xdr:nvCxnSpPr>
        <xdr:cNvPr id="224" name="직선 화살표 연결선 223"/>
        <xdr:cNvCxnSpPr/>
      </xdr:nvCxnSpPr>
      <xdr:spPr>
        <a:xfrm>
          <a:off x="47346053" y="31527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149</xdr:row>
      <xdr:rowOff>38100</xdr:rowOff>
    </xdr:from>
    <xdr:to>
      <xdr:col>75</xdr:col>
      <xdr:colOff>103324</xdr:colOff>
      <xdr:row>149</xdr:row>
      <xdr:rowOff>152400</xdr:rowOff>
    </xdr:to>
    <xdr:sp macro="" textlink="">
      <xdr:nvSpPr>
        <xdr:cNvPr id="225" name="146"/>
        <xdr:cNvSpPr/>
      </xdr:nvSpPr>
      <xdr:spPr>
        <a:xfrm>
          <a:off x="47346053" y="31261050"/>
          <a:ext cx="9907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149</xdr:row>
      <xdr:rowOff>95250</xdr:rowOff>
    </xdr:from>
    <xdr:to>
      <xdr:col>62</xdr:col>
      <xdr:colOff>102053</xdr:colOff>
      <xdr:row>149</xdr:row>
      <xdr:rowOff>95250</xdr:rowOff>
    </xdr:to>
    <xdr:cxnSp macro="">
      <xdr:nvCxnSpPr>
        <xdr:cNvPr id="226" name="직선 화살표 연결선 225"/>
        <xdr:cNvCxnSpPr/>
      </xdr:nvCxnSpPr>
      <xdr:spPr>
        <a:xfrm>
          <a:off x="47346053" y="31318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148</xdr:row>
      <xdr:rowOff>38100</xdr:rowOff>
    </xdr:from>
    <xdr:to>
      <xdr:col>71</xdr:col>
      <xdr:colOff>42090</xdr:colOff>
      <xdr:row>148</xdr:row>
      <xdr:rowOff>152400</xdr:rowOff>
    </xdr:to>
    <xdr:sp macro="" textlink="">
      <xdr:nvSpPr>
        <xdr:cNvPr id="227" name="145"/>
        <xdr:cNvSpPr/>
      </xdr:nvSpPr>
      <xdr:spPr>
        <a:xfrm>
          <a:off x="51054000" y="31051500"/>
          <a:ext cx="30900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148</xdr:row>
      <xdr:rowOff>95250</xdr:rowOff>
    </xdr:from>
    <xdr:to>
      <xdr:col>67</xdr:col>
      <xdr:colOff>0</xdr:colOff>
      <xdr:row>148</xdr:row>
      <xdr:rowOff>95250</xdr:rowOff>
    </xdr:to>
    <xdr:cxnSp macro="">
      <xdr:nvCxnSpPr>
        <xdr:cNvPr id="228" name="직선 화살표 연결선 227"/>
        <xdr:cNvCxnSpPr/>
      </xdr:nvCxnSpPr>
      <xdr:spPr>
        <a:xfrm>
          <a:off x="51054000" y="31108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147</xdr:row>
      <xdr:rowOff>38100</xdr:rowOff>
    </xdr:from>
    <xdr:to>
      <xdr:col>75</xdr:col>
      <xdr:colOff>103324</xdr:colOff>
      <xdr:row>147</xdr:row>
      <xdr:rowOff>152400</xdr:rowOff>
    </xdr:to>
    <xdr:sp macro="" textlink="">
      <xdr:nvSpPr>
        <xdr:cNvPr id="229" name="144"/>
        <xdr:cNvSpPr/>
      </xdr:nvSpPr>
      <xdr:spPr>
        <a:xfrm>
          <a:off x="47346053" y="30841950"/>
          <a:ext cx="99072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147</xdr:row>
      <xdr:rowOff>95250</xdr:rowOff>
    </xdr:from>
    <xdr:to>
      <xdr:col>62</xdr:col>
      <xdr:colOff>102053</xdr:colOff>
      <xdr:row>147</xdr:row>
      <xdr:rowOff>95250</xdr:rowOff>
    </xdr:to>
    <xdr:cxnSp macro="">
      <xdr:nvCxnSpPr>
        <xdr:cNvPr id="230" name="직선 화살표 연결선 229"/>
        <xdr:cNvCxnSpPr/>
      </xdr:nvCxnSpPr>
      <xdr:spPr>
        <a:xfrm>
          <a:off x="47346053" y="30899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146</xdr:row>
      <xdr:rowOff>38100</xdr:rowOff>
    </xdr:from>
    <xdr:to>
      <xdr:col>75</xdr:col>
      <xdr:colOff>103324</xdr:colOff>
      <xdr:row>146</xdr:row>
      <xdr:rowOff>152400</xdr:rowOff>
    </xdr:to>
    <xdr:sp macro="" textlink="">
      <xdr:nvSpPr>
        <xdr:cNvPr id="231" name="143"/>
        <xdr:cNvSpPr/>
      </xdr:nvSpPr>
      <xdr:spPr>
        <a:xfrm>
          <a:off x="47346053" y="30632400"/>
          <a:ext cx="9907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146</xdr:row>
      <xdr:rowOff>95250</xdr:rowOff>
    </xdr:from>
    <xdr:to>
      <xdr:col>62</xdr:col>
      <xdr:colOff>102053</xdr:colOff>
      <xdr:row>146</xdr:row>
      <xdr:rowOff>95250</xdr:rowOff>
    </xdr:to>
    <xdr:cxnSp macro="">
      <xdr:nvCxnSpPr>
        <xdr:cNvPr id="232" name="직선 화살표 연결선 231"/>
        <xdr:cNvCxnSpPr/>
      </xdr:nvCxnSpPr>
      <xdr:spPr>
        <a:xfrm>
          <a:off x="47346053" y="30689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145</xdr:row>
      <xdr:rowOff>38100</xdr:rowOff>
    </xdr:from>
    <xdr:to>
      <xdr:col>75</xdr:col>
      <xdr:colOff>103324</xdr:colOff>
      <xdr:row>145</xdr:row>
      <xdr:rowOff>152400</xdr:rowOff>
    </xdr:to>
    <xdr:sp macro="" textlink="">
      <xdr:nvSpPr>
        <xdr:cNvPr id="233" name="142"/>
        <xdr:cNvSpPr/>
      </xdr:nvSpPr>
      <xdr:spPr>
        <a:xfrm>
          <a:off x="47346053" y="30422850"/>
          <a:ext cx="9907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145</xdr:row>
      <xdr:rowOff>95250</xdr:rowOff>
    </xdr:from>
    <xdr:to>
      <xdr:col>62</xdr:col>
      <xdr:colOff>102053</xdr:colOff>
      <xdr:row>145</xdr:row>
      <xdr:rowOff>95250</xdr:rowOff>
    </xdr:to>
    <xdr:cxnSp macro="">
      <xdr:nvCxnSpPr>
        <xdr:cNvPr id="234" name="직선 화살표 연결선 233"/>
        <xdr:cNvCxnSpPr/>
      </xdr:nvCxnSpPr>
      <xdr:spPr>
        <a:xfrm>
          <a:off x="47346053" y="30480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144</xdr:row>
      <xdr:rowOff>38100</xdr:rowOff>
    </xdr:from>
    <xdr:to>
      <xdr:col>71</xdr:col>
      <xdr:colOff>42090</xdr:colOff>
      <xdr:row>144</xdr:row>
      <xdr:rowOff>152400</xdr:rowOff>
    </xdr:to>
    <xdr:sp macro="" textlink="">
      <xdr:nvSpPr>
        <xdr:cNvPr id="235" name="141"/>
        <xdr:cNvSpPr/>
      </xdr:nvSpPr>
      <xdr:spPr>
        <a:xfrm>
          <a:off x="51054000" y="30213300"/>
          <a:ext cx="30900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144</xdr:row>
      <xdr:rowOff>95250</xdr:rowOff>
    </xdr:from>
    <xdr:to>
      <xdr:col>67</xdr:col>
      <xdr:colOff>0</xdr:colOff>
      <xdr:row>144</xdr:row>
      <xdr:rowOff>95250</xdr:rowOff>
    </xdr:to>
    <xdr:cxnSp macro="">
      <xdr:nvCxnSpPr>
        <xdr:cNvPr id="236" name="직선 화살표 연결선 235"/>
        <xdr:cNvCxnSpPr/>
      </xdr:nvCxnSpPr>
      <xdr:spPr>
        <a:xfrm>
          <a:off x="51054000" y="30270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143</xdr:row>
      <xdr:rowOff>38100</xdr:rowOff>
    </xdr:from>
    <xdr:to>
      <xdr:col>75</xdr:col>
      <xdr:colOff>103324</xdr:colOff>
      <xdr:row>143</xdr:row>
      <xdr:rowOff>152400</xdr:rowOff>
    </xdr:to>
    <xdr:sp macro="" textlink="">
      <xdr:nvSpPr>
        <xdr:cNvPr id="237" name="140"/>
        <xdr:cNvSpPr/>
      </xdr:nvSpPr>
      <xdr:spPr>
        <a:xfrm>
          <a:off x="47346053" y="30003750"/>
          <a:ext cx="99072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143</xdr:row>
      <xdr:rowOff>95250</xdr:rowOff>
    </xdr:from>
    <xdr:to>
      <xdr:col>62</xdr:col>
      <xdr:colOff>102053</xdr:colOff>
      <xdr:row>143</xdr:row>
      <xdr:rowOff>95250</xdr:rowOff>
    </xdr:to>
    <xdr:cxnSp macro="">
      <xdr:nvCxnSpPr>
        <xdr:cNvPr id="238" name="직선 화살표 연결선 237"/>
        <xdr:cNvCxnSpPr/>
      </xdr:nvCxnSpPr>
      <xdr:spPr>
        <a:xfrm>
          <a:off x="47346053" y="30060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142</xdr:row>
      <xdr:rowOff>38100</xdr:rowOff>
    </xdr:from>
    <xdr:to>
      <xdr:col>75</xdr:col>
      <xdr:colOff>103324</xdr:colOff>
      <xdr:row>142</xdr:row>
      <xdr:rowOff>152400</xdr:rowOff>
    </xdr:to>
    <xdr:sp macro="" textlink="">
      <xdr:nvSpPr>
        <xdr:cNvPr id="239" name="139"/>
        <xdr:cNvSpPr/>
      </xdr:nvSpPr>
      <xdr:spPr>
        <a:xfrm>
          <a:off x="47346053" y="29794200"/>
          <a:ext cx="9907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142</xdr:row>
      <xdr:rowOff>95250</xdr:rowOff>
    </xdr:from>
    <xdr:to>
      <xdr:col>62</xdr:col>
      <xdr:colOff>102053</xdr:colOff>
      <xdr:row>142</xdr:row>
      <xdr:rowOff>95250</xdr:rowOff>
    </xdr:to>
    <xdr:cxnSp macro="">
      <xdr:nvCxnSpPr>
        <xdr:cNvPr id="240" name="직선 화살표 연결선 239"/>
        <xdr:cNvCxnSpPr/>
      </xdr:nvCxnSpPr>
      <xdr:spPr>
        <a:xfrm>
          <a:off x="47346053" y="29851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141</xdr:row>
      <xdr:rowOff>38100</xdr:rowOff>
    </xdr:from>
    <xdr:to>
      <xdr:col>75</xdr:col>
      <xdr:colOff>103324</xdr:colOff>
      <xdr:row>141</xdr:row>
      <xdr:rowOff>152400</xdr:rowOff>
    </xdr:to>
    <xdr:sp macro="" textlink="">
      <xdr:nvSpPr>
        <xdr:cNvPr id="241" name="138"/>
        <xdr:cNvSpPr/>
      </xdr:nvSpPr>
      <xdr:spPr>
        <a:xfrm>
          <a:off x="47346053" y="29584650"/>
          <a:ext cx="9907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141</xdr:row>
      <xdr:rowOff>95250</xdr:rowOff>
    </xdr:from>
    <xdr:to>
      <xdr:col>62</xdr:col>
      <xdr:colOff>102053</xdr:colOff>
      <xdr:row>141</xdr:row>
      <xdr:rowOff>95250</xdr:rowOff>
    </xdr:to>
    <xdr:cxnSp macro="">
      <xdr:nvCxnSpPr>
        <xdr:cNvPr id="242" name="직선 화살표 연결선 241"/>
        <xdr:cNvCxnSpPr/>
      </xdr:nvCxnSpPr>
      <xdr:spPr>
        <a:xfrm>
          <a:off x="47346053" y="296418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140</xdr:row>
      <xdr:rowOff>38100</xdr:rowOff>
    </xdr:from>
    <xdr:to>
      <xdr:col>67</xdr:col>
      <xdr:colOff>1270</xdr:colOff>
      <xdr:row>140</xdr:row>
      <xdr:rowOff>152400</xdr:rowOff>
    </xdr:to>
    <xdr:sp macro="" textlink="">
      <xdr:nvSpPr>
        <xdr:cNvPr id="243" name="137"/>
        <xdr:cNvSpPr/>
      </xdr:nvSpPr>
      <xdr:spPr>
        <a:xfrm>
          <a:off x="47346053" y="29375100"/>
          <a:ext cx="37092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140</xdr:row>
      <xdr:rowOff>95250</xdr:rowOff>
    </xdr:from>
    <xdr:to>
      <xdr:col>62</xdr:col>
      <xdr:colOff>102053</xdr:colOff>
      <xdr:row>140</xdr:row>
      <xdr:rowOff>95250</xdr:rowOff>
    </xdr:to>
    <xdr:cxnSp macro="">
      <xdr:nvCxnSpPr>
        <xdr:cNvPr id="244" name="직선 화살표 연결선 243"/>
        <xdr:cNvCxnSpPr/>
      </xdr:nvCxnSpPr>
      <xdr:spPr>
        <a:xfrm>
          <a:off x="47346053" y="294322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139</xdr:row>
      <xdr:rowOff>38100</xdr:rowOff>
    </xdr:from>
    <xdr:to>
      <xdr:col>67</xdr:col>
      <xdr:colOff>1270</xdr:colOff>
      <xdr:row>139</xdr:row>
      <xdr:rowOff>152400</xdr:rowOff>
    </xdr:to>
    <xdr:sp macro="" textlink="">
      <xdr:nvSpPr>
        <xdr:cNvPr id="245" name="136"/>
        <xdr:cNvSpPr/>
      </xdr:nvSpPr>
      <xdr:spPr>
        <a:xfrm>
          <a:off x="47346053" y="29165550"/>
          <a:ext cx="370921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139</xdr:row>
      <xdr:rowOff>95250</xdr:rowOff>
    </xdr:from>
    <xdr:to>
      <xdr:col>62</xdr:col>
      <xdr:colOff>102053</xdr:colOff>
      <xdr:row>139</xdr:row>
      <xdr:rowOff>95250</xdr:rowOff>
    </xdr:to>
    <xdr:cxnSp macro="">
      <xdr:nvCxnSpPr>
        <xdr:cNvPr id="246" name="직선 화살표 연결선 245"/>
        <xdr:cNvCxnSpPr/>
      </xdr:nvCxnSpPr>
      <xdr:spPr>
        <a:xfrm>
          <a:off x="47346053" y="29222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138</xdr:row>
      <xdr:rowOff>38100</xdr:rowOff>
    </xdr:from>
    <xdr:to>
      <xdr:col>67</xdr:col>
      <xdr:colOff>1270</xdr:colOff>
      <xdr:row>138</xdr:row>
      <xdr:rowOff>152400</xdr:rowOff>
    </xdr:to>
    <xdr:sp macro="" textlink="">
      <xdr:nvSpPr>
        <xdr:cNvPr id="247" name="135"/>
        <xdr:cNvSpPr/>
      </xdr:nvSpPr>
      <xdr:spPr>
        <a:xfrm>
          <a:off x="47346053" y="28956000"/>
          <a:ext cx="370921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138</xdr:row>
      <xdr:rowOff>95250</xdr:rowOff>
    </xdr:from>
    <xdr:to>
      <xdr:col>62</xdr:col>
      <xdr:colOff>102053</xdr:colOff>
      <xdr:row>138</xdr:row>
      <xdr:rowOff>95250</xdr:rowOff>
    </xdr:to>
    <xdr:cxnSp macro="">
      <xdr:nvCxnSpPr>
        <xdr:cNvPr id="248" name="직선 화살표 연결선 247"/>
        <xdr:cNvCxnSpPr/>
      </xdr:nvCxnSpPr>
      <xdr:spPr>
        <a:xfrm>
          <a:off x="47346053" y="29013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137</xdr:row>
      <xdr:rowOff>38100</xdr:rowOff>
    </xdr:from>
    <xdr:to>
      <xdr:col>75</xdr:col>
      <xdr:colOff>103324</xdr:colOff>
      <xdr:row>137</xdr:row>
      <xdr:rowOff>152400</xdr:rowOff>
    </xdr:to>
    <xdr:sp macro="" textlink="">
      <xdr:nvSpPr>
        <xdr:cNvPr id="249" name="134"/>
        <xdr:cNvSpPr/>
      </xdr:nvSpPr>
      <xdr:spPr>
        <a:xfrm>
          <a:off x="47346053" y="28746450"/>
          <a:ext cx="9907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137</xdr:row>
      <xdr:rowOff>95250</xdr:rowOff>
    </xdr:from>
    <xdr:to>
      <xdr:col>62</xdr:col>
      <xdr:colOff>102053</xdr:colOff>
      <xdr:row>137</xdr:row>
      <xdr:rowOff>95250</xdr:rowOff>
    </xdr:to>
    <xdr:cxnSp macro="">
      <xdr:nvCxnSpPr>
        <xdr:cNvPr id="250" name="직선 화살표 연결선 249"/>
        <xdr:cNvCxnSpPr/>
      </xdr:nvCxnSpPr>
      <xdr:spPr>
        <a:xfrm>
          <a:off x="47346053" y="28803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136</xdr:row>
      <xdr:rowOff>38100</xdr:rowOff>
    </xdr:from>
    <xdr:to>
      <xdr:col>75</xdr:col>
      <xdr:colOff>103324</xdr:colOff>
      <xdr:row>136</xdr:row>
      <xdr:rowOff>152400</xdr:rowOff>
    </xdr:to>
    <xdr:sp macro="" textlink="">
      <xdr:nvSpPr>
        <xdr:cNvPr id="251" name="133"/>
        <xdr:cNvSpPr/>
      </xdr:nvSpPr>
      <xdr:spPr>
        <a:xfrm>
          <a:off x="47346053" y="28536900"/>
          <a:ext cx="9907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136</xdr:row>
      <xdr:rowOff>95250</xdr:rowOff>
    </xdr:from>
    <xdr:to>
      <xdr:col>62</xdr:col>
      <xdr:colOff>102053</xdr:colOff>
      <xdr:row>136</xdr:row>
      <xdr:rowOff>95250</xdr:rowOff>
    </xdr:to>
    <xdr:cxnSp macro="">
      <xdr:nvCxnSpPr>
        <xdr:cNvPr id="252" name="직선 화살표 연결선 251"/>
        <xdr:cNvCxnSpPr/>
      </xdr:nvCxnSpPr>
      <xdr:spPr>
        <a:xfrm>
          <a:off x="47346053" y="28594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135</xdr:row>
      <xdr:rowOff>38100</xdr:rowOff>
    </xdr:from>
    <xdr:to>
      <xdr:col>75</xdr:col>
      <xdr:colOff>103324</xdr:colOff>
      <xdr:row>135</xdr:row>
      <xdr:rowOff>152400</xdr:rowOff>
    </xdr:to>
    <xdr:sp macro="" textlink="">
      <xdr:nvSpPr>
        <xdr:cNvPr id="253" name="132"/>
        <xdr:cNvSpPr/>
      </xdr:nvSpPr>
      <xdr:spPr>
        <a:xfrm>
          <a:off x="51856822" y="28327350"/>
          <a:ext cx="5396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135</xdr:row>
      <xdr:rowOff>95250</xdr:rowOff>
    </xdr:from>
    <xdr:to>
      <xdr:col>68</xdr:col>
      <xdr:colOff>40822</xdr:colOff>
      <xdr:row>135</xdr:row>
      <xdr:rowOff>95250</xdr:rowOff>
    </xdr:to>
    <xdr:cxnSp macro="">
      <xdr:nvCxnSpPr>
        <xdr:cNvPr id="254" name="직선 화살표 연결선 253"/>
        <xdr:cNvCxnSpPr/>
      </xdr:nvCxnSpPr>
      <xdr:spPr>
        <a:xfrm>
          <a:off x="51856822" y="28384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81643</xdr:colOff>
      <xdr:row>134</xdr:row>
      <xdr:rowOff>38100</xdr:rowOff>
    </xdr:from>
    <xdr:to>
      <xdr:col>69</xdr:col>
      <xdr:colOff>21681</xdr:colOff>
      <xdr:row>134</xdr:row>
      <xdr:rowOff>152400</xdr:rowOff>
    </xdr:to>
    <xdr:sp macro="" textlink="">
      <xdr:nvSpPr>
        <xdr:cNvPr id="255" name="131"/>
        <xdr:cNvSpPr/>
      </xdr:nvSpPr>
      <xdr:spPr>
        <a:xfrm>
          <a:off x="38943643" y="28117800"/>
          <a:ext cx="136560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81643</xdr:colOff>
      <xdr:row>134</xdr:row>
      <xdr:rowOff>95250</xdr:rowOff>
    </xdr:from>
    <xdr:to>
      <xdr:col>51</xdr:col>
      <xdr:colOff>81643</xdr:colOff>
      <xdr:row>134</xdr:row>
      <xdr:rowOff>95250</xdr:rowOff>
    </xdr:to>
    <xdr:cxnSp macro="">
      <xdr:nvCxnSpPr>
        <xdr:cNvPr id="256" name="직선 화살표 연결선 255"/>
        <xdr:cNvCxnSpPr/>
      </xdr:nvCxnSpPr>
      <xdr:spPr>
        <a:xfrm>
          <a:off x="38943643" y="28174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133</xdr:row>
      <xdr:rowOff>38100</xdr:rowOff>
    </xdr:from>
    <xdr:to>
      <xdr:col>53</xdr:col>
      <xdr:colOff>123734</xdr:colOff>
      <xdr:row>133</xdr:row>
      <xdr:rowOff>152400</xdr:rowOff>
    </xdr:to>
    <xdr:sp macro="" textlink="">
      <xdr:nvSpPr>
        <xdr:cNvPr id="257" name="130"/>
        <xdr:cNvSpPr/>
      </xdr:nvSpPr>
      <xdr:spPr>
        <a:xfrm>
          <a:off x="32126465" y="27908250"/>
          <a:ext cx="8383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133</xdr:row>
      <xdr:rowOff>95250</xdr:rowOff>
    </xdr:from>
    <xdr:to>
      <xdr:col>42</xdr:col>
      <xdr:colOff>122465</xdr:colOff>
      <xdr:row>133</xdr:row>
      <xdr:rowOff>95250</xdr:rowOff>
    </xdr:to>
    <xdr:cxnSp macro="">
      <xdr:nvCxnSpPr>
        <xdr:cNvPr id="258" name="직선 화살표 연결선 257"/>
        <xdr:cNvCxnSpPr/>
      </xdr:nvCxnSpPr>
      <xdr:spPr>
        <a:xfrm>
          <a:off x="32126465" y="27965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132</xdr:row>
      <xdr:rowOff>38100</xdr:rowOff>
    </xdr:from>
    <xdr:to>
      <xdr:col>62</xdr:col>
      <xdr:colOff>82913</xdr:colOff>
      <xdr:row>132</xdr:row>
      <xdr:rowOff>152400</xdr:rowOff>
    </xdr:to>
    <xdr:sp macro="" textlink="">
      <xdr:nvSpPr>
        <xdr:cNvPr id="259" name="129"/>
        <xdr:cNvSpPr/>
      </xdr:nvSpPr>
      <xdr:spPr>
        <a:xfrm>
          <a:off x="25969232" y="27698700"/>
          <a:ext cx="21357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132</xdr:row>
      <xdr:rowOff>95250</xdr:rowOff>
    </xdr:from>
    <xdr:to>
      <xdr:col>34</xdr:col>
      <xdr:colOff>61232</xdr:colOff>
      <xdr:row>132</xdr:row>
      <xdr:rowOff>95250</xdr:rowOff>
    </xdr:to>
    <xdr:cxnSp macro="">
      <xdr:nvCxnSpPr>
        <xdr:cNvPr id="260" name="직선 화살표 연결선 259"/>
        <xdr:cNvCxnSpPr/>
      </xdr:nvCxnSpPr>
      <xdr:spPr>
        <a:xfrm>
          <a:off x="25969232" y="27755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131</xdr:row>
      <xdr:rowOff>38100</xdr:rowOff>
    </xdr:from>
    <xdr:to>
      <xdr:col>75</xdr:col>
      <xdr:colOff>103324</xdr:colOff>
      <xdr:row>131</xdr:row>
      <xdr:rowOff>152400</xdr:rowOff>
    </xdr:to>
    <xdr:sp macro="" textlink="">
      <xdr:nvSpPr>
        <xdr:cNvPr id="261" name="128"/>
        <xdr:cNvSpPr/>
      </xdr:nvSpPr>
      <xdr:spPr>
        <a:xfrm>
          <a:off x="25969232" y="2748915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131</xdr:row>
      <xdr:rowOff>95250</xdr:rowOff>
    </xdr:from>
    <xdr:to>
      <xdr:col>34</xdr:col>
      <xdr:colOff>61232</xdr:colOff>
      <xdr:row>131</xdr:row>
      <xdr:rowOff>95250</xdr:rowOff>
    </xdr:to>
    <xdr:cxnSp macro="">
      <xdr:nvCxnSpPr>
        <xdr:cNvPr id="262" name="직선 화살표 연결선 261"/>
        <xdr:cNvCxnSpPr/>
      </xdr:nvCxnSpPr>
      <xdr:spPr>
        <a:xfrm>
          <a:off x="25969232" y="27546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130</xdr:row>
      <xdr:rowOff>38100</xdr:rowOff>
    </xdr:from>
    <xdr:to>
      <xdr:col>75</xdr:col>
      <xdr:colOff>103324</xdr:colOff>
      <xdr:row>130</xdr:row>
      <xdr:rowOff>152400</xdr:rowOff>
    </xdr:to>
    <xdr:sp macro="" textlink="">
      <xdr:nvSpPr>
        <xdr:cNvPr id="263" name="127"/>
        <xdr:cNvSpPr/>
      </xdr:nvSpPr>
      <xdr:spPr>
        <a:xfrm>
          <a:off x="51856822" y="27279600"/>
          <a:ext cx="5396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130</xdr:row>
      <xdr:rowOff>95250</xdr:rowOff>
    </xdr:from>
    <xdr:to>
      <xdr:col>68</xdr:col>
      <xdr:colOff>40822</xdr:colOff>
      <xdr:row>130</xdr:row>
      <xdr:rowOff>95250</xdr:rowOff>
    </xdr:to>
    <xdr:cxnSp macro="">
      <xdr:nvCxnSpPr>
        <xdr:cNvPr id="264" name="직선 화살표 연결선 263"/>
        <xdr:cNvCxnSpPr/>
      </xdr:nvCxnSpPr>
      <xdr:spPr>
        <a:xfrm>
          <a:off x="51856822" y="27336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81643</xdr:colOff>
      <xdr:row>129</xdr:row>
      <xdr:rowOff>38100</xdr:rowOff>
    </xdr:from>
    <xdr:to>
      <xdr:col>69</xdr:col>
      <xdr:colOff>21681</xdr:colOff>
      <xdr:row>129</xdr:row>
      <xdr:rowOff>152400</xdr:rowOff>
    </xdr:to>
    <xdr:sp macro="" textlink="">
      <xdr:nvSpPr>
        <xdr:cNvPr id="265" name="126"/>
        <xdr:cNvSpPr/>
      </xdr:nvSpPr>
      <xdr:spPr>
        <a:xfrm>
          <a:off x="38943643" y="27070050"/>
          <a:ext cx="136560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81643</xdr:colOff>
      <xdr:row>129</xdr:row>
      <xdr:rowOff>95250</xdr:rowOff>
    </xdr:from>
    <xdr:to>
      <xdr:col>51</xdr:col>
      <xdr:colOff>81643</xdr:colOff>
      <xdr:row>129</xdr:row>
      <xdr:rowOff>95250</xdr:rowOff>
    </xdr:to>
    <xdr:cxnSp macro="">
      <xdr:nvCxnSpPr>
        <xdr:cNvPr id="266" name="직선 화살표 연결선 265"/>
        <xdr:cNvCxnSpPr/>
      </xdr:nvCxnSpPr>
      <xdr:spPr>
        <a:xfrm>
          <a:off x="38943643" y="27127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128</xdr:row>
      <xdr:rowOff>38100</xdr:rowOff>
    </xdr:from>
    <xdr:to>
      <xdr:col>53</xdr:col>
      <xdr:colOff>123734</xdr:colOff>
      <xdr:row>128</xdr:row>
      <xdr:rowOff>152400</xdr:rowOff>
    </xdr:to>
    <xdr:sp macro="" textlink="">
      <xdr:nvSpPr>
        <xdr:cNvPr id="267" name="125"/>
        <xdr:cNvSpPr/>
      </xdr:nvSpPr>
      <xdr:spPr>
        <a:xfrm>
          <a:off x="32126465" y="26860500"/>
          <a:ext cx="8383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128</xdr:row>
      <xdr:rowOff>95250</xdr:rowOff>
    </xdr:from>
    <xdr:to>
      <xdr:col>42</xdr:col>
      <xdr:colOff>122465</xdr:colOff>
      <xdr:row>128</xdr:row>
      <xdr:rowOff>95250</xdr:rowOff>
    </xdr:to>
    <xdr:cxnSp macro="">
      <xdr:nvCxnSpPr>
        <xdr:cNvPr id="268" name="직선 화살표 연결선 267"/>
        <xdr:cNvCxnSpPr/>
      </xdr:nvCxnSpPr>
      <xdr:spPr>
        <a:xfrm>
          <a:off x="32126465" y="26917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127</xdr:row>
      <xdr:rowOff>38100</xdr:rowOff>
    </xdr:from>
    <xdr:to>
      <xdr:col>62</xdr:col>
      <xdr:colOff>82913</xdr:colOff>
      <xdr:row>127</xdr:row>
      <xdr:rowOff>152400</xdr:rowOff>
    </xdr:to>
    <xdr:sp macro="" textlink="">
      <xdr:nvSpPr>
        <xdr:cNvPr id="269" name="124"/>
        <xdr:cNvSpPr/>
      </xdr:nvSpPr>
      <xdr:spPr>
        <a:xfrm>
          <a:off x="25969232" y="26650950"/>
          <a:ext cx="21357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127</xdr:row>
      <xdr:rowOff>95250</xdr:rowOff>
    </xdr:from>
    <xdr:to>
      <xdr:col>34</xdr:col>
      <xdr:colOff>61232</xdr:colOff>
      <xdr:row>127</xdr:row>
      <xdr:rowOff>95250</xdr:rowOff>
    </xdr:to>
    <xdr:cxnSp macro="">
      <xdr:nvCxnSpPr>
        <xdr:cNvPr id="270" name="직선 화살표 연결선 269"/>
        <xdr:cNvCxnSpPr/>
      </xdr:nvCxnSpPr>
      <xdr:spPr>
        <a:xfrm>
          <a:off x="25969232" y="26708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126</xdr:row>
      <xdr:rowOff>38100</xdr:rowOff>
    </xdr:from>
    <xdr:to>
      <xdr:col>75</xdr:col>
      <xdr:colOff>103324</xdr:colOff>
      <xdr:row>126</xdr:row>
      <xdr:rowOff>152400</xdr:rowOff>
    </xdr:to>
    <xdr:sp macro="" textlink="">
      <xdr:nvSpPr>
        <xdr:cNvPr id="271" name="123"/>
        <xdr:cNvSpPr/>
      </xdr:nvSpPr>
      <xdr:spPr>
        <a:xfrm>
          <a:off x="25969232" y="2644140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126</xdr:row>
      <xdr:rowOff>95250</xdr:rowOff>
    </xdr:from>
    <xdr:to>
      <xdr:col>34</xdr:col>
      <xdr:colOff>61232</xdr:colOff>
      <xdr:row>126</xdr:row>
      <xdr:rowOff>95250</xdr:rowOff>
    </xdr:to>
    <xdr:cxnSp macro="">
      <xdr:nvCxnSpPr>
        <xdr:cNvPr id="272" name="직선 화살표 연결선 271"/>
        <xdr:cNvCxnSpPr/>
      </xdr:nvCxnSpPr>
      <xdr:spPr>
        <a:xfrm>
          <a:off x="25969232" y="26498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125</xdr:row>
      <xdr:rowOff>38100</xdr:rowOff>
    </xdr:from>
    <xdr:to>
      <xdr:col>75</xdr:col>
      <xdr:colOff>103324</xdr:colOff>
      <xdr:row>125</xdr:row>
      <xdr:rowOff>152400</xdr:rowOff>
    </xdr:to>
    <xdr:sp macro="" textlink="">
      <xdr:nvSpPr>
        <xdr:cNvPr id="273" name="122"/>
        <xdr:cNvSpPr/>
      </xdr:nvSpPr>
      <xdr:spPr>
        <a:xfrm>
          <a:off x="51856822" y="26231850"/>
          <a:ext cx="5396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125</xdr:row>
      <xdr:rowOff>95250</xdr:rowOff>
    </xdr:from>
    <xdr:to>
      <xdr:col>68</xdr:col>
      <xdr:colOff>40822</xdr:colOff>
      <xdr:row>125</xdr:row>
      <xdr:rowOff>95250</xdr:rowOff>
    </xdr:to>
    <xdr:cxnSp macro="">
      <xdr:nvCxnSpPr>
        <xdr:cNvPr id="274" name="직선 화살표 연결선 273"/>
        <xdr:cNvCxnSpPr/>
      </xdr:nvCxnSpPr>
      <xdr:spPr>
        <a:xfrm>
          <a:off x="51856822" y="26289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81643</xdr:colOff>
      <xdr:row>124</xdr:row>
      <xdr:rowOff>38100</xdr:rowOff>
    </xdr:from>
    <xdr:to>
      <xdr:col>69</xdr:col>
      <xdr:colOff>21681</xdr:colOff>
      <xdr:row>124</xdr:row>
      <xdr:rowOff>152400</xdr:rowOff>
    </xdr:to>
    <xdr:sp macro="" textlink="">
      <xdr:nvSpPr>
        <xdr:cNvPr id="275" name="121"/>
        <xdr:cNvSpPr/>
      </xdr:nvSpPr>
      <xdr:spPr>
        <a:xfrm>
          <a:off x="38943643" y="26022300"/>
          <a:ext cx="136560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81643</xdr:colOff>
      <xdr:row>124</xdr:row>
      <xdr:rowOff>95250</xdr:rowOff>
    </xdr:from>
    <xdr:to>
      <xdr:col>51</xdr:col>
      <xdr:colOff>81643</xdr:colOff>
      <xdr:row>124</xdr:row>
      <xdr:rowOff>95250</xdr:rowOff>
    </xdr:to>
    <xdr:cxnSp macro="">
      <xdr:nvCxnSpPr>
        <xdr:cNvPr id="276" name="직선 화살표 연결선 275"/>
        <xdr:cNvCxnSpPr/>
      </xdr:nvCxnSpPr>
      <xdr:spPr>
        <a:xfrm>
          <a:off x="38943643" y="26079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123</xdr:row>
      <xdr:rowOff>38100</xdr:rowOff>
    </xdr:from>
    <xdr:to>
      <xdr:col>53</xdr:col>
      <xdr:colOff>123734</xdr:colOff>
      <xdr:row>123</xdr:row>
      <xdr:rowOff>152400</xdr:rowOff>
    </xdr:to>
    <xdr:sp macro="" textlink="">
      <xdr:nvSpPr>
        <xdr:cNvPr id="277" name="120"/>
        <xdr:cNvSpPr/>
      </xdr:nvSpPr>
      <xdr:spPr>
        <a:xfrm>
          <a:off x="32126465" y="25812750"/>
          <a:ext cx="8383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123</xdr:row>
      <xdr:rowOff>95250</xdr:rowOff>
    </xdr:from>
    <xdr:to>
      <xdr:col>42</xdr:col>
      <xdr:colOff>122465</xdr:colOff>
      <xdr:row>123</xdr:row>
      <xdr:rowOff>95250</xdr:rowOff>
    </xdr:to>
    <xdr:cxnSp macro="">
      <xdr:nvCxnSpPr>
        <xdr:cNvPr id="278" name="직선 화살표 연결선 277"/>
        <xdr:cNvCxnSpPr/>
      </xdr:nvCxnSpPr>
      <xdr:spPr>
        <a:xfrm>
          <a:off x="32126465" y="25869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122</xdr:row>
      <xdr:rowOff>38100</xdr:rowOff>
    </xdr:from>
    <xdr:to>
      <xdr:col>62</xdr:col>
      <xdr:colOff>82913</xdr:colOff>
      <xdr:row>122</xdr:row>
      <xdr:rowOff>152400</xdr:rowOff>
    </xdr:to>
    <xdr:sp macro="" textlink="">
      <xdr:nvSpPr>
        <xdr:cNvPr id="279" name="119"/>
        <xdr:cNvSpPr/>
      </xdr:nvSpPr>
      <xdr:spPr>
        <a:xfrm>
          <a:off x="25969232" y="25603200"/>
          <a:ext cx="21357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122</xdr:row>
      <xdr:rowOff>95250</xdr:rowOff>
    </xdr:from>
    <xdr:to>
      <xdr:col>34</xdr:col>
      <xdr:colOff>61232</xdr:colOff>
      <xdr:row>122</xdr:row>
      <xdr:rowOff>95250</xdr:rowOff>
    </xdr:to>
    <xdr:cxnSp macro="">
      <xdr:nvCxnSpPr>
        <xdr:cNvPr id="280" name="직선 화살표 연결선 279"/>
        <xdr:cNvCxnSpPr/>
      </xdr:nvCxnSpPr>
      <xdr:spPr>
        <a:xfrm>
          <a:off x="25969232" y="25660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121</xdr:row>
      <xdr:rowOff>38100</xdr:rowOff>
    </xdr:from>
    <xdr:to>
      <xdr:col>75</xdr:col>
      <xdr:colOff>103324</xdr:colOff>
      <xdr:row>121</xdr:row>
      <xdr:rowOff>152400</xdr:rowOff>
    </xdr:to>
    <xdr:sp macro="" textlink="">
      <xdr:nvSpPr>
        <xdr:cNvPr id="281" name="118"/>
        <xdr:cNvSpPr/>
      </xdr:nvSpPr>
      <xdr:spPr>
        <a:xfrm>
          <a:off x="25969232" y="2539365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121</xdr:row>
      <xdr:rowOff>95250</xdr:rowOff>
    </xdr:from>
    <xdr:to>
      <xdr:col>34</xdr:col>
      <xdr:colOff>61232</xdr:colOff>
      <xdr:row>121</xdr:row>
      <xdr:rowOff>95250</xdr:rowOff>
    </xdr:to>
    <xdr:cxnSp macro="">
      <xdr:nvCxnSpPr>
        <xdr:cNvPr id="282" name="직선 화살표 연결선 281"/>
        <xdr:cNvCxnSpPr/>
      </xdr:nvCxnSpPr>
      <xdr:spPr>
        <a:xfrm>
          <a:off x="25969232" y="254508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120</xdr:row>
      <xdr:rowOff>38100</xdr:rowOff>
    </xdr:from>
    <xdr:to>
      <xdr:col>75</xdr:col>
      <xdr:colOff>103324</xdr:colOff>
      <xdr:row>120</xdr:row>
      <xdr:rowOff>152400</xdr:rowOff>
    </xdr:to>
    <xdr:sp macro="" textlink="">
      <xdr:nvSpPr>
        <xdr:cNvPr id="283" name="117"/>
        <xdr:cNvSpPr/>
      </xdr:nvSpPr>
      <xdr:spPr>
        <a:xfrm>
          <a:off x="51856822" y="25184100"/>
          <a:ext cx="5396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120</xdr:row>
      <xdr:rowOff>95250</xdr:rowOff>
    </xdr:from>
    <xdr:to>
      <xdr:col>68</xdr:col>
      <xdr:colOff>40822</xdr:colOff>
      <xdr:row>120</xdr:row>
      <xdr:rowOff>95250</xdr:rowOff>
    </xdr:to>
    <xdr:cxnSp macro="">
      <xdr:nvCxnSpPr>
        <xdr:cNvPr id="284" name="직선 화살표 연결선 283"/>
        <xdr:cNvCxnSpPr/>
      </xdr:nvCxnSpPr>
      <xdr:spPr>
        <a:xfrm>
          <a:off x="51856822" y="252412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81643</xdr:colOff>
      <xdr:row>119</xdr:row>
      <xdr:rowOff>38100</xdr:rowOff>
    </xdr:from>
    <xdr:to>
      <xdr:col>69</xdr:col>
      <xdr:colOff>21681</xdr:colOff>
      <xdr:row>119</xdr:row>
      <xdr:rowOff>152400</xdr:rowOff>
    </xdr:to>
    <xdr:sp macro="" textlink="">
      <xdr:nvSpPr>
        <xdr:cNvPr id="285" name="116"/>
        <xdr:cNvSpPr/>
      </xdr:nvSpPr>
      <xdr:spPr>
        <a:xfrm>
          <a:off x="38943643" y="24974550"/>
          <a:ext cx="136560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81643</xdr:colOff>
      <xdr:row>119</xdr:row>
      <xdr:rowOff>95250</xdr:rowOff>
    </xdr:from>
    <xdr:to>
      <xdr:col>51</xdr:col>
      <xdr:colOff>81643</xdr:colOff>
      <xdr:row>119</xdr:row>
      <xdr:rowOff>95250</xdr:rowOff>
    </xdr:to>
    <xdr:cxnSp macro="">
      <xdr:nvCxnSpPr>
        <xdr:cNvPr id="286" name="직선 화살표 연결선 285"/>
        <xdr:cNvCxnSpPr/>
      </xdr:nvCxnSpPr>
      <xdr:spPr>
        <a:xfrm>
          <a:off x="38943643" y="25031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118</xdr:row>
      <xdr:rowOff>38100</xdr:rowOff>
    </xdr:from>
    <xdr:to>
      <xdr:col>53</xdr:col>
      <xdr:colOff>123734</xdr:colOff>
      <xdr:row>118</xdr:row>
      <xdr:rowOff>152400</xdr:rowOff>
    </xdr:to>
    <xdr:sp macro="" textlink="">
      <xdr:nvSpPr>
        <xdr:cNvPr id="287" name="115"/>
        <xdr:cNvSpPr/>
      </xdr:nvSpPr>
      <xdr:spPr>
        <a:xfrm>
          <a:off x="32126465" y="24765000"/>
          <a:ext cx="8383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118</xdr:row>
      <xdr:rowOff>95250</xdr:rowOff>
    </xdr:from>
    <xdr:to>
      <xdr:col>42</xdr:col>
      <xdr:colOff>122465</xdr:colOff>
      <xdr:row>118</xdr:row>
      <xdr:rowOff>95250</xdr:rowOff>
    </xdr:to>
    <xdr:cxnSp macro="">
      <xdr:nvCxnSpPr>
        <xdr:cNvPr id="288" name="직선 화살표 연결선 287"/>
        <xdr:cNvCxnSpPr/>
      </xdr:nvCxnSpPr>
      <xdr:spPr>
        <a:xfrm>
          <a:off x="32126465" y="24822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117</xdr:row>
      <xdr:rowOff>38100</xdr:rowOff>
    </xdr:from>
    <xdr:to>
      <xdr:col>62</xdr:col>
      <xdr:colOff>82913</xdr:colOff>
      <xdr:row>117</xdr:row>
      <xdr:rowOff>152400</xdr:rowOff>
    </xdr:to>
    <xdr:sp macro="" textlink="">
      <xdr:nvSpPr>
        <xdr:cNvPr id="289" name="114"/>
        <xdr:cNvSpPr/>
      </xdr:nvSpPr>
      <xdr:spPr>
        <a:xfrm>
          <a:off x="25969232" y="24555450"/>
          <a:ext cx="21357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117</xdr:row>
      <xdr:rowOff>95250</xdr:rowOff>
    </xdr:from>
    <xdr:to>
      <xdr:col>34</xdr:col>
      <xdr:colOff>61232</xdr:colOff>
      <xdr:row>117</xdr:row>
      <xdr:rowOff>95250</xdr:rowOff>
    </xdr:to>
    <xdr:cxnSp macro="">
      <xdr:nvCxnSpPr>
        <xdr:cNvPr id="290" name="직선 화살표 연결선 289"/>
        <xdr:cNvCxnSpPr/>
      </xdr:nvCxnSpPr>
      <xdr:spPr>
        <a:xfrm>
          <a:off x="25969232" y="24612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116</xdr:row>
      <xdr:rowOff>38100</xdr:rowOff>
    </xdr:from>
    <xdr:to>
      <xdr:col>75</xdr:col>
      <xdr:colOff>103324</xdr:colOff>
      <xdr:row>116</xdr:row>
      <xdr:rowOff>152400</xdr:rowOff>
    </xdr:to>
    <xdr:sp macro="" textlink="">
      <xdr:nvSpPr>
        <xdr:cNvPr id="291" name="113"/>
        <xdr:cNvSpPr/>
      </xdr:nvSpPr>
      <xdr:spPr>
        <a:xfrm>
          <a:off x="25969232" y="2434590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116</xdr:row>
      <xdr:rowOff>95250</xdr:rowOff>
    </xdr:from>
    <xdr:to>
      <xdr:col>34</xdr:col>
      <xdr:colOff>61232</xdr:colOff>
      <xdr:row>116</xdr:row>
      <xdr:rowOff>95250</xdr:rowOff>
    </xdr:to>
    <xdr:cxnSp macro="">
      <xdr:nvCxnSpPr>
        <xdr:cNvPr id="292" name="직선 화살표 연결선 291"/>
        <xdr:cNvCxnSpPr/>
      </xdr:nvCxnSpPr>
      <xdr:spPr>
        <a:xfrm>
          <a:off x="25969232" y="24403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115</xdr:row>
      <xdr:rowOff>38100</xdr:rowOff>
    </xdr:from>
    <xdr:to>
      <xdr:col>69</xdr:col>
      <xdr:colOff>21680</xdr:colOff>
      <xdr:row>115</xdr:row>
      <xdr:rowOff>152400</xdr:rowOff>
    </xdr:to>
    <xdr:sp macro="" textlink="">
      <xdr:nvSpPr>
        <xdr:cNvPr id="293" name="112"/>
        <xdr:cNvSpPr/>
      </xdr:nvSpPr>
      <xdr:spPr>
        <a:xfrm>
          <a:off x="47346053" y="24136350"/>
          <a:ext cx="5253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115</xdr:row>
      <xdr:rowOff>95250</xdr:rowOff>
    </xdr:from>
    <xdr:to>
      <xdr:col>62</xdr:col>
      <xdr:colOff>102053</xdr:colOff>
      <xdr:row>115</xdr:row>
      <xdr:rowOff>95250</xdr:rowOff>
    </xdr:to>
    <xdr:cxnSp macro="">
      <xdr:nvCxnSpPr>
        <xdr:cNvPr id="294" name="직선 화살표 연결선 293"/>
        <xdr:cNvCxnSpPr/>
      </xdr:nvCxnSpPr>
      <xdr:spPr>
        <a:xfrm>
          <a:off x="47346053" y="24193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114</xdr:row>
      <xdr:rowOff>38100</xdr:rowOff>
    </xdr:from>
    <xdr:to>
      <xdr:col>64</xdr:col>
      <xdr:colOff>123735</xdr:colOff>
      <xdr:row>114</xdr:row>
      <xdr:rowOff>152400</xdr:rowOff>
    </xdr:to>
    <xdr:sp macro="" textlink="">
      <xdr:nvSpPr>
        <xdr:cNvPr id="295" name="111"/>
        <xdr:cNvSpPr/>
      </xdr:nvSpPr>
      <xdr:spPr>
        <a:xfrm>
          <a:off x="35834410" y="23926800"/>
          <a:ext cx="130573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114</xdr:row>
      <xdr:rowOff>95250</xdr:rowOff>
    </xdr:from>
    <xdr:to>
      <xdr:col>47</xdr:col>
      <xdr:colOff>20410</xdr:colOff>
      <xdr:row>114</xdr:row>
      <xdr:rowOff>95250</xdr:rowOff>
    </xdr:to>
    <xdr:cxnSp macro="">
      <xdr:nvCxnSpPr>
        <xdr:cNvPr id="296" name="직선 화살표 연결선 295"/>
        <xdr:cNvCxnSpPr/>
      </xdr:nvCxnSpPr>
      <xdr:spPr>
        <a:xfrm>
          <a:off x="35834410" y="23983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113</xdr:row>
      <xdr:rowOff>38100</xdr:rowOff>
    </xdr:from>
    <xdr:to>
      <xdr:col>49</xdr:col>
      <xdr:colOff>62502</xdr:colOff>
      <xdr:row>113</xdr:row>
      <xdr:rowOff>152400</xdr:rowOff>
    </xdr:to>
    <xdr:sp macro="" textlink="">
      <xdr:nvSpPr>
        <xdr:cNvPr id="297" name="110"/>
        <xdr:cNvSpPr/>
      </xdr:nvSpPr>
      <xdr:spPr>
        <a:xfrm>
          <a:off x="30602465" y="23717250"/>
          <a:ext cx="67980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113</xdr:row>
      <xdr:rowOff>95250</xdr:rowOff>
    </xdr:from>
    <xdr:to>
      <xdr:col>40</xdr:col>
      <xdr:colOff>122465</xdr:colOff>
      <xdr:row>113</xdr:row>
      <xdr:rowOff>95250</xdr:rowOff>
    </xdr:to>
    <xdr:cxnSp macro="">
      <xdr:nvCxnSpPr>
        <xdr:cNvPr id="298" name="직선 화살표 연결선 297"/>
        <xdr:cNvCxnSpPr/>
      </xdr:nvCxnSpPr>
      <xdr:spPr>
        <a:xfrm>
          <a:off x="30602465" y="23774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112</xdr:row>
      <xdr:rowOff>38100</xdr:rowOff>
    </xdr:from>
    <xdr:to>
      <xdr:col>62</xdr:col>
      <xdr:colOff>82913</xdr:colOff>
      <xdr:row>112</xdr:row>
      <xdr:rowOff>152400</xdr:rowOff>
    </xdr:to>
    <xdr:sp macro="" textlink="">
      <xdr:nvSpPr>
        <xdr:cNvPr id="299" name="109"/>
        <xdr:cNvSpPr/>
      </xdr:nvSpPr>
      <xdr:spPr>
        <a:xfrm>
          <a:off x="25969232" y="23507700"/>
          <a:ext cx="21357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112</xdr:row>
      <xdr:rowOff>95250</xdr:rowOff>
    </xdr:from>
    <xdr:to>
      <xdr:col>34</xdr:col>
      <xdr:colOff>61232</xdr:colOff>
      <xdr:row>112</xdr:row>
      <xdr:rowOff>95250</xdr:rowOff>
    </xdr:to>
    <xdr:cxnSp macro="">
      <xdr:nvCxnSpPr>
        <xdr:cNvPr id="300" name="직선 화살표 연결선 299"/>
        <xdr:cNvCxnSpPr/>
      </xdr:nvCxnSpPr>
      <xdr:spPr>
        <a:xfrm>
          <a:off x="25969232" y="23564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111</xdr:row>
      <xdr:rowOff>38100</xdr:rowOff>
    </xdr:from>
    <xdr:to>
      <xdr:col>69</xdr:col>
      <xdr:colOff>21681</xdr:colOff>
      <xdr:row>111</xdr:row>
      <xdr:rowOff>152400</xdr:rowOff>
    </xdr:to>
    <xdr:sp macro="" textlink="">
      <xdr:nvSpPr>
        <xdr:cNvPr id="301" name="108"/>
        <xdr:cNvSpPr/>
      </xdr:nvSpPr>
      <xdr:spPr>
        <a:xfrm>
          <a:off x="25969232" y="23298150"/>
          <a:ext cx="266304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111</xdr:row>
      <xdr:rowOff>95250</xdr:rowOff>
    </xdr:from>
    <xdr:to>
      <xdr:col>34</xdr:col>
      <xdr:colOff>61232</xdr:colOff>
      <xdr:row>111</xdr:row>
      <xdr:rowOff>95250</xdr:rowOff>
    </xdr:to>
    <xdr:cxnSp macro="">
      <xdr:nvCxnSpPr>
        <xdr:cNvPr id="302" name="직선 화살표 연결선 301"/>
        <xdr:cNvCxnSpPr/>
      </xdr:nvCxnSpPr>
      <xdr:spPr>
        <a:xfrm>
          <a:off x="25969232" y="23355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110</xdr:row>
      <xdr:rowOff>38100</xdr:rowOff>
    </xdr:from>
    <xdr:to>
      <xdr:col>69</xdr:col>
      <xdr:colOff>21680</xdr:colOff>
      <xdr:row>110</xdr:row>
      <xdr:rowOff>152400</xdr:rowOff>
    </xdr:to>
    <xdr:sp macro="" textlink="">
      <xdr:nvSpPr>
        <xdr:cNvPr id="303" name="107"/>
        <xdr:cNvSpPr/>
      </xdr:nvSpPr>
      <xdr:spPr>
        <a:xfrm>
          <a:off x="47346053" y="23088600"/>
          <a:ext cx="5253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110</xdr:row>
      <xdr:rowOff>95250</xdr:rowOff>
    </xdr:from>
    <xdr:to>
      <xdr:col>62</xdr:col>
      <xdr:colOff>102053</xdr:colOff>
      <xdr:row>110</xdr:row>
      <xdr:rowOff>95250</xdr:rowOff>
    </xdr:to>
    <xdr:cxnSp macro="">
      <xdr:nvCxnSpPr>
        <xdr:cNvPr id="304" name="직선 화살표 연결선 303"/>
        <xdr:cNvCxnSpPr/>
      </xdr:nvCxnSpPr>
      <xdr:spPr>
        <a:xfrm>
          <a:off x="47346053" y="23145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109</xdr:row>
      <xdr:rowOff>38100</xdr:rowOff>
    </xdr:from>
    <xdr:to>
      <xdr:col>64</xdr:col>
      <xdr:colOff>123735</xdr:colOff>
      <xdr:row>109</xdr:row>
      <xdr:rowOff>152400</xdr:rowOff>
    </xdr:to>
    <xdr:sp macro="" textlink="">
      <xdr:nvSpPr>
        <xdr:cNvPr id="305" name="106"/>
        <xdr:cNvSpPr/>
      </xdr:nvSpPr>
      <xdr:spPr>
        <a:xfrm>
          <a:off x="35834410" y="22879050"/>
          <a:ext cx="130573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109</xdr:row>
      <xdr:rowOff>95250</xdr:rowOff>
    </xdr:from>
    <xdr:to>
      <xdr:col>47</xdr:col>
      <xdr:colOff>20410</xdr:colOff>
      <xdr:row>109</xdr:row>
      <xdr:rowOff>95250</xdr:rowOff>
    </xdr:to>
    <xdr:cxnSp macro="">
      <xdr:nvCxnSpPr>
        <xdr:cNvPr id="306" name="직선 화살표 연결선 305"/>
        <xdr:cNvCxnSpPr/>
      </xdr:nvCxnSpPr>
      <xdr:spPr>
        <a:xfrm>
          <a:off x="35834410" y="22936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108</xdr:row>
      <xdr:rowOff>38100</xdr:rowOff>
    </xdr:from>
    <xdr:to>
      <xdr:col>49</xdr:col>
      <xdr:colOff>62502</xdr:colOff>
      <xdr:row>108</xdr:row>
      <xdr:rowOff>152400</xdr:rowOff>
    </xdr:to>
    <xdr:sp macro="" textlink="">
      <xdr:nvSpPr>
        <xdr:cNvPr id="307" name="105"/>
        <xdr:cNvSpPr/>
      </xdr:nvSpPr>
      <xdr:spPr>
        <a:xfrm>
          <a:off x="30602465" y="22669500"/>
          <a:ext cx="67980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108</xdr:row>
      <xdr:rowOff>95250</xdr:rowOff>
    </xdr:from>
    <xdr:to>
      <xdr:col>40</xdr:col>
      <xdr:colOff>122465</xdr:colOff>
      <xdr:row>108</xdr:row>
      <xdr:rowOff>95250</xdr:rowOff>
    </xdr:to>
    <xdr:cxnSp macro="">
      <xdr:nvCxnSpPr>
        <xdr:cNvPr id="308" name="직선 화살표 연결선 307"/>
        <xdr:cNvCxnSpPr/>
      </xdr:nvCxnSpPr>
      <xdr:spPr>
        <a:xfrm>
          <a:off x="30602465" y="22726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107</xdr:row>
      <xdr:rowOff>38100</xdr:rowOff>
    </xdr:from>
    <xdr:to>
      <xdr:col>62</xdr:col>
      <xdr:colOff>82913</xdr:colOff>
      <xdr:row>107</xdr:row>
      <xdr:rowOff>152400</xdr:rowOff>
    </xdr:to>
    <xdr:sp macro="" textlink="">
      <xdr:nvSpPr>
        <xdr:cNvPr id="309" name="104"/>
        <xdr:cNvSpPr/>
      </xdr:nvSpPr>
      <xdr:spPr>
        <a:xfrm>
          <a:off x="25969232" y="22459950"/>
          <a:ext cx="21357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107</xdr:row>
      <xdr:rowOff>95250</xdr:rowOff>
    </xdr:from>
    <xdr:to>
      <xdr:col>34</xdr:col>
      <xdr:colOff>61232</xdr:colOff>
      <xdr:row>107</xdr:row>
      <xdr:rowOff>95250</xdr:rowOff>
    </xdr:to>
    <xdr:cxnSp macro="">
      <xdr:nvCxnSpPr>
        <xdr:cNvPr id="310" name="직선 화살표 연결선 309"/>
        <xdr:cNvCxnSpPr/>
      </xdr:nvCxnSpPr>
      <xdr:spPr>
        <a:xfrm>
          <a:off x="25969232" y="22517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106</xdr:row>
      <xdr:rowOff>38100</xdr:rowOff>
    </xdr:from>
    <xdr:to>
      <xdr:col>69</xdr:col>
      <xdr:colOff>21681</xdr:colOff>
      <xdr:row>106</xdr:row>
      <xdr:rowOff>152400</xdr:rowOff>
    </xdr:to>
    <xdr:sp macro="" textlink="">
      <xdr:nvSpPr>
        <xdr:cNvPr id="311" name="103"/>
        <xdr:cNvSpPr/>
      </xdr:nvSpPr>
      <xdr:spPr>
        <a:xfrm>
          <a:off x="25969232" y="22250400"/>
          <a:ext cx="266304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106</xdr:row>
      <xdr:rowOff>95250</xdr:rowOff>
    </xdr:from>
    <xdr:to>
      <xdr:col>34</xdr:col>
      <xdr:colOff>61232</xdr:colOff>
      <xdr:row>106</xdr:row>
      <xdr:rowOff>95250</xdr:rowOff>
    </xdr:to>
    <xdr:cxnSp macro="">
      <xdr:nvCxnSpPr>
        <xdr:cNvPr id="312" name="직선 화살표 연결선 311"/>
        <xdr:cNvCxnSpPr/>
      </xdr:nvCxnSpPr>
      <xdr:spPr>
        <a:xfrm>
          <a:off x="25969232" y="22307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105</xdr:row>
      <xdr:rowOff>38100</xdr:rowOff>
    </xdr:from>
    <xdr:to>
      <xdr:col>69</xdr:col>
      <xdr:colOff>21680</xdr:colOff>
      <xdr:row>105</xdr:row>
      <xdr:rowOff>152400</xdr:rowOff>
    </xdr:to>
    <xdr:sp macro="" textlink="">
      <xdr:nvSpPr>
        <xdr:cNvPr id="313" name="102"/>
        <xdr:cNvSpPr/>
      </xdr:nvSpPr>
      <xdr:spPr>
        <a:xfrm>
          <a:off x="47346053" y="22040850"/>
          <a:ext cx="5253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105</xdr:row>
      <xdr:rowOff>95250</xdr:rowOff>
    </xdr:from>
    <xdr:to>
      <xdr:col>62</xdr:col>
      <xdr:colOff>102053</xdr:colOff>
      <xdr:row>105</xdr:row>
      <xdr:rowOff>95250</xdr:rowOff>
    </xdr:to>
    <xdr:cxnSp macro="">
      <xdr:nvCxnSpPr>
        <xdr:cNvPr id="314" name="직선 화살표 연결선 313"/>
        <xdr:cNvCxnSpPr/>
      </xdr:nvCxnSpPr>
      <xdr:spPr>
        <a:xfrm>
          <a:off x="47346053" y="22098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104</xdr:row>
      <xdr:rowOff>38100</xdr:rowOff>
    </xdr:from>
    <xdr:to>
      <xdr:col>64</xdr:col>
      <xdr:colOff>123735</xdr:colOff>
      <xdr:row>104</xdr:row>
      <xdr:rowOff>152400</xdr:rowOff>
    </xdr:to>
    <xdr:sp macro="" textlink="">
      <xdr:nvSpPr>
        <xdr:cNvPr id="315" name="101"/>
        <xdr:cNvSpPr/>
      </xdr:nvSpPr>
      <xdr:spPr>
        <a:xfrm>
          <a:off x="35834410" y="21831300"/>
          <a:ext cx="130573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104</xdr:row>
      <xdr:rowOff>95250</xdr:rowOff>
    </xdr:from>
    <xdr:to>
      <xdr:col>47</xdr:col>
      <xdr:colOff>20410</xdr:colOff>
      <xdr:row>104</xdr:row>
      <xdr:rowOff>95250</xdr:rowOff>
    </xdr:to>
    <xdr:cxnSp macro="">
      <xdr:nvCxnSpPr>
        <xdr:cNvPr id="316" name="직선 화살표 연결선 315"/>
        <xdr:cNvCxnSpPr/>
      </xdr:nvCxnSpPr>
      <xdr:spPr>
        <a:xfrm>
          <a:off x="35834410" y="21888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103</xdr:row>
      <xdr:rowOff>38100</xdr:rowOff>
    </xdr:from>
    <xdr:to>
      <xdr:col>49</xdr:col>
      <xdr:colOff>62502</xdr:colOff>
      <xdr:row>103</xdr:row>
      <xdr:rowOff>152400</xdr:rowOff>
    </xdr:to>
    <xdr:sp macro="" textlink="">
      <xdr:nvSpPr>
        <xdr:cNvPr id="317" name="100"/>
        <xdr:cNvSpPr/>
      </xdr:nvSpPr>
      <xdr:spPr>
        <a:xfrm>
          <a:off x="30602465" y="21621750"/>
          <a:ext cx="67980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103</xdr:row>
      <xdr:rowOff>95250</xdr:rowOff>
    </xdr:from>
    <xdr:to>
      <xdr:col>40</xdr:col>
      <xdr:colOff>122465</xdr:colOff>
      <xdr:row>103</xdr:row>
      <xdr:rowOff>95250</xdr:rowOff>
    </xdr:to>
    <xdr:cxnSp macro="">
      <xdr:nvCxnSpPr>
        <xdr:cNvPr id="318" name="직선 화살표 연결선 317"/>
        <xdr:cNvCxnSpPr/>
      </xdr:nvCxnSpPr>
      <xdr:spPr>
        <a:xfrm>
          <a:off x="30602465" y="21678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102</xdr:row>
      <xdr:rowOff>38100</xdr:rowOff>
    </xdr:from>
    <xdr:to>
      <xdr:col>62</xdr:col>
      <xdr:colOff>82913</xdr:colOff>
      <xdr:row>102</xdr:row>
      <xdr:rowOff>152400</xdr:rowOff>
    </xdr:to>
    <xdr:sp macro="" textlink="">
      <xdr:nvSpPr>
        <xdr:cNvPr id="319" name="99"/>
        <xdr:cNvSpPr/>
      </xdr:nvSpPr>
      <xdr:spPr>
        <a:xfrm>
          <a:off x="25969232" y="21412200"/>
          <a:ext cx="21357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102</xdr:row>
      <xdr:rowOff>95250</xdr:rowOff>
    </xdr:from>
    <xdr:to>
      <xdr:col>34</xdr:col>
      <xdr:colOff>61232</xdr:colOff>
      <xdr:row>102</xdr:row>
      <xdr:rowOff>95250</xdr:rowOff>
    </xdr:to>
    <xdr:cxnSp macro="">
      <xdr:nvCxnSpPr>
        <xdr:cNvPr id="320" name="직선 화살표 연결선 319"/>
        <xdr:cNvCxnSpPr/>
      </xdr:nvCxnSpPr>
      <xdr:spPr>
        <a:xfrm>
          <a:off x="25969232" y="21469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101</xdr:row>
      <xdr:rowOff>38100</xdr:rowOff>
    </xdr:from>
    <xdr:to>
      <xdr:col>69</xdr:col>
      <xdr:colOff>21681</xdr:colOff>
      <xdr:row>101</xdr:row>
      <xdr:rowOff>152400</xdr:rowOff>
    </xdr:to>
    <xdr:sp macro="" textlink="">
      <xdr:nvSpPr>
        <xdr:cNvPr id="321" name="98"/>
        <xdr:cNvSpPr/>
      </xdr:nvSpPr>
      <xdr:spPr>
        <a:xfrm>
          <a:off x="25969232" y="21202650"/>
          <a:ext cx="266304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101</xdr:row>
      <xdr:rowOff>95250</xdr:rowOff>
    </xdr:from>
    <xdr:to>
      <xdr:col>34</xdr:col>
      <xdr:colOff>61232</xdr:colOff>
      <xdr:row>101</xdr:row>
      <xdr:rowOff>95250</xdr:rowOff>
    </xdr:to>
    <xdr:cxnSp macro="">
      <xdr:nvCxnSpPr>
        <xdr:cNvPr id="322" name="직선 화살표 연결선 321"/>
        <xdr:cNvCxnSpPr/>
      </xdr:nvCxnSpPr>
      <xdr:spPr>
        <a:xfrm>
          <a:off x="25969232" y="212598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100</xdr:row>
      <xdr:rowOff>38100</xdr:rowOff>
    </xdr:from>
    <xdr:to>
      <xdr:col>75</xdr:col>
      <xdr:colOff>103324</xdr:colOff>
      <xdr:row>100</xdr:row>
      <xdr:rowOff>152400</xdr:rowOff>
    </xdr:to>
    <xdr:sp macro="" textlink="">
      <xdr:nvSpPr>
        <xdr:cNvPr id="323" name="97"/>
        <xdr:cNvSpPr/>
      </xdr:nvSpPr>
      <xdr:spPr>
        <a:xfrm>
          <a:off x="25969232" y="2099310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100</xdr:row>
      <xdr:rowOff>95250</xdr:rowOff>
    </xdr:from>
    <xdr:to>
      <xdr:col>34</xdr:col>
      <xdr:colOff>61232</xdr:colOff>
      <xdr:row>100</xdr:row>
      <xdr:rowOff>95250</xdr:rowOff>
    </xdr:to>
    <xdr:cxnSp macro="">
      <xdr:nvCxnSpPr>
        <xdr:cNvPr id="324" name="직선 화살표 연결선 323"/>
        <xdr:cNvCxnSpPr/>
      </xdr:nvCxnSpPr>
      <xdr:spPr>
        <a:xfrm>
          <a:off x="25969232" y="210502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99</xdr:row>
      <xdr:rowOff>38100</xdr:rowOff>
    </xdr:from>
    <xdr:to>
      <xdr:col>75</xdr:col>
      <xdr:colOff>103324</xdr:colOff>
      <xdr:row>99</xdr:row>
      <xdr:rowOff>152400</xdr:rowOff>
    </xdr:to>
    <xdr:sp macro="" textlink="">
      <xdr:nvSpPr>
        <xdr:cNvPr id="325" name="96"/>
        <xdr:cNvSpPr/>
      </xdr:nvSpPr>
      <xdr:spPr>
        <a:xfrm>
          <a:off x="44236822" y="20783550"/>
          <a:ext cx="13016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99</xdr:row>
      <xdr:rowOff>95250</xdr:rowOff>
    </xdr:from>
    <xdr:to>
      <xdr:col>58</xdr:col>
      <xdr:colOff>40822</xdr:colOff>
      <xdr:row>99</xdr:row>
      <xdr:rowOff>95250</xdr:rowOff>
    </xdr:to>
    <xdr:cxnSp macro="">
      <xdr:nvCxnSpPr>
        <xdr:cNvPr id="326" name="직선 화살표 연결선 325"/>
        <xdr:cNvCxnSpPr/>
      </xdr:nvCxnSpPr>
      <xdr:spPr>
        <a:xfrm>
          <a:off x="44236822" y="20840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98</xdr:row>
      <xdr:rowOff>38100</xdr:rowOff>
    </xdr:from>
    <xdr:to>
      <xdr:col>67</xdr:col>
      <xdr:colOff>1270</xdr:colOff>
      <xdr:row>98</xdr:row>
      <xdr:rowOff>152400</xdr:rowOff>
    </xdr:to>
    <xdr:sp macro="" textlink="">
      <xdr:nvSpPr>
        <xdr:cNvPr id="327" name="95"/>
        <xdr:cNvSpPr/>
      </xdr:nvSpPr>
      <xdr:spPr>
        <a:xfrm>
          <a:off x="37419643" y="20574000"/>
          <a:ext cx="13635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98</xdr:row>
      <xdr:rowOff>95250</xdr:rowOff>
    </xdr:from>
    <xdr:to>
      <xdr:col>49</xdr:col>
      <xdr:colOff>81643</xdr:colOff>
      <xdr:row>98</xdr:row>
      <xdr:rowOff>95250</xdr:rowOff>
    </xdr:to>
    <xdr:cxnSp macro="">
      <xdr:nvCxnSpPr>
        <xdr:cNvPr id="328" name="직선 화살표 연결선 327"/>
        <xdr:cNvCxnSpPr/>
      </xdr:nvCxnSpPr>
      <xdr:spPr>
        <a:xfrm>
          <a:off x="37419643" y="20631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97</xdr:row>
      <xdr:rowOff>38100</xdr:rowOff>
    </xdr:from>
    <xdr:to>
      <xdr:col>58</xdr:col>
      <xdr:colOff>21681</xdr:colOff>
      <xdr:row>97</xdr:row>
      <xdr:rowOff>152400</xdr:rowOff>
    </xdr:to>
    <xdr:sp macro="" textlink="">
      <xdr:nvSpPr>
        <xdr:cNvPr id="329" name="94"/>
        <xdr:cNvSpPr/>
      </xdr:nvSpPr>
      <xdr:spPr>
        <a:xfrm>
          <a:off x="30602465" y="20364450"/>
          <a:ext cx="13615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97</xdr:row>
      <xdr:rowOff>95250</xdr:rowOff>
    </xdr:from>
    <xdr:to>
      <xdr:col>40</xdr:col>
      <xdr:colOff>122465</xdr:colOff>
      <xdr:row>97</xdr:row>
      <xdr:rowOff>95250</xdr:rowOff>
    </xdr:to>
    <xdr:cxnSp macro="">
      <xdr:nvCxnSpPr>
        <xdr:cNvPr id="330" name="직선 화살표 연결선 329"/>
        <xdr:cNvCxnSpPr/>
      </xdr:nvCxnSpPr>
      <xdr:spPr>
        <a:xfrm>
          <a:off x="30602465" y="20421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96</xdr:row>
      <xdr:rowOff>38100</xdr:rowOff>
    </xdr:from>
    <xdr:to>
      <xdr:col>60</xdr:col>
      <xdr:colOff>62502</xdr:colOff>
      <xdr:row>96</xdr:row>
      <xdr:rowOff>152400</xdr:rowOff>
    </xdr:to>
    <xdr:sp macro="" textlink="">
      <xdr:nvSpPr>
        <xdr:cNvPr id="331" name="93"/>
        <xdr:cNvSpPr/>
      </xdr:nvSpPr>
      <xdr:spPr>
        <a:xfrm>
          <a:off x="25969232" y="20154900"/>
          <a:ext cx="1981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96</xdr:row>
      <xdr:rowOff>95250</xdr:rowOff>
    </xdr:from>
    <xdr:to>
      <xdr:col>34</xdr:col>
      <xdr:colOff>61232</xdr:colOff>
      <xdr:row>96</xdr:row>
      <xdr:rowOff>95250</xdr:rowOff>
    </xdr:to>
    <xdr:cxnSp macro="">
      <xdr:nvCxnSpPr>
        <xdr:cNvPr id="332" name="직선 화살표 연결선 331"/>
        <xdr:cNvCxnSpPr/>
      </xdr:nvCxnSpPr>
      <xdr:spPr>
        <a:xfrm>
          <a:off x="25969232" y="20212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95</xdr:row>
      <xdr:rowOff>38100</xdr:rowOff>
    </xdr:from>
    <xdr:to>
      <xdr:col>75</xdr:col>
      <xdr:colOff>103324</xdr:colOff>
      <xdr:row>95</xdr:row>
      <xdr:rowOff>152400</xdr:rowOff>
    </xdr:to>
    <xdr:sp macro="" textlink="">
      <xdr:nvSpPr>
        <xdr:cNvPr id="333" name="92"/>
        <xdr:cNvSpPr/>
      </xdr:nvSpPr>
      <xdr:spPr>
        <a:xfrm>
          <a:off x="25969232" y="1994535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95</xdr:row>
      <xdr:rowOff>95250</xdr:rowOff>
    </xdr:from>
    <xdr:to>
      <xdr:col>34</xdr:col>
      <xdr:colOff>61232</xdr:colOff>
      <xdr:row>95</xdr:row>
      <xdr:rowOff>95250</xdr:rowOff>
    </xdr:to>
    <xdr:cxnSp macro="">
      <xdr:nvCxnSpPr>
        <xdr:cNvPr id="334" name="직선 화살표 연결선 333"/>
        <xdr:cNvCxnSpPr/>
      </xdr:nvCxnSpPr>
      <xdr:spPr>
        <a:xfrm>
          <a:off x="25969232" y="20002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94</xdr:row>
      <xdr:rowOff>38100</xdr:rowOff>
    </xdr:from>
    <xdr:to>
      <xdr:col>75</xdr:col>
      <xdr:colOff>103324</xdr:colOff>
      <xdr:row>94</xdr:row>
      <xdr:rowOff>152400</xdr:rowOff>
    </xdr:to>
    <xdr:sp macro="" textlink="">
      <xdr:nvSpPr>
        <xdr:cNvPr id="335" name="91"/>
        <xdr:cNvSpPr/>
      </xdr:nvSpPr>
      <xdr:spPr>
        <a:xfrm>
          <a:off x="44236822" y="19735800"/>
          <a:ext cx="13016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94</xdr:row>
      <xdr:rowOff>95250</xdr:rowOff>
    </xdr:from>
    <xdr:to>
      <xdr:col>58</xdr:col>
      <xdr:colOff>40822</xdr:colOff>
      <xdr:row>94</xdr:row>
      <xdr:rowOff>95250</xdr:rowOff>
    </xdr:to>
    <xdr:cxnSp macro="">
      <xdr:nvCxnSpPr>
        <xdr:cNvPr id="336" name="직선 화살표 연결선 335"/>
        <xdr:cNvCxnSpPr/>
      </xdr:nvCxnSpPr>
      <xdr:spPr>
        <a:xfrm>
          <a:off x="44236822" y="19792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93</xdr:row>
      <xdr:rowOff>38100</xdr:rowOff>
    </xdr:from>
    <xdr:to>
      <xdr:col>67</xdr:col>
      <xdr:colOff>1270</xdr:colOff>
      <xdr:row>93</xdr:row>
      <xdr:rowOff>152400</xdr:rowOff>
    </xdr:to>
    <xdr:sp macro="" textlink="">
      <xdr:nvSpPr>
        <xdr:cNvPr id="337" name="90"/>
        <xdr:cNvSpPr/>
      </xdr:nvSpPr>
      <xdr:spPr>
        <a:xfrm>
          <a:off x="37419643" y="19526250"/>
          <a:ext cx="13635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93</xdr:row>
      <xdr:rowOff>95250</xdr:rowOff>
    </xdr:from>
    <xdr:to>
      <xdr:col>49</xdr:col>
      <xdr:colOff>81643</xdr:colOff>
      <xdr:row>93</xdr:row>
      <xdr:rowOff>95250</xdr:rowOff>
    </xdr:to>
    <xdr:cxnSp macro="">
      <xdr:nvCxnSpPr>
        <xdr:cNvPr id="338" name="직선 화살표 연결선 337"/>
        <xdr:cNvCxnSpPr/>
      </xdr:nvCxnSpPr>
      <xdr:spPr>
        <a:xfrm>
          <a:off x="37419643" y="19583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92</xdr:row>
      <xdr:rowOff>38100</xdr:rowOff>
    </xdr:from>
    <xdr:to>
      <xdr:col>58</xdr:col>
      <xdr:colOff>21681</xdr:colOff>
      <xdr:row>92</xdr:row>
      <xdr:rowOff>152400</xdr:rowOff>
    </xdr:to>
    <xdr:sp macro="" textlink="">
      <xdr:nvSpPr>
        <xdr:cNvPr id="339" name="89"/>
        <xdr:cNvSpPr/>
      </xdr:nvSpPr>
      <xdr:spPr>
        <a:xfrm>
          <a:off x="30602465" y="19316700"/>
          <a:ext cx="13615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92</xdr:row>
      <xdr:rowOff>95250</xdr:rowOff>
    </xdr:from>
    <xdr:to>
      <xdr:col>40</xdr:col>
      <xdr:colOff>122465</xdr:colOff>
      <xdr:row>92</xdr:row>
      <xdr:rowOff>95250</xdr:rowOff>
    </xdr:to>
    <xdr:cxnSp macro="">
      <xdr:nvCxnSpPr>
        <xdr:cNvPr id="340" name="직선 화살표 연결선 339"/>
        <xdr:cNvCxnSpPr/>
      </xdr:nvCxnSpPr>
      <xdr:spPr>
        <a:xfrm>
          <a:off x="30602465" y="19373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91</xdr:row>
      <xdr:rowOff>38100</xdr:rowOff>
    </xdr:from>
    <xdr:to>
      <xdr:col>60</xdr:col>
      <xdr:colOff>62502</xdr:colOff>
      <xdr:row>91</xdr:row>
      <xdr:rowOff>152400</xdr:rowOff>
    </xdr:to>
    <xdr:sp macro="" textlink="">
      <xdr:nvSpPr>
        <xdr:cNvPr id="341" name="88"/>
        <xdr:cNvSpPr/>
      </xdr:nvSpPr>
      <xdr:spPr>
        <a:xfrm>
          <a:off x="25969232" y="19107150"/>
          <a:ext cx="1981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91</xdr:row>
      <xdr:rowOff>95250</xdr:rowOff>
    </xdr:from>
    <xdr:to>
      <xdr:col>34</xdr:col>
      <xdr:colOff>61232</xdr:colOff>
      <xdr:row>91</xdr:row>
      <xdr:rowOff>95250</xdr:rowOff>
    </xdr:to>
    <xdr:cxnSp macro="">
      <xdr:nvCxnSpPr>
        <xdr:cNvPr id="342" name="직선 화살표 연결선 341"/>
        <xdr:cNvCxnSpPr/>
      </xdr:nvCxnSpPr>
      <xdr:spPr>
        <a:xfrm>
          <a:off x="25969232" y="19164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90</xdr:row>
      <xdr:rowOff>38100</xdr:rowOff>
    </xdr:from>
    <xdr:to>
      <xdr:col>75</xdr:col>
      <xdr:colOff>103324</xdr:colOff>
      <xdr:row>90</xdr:row>
      <xdr:rowOff>152400</xdr:rowOff>
    </xdr:to>
    <xdr:sp macro="" textlink="">
      <xdr:nvSpPr>
        <xdr:cNvPr id="343" name="87"/>
        <xdr:cNvSpPr/>
      </xdr:nvSpPr>
      <xdr:spPr>
        <a:xfrm>
          <a:off x="25969232" y="1889760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90</xdr:row>
      <xdr:rowOff>95250</xdr:rowOff>
    </xdr:from>
    <xdr:to>
      <xdr:col>34</xdr:col>
      <xdr:colOff>61232</xdr:colOff>
      <xdr:row>90</xdr:row>
      <xdr:rowOff>95250</xdr:rowOff>
    </xdr:to>
    <xdr:cxnSp macro="">
      <xdr:nvCxnSpPr>
        <xdr:cNvPr id="344" name="직선 화살표 연결선 343"/>
        <xdr:cNvCxnSpPr/>
      </xdr:nvCxnSpPr>
      <xdr:spPr>
        <a:xfrm>
          <a:off x="25969232" y="18954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89</xdr:row>
      <xdr:rowOff>38100</xdr:rowOff>
    </xdr:from>
    <xdr:to>
      <xdr:col>75</xdr:col>
      <xdr:colOff>103324</xdr:colOff>
      <xdr:row>89</xdr:row>
      <xdr:rowOff>152400</xdr:rowOff>
    </xdr:to>
    <xdr:sp macro="" textlink="">
      <xdr:nvSpPr>
        <xdr:cNvPr id="345" name="86"/>
        <xdr:cNvSpPr/>
      </xdr:nvSpPr>
      <xdr:spPr>
        <a:xfrm>
          <a:off x="44236822" y="18688050"/>
          <a:ext cx="13016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89</xdr:row>
      <xdr:rowOff>95250</xdr:rowOff>
    </xdr:from>
    <xdr:to>
      <xdr:col>58</xdr:col>
      <xdr:colOff>40822</xdr:colOff>
      <xdr:row>89</xdr:row>
      <xdr:rowOff>95250</xdr:rowOff>
    </xdr:to>
    <xdr:cxnSp macro="">
      <xdr:nvCxnSpPr>
        <xdr:cNvPr id="346" name="직선 화살표 연결선 345"/>
        <xdr:cNvCxnSpPr/>
      </xdr:nvCxnSpPr>
      <xdr:spPr>
        <a:xfrm>
          <a:off x="44236822" y="18745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88</xdr:row>
      <xdr:rowOff>38100</xdr:rowOff>
    </xdr:from>
    <xdr:to>
      <xdr:col>67</xdr:col>
      <xdr:colOff>1270</xdr:colOff>
      <xdr:row>88</xdr:row>
      <xdr:rowOff>152400</xdr:rowOff>
    </xdr:to>
    <xdr:sp macro="" textlink="">
      <xdr:nvSpPr>
        <xdr:cNvPr id="347" name="85"/>
        <xdr:cNvSpPr/>
      </xdr:nvSpPr>
      <xdr:spPr>
        <a:xfrm>
          <a:off x="37419643" y="18478500"/>
          <a:ext cx="13635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88</xdr:row>
      <xdr:rowOff>95250</xdr:rowOff>
    </xdr:from>
    <xdr:to>
      <xdr:col>49</xdr:col>
      <xdr:colOff>81643</xdr:colOff>
      <xdr:row>88</xdr:row>
      <xdr:rowOff>95250</xdr:rowOff>
    </xdr:to>
    <xdr:cxnSp macro="">
      <xdr:nvCxnSpPr>
        <xdr:cNvPr id="348" name="직선 화살표 연결선 347"/>
        <xdr:cNvCxnSpPr/>
      </xdr:nvCxnSpPr>
      <xdr:spPr>
        <a:xfrm>
          <a:off x="37419643" y="18535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87</xdr:row>
      <xdr:rowOff>38100</xdr:rowOff>
    </xdr:from>
    <xdr:to>
      <xdr:col>58</xdr:col>
      <xdr:colOff>21681</xdr:colOff>
      <xdr:row>87</xdr:row>
      <xdr:rowOff>152400</xdr:rowOff>
    </xdr:to>
    <xdr:sp macro="" textlink="">
      <xdr:nvSpPr>
        <xdr:cNvPr id="349" name="84"/>
        <xdr:cNvSpPr/>
      </xdr:nvSpPr>
      <xdr:spPr>
        <a:xfrm>
          <a:off x="30602465" y="18268950"/>
          <a:ext cx="13615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87</xdr:row>
      <xdr:rowOff>95250</xdr:rowOff>
    </xdr:from>
    <xdr:to>
      <xdr:col>40</xdr:col>
      <xdr:colOff>122465</xdr:colOff>
      <xdr:row>87</xdr:row>
      <xdr:rowOff>95250</xdr:rowOff>
    </xdr:to>
    <xdr:cxnSp macro="">
      <xdr:nvCxnSpPr>
        <xdr:cNvPr id="350" name="직선 화살표 연결선 349"/>
        <xdr:cNvCxnSpPr/>
      </xdr:nvCxnSpPr>
      <xdr:spPr>
        <a:xfrm>
          <a:off x="30602465" y="18326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86</xdr:row>
      <xdr:rowOff>38100</xdr:rowOff>
    </xdr:from>
    <xdr:to>
      <xdr:col>60</xdr:col>
      <xdr:colOff>62502</xdr:colOff>
      <xdr:row>86</xdr:row>
      <xdr:rowOff>152400</xdr:rowOff>
    </xdr:to>
    <xdr:sp macro="" textlink="">
      <xdr:nvSpPr>
        <xdr:cNvPr id="351" name="83"/>
        <xdr:cNvSpPr/>
      </xdr:nvSpPr>
      <xdr:spPr>
        <a:xfrm>
          <a:off x="25969232" y="18059400"/>
          <a:ext cx="1981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86</xdr:row>
      <xdr:rowOff>95250</xdr:rowOff>
    </xdr:from>
    <xdr:to>
      <xdr:col>34</xdr:col>
      <xdr:colOff>61232</xdr:colOff>
      <xdr:row>86</xdr:row>
      <xdr:rowOff>95250</xdr:rowOff>
    </xdr:to>
    <xdr:cxnSp macro="">
      <xdr:nvCxnSpPr>
        <xdr:cNvPr id="352" name="직선 화살표 연결선 351"/>
        <xdr:cNvCxnSpPr/>
      </xdr:nvCxnSpPr>
      <xdr:spPr>
        <a:xfrm>
          <a:off x="25969232" y="18116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85</xdr:row>
      <xdr:rowOff>38100</xdr:rowOff>
    </xdr:from>
    <xdr:to>
      <xdr:col>75</xdr:col>
      <xdr:colOff>103324</xdr:colOff>
      <xdr:row>85</xdr:row>
      <xdr:rowOff>152400</xdr:rowOff>
    </xdr:to>
    <xdr:sp macro="" textlink="">
      <xdr:nvSpPr>
        <xdr:cNvPr id="353" name="82"/>
        <xdr:cNvSpPr/>
      </xdr:nvSpPr>
      <xdr:spPr>
        <a:xfrm>
          <a:off x="25969232" y="1784985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85</xdr:row>
      <xdr:rowOff>95250</xdr:rowOff>
    </xdr:from>
    <xdr:to>
      <xdr:col>34</xdr:col>
      <xdr:colOff>61232</xdr:colOff>
      <xdr:row>85</xdr:row>
      <xdr:rowOff>95250</xdr:rowOff>
    </xdr:to>
    <xdr:cxnSp macro="">
      <xdr:nvCxnSpPr>
        <xdr:cNvPr id="354" name="직선 화살표 연결선 353"/>
        <xdr:cNvCxnSpPr/>
      </xdr:nvCxnSpPr>
      <xdr:spPr>
        <a:xfrm>
          <a:off x="25969232" y="17907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84</xdr:row>
      <xdr:rowOff>38100</xdr:rowOff>
    </xdr:from>
    <xdr:to>
      <xdr:col>75</xdr:col>
      <xdr:colOff>103324</xdr:colOff>
      <xdr:row>84</xdr:row>
      <xdr:rowOff>152400</xdr:rowOff>
    </xdr:to>
    <xdr:sp macro="" textlink="">
      <xdr:nvSpPr>
        <xdr:cNvPr id="355" name="81"/>
        <xdr:cNvSpPr/>
      </xdr:nvSpPr>
      <xdr:spPr>
        <a:xfrm>
          <a:off x="44236822" y="17640300"/>
          <a:ext cx="13016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84</xdr:row>
      <xdr:rowOff>95250</xdr:rowOff>
    </xdr:from>
    <xdr:to>
      <xdr:col>58</xdr:col>
      <xdr:colOff>40822</xdr:colOff>
      <xdr:row>84</xdr:row>
      <xdr:rowOff>95250</xdr:rowOff>
    </xdr:to>
    <xdr:cxnSp macro="">
      <xdr:nvCxnSpPr>
        <xdr:cNvPr id="356" name="직선 화살표 연결선 355"/>
        <xdr:cNvCxnSpPr/>
      </xdr:nvCxnSpPr>
      <xdr:spPr>
        <a:xfrm>
          <a:off x="44236822" y="17697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83</xdr:row>
      <xdr:rowOff>38100</xdr:rowOff>
    </xdr:from>
    <xdr:to>
      <xdr:col>67</xdr:col>
      <xdr:colOff>1270</xdr:colOff>
      <xdr:row>83</xdr:row>
      <xdr:rowOff>152400</xdr:rowOff>
    </xdr:to>
    <xdr:sp macro="" textlink="">
      <xdr:nvSpPr>
        <xdr:cNvPr id="357" name="80"/>
        <xdr:cNvSpPr/>
      </xdr:nvSpPr>
      <xdr:spPr>
        <a:xfrm>
          <a:off x="37419643" y="17430750"/>
          <a:ext cx="13635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83</xdr:row>
      <xdr:rowOff>95250</xdr:rowOff>
    </xdr:from>
    <xdr:to>
      <xdr:col>49</xdr:col>
      <xdr:colOff>81643</xdr:colOff>
      <xdr:row>83</xdr:row>
      <xdr:rowOff>95250</xdr:rowOff>
    </xdr:to>
    <xdr:cxnSp macro="">
      <xdr:nvCxnSpPr>
        <xdr:cNvPr id="358" name="직선 화살표 연결선 357"/>
        <xdr:cNvCxnSpPr/>
      </xdr:nvCxnSpPr>
      <xdr:spPr>
        <a:xfrm>
          <a:off x="37419643" y="17487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82</xdr:row>
      <xdr:rowOff>38100</xdr:rowOff>
    </xdr:from>
    <xdr:to>
      <xdr:col>58</xdr:col>
      <xdr:colOff>21681</xdr:colOff>
      <xdr:row>82</xdr:row>
      <xdr:rowOff>152400</xdr:rowOff>
    </xdr:to>
    <xdr:sp macro="" textlink="">
      <xdr:nvSpPr>
        <xdr:cNvPr id="359" name="79"/>
        <xdr:cNvSpPr/>
      </xdr:nvSpPr>
      <xdr:spPr>
        <a:xfrm>
          <a:off x="30602465" y="17221200"/>
          <a:ext cx="13615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82</xdr:row>
      <xdr:rowOff>95250</xdr:rowOff>
    </xdr:from>
    <xdr:to>
      <xdr:col>40</xdr:col>
      <xdr:colOff>122465</xdr:colOff>
      <xdr:row>82</xdr:row>
      <xdr:rowOff>95250</xdr:rowOff>
    </xdr:to>
    <xdr:cxnSp macro="">
      <xdr:nvCxnSpPr>
        <xdr:cNvPr id="360" name="직선 화살표 연결선 359"/>
        <xdr:cNvCxnSpPr/>
      </xdr:nvCxnSpPr>
      <xdr:spPr>
        <a:xfrm>
          <a:off x="30602465" y="17278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81</xdr:row>
      <xdr:rowOff>38100</xdr:rowOff>
    </xdr:from>
    <xdr:to>
      <xdr:col>60</xdr:col>
      <xdr:colOff>62502</xdr:colOff>
      <xdr:row>81</xdr:row>
      <xdr:rowOff>152400</xdr:rowOff>
    </xdr:to>
    <xdr:sp macro="" textlink="">
      <xdr:nvSpPr>
        <xdr:cNvPr id="361" name="78"/>
        <xdr:cNvSpPr/>
      </xdr:nvSpPr>
      <xdr:spPr>
        <a:xfrm>
          <a:off x="25969232" y="17011650"/>
          <a:ext cx="1981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81</xdr:row>
      <xdr:rowOff>95250</xdr:rowOff>
    </xdr:from>
    <xdr:to>
      <xdr:col>34</xdr:col>
      <xdr:colOff>61232</xdr:colOff>
      <xdr:row>81</xdr:row>
      <xdr:rowOff>95250</xdr:rowOff>
    </xdr:to>
    <xdr:cxnSp macro="">
      <xdr:nvCxnSpPr>
        <xdr:cNvPr id="362" name="직선 화살표 연결선 361"/>
        <xdr:cNvCxnSpPr/>
      </xdr:nvCxnSpPr>
      <xdr:spPr>
        <a:xfrm>
          <a:off x="25969232" y="170688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80</xdr:row>
      <xdr:rowOff>38100</xdr:rowOff>
    </xdr:from>
    <xdr:to>
      <xdr:col>75</xdr:col>
      <xdr:colOff>103324</xdr:colOff>
      <xdr:row>80</xdr:row>
      <xdr:rowOff>152400</xdr:rowOff>
    </xdr:to>
    <xdr:sp macro="" textlink="">
      <xdr:nvSpPr>
        <xdr:cNvPr id="363" name="77"/>
        <xdr:cNvSpPr/>
      </xdr:nvSpPr>
      <xdr:spPr>
        <a:xfrm>
          <a:off x="25969232" y="1680210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80</xdr:row>
      <xdr:rowOff>95250</xdr:rowOff>
    </xdr:from>
    <xdr:to>
      <xdr:col>34</xdr:col>
      <xdr:colOff>61232</xdr:colOff>
      <xdr:row>80</xdr:row>
      <xdr:rowOff>95250</xdr:rowOff>
    </xdr:to>
    <xdr:cxnSp macro="">
      <xdr:nvCxnSpPr>
        <xdr:cNvPr id="364" name="직선 화살표 연결선 363"/>
        <xdr:cNvCxnSpPr/>
      </xdr:nvCxnSpPr>
      <xdr:spPr>
        <a:xfrm>
          <a:off x="25969232" y="168592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79</xdr:row>
      <xdr:rowOff>38100</xdr:rowOff>
    </xdr:from>
    <xdr:to>
      <xdr:col>75</xdr:col>
      <xdr:colOff>103324</xdr:colOff>
      <xdr:row>79</xdr:row>
      <xdr:rowOff>152400</xdr:rowOff>
    </xdr:to>
    <xdr:sp macro="" textlink="">
      <xdr:nvSpPr>
        <xdr:cNvPr id="365" name="76"/>
        <xdr:cNvSpPr/>
      </xdr:nvSpPr>
      <xdr:spPr>
        <a:xfrm>
          <a:off x="44236822" y="16592550"/>
          <a:ext cx="13016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79</xdr:row>
      <xdr:rowOff>95250</xdr:rowOff>
    </xdr:from>
    <xdr:to>
      <xdr:col>58</xdr:col>
      <xdr:colOff>40822</xdr:colOff>
      <xdr:row>79</xdr:row>
      <xdr:rowOff>95250</xdr:rowOff>
    </xdr:to>
    <xdr:cxnSp macro="">
      <xdr:nvCxnSpPr>
        <xdr:cNvPr id="366" name="직선 화살표 연결선 365"/>
        <xdr:cNvCxnSpPr/>
      </xdr:nvCxnSpPr>
      <xdr:spPr>
        <a:xfrm>
          <a:off x="44236822" y="16649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78</xdr:row>
      <xdr:rowOff>38100</xdr:rowOff>
    </xdr:from>
    <xdr:to>
      <xdr:col>67</xdr:col>
      <xdr:colOff>1270</xdr:colOff>
      <xdr:row>78</xdr:row>
      <xdr:rowOff>152400</xdr:rowOff>
    </xdr:to>
    <xdr:sp macro="" textlink="">
      <xdr:nvSpPr>
        <xdr:cNvPr id="367" name="75"/>
        <xdr:cNvSpPr/>
      </xdr:nvSpPr>
      <xdr:spPr>
        <a:xfrm>
          <a:off x="37419643" y="16383000"/>
          <a:ext cx="13635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78</xdr:row>
      <xdr:rowOff>95250</xdr:rowOff>
    </xdr:from>
    <xdr:to>
      <xdr:col>49</xdr:col>
      <xdr:colOff>81643</xdr:colOff>
      <xdr:row>78</xdr:row>
      <xdr:rowOff>95250</xdr:rowOff>
    </xdr:to>
    <xdr:cxnSp macro="">
      <xdr:nvCxnSpPr>
        <xdr:cNvPr id="368" name="직선 화살표 연결선 367"/>
        <xdr:cNvCxnSpPr/>
      </xdr:nvCxnSpPr>
      <xdr:spPr>
        <a:xfrm>
          <a:off x="37419643" y="16440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77</xdr:row>
      <xdr:rowOff>38100</xdr:rowOff>
    </xdr:from>
    <xdr:to>
      <xdr:col>58</xdr:col>
      <xdr:colOff>21681</xdr:colOff>
      <xdr:row>77</xdr:row>
      <xdr:rowOff>152400</xdr:rowOff>
    </xdr:to>
    <xdr:sp macro="" textlink="">
      <xdr:nvSpPr>
        <xdr:cNvPr id="369" name="74"/>
        <xdr:cNvSpPr/>
      </xdr:nvSpPr>
      <xdr:spPr>
        <a:xfrm>
          <a:off x="30602465" y="16173450"/>
          <a:ext cx="13615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77</xdr:row>
      <xdr:rowOff>95250</xdr:rowOff>
    </xdr:from>
    <xdr:to>
      <xdr:col>40</xdr:col>
      <xdr:colOff>122465</xdr:colOff>
      <xdr:row>77</xdr:row>
      <xdr:rowOff>95250</xdr:rowOff>
    </xdr:to>
    <xdr:cxnSp macro="">
      <xdr:nvCxnSpPr>
        <xdr:cNvPr id="370" name="직선 화살표 연결선 369"/>
        <xdr:cNvCxnSpPr/>
      </xdr:nvCxnSpPr>
      <xdr:spPr>
        <a:xfrm>
          <a:off x="30602465" y="16230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76</xdr:row>
      <xdr:rowOff>38100</xdr:rowOff>
    </xdr:from>
    <xdr:to>
      <xdr:col>60</xdr:col>
      <xdr:colOff>62502</xdr:colOff>
      <xdr:row>76</xdr:row>
      <xdr:rowOff>152400</xdr:rowOff>
    </xdr:to>
    <xdr:sp macro="" textlink="">
      <xdr:nvSpPr>
        <xdr:cNvPr id="371" name="73"/>
        <xdr:cNvSpPr/>
      </xdr:nvSpPr>
      <xdr:spPr>
        <a:xfrm>
          <a:off x="25969232" y="15963900"/>
          <a:ext cx="1981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76</xdr:row>
      <xdr:rowOff>95250</xdr:rowOff>
    </xdr:from>
    <xdr:to>
      <xdr:col>34</xdr:col>
      <xdr:colOff>61232</xdr:colOff>
      <xdr:row>76</xdr:row>
      <xdr:rowOff>95250</xdr:rowOff>
    </xdr:to>
    <xdr:cxnSp macro="">
      <xdr:nvCxnSpPr>
        <xdr:cNvPr id="372" name="직선 화살표 연결선 371"/>
        <xdr:cNvCxnSpPr/>
      </xdr:nvCxnSpPr>
      <xdr:spPr>
        <a:xfrm>
          <a:off x="25969232" y="16021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75</xdr:row>
      <xdr:rowOff>38100</xdr:rowOff>
    </xdr:from>
    <xdr:to>
      <xdr:col>75</xdr:col>
      <xdr:colOff>103324</xdr:colOff>
      <xdr:row>75</xdr:row>
      <xdr:rowOff>152400</xdr:rowOff>
    </xdr:to>
    <xdr:sp macro="" textlink="">
      <xdr:nvSpPr>
        <xdr:cNvPr id="373" name="72"/>
        <xdr:cNvSpPr/>
      </xdr:nvSpPr>
      <xdr:spPr>
        <a:xfrm>
          <a:off x="25969232" y="1575435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75</xdr:row>
      <xdr:rowOff>95250</xdr:rowOff>
    </xdr:from>
    <xdr:to>
      <xdr:col>34</xdr:col>
      <xdr:colOff>61232</xdr:colOff>
      <xdr:row>75</xdr:row>
      <xdr:rowOff>95250</xdr:rowOff>
    </xdr:to>
    <xdr:cxnSp macro="">
      <xdr:nvCxnSpPr>
        <xdr:cNvPr id="374" name="직선 화살표 연결선 373"/>
        <xdr:cNvCxnSpPr/>
      </xdr:nvCxnSpPr>
      <xdr:spPr>
        <a:xfrm>
          <a:off x="25969232" y="15811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74</xdr:row>
      <xdr:rowOff>38100</xdr:rowOff>
    </xdr:from>
    <xdr:to>
      <xdr:col>75</xdr:col>
      <xdr:colOff>103324</xdr:colOff>
      <xdr:row>74</xdr:row>
      <xdr:rowOff>152400</xdr:rowOff>
    </xdr:to>
    <xdr:sp macro="" textlink="">
      <xdr:nvSpPr>
        <xdr:cNvPr id="375" name="71"/>
        <xdr:cNvSpPr/>
      </xdr:nvSpPr>
      <xdr:spPr>
        <a:xfrm>
          <a:off x="44236822" y="15544800"/>
          <a:ext cx="13016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74</xdr:row>
      <xdr:rowOff>95250</xdr:rowOff>
    </xdr:from>
    <xdr:to>
      <xdr:col>58</xdr:col>
      <xdr:colOff>40822</xdr:colOff>
      <xdr:row>74</xdr:row>
      <xdr:rowOff>95250</xdr:rowOff>
    </xdr:to>
    <xdr:cxnSp macro="">
      <xdr:nvCxnSpPr>
        <xdr:cNvPr id="376" name="직선 화살표 연결선 375"/>
        <xdr:cNvCxnSpPr/>
      </xdr:nvCxnSpPr>
      <xdr:spPr>
        <a:xfrm>
          <a:off x="44236822" y="15601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73</xdr:row>
      <xdr:rowOff>38100</xdr:rowOff>
    </xdr:from>
    <xdr:to>
      <xdr:col>67</xdr:col>
      <xdr:colOff>1270</xdr:colOff>
      <xdr:row>73</xdr:row>
      <xdr:rowOff>152400</xdr:rowOff>
    </xdr:to>
    <xdr:sp macro="" textlink="">
      <xdr:nvSpPr>
        <xdr:cNvPr id="377" name="70"/>
        <xdr:cNvSpPr/>
      </xdr:nvSpPr>
      <xdr:spPr>
        <a:xfrm>
          <a:off x="37419643" y="15335250"/>
          <a:ext cx="13635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73</xdr:row>
      <xdr:rowOff>95250</xdr:rowOff>
    </xdr:from>
    <xdr:to>
      <xdr:col>49</xdr:col>
      <xdr:colOff>81643</xdr:colOff>
      <xdr:row>73</xdr:row>
      <xdr:rowOff>95250</xdr:rowOff>
    </xdr:to>
    <xdr:cxnSp macro="">
      <xdr:nvCxnSpPr>
        <xdr:cNvPr id="378" name="직선 화살표 연결선 377"/>
        <xdr:cNvCxnSpPr/>
      </xdr:nvCxnSpPr>
      <xdr:spPr>
        <a:xfrm>
          <a:off x="37419643" y="15392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72</xdr:row>
      <xdr:rowOff>38100</xdr:rowOff>
    </xdr:from>
    <xdr:to>
      <xdr:col>58</xdr:col>
      <xdr:colOff>21681</xdr:colOff>
      <xdr:row>72</xdr:row>
      <xdr:rowOff>152400</xdr:rowOff>
    </xdr:to>
    <xdr:sp macro="" textlink="">
      <xdr:nvSpPr>
        <xdr:cNvPr id="379" name="69"/>
        <xdr:cNvSpPr/>
      </xdr:nvSpPr>
      <xdr:spPr>
        <a:xfrm>
          <a:off x="30602465" y="15125700"/>
          <a:ext cx="13615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72</xdr:row>
      <xdr:rowOff>95250</xdr:rowOff>
    </xdr:from>
    <xdr:to>
      <xdr:col>40</xdr:col>
      <xdr:colOff>122465</xdr:colOff>
      <xdr:row>72</xdr:row>
      <xdr:rowOff>95250</xdr:rowOff>
    </xdr:to>
    <xdr:cxnSp macro="">
      <xdr:nvCxnSpPr>
        <xdr:cNvPr id="380" name="직선 화살표 연결선 379"/>
        <xdr:cNvCxnSpPr/>
      </xdr:nvCxnSpPr>
      <xdr:spPr>
        <a:xfrm>
          <a:off x="30602465" y="15182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71</xdr:row>
      <xdr:rowOff>38100</xdr:rowOff>
    </xdr:from>
    <xdr:to>
      <xdr:col>60</xdr:col>
      <xdr:colOff>62502</xdr:colOff>
      <xdr:row>71</xdr:row>
      <xdr:rowOff>152400</xdr:rowOff>
    </xdr:to>
    <xdr:sp macro="" textlink="">
      <xdr:nvSpPr>
        <xdr:cNvPr id="381" name="68"/>
        <xdr:cNvSpPr/>
      </xdr:nvSpPr>
      <xdr:spPr>
        <a:xfrm>
          <a:off x="25969232" y="14916150"/>
          <a:ext cx="1981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71</xdr:row>
      <xdr:rowOff>95250</xdr:rowOff>
    </xdr:from>
    <xdr:to>
      <xdr:col>34</xdr:col>
      <xdr:colOff>61232</xdr:colOff>
      <xdr:row>71</xdr:row>
      <xdr:rowOff>95250</xdr:rowOff>
    </xdr:to>
    <xdr:cxnSp macro="">
      <xdr:nvCxnSpPr>
        <xdr:cNvPr id="382" name="직선 화살표 연결선 381"/>
        <xdr:cNvCxnSpPr/>
      </xdr:nvCxnSpPr>
      <xdr:spPr>
        <a:xfrm>
          <a:off x="25969232" y="14973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70</xdr:row>
      <xdr:rowOff>38100</xdr:rowOff>
    </xdr:from>
    <xdr:to>
      <xdr:col>75</xdr:col>
      <xdr:colOff>103324</xdr:colOff>
      <xdr:row>70</xdr:row>
      <xdr:rowOff>152400</xdr:rowOff>
    </xdr:to>
    <xdr:sp macro="" textlink="">
      <xdr:nvSpPr>
        <xdr:cNvPr id="383" name="67"/>
        <xdr:cNvSpPr/>
      </xdr:nvSpPr>
      <xdr:spPr>
        <a:xfrm>
          <a:off x="25969232" y="1470660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70</xdr:row>
      <xdr:rowOff>95250</xdr:rowOff>
    </xdr:from>
    <xdr:to>
      <xdr:col>34</xdr:col>
      <xdr:colOff>61232</xdr:colOff>
      <xdr:row>70</xdr:row>
      <xdr:rowOff>95250</xdr:rowOff>
    </xdr:to>
    <xdr:cxnSp macro="">
      <xdr:nvCxnSpPr>
        <xdr:cNvPr id="384" name="직선 화살표 연결선 383"/>
        <xdr:cNvCxnSpPr/>
      </xdr:nvCxnSpPr>
      <xdr:spPr>
        <a:xfrm>
          <a:off x="25969232" y="14763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69</xdr:row>
      <xdr:rowOff>38100</xdr:rowOff>
    </xdr:from>
    <xdr:to>
      <xdr:col>75</xdr:col>
      <xdr:colOff>103324</xdr:colOff>
      <xdr:row>69</xdr:row>
      <xdr:rowOff>152400</xdr:rowOff>
    </xdr:to>
    <xdr:sp macro="" textlink="">
      <xdr:nvSpPr>
        <xdr:cNvPr id="385" name="66"/>
        <xdr:cNvSpPr/>
      </xdr:nvSpPr>
      <xdr:spPr>
        <a:xfrm>
          <a:off x="44236822" y="14497050"/>
          <a:ext cx="130165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69</xdr:row>
      <xdr:rowOff>95250</xdr:rowOff>
    </xdr:from>
    <xdr:to>
      <xdr:col>58</xdr:col>
      <xdr:colOff>40822</xdr:colOff>
      <xdr:row>69</xdr:row>
      <xdr:rowOff>95250</xdr:rowOff>
    </xdr:to>
    <xdr:cxnSp macro="">
      <xdr:nvCxnSpPr>
        <xdr:cNvPr id="386" name="직선 화살표 연결선 385"/>
        <xdr:cNvCxnSpPr/>
      </xdr:nvCxnSpPr>
      <xdr:spPr>
        <a:xfrm>
          <a:off x="44236822" y="14554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68</xdr:row>
      <xdr:rowOff>38100</xdr:rowOff>
    </xdr:from>
    <xdr:to>
      <xdr:col>67</xdr:col>
      <xdr:colOff>1270</xdr:colOff>
      <xdr:row>68</xdr:row>
      <xdr:rowOff>152400</xdr:rowOff>
    </xdr:to>
    <xdr:sp macro="" textlink="">
      <xdr:nvSpPr>
        <xdr:cNvPr id="387" name="65"/>
        <xdr:cNvSpPr/>
      </xdr:nvSpPr>
      <xdr:spPr>
        <a:xfrm>
          <a:off x="37419643" y="14287500"/>
          <a:ext cx="13635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68</xdr:row>
      <xdr:rowOff>95250</xdr:rowOff>
    </xdr:from>
    <xdr:to>
      <xdr:col>49</xdr:col>
      <xdr:colOff>81643</xdr:colOff>
      <xdr:row>68</xdr:row>
      <xdr:rowOff>95250</xdr:rowOff>
    </xdr:to>
    <xdr:cxnSp macro="">
      <xdr:nvCxnSpPr>
        <xdr:cNvPr id="388" name="직선 화살표 연결선 387"/>
        <xdr:cNvCxnSpPr/>
      </xdr:nvCxnSpPr>
      <xdr:spPr>
        <a:xfrm>
          <a:off x="37419643" y="14344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67</xdr:row>
      <xdr:rowOff>38100</xdr:rowOff>
    </xdr:from>
    <xdr:to>
      <xdr:col>58</xdr:col>
      <xdr:colOff>21681</xdr:colOff>
      <xdr:row>67</xdr:row>
      <xdr:rowOff>152400</xdr:rowOff>
    </xdr:to>
    <xdr:sp macro="" textlink="">
      <xdr:nvSpPr>
        <xdr:cNvPr id="389" name="64"/>
        <xdr:cNvSpPr/>
      </xdr:nvSpPr>
      <xdr:spPr>
        <a:xfrm>
          <a:off x="30602465" y="14077950"/>
          <a:ext cx="13615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67</xdr:row>
      <xdr:rowOff>95250</xdr:rowOff>
    </xdr:from>
    <xdr:to>
      <xdr:col>40</xdr:col>
      <xdr:colOff>122465</xdr:colOff>
      <xdr:row>67</xdr:row>
      <xdr:rowOff>95250</xdr:rowOff>
    </xdr:to>
    <xdr:cxnSp macro="">
      <xdr:nvCxnSpPr>
        <xdr:cNvPr id="390" name="직선 화살표 연결선 389"/>
        <xdr:cNvCxnSpPr/>
      </xdr:nvCxnSpPr>
      <xdr:spPr>
        <a:xfrm>
          <a:off x="30602465" y="14135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66</xdr:row>
      <xdr:rowOff>38100</xdr:rowOff>
    </xdr:from>
    <xdr:to>
      <xdr:col>60</xdr:col>
      <xdr:colOff>62502</xdr:colOff>
      <xdr:row>66</xdr:row>
      <xdr:rowOff>152400</xdr:rowOff>
    </xdr:to>
    <xdr:sp macro="" textlink="">
      <xdr:nvSpPr>
        <xdr:cNvPr id="391" name="63"/>
        <xdr:cNvSpPr/>
      </xdr:nvSpPr>
      <xdr:spPr>
        <a:xfrm>
          <a:off x="25969232" y="13868400"/>
          <a:ext cx="1981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66</xdr:row>
      <xdr:rowOff>95250</xdr:rowOff>
    </xdr:from>
    <xdr:to>
      <xdr:col>34</xdr:col>
      <xdr:colOff>61232</xdr:colOff>
      <xdr:row>66</xdr:row>
      <xdr:rowOff>95250</xdr:rowOff>
    </xdr:to>
    <xdr:cxnSp macro="">
      <xdr:nvCxnSpPr>
        <xdr:cNvPr id="392" name="직선 화살표 연결선 391"/>
        <xdr:cNvCxnSpPr/>
      </xdr:nvCxnSpPr>
      <xdr:spPr>
        <a:xfrm>
          <a:off x="25969232" y="13925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65</xdr:row>
      <xdr:rowOff>38100</xdr:rowOff>
    </xdr:from>
    <xdr:to>
      <xdr:col>75</xdr:col>
      <xdr:colOff>103324</xdr:colOff>
      <xdr:row>65</xdr:row>
      <xdr:rowOff>152400</xdr:rowOff>
    </xdr:to>
    <xdr:sp macro="" textlink="">
      <xdr:nvSpPr>
        <xdr:cNvPr id="393" name="62"/>
        <xdr:cNvSpPr/>
      </xdr:nvSpPr>
      <xdr:spPr>
        <a:xfrm>
          <a:off x="25969232" y="1365885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65</xdr:row>
      <xdr:rowOff>95250</xdr:rowOff>
    </xdr:from>
    <xdr:to>
      <xdr:col>34</xdr:col>
      <xdr:colOff>61232</xdr:colOff>
      <xdr:row>65</xdr:row>
      <xdr:rowOff>95250</xdr:rowOff>
    </xdr:to>
    <xdr:cxnSp macro="">
      <xdr:nvCxnSpPr>
        <xdr:cNvPr id="394" name="직선 화살표 연결선 393"/>
        <xdr:cNvCxnSpPr/>
      </xdr:nvCxnSpPr>
      <xdr:spPr>
        <a:xfrm>
          <a:off x="25969232" y="13716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64</xdr:row>
      <xdr:rowOff>38100</xdr:rowOff>
    </xdr:from>
    <xdr:to>
      <xdr:col>75</xdr:col>
      <xdr:colOff>103324</xdr:colOff>
      <xdr:row>64</xdr:row>
      <xdr:rowOff>152400</xdr:rowOff>
    </xdr:to>
    <xdr:sp macro="" textlink="">
      <xdr:nvSpPr>
        <xdr:cNvPr id="395" name="61"/>
        <xdr:cNvSpPr/>
      </xdr:nvSpPr>
      <xdr:spPr>
        <a:xfrm>
          <a:off x="25969232" y="1344930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64</xdr:row>
      <xdr:rowOff>95250</xdr:rowOff>
    </xdr:from>
    <xdr:to>
      <xdr:col>34</xdr:col>
      <xdr:colOff>61232</xdr:colOff>
      <xdr:row>64</xdr:row>
      <xdr:rowOff>95250</xdr:rowOff>
    </xdr:to>
    <xdr:cxnSp macro="">
      <xdr:nvCxnSpPr>
        <xdr:cNvPr id="396" name="직선 화살표 연결선 395"/>
        <xdr:cNvCxnSpPr/>
      </xdr:nvCxnSpPr>
      <xdr:spPr>
        <a:xfrm>
          <a:off x="25969232" y="13506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63</xdr:row>
      <xdr:rowOff>38100</xdr:rowOff>
    </xdr:from>
    <xdr:to>
      <xdr:col>67</xdr:col>
      <xdr:colOff>1270</xdr:colOff>
      <xdr:row>63</xdr:row>
      <xdr:rowOff>152400</xdr:rowOff>
    </xdr:to>
    <xdr:sp macro="" textlink="">
      <xdr:nvSpPr>
        <xdr:cNvPr id="397" name="60"/>
        <xdr:cNvSpPr/>
      </xdr:nvSpPr>
      <xdr:spPr>
        <a:xfrm>
          <a:off x="44236822" y="13239750"/>
          <a:ext cx="68184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63</xdr:row>
      <xdr:rowOff>95250</xdr:rowOff>
    </xdr:from>
    <xdr:to>
      <xdr:col>58</xdr:col>
      <xdr:colOff>40822</xdr:colOff>
      <xdr:row>63</xdr:row>
      <xdr:rowOff>95250</xdr:rowOff>
    </xdr:to>
    <xdr:cxnSp macro="">
      <xdr:nvCxnSpPr>
        <xdr:cNvPr id="398" name="직선 화살표 연결선 397"/>
        <xdr:cNvCxnSpPr/>
      </xdr:nvCxnSpPr>
      <xdr:spPr>
        <a:xfrm>
          <a:off x="44236822" y="13296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62</xdr:row>
      <xdr:rowOff>38100</xdr:rowOff>
    </xdr:from>
    <xdr:to>
      <xdr:col>67</xdr:col>
      <xdr:colOff>1270</xdr:colOff>
      <xdr:row>62</xdr:row>
      <xdr:rowOff>152400</xdr:rowOff>
    </xdr:to>
    <xdr:sp macro="" textlink="">
      <xdr:nvSpPr>
        <xdr:cNvPr id="399" name="59"/>
        <xdr:cNvSpPr/>
      </xdr:nvSpPr>
      <xdr:spPr>
        <a:xfrm>
          <a:off x="44236822" y="13030200"/>
          <a:ext cx="68184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62</xdr:row>
      <xdr:rowOff>95250</xdr:rowOff>
    </xdr:from>
    <xdr:to>
      <xdr:col>58</xdr:col>
      <xdr:colOff>40822</xdr:colOff>
      <xdr:row>62</xdr:row>
      <xdr:rowOff>95250</xdr:rowOff>
    </xdr:to>
    <xdr:cxnSp macro="">
      <xdr:nvCxnSpPr>
        <xdr:cNvPr id="400" name="직선 화살표 연결선 399"/>
        <xdr:cNvCxnSpPr/>
      </xdr:nvCxnSpPr>
      <xdr:spPr>
        <a:xfrm>
          <a:off x="44236822" y="13087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61</xdr:row>
      <xdr:rowOff>38100</xdr:rowOff>
    </xdr:from>
    <xdr:to>
      <xdr:col>62</xdr:col>
      <xdr:colOff>82913</xdr:colOff>
      <xdr:row>61</xdr:row>
      <xdr:rowOff>152400</xdr:rowOff>
    </xdr:to>
    <xdr:sp macro="" textlink="">
      <xdr:nvSpPr>
        <xdr:cNvPr id="401" name="58"/>
        <xdr:cNvSpPr/>
      </xdr:nvSpPr>
      <xdr:spPr>
        <a:xfrm>
          <a:off x="35834410" y="12820650"/>
          <a:ext cx="114925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61</xdr:row>
      <xdr:rowOff>95250</xdr:rowOff>
    </xdr:from>
    <xdr:to>
      <xdr:col>47</xdr:col>
      <xdr:colOff>20410</xdr:colOff>
      <xdr:row>61</xdr:row>
      <xdr:rowOff>95250</xdr:rowOff>
    </xdr:to>
    <xdr:cxnSp macro="">
      <xdr:nvCxnSpPr>
        <xdr:cNvPr id="402" name="직선 화살표 연결선 401"/>
        <xdr:cNvCxnSpPr/>
      </xdr:nvCxnSpPr>
      <xdr:spPr>
        <a:xfrm>
          <a:off x="35834410" y="128778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60</xdr:row>
      <xdr:rowOff>38100</xdr:rowOff>
    </xdr:from>
    <xdr:to>
      <xdr:col>58</xdr:col>
      <xdr:colOff>21681</xdr:colOff>
      <xdr:row>60</xdr:row>
      <xdr:rowOff>152400</xdr:rowOff>
    </xdr:to>
    <xdr:sp macro="" textlink="">
      <xdr:nvSpPr>
        <xdr:cNvPr id="403" name="57"/>
        <xdr:cNvSpPr/>
      </xdr:nvSpPr>
      <xdr:spPr>
        <a:xfrm>
          <a:off x="32126465" y="12611100"/>
          <a:ext cx="12091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60</xdr:row>
      <xdr:rowOff>95250</xdr:rowOff>
    </xdr:from>
    <xdr:to>
      <xdr:col>42</xdr:col>
      <xdr:colOff>122465</xdr:colOff>
      <xdr:row>60</xdr:row>
      <xdr:rowOff>95250</xdr:rowOff>
    </xdr:to>
    <xdr:cxnSp macro="">
      <xdr:nvCxnSpPr>
        <xdr:cNvPr id="404" name="직선 화살표 연결선 403"/>
        <xdr:cNvCxnSpPr/>
      </xdr:nvCxnSpPr>
      <xdr:spPr>
        <a:xfrm>
          <a:off x="32126465" y="126682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59</xdr:row>
      <xdr:rowOff>38100</xdr:rowOff>
    </xdr:from>
    <xdr:to>
      <xdr:col>62</xdr:col>
      <xdr:colOff>82913</xdr:colOff>
      <xdr:row>59</xdr:row>
      <xdr:rowOff>152400</xdr:rowOff>
    </xdr:to>
    <xdr:sp macro="" textlink="">
      <xdr:nvSpPr>
        <xdr:cNvPr id="405" name="56"/>
        <xdr:cNvSpPr/>
      </xdr:nvSpPr>
      <xdr:spPr>
        <a:xfrm>
          <a:off x="32126465" y="12401550"/>
          <a:ext cx="152004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59</xdr:row>
      <xdr:rowOff>95250</xdr:rowOff>
    </xdr:from>
    <xdr:to>
      <xdr:col>42</xdr:col>
      <xdr:colOff>122465</xdr:colOff>
      <xdr:row>59</xdr:row>
      <xdr:rowOff>95250</xdr:rowOff>
    </xdr:to>
    <xdr:cxnSp macro="">
      <xdr:nvCxnSpPr>
        <xdr:cNvPr id="406" name="직선 화살표 연결선 405"/>
        <xdr:cNvCxnSpPr/>
      </xdr:nvCxnSpPr>
      <xdr:spPr>
        <a:xfrm>
          <a:off x="32126465" y="12458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58</xdr:row>
      <xdr:rowOff>38100</xdr:rowOff>
    </xdr:from>
    <xdr:to>
      <xdr:col>62</xdr:col>
      <xdr:colOff>82913</xdr:colOff>
      <xdr:row>58</xdr:row>
      <xdr:rowOff>152400</xdr:rowOff>
    </xdr:to>
    <xdr:sp macro="" textlink="">
      <xdr:nvSpPr>
        <xdr:cNvPr id="407" name="55"/>
        <xdr:cNvSpPr/>
      </xdr:nvSpPr>
      <xdr:spPr>
        <a:xfrm>
          <a:off x="35834410" y="12192000"/>
          <a:ext cx="114925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58</xdr:row>
      <xdr:rowOff>95250</xdr:rowOff>
    </xdr:from>
    <xdr:to>
      <xdr:col>47</xdr:col>
      <xdr:colOff>20410</xdr:colOff>
      <xdr:row>58</xdr:row>
      <xdr:rowOff>95250</xdr:rowOff>
    </xdr:to>
    <xdr:cxnSp macro="">
      <xdr:nvCxnSpPr>
        <xdr:cNvPr id="408" name="직선 화살표 연결선 407"/>
        <xdr:cNvCxnSpPr/>
      </xdr:nvCxnSpPr>
      <xdr:spPr>
        <a:xfrm>
          <a:off x="35834410" y="12249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57</xdr:row>
      <xdr:rowOff>38100</xdr:rowOff>
    </xdr:from>
    <xdr:to>
      <xdr:col>58</xdr:col>
      <xdr:colOff>21681</xdr:colOff>
      <xdr:row>57</xdr:row>
      <xdr:rowOff>152400</xdr:rowOff>
    </xdr:to>
    <xdr:sp macro="" textlink="">
      <xdr:nvSpPr>
        <xdr:cNvPr id="409" name="54"/>
        <xdr:cNvSpPr/>
      </xdr:nvSpPr>
      <xdr:spPr>
        <a:xfrm>
          <a:off x="32126465" y="11982450"/>
          <a:ext cx="12091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57</xdr:row>
      <xdr:rowOff>95250</xdr:rowOff>
    </xdr:from>
    <xdr:to>
      <xdr:col>42</xdr:col>
      <xdr:colOff>122465</xdr:colOff>
      <xdr:row>57</xdr:row>
      <xdr:rowOff>95250</xdr:rowOff>
    </xdr:to>
    <xdr:cxnSp macro="">
      <xdr:nvCxnSpPr>
        <xdr:cNvPr id="410" name="직선 화살표 연결선 409"/>
        <xdr:cNvCxnSpPr/>
      </xdr:nvCxnSpPr>
      <xdr:spPr>
        <a:xfrm>
          <a:off x="32126465" y="12039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56</xdr:row>
      <xdr:rowOff>38100</xdr:rowOff>
    </xdr:from>
    <xdr:to>
      <xdr:col>62</xdr:col>
      <xdr:colOff>82913</xdr:colOff>
      <xdr:row>56</xdr:row>
      <xdr:rowOff>152400</xdr:rowOff>
    </xdr:to>
    <xdr:sp macro="" textlink="">
      <xdr:nvSpPr>
        <xdr:cNvPr id="411" name="53"/>
        <xdr:cNvSpPr/>
      </xdr:nvSpPr>
      <xdr:spPr>
        <a:xfrm>
          <a:off x="32126465" y="11772900"/>
          <a:ext cx="152004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56</xdr:row>
      <xdr:rowOff>95250</xdr:rowOff>
    </xdr:from>
    <xdr:to>
      <xdr:col>42</xdr:col>
      <xdr:colOff>122465</xdr:colOff>
      <xdr:row>56</xdr:row>
      <xdr:rowOff>95250</xdr:rowOff>
    </xdr:to>
    <xdr:cxnSp macro="">
      <xdr:nvCxnSpPr>
        <xdr:cNvPr id="412" name="직선 화살표 연결선 411"/>
        <xdr:cNvCxnSpPr/>
      </xdr:nvCxnSpPr>
      <xdr:spPr>
        <a:xfrm>
          <a:off x="32126465" y="11830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55</xdr:row>
      <xdr:rowOff>38100</xdr:rowOff>
    </xdr:from>
    <xdr:to>
      <xdr:col>62</xdr:col>
      <xdr:colOff>82913</xdr:colOff>
      <xdr:row>55</xdr:row>
      <xdr:rowOff>152400</xdr:rowOff>
    </xdr:to>
    <xdr:sp macro="" textlink="">
      <xdr:nvSpPr>
        <xdr:cNvPr id="413" name="52"/>
        <xdr:cNvSpPr/>
      </xdr:nvSpPr>
      <xdr:spPr>
        <a:xfrm>
          <a:off x="35834410" y="11563350"/>
          <a:ext cx="114925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55</xdr:row>
      <xdr:rowOff>95250</xdr:rowOff>
    </xdr:from>
    <xdr:to>
      <xdr:col>47</xdr:col>
      <xdr:colOff>20410</xdr:colOff>
      <xdr:row>55</xdr:row>
      <xdr:rowOff>95250</xdr:rowOff>
    </xdr:to>
    <xdr:cxnSp macro="">
      <xdr:nvCxnSpPr>
        <xdr:cNvPr id="414" name="직선 화살표 연결선 413"/>
        <xdr:cNvCxnSpPr/>
      </xdr:nvCxnSpPr>
      <xdr:spPr>
        <a:xfrm>
          <a:off x="35834410" y="11620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54</xdr:row>
      <xdr:rowOff>38100</xdr:rowOff>
    </xdr:from>
    <xdr:to>
      <xdr:col>58</xdr:col>
      <xdr:colOff>21681</xdr:colOff>
      <xdr:row>54</xdr:row>
      <xdr:rowOff>152400</xdr:rowOff>
    </xdr:to>
    <xdr:sp macro="" textlink="">
      <xdr:nvSpPr>
        <xdr:cNvPr id="415" name="51"/>
        <xdr:cNvSpPr/>
      </xdr:nvSpPr>
      <xdr:spPr>
        <a:xfrm>
          <a:off x="32126465" y="11353800"/>
          <a:ext cx="12091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54</xdr:row>
      <xdr:rowOff>95250</xdr:rowOff>
    </xdr:from>
    <xdr:to>
      <xdr:col>42</xdr:col>
      <xdr:colOff>122465</xdr:colOff>
      <xdr:row>54</xdr:row>
      <xdr:rowOff>95250</xdr:rowOff>
    </xdr:to>
    <xdr:cxnSp macro="">
      <xdr:nvCxnSpPr>
        <xdr:cNvPr id="416" name="직선 화살표 연결선 415"/>
        <xdr:cNvCxnSpPr/>
      </xdr:nvCxnSpPr>
      <xdr:spPr>
        <a:xfrm>
          <a:off x="32126465" y="11410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53</xdr:row>
      <xdr:rowOff>38100</xdr:rowOff>
    </xdr:from>
    <xdr:to>
      <xdr:col>62</xdr:col>
      <xdr:colOff>82913</xdr:colOff>
      <xdr:row>53</xdr:row>
      <xdr:rowOff>152400</xdr:rowOff>
    </xdr:to>
    <xdr:sp macro="" textlink="">
      <xdr:nvSpPr>
        <xdr:cNvPr id="417" name="50"/>
        <xdr:cNvSpPr/>
      </xdr:nvSpPr>
      <xdr:spPr>
        <a:xfrm>
          <a:off x="32126465" y="11144250"/>
          <a:ext cx="152004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53</xdr:row>
      <xdr:rowOff>95250</xdr:rowOff>
    </xdr:from>
    <xdr:to>
      <xdr:col>42</xdr:col>
      <xdr:colOff>122465</xdr:colOff>
      <xdr:row>53</xdr:row>
      <xdr:rowOff>95250</xdr:rowOff>
    </xdr:to>
    <xdr:cxnSp macro="">
      <xdr:nvCxnSpPr>
        <xdr:cNvPr id="418" name="직선 화살표 연결선 417"/>
        <xdr:cNvCxnSpPr/>
      </xdr:nvCxnSpPr>
      <xdr:spPr>
        <a:xfrm>
          <a:off x="32126465" y="11201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52</xdr:row>
      <xdr:rowOff>38100</xdr:rowOff>
    </xdr:from>
    <xdr:to>
      <xdr:col>67</xdr:col>
      <xdr:colOff>1270</xdr:colOff>
      <xdr:row>52</xdr:row>
      <xdr:rowOff>152400</xdr:rowOff>
    </xdr:to>
    <xdr:sp macro="" textlink="">
      <xdr:nvSpPr>
        <xdr:cNvPr id="419" name="49"/>
        <xdr:cNvSpPr/>
      </xdr:nvSpPr>
      <xdr:spPr>
        <a:xfrm>
          <a:off x="44236822" y="10934700"/>
          <a:ext cx="68184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52</xdr:row>
      <xdr:rowOff>95250</xdr:rowOff>
    </xdr:from>
    <xdr:to>
      <xdr:col>58</xdr:col>
      <xdr:colOff>40822</xdr:colOff>
      <xdr:row>52</xdr:row>
      <xdr:rowOff>95250</xdr:rowOff>
    </xdr:to>
    <xdr:cxnSp macro="">
      <xdr:nvCxnSpPr>
        <xdr:cNvPr id="420" name="직선 화살표 연결선 419"/>
        <xdr:cNvCxnSpPr/>
      </xdr:nvCxnSpPr>
      <xdr:spPr>
        <a:xfrm>
          <a:off x="44236822" y="10991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51</xdr:row>
      <xdr:rowOff>38100</xdr:rowOff>
    </xdr:from>
    <xdr:to>
      <xdr:col>67</xdr:col>
      <xdr:colOff>1270</xdr:colOff>
      <xdr:row>51</xdr:row>
      <xdr:rowOff>152400</xdr:rowOff>
    </xdr:to>
    <xdr:sp macro="" textlink="">
      <xdr:nvSpPr>
        <xdr:cNvPr id="421" name="48"/>
        <xdr:cNvSpPr/>
      </xdr:nvSpPr>
      <xdr:spPr>
        <a:xfrm>
          <a:off x="44236822" y="10725150"/>
          <a:ext cx="68184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51</xdr:row>
      <xdr:rowOff>95250</xdr:rowOff>
    </xdr:from>
    <xdr:to>
      <xdr:col>58</xdr:col>
      <xdr:colOff>40822</xdr:colOff>
      <xdr:row>51</xdr:row>
      <xdr:rowOff>95250</xdr:rowOff>
    </xdr:to>
    <xdr:cxnSp macro="">
      <xdr:nvCxnSpPr>
        <xdr:cNvPr id="422" name="직선 화살표 연결선 421"/>
        <xdr:cNvCxnSpPr/>
      </xdr:nvCxnSpPr>
      <xdr:spPr>
        <a:xfrm>
          <a:off x="44236822" y="10782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50</xdr:row>
      <xdr:rowOff>38100</xdr:rowOff>
    </xdr:from>
    <xdr:to>
      <xdr:col>62</xdr:col>
      <xdr:colOff>82913</xdr:colOff>
      <xdr:row>50</xdr:row>
      <xdr:rowOff>152400</xdr:rowOff>
    </xdr:to>
    <xdr:sp macro="" textlink="">
      <xdr:nvSpPr>
        <xdr:cNvPr id="423" name="47"/>
        <xdr:cNvSpPr/>
      </xdr:nvSpPr>
      <xdr:spPr>
        <a:xfrm>
          <a:off x="35834410" y="10515600"/>
          <a:ext cx="114925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50</xdr:row>
      <xdr:rowOff>95250</xdr:rowOff>
    </xdr:from>
    <xdr:to>
      <xdr:col>47</xdr:col>
      <xdr:colOff>20410</xdr:colOff>
      <xdr:row>50</xdr:row>
      <xdr:rowOff>95250</xdr:rowOff>
    </xdr:to>
    <xdr:cxnSp macro="">
      <xdr:nvCxnSpPr>
        <xdr:cNvPr id="424" name="직선 화살표 연결선 423"/>
        <xdr:cNvCxnSpPr/>
      </xdr:nvCxnSpPr>
      <xdr:spPr>
        <a:xfrm>
          <a:off x="35834410" y="10572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49</xdr:row>
      <xdr:rowOff>38100</xdr:rowOff>
    </xdr:from>
    <xdr:to>
      <xdr:col>58</xdr:col>
      <xdr:colOff>21681</xdr:colOff>
      <xdr:row>49</xdr:row>
      <xdr:rowOff>152400</xdr:rowOff>
    </xdr:to>
    <xdr:sp macro="" textlink="">
      <xdr:nvSpPr>
        <xdr:cNvPr id="425" name="46"/>
        <xdr:cNvSpPr/>
      </xdr:nvSpPr>
      <xdr:spPr>
        <a:xfrm>
          <a:off x="32126465" y="10306050"/>
          <a:ext cx="12091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49</xdr:row>
      <xdr:rowOff>95250</xdr:rowOff>
    </xdr:from>
    <xdr:to>
      <xdr:col>42</xdr:col>
      <xdr:colOff>122465</xdr:colOff>
      <xdr:row>49</xdr:row>
      <xdr:rowOff>95250</xdr:rowOff>
    </xdr:to>
    <xdr:cxnSp macro="">
      <xdr:nvCxnSpPr>
        <xdr:cNvPr id="426" name="직선 화살표 연결선 425"/>
        <xdr:cNvCxnSpPr/>
      </xdr:nvCxnSpPr>
      <xdr:spPr>
        <a:xfrm>
          <a:off x="32126465" y="10363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48</xdr:row>
      <xdr:rowOff>38100</xdr:rowOff>
    </xdr:from>
    <xdr:to>
      <xdr:col>62</xdr:col>
      <xdr:colOff>82913</xdr:colOff>
      <xdr:row>48</xdr:row>
      <xdr:rowOff>152400</xdr:rowOff>
    </xdr:to>
    <xdr:sp macro="" textlink="">
      <xdr:nvSpPr>
        <xdr:cNvPr id="427" name="45"/>
        <xdr:cNvSpPr/>
      </xdr:nvSpPr>
      <xdr:spPr>
        <a:xfrm>
          <a:off x="32126465" y="10096500"/>
          <a:ext cx="152004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48</xdr:row>
      <xdr:rowOff>95250</xdr:rowOff>
    </xdr:from>
    <xdr:to>
      <xdr:col>42</xdr:col>
      <xdr:colOff>122465</xdr:colOff>
      <xdr:row>48</xdr:row>
      <xdr:rowOff>95250</xdr:rowOff>
    </xdr:to>
    <xdr:cxnSp macro="">
      <xdr:nvCxnSpPr>
        <xdr:cNvPr id="428" name="직선 화살표 연결선 427"/>
        <xdr:cNvCxnSpPr/>
      </xdr:nvCxnSpPr>
      <xdr:spPr>
        <a:xfrm>
          <a:off x="32126465" y="10153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47</xdr:row>
      <xdr:rowOff>38100</xdr:rowOff>
    </xdr:from>
    <xdr:to>
      <xdr:col>62</xdr:col>
      <xdr:colOff>82913</xdr:colOff>
      <xdr:row>47</xdr:row>
      <xdr:rowOff>152400</xdr:rowOff>
    </xdr:to>
    <xdr:sp macro="" textlink="">
      <xdr:nvSpPr>
        <xdr:cNvPr id="429" name="44"/>
        <xdr:cNvSpPr/>
      </xdr:nvSpPr>
      <xdr:spPr>
        <a:xfrm>
          <a:off x="35834410" y="9886950"/>
          <a:ext cx="114925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47</xdr:row>
      <xdr:rowOff>95250</xdr:rowOff>
    </xdr:from>
    <xdr:to>
      <xdr:col>47</xdr:col>
      <xdr:colOff>20410</xdr:colOff>
      <xdr:row>47</xdr:row>
      <xdr:rowOff>95250</xdr:rowOff>
    </xdr:to>
    <xdr:cxnSp macro="">
      <xdr:nvCxnSpPr>
        <xdr:cNvPr id="430" name="직선 화살표 연결선 429"/>
        <xdr:cNvCxnSpPr/>
      </xdr:nvCxnSpPr>
      <xdr:spPr>
        <a:xfrm>
          <a:off x="35834410" y="9944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46</xdr:row>
      <xdr:rowOff>38100</xdr:rowOff>
    </xdr:from>
    <xdr:to>
      <xdr:col>58</xdr:col>
      <xdr:colOff>21681</xdr:colOff>
      <xdr:row>46</xdr:row>
      <xdr:rowOff>152400</xdr:rowOff>
    </xdr:to>
    <xdr:sp macro="" textlink="">
      <xdr:nvSpPr>
        <xdr:cNvPr id="431" name="43"/>
        <xdr:cNvSpPr/>
      </xdr:nvSpPr>
      <xdr:spPr>
        <a:xfrm>
          <a:off x="32126465" y="9677400"/>
          <a:ext cx="12091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46</xdr:row>
      <xdr:rowOff>95250</xdr:rowOff>
    </xdr:from>
    <xdr:to>
      <xdr:col>42</xdr:col>
      <xdr:colOff>122465</xdr:colOff>
      <xdr:row>46</xdr:row>
      <xdr:rowOff>95250</xdr:rowOff>
    </xdr:to>
    <xdr:cxnSp macro="">
      <xdr:nvCxnSpPr>
        <xdr:cNvPr id="432" name="직선 화살표 연결선 431"/>
        <xdr:cNvCxnSpPr/>
      </xdr:nvCxnSpPr>
      <xdr:spPr>
        <a:xfrm>
          <a:off x="32126465" y="9734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45</xdr:row>
      <xdr:rowOff>38100</xdr:rowOff>
    </xdr:from>
    <xdr:to>
      <xdr:col>62</xdr:col>
      <xdr:colOff>82913</xdr:colOff>
      <xdr:row>45</xdr:row>
      <xdr:rowOff>152400</xdr:rowOff>
    </xdr:to>
    <xdr:sp macro="" textlink="">
      <xdr:nvSpPr>
        <xdr:cNvPr id="433" name="42"/>
        <xdr:cNvSpPr/>
      </xdr:nvSpPr>
      <xdr:spPr>
        <a:xfrm>
          <a:off x="32126465" y="9467850"/>
          <a:ext cx="152004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45</xdr:row>
      <xdr:rowOff>95250</xdr:rowOff>
    </xdr:from>
    <xdr:to>
      <xdr:col>42</xdr:col>
      <xdr:colOff>122465</xdr:colOff>
      <xdr:row>45</xdr:row>
      <xdr:rowOff>95250</xdr:rowOff>
    </xdr:to>
    <xdr:cxnSp macro="">
      <xdr:nvCxnSpPr>
        <xdr:cNvPr id="434" name="직선 화살표 연결선 433"/>
        <xdr:cNvCxnSpPr/>
      </xdr:nvCxnSpPr>
      <xdr:spPr>
        <a:xfrm>
          <a:off x="32126465" y="9525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44</xdr:row>
      <xdr:rowOff>38100</xdr:rowOff>
    </xdr:from>
    <xdr:to>
      <xdr:col>62</xdr:col>
      <xdr:colOff>82913</xdr:colOff>
      <xdr:row>44</xdr:row>
      <xdr:rowOff>152400</xdr:rowOff>
    </xdr:to>
    <xdr:sp macro="" textlink="">
      <xdr:nvSpPr>
        <xdr:cNvPr id="435" name="41"/>
        <xdr:cNvSpPr/>
      </xdr:nvSpPr>
      <xdr:spPr>
        <a:xfrm>
          <a:off x="35834410" y="9258300"/>
          <a:ext cx="114925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44</xdr:row>
      <xdr:rowOff>95250</xdr:rowOff>
    </xdr:from>
    <xdr:to>
      <xdr:col>47</xdr:col>
      <xdr:colOff>20410</xdr:colOff>
      <xdr:row>44</xdr:row>
      <xdr:rowOff>95250</xdr:rowOff>
    </xdr:to>
    <xdr:cxnSp macro="">
      <xdr:nvCxnSpPr>
        <xdr:cNvPr id="436" name="직선 화살표 연결선 435"/>
        <xdr:cNvCxnSpPr/>
      </xdr:nvCxnSpPr>
      <xdr:spPr>
        <a:xfrm>
          <a:off x="35834410" y="9315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43</xdr:row>
      <xdr:rowOff>38100</xdr:rowOff>
    </xdr:from>
    <xdr:to>
      <xdr:col>58</xdr:col>
      <xdr:colOff>21681</xdr:colOff>
      <xdr:row>43</xdr:row>
      <xdr:rowOff>152400</xdr:rowOff>
    </xdr:to>
    <xdr:sp macro="" textlink="">
      <xdr:nvSpPr>
        <xdr:cNvPr id="437" name="40"/>
        <xdr:cNvSpPr/>
      </xdr:nvSpPr>
      <xdr:spPr>
        <a:xfrm>
          <a:off x="32126465" y="9048750"/>
          <a:ext cx="120912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43</xdr:row>
      <xdr:rowOff>95250</xdr:rowOff>
    </xdr:from>
    <xdr:to>
      <xdr:col>42</xdr:col>
      <xdr:colOff>122465</xdr:colOff>
      <xdr:row>43</xdr:row>
      <xdr:rowOff>95250</xdr:rowOff>
    </xdr:to>
    <xdr:cxnSp macro="">
      <xdr:nvCxnSpPr>
        <xdr:cNvPr id="438" name="직선 화살표 연결선 437"/>
        <xdr:cNvCxnSpPr/>
      </xdr:nvCxnSpPr>
      <xdr:spPr>
        <a:xfrm>
          <a:off x="32126465" y="9105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42</xdr:row>
      <xdr:rowOff>38100</xdr:rowOff>
    </xdr:from>
    <xdr:to>
      <xdr:col>62</xdr:col>
      <xdr:colOff>82913</xdr:colOff>
      <xdr:row>42</xdr:row>
      <xdr:rowOff>152400</xdr:rowOff>
    </xdr:to>
    <xdr:sp macro="" textlink="">
      <xdr:nvSpPr>
        <xdr:cNvPr id="439" name="39"/>
        <xdr:cNvSpPr/>
      </xdr:nvSpPr>
      <xdr:spPr>
        <a:xfrm>
          <a:off x="32126465" y="8839200"/>
          <a:ext cx="152004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42</xdr:row>
      <xdr:rowOff>95250</xdr:rowOff>
    </xdr:from>
    <xdr:to>
      <xdr:col>42</xdr:col>
      <xdr:colOff>122465</xdr:colOff>
      <xdr:row>42</xdr:row>
      <xdr:rowOff>95250</xdr:rowOff>
    </xdr:to>
    <xdr:cxnSp macro="">
      <xdr:nvCxnSpPr>
        <xdr:cNvPr id="440" name="직선 화살표 연결선 439"/>
        <xdr:cNvCxnSpPr/>
      </xdr:nvCxnSpPr>
      <xdr:spPr>
        <a:xfrm>
          <a:off x="32126465" y="8896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41</xdr:row>
      <xdr:rowOff>38100</xdr:rowOff>
    </xdr:from>
    <xdr:to>
      <xdr:col>60</xdr:col>
      <xdr:colOff>62502</xdr:colOff>
      <xdr:row>41</xdr:row>
      <xdr:rowOff>152400</xdr:rowOff>
    </xdr:to>
    <xdr:sp macro="" textlink="">
      <xdr:nvSpPr>
        <xdr:cNvPr id="441" name="38"/>
        <xdr:cNvSpPr/>
      </xdr:nvSpPr>
      <xdr:spPr>
        <a:xfrm>
          <a:off x="35834410" y="8629650"/>
          <a:ext cx="99480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41</xdr:row>
      <xdr:rowOff>95250</xdr:rowOff>
    </xdr:from>
    <xdr:to>
      <xdr:col>47</xdr:col>
      <xdr:colOff>20410</xdr:colOff>
      <xdr:row>41</xdr:row>
      <xdr:rowOff>95250</xdr:rowOff>
    </xdr:to>
    <xdr:cxnSp macro="">
      <xdr:nvCxnSpPr>
        <xdr:cNvPr id="442" name="직선 화살표 연결선 441"/>
        <xdr:cNvCxnSpPr/>
      </xdr:nvCxnSpPr>
      <xdr:spPr>
        <a:xfrm>
          <a:off x="35834410" y="86868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40</xdr:row>
      <xdr:rowOff>38100</xdr:rowOff>
    </xdr:from>
    <xdr:to>
      <xdr:col>56</xdr:col>
      <xdr:colOff>1270</xdr:colOff>
      <xdr:row>40</xdr:row>
      <xdr:rowOff>152400</xdr:rowOff>
    </xdr:to>
    <xdr:sp macro="" textlink="">
      <xdr:nvSpPr>
        <xdr:cNvPr id="443" name="37"/>
        <xdr:cNvSpPr/>
      </xdr:nvSpPr>
      <xdr:spPr>
        <a:xfrm>
          <a:off x="32126465" y="8420100"/>
          <a:ext cx="105468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40</xdr:row>
      <xdr:rowOff>95250</xdr:rowOff>
    </xdr:from>
    <xdr:to>
      <xdr:col>42</xdr:col>
      <xdr:colOff>122465</xdr:colOff>
      <xdr:row>40</xdr:row>
      <xdr:rowOff>95250</xdr:rowOff>
    </xdr:to>
    <xdr:cxnSp macro="">
      <xdr:nvCxnSpPr>
        <xdr:cNvPr id="444" name="직선 화살표 연결선 443"/>
        <xdr:cNvCxnSpPr/>
      </xdr:nvCxnSpPr>
      <xdr:spPr>
        <a:xfrm>
          <a:off x="32126465" y="84772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39</xdr:row>
      <xdr:rowOff>38100</xdr:rowOff>
    </xdr:from>
    <xdr:to>
      <xdr:col>60</xdr:col>
      <xdr:colOff>62502</xdr:colOff>
      <xdr:row>39</xdr:row>
      <xdr:rowOff>152400</xdr:rowOff>
    </xdr:to>
    <xdr:sp macro="" textlink="">
      <xdr:nvSpPr>
        <xdr:cNvPr id="445" name="36"/>
        <xdr:cNvSpPr/>
      </xdr:nvSpPr>
      <xdr:spPr>
        <a:xfrm>
          <a:off x="32126465" y="8210550"/>
          <a:ext cx="1365603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39</xdr:row>
      <xdr:rowOff>95250</xdr:rowOff>
    </xdr:from>
    <xdr:to>
      <xdr:col>42</xdr:col>
      <xdr:colOff>122465</xdr:colOff>
      <xdr:row>39</xdr:row>
      <xdr:rowOff>95250</xdr:rowOff>
    </xdr:to>
    <xdr:cxnSp macro="">
      <xdr:nvCxnSpPr>
        <xdr:cNvPr id="446" name="직선 화살표 연결선 445"/>
        <xdr:cNvCxnSpPr/>
      </xdr:nvCxnSpPr>
      <xdr:spPr>
        <a:xfrm>
          <a:off x="32126465" y="8267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38</xdr:row>
      <xdr:rowOff>38100</xdr:rowOff>
    </xdr:from>
    <xdr:to>
      <xdr:col>60</xdr:col>
      <xdr:colOff>62502</xdr:colOff>
      <xdr:row>38</xdr:row>
      <xdr:rowOff>152400</xdr:rowOff>
    </xdr:to>
    <xdr:sp macro="" textlink="">
      <xdr:nvSpPr>
        <xdr:cNvPr id="447" name="35"/>
        <xdr:cNvSpPr/>
      </xdr:nvSpPr>
      <xdr:spPr>
        <a:xfrm>
          <a:off x="35834410" y="8001000"/>
          <a:ext cx="99480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38</xdr:row>
      <xdr:rowOff>95250</xdr:rowOff>
    </xdr:from>
    <xdr:to>
      <xdr:col>47</xdr:col>
      <xdr:colOff>20410</xdr:colOff>
      <xdr:row>38</xdr:row>
      <xdr:rowOff>95250</xdr:rowOff>
    </xdr:to>
    <xdr:cxnSp macro="">
      <xdr:nvCxnSpPr>
        <xdr:cNvPr id="448" name="직선 화살표 연결선 447"/>
        <xdr:cNvCxnSpPr/>
      </xdr:nvCxnSpPr>
      <xdr:spPr>
        <a:xfrm>
          <a:off x="35834410" y="8058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37</xdr:row>
      <xdr:rowOff>38100</xdr:rowOff>
    </xdr:from>
    <xdr:to>
      <xdr:col>56</xdr:col>
      <xdr:colOff>1270</xdr:colOff>
      <xdr:row>37</xdr:row>
      <xdr:rowOff>152400</xdr:rowOff>
    </xdr:to>
    <xdr:sp macro="" textlink="">
      <xdr:nvSpPr>
        <xdr:cNvPr id="449" name="34"/>
        <xdr:cNvSpPr/>
      </xdr:nvSpPr>
      <xdr:spPr>
        <a:xfrm>
          <a:off x="32126465" y="7791450"/>
          <a:ext cx="105468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37</xdr:row>
      <xdr:rowOff>95250</xdr:rowOff>
    </xdr:from>
    <xdr:to>
      <xdr:col>42</xdr:col>
      <xdr:colOff>122465</xdr:colOff>
      <xdr:row>37</xdr:row>
      <xdr:rowOff>95250</xdr:rowOff>
    </xdr:to>
    <xdr:cxnSp macro="">
      <xdr:nvCxnSpPr>
        <xdr:cNvPr id="450" name="직선 화살표 연결선 449"/>
        <xdr:cNvCxnSpPr/>
      </xdr:nvCxnSpPr>
      <xdr:spPr>
        <a:xfrm>
          <a:off x="32126465" y="7848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36</xdr:row>
      <xdr:rowOff>38100</xdr:rowOff>
    </xdr:from>
    <xdr:to>
      <xdr:col>60</xdr:col>
      <xdr:colOff>62502</xdr:colOff>
      <xdr:row>36</xdr:row>
      <xdr:rowOff>152400</xdr:rowOff>
    </xdr:to>
    <xdr:sp macro="" textlink="">
      <xdr:nvSpPr>
        <xdr:cNvPr id="451" name="33"/>
        <xdr:cNvSpPr/>
      </xdr:nvSpPr>
      <xdr:spPr>
        <a:xfrm>
          <a:off x="32126465" y="7581900"/>
          <a:ext cx="1365603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36</xdr:row>
      <xdr:rowOff>95250</xdr:rowOff>
    </xdr:from>
    <xdr:to>
      <xdr:col>42</xdr:col>
      <xdr:colOff>122465</xdr:colOff>
      <xdr:row>36</xdr:row>
      <xdr:rowOff>95250</xdr:rowOff>
    </xdr:to>
    <xdr:cxnSp macro="">
      <xdr:nvCxnSpPr>
        <xdr:cNvPr id="452" name="직선 화살표 연결선 451"/>
        <xdr:cNvCxnSpPr/>
      </xdr:nvCxnSpPr>
      <xdr:spPr>
        <a:xfrm>
          <a:off x="32126465" y="76390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20410</xdr:colOff>
      <xdr:row>35</xdr:row>
      <xdr:rowOff>38100</xdr:rowOff>
    </xdr:from>
    <xdr:to>
      <xdr:col>58</xdr:col>
      <xdr:colOff>21681</xdr:colOff>
      <xdr:row>35</xdr:row>
      <xdr:rowOff>152400</xdr:rowOff>
    </xdr:to>
    <xdr:sp macro="" textlink="">
      <xdr:nvSpPr>
        <xdr:cNvPr id="453" name="32"/>
        <xdr:cNvSpPr/>
      </xdr:nvSpPr>
      <xdr:spPr>
        <a:xfrm>
          <a:off x="34310410" y="7372350"/>
          <a:ext cx="99072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20410</xdr:colOff>
      <xdr:row>35</xdr:row>
      <xdr:rowOff>95250</xdr:rowOff>
    </xdr:from>
    <xdr:to>
      <xdr:col>45</xdr:col>
      <xdr:colOff>20410</xdr:colOff>
      <xdr:row>35</xdr:row>
      <xdr:rowOff>95250</xdr:rowOff>
    </xdr:to>
    <xdr:cxnSp macro="">
      <xdr:nvCxnSpPr>
        <xdr:cNvPr id="454" name="직선 화살표 연결선 453"/>
        <xdr:cNvCxnSpPr/>
      </xdr:nvCxnSpPr>
      <xdr:spPr>
        <a:xfrm>
          <a:off x="34310410" y="74295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34</xdr:row>
      <xdr:rowOff>38100</xdr:rowOff>
    </xdr:from>
    <xdr:to>
      <xdr:col>53</xdr:col>
      <xdr:colOff>123735</xdr:colOff>
      <xdr:row>34</xdr:row>
      <xdr:rowOff>152400</xdr:rowOff>
    </xdr:to>
    <xdr:sp macro="" textlink="">
      <xdr:nvSpPr>
        <xdr:cNvPr id="455" name="31"/>
        <xdr:cNvSpPr/>
      </xdr:nvSpPr>
      <xdr:spPr>
        <a:xfrm>
          <a:off x="30602465" y="7162800"/>
          <a:ext cx="9907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34</xdr:row>
      <xdr:rowOff>95250</xdr:rowOff>
    </xdr:from>
    <xdr:to>
      <xdr:col>40</xdr:col>
      <xdr:colOff>122465</xdr:colOff>
      <xdr:row>34</xdr:row>
      <xdr:rowOff>95250</xdr:rowOff>
    </xdr:to>
    <xdr:cxnSp macro="">
      <xdr:nvCxnSpPr>
        <xdr:cNvPr id="456" name="직선 화살표 연결선 455"/>
        <xdr:cNvCxnSpPr/>
      </xdr:nvCxnSpPr>
      <xdr:spPr>
        <a:xfrm>
          <a:off x="30602465" y="7219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33</xdr:row>
      <xdr:rowOff>38100</xdr:rowOff>
    </xdr:from>
    <xdr:to>
      <xdr:col>58</xdr:col>
      <xdr:colOff>21681</xdr:colOff>
      <xdr:row>33</xdr:row>
      <xdr:rowOff>152400</xdr:rowOff>
    </xdr:to>
    <xdr:sp macro="" textlink="">
      <xdr:nvSpPr>
        <xdr:cNvPr id="457" name="30"/>
        <xdr:cNvSpPr/>
      </xdr:nvSpPr>
      <xdr:spPr>
        <a:xfrm>
          <a:off x="30602465" y="6953250"/>
          <a:ext cx="1361521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33</xdr:row>
      <xdr:rowOff>95250</xdr:rowOff>
    </xdr:from>
    <xdr:to>
      <xdr:col>40</xdr:col>
      <xdr:colOff>122465</xdr:colOff>
      <xdr:row>33</xdr:row>
      <xdr:rowOff>95250</xdr:rowOff>
    </xdr:to>
    <xdr:cxnSp macro="">
      <xdr:nvCxnSpPr>
        <xdr:cNvPr id="458" name="직선 화살표 연결선 457"/>
        <xdr:cNvCxnSpPr/>
      </xdr:nvCxnSpPr>
      <xdr:spPr>
        <a:xfrm>
          <a:off x="30602465" y="7010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20410</xdr:colOff>
      <xdr:row>32</xdr:row>
      <xdr:rowOff>38100</xdr:rowOff>
    </xdr:from>
    <xdr:to>
      <xdr:col>58</xdr:col>
      <xdr:colOff>21681</xdr:colOff>
      <xdr:row>32</xdr:row>
      <xdr:rowOff>152400</xdr:rowOff>
    </xdr:to>
    <xdr:sp macro="" textlink="">
      <xdr:nvSpPr>
        <xdr:cNvPr id="459" name="29"/>
        <xdr:cNvSpPr/>
      </xdr:nvSpPr>
      <xdr:spPr>
        <a:xfrm>
          <a:off x="34310410" y="6743700"/>
          <a:ext cx="99072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20410</xdr:colOff>
      <xdr:row>32</xdr:row>
      <xdr:rowOff>95250</xdr:rowOff>
    </xdr:from>
    <xdr:to>
      <xdr:col>45</xdr:col>
      <xdr:colOff>20410</xdr:colOff>
      <xdr:row>32</xdr:row>
      <xdr:rowOff>95250</xdr:rowOff>
    </xdr:to>
    <xdr:cxnSp macro="">
      <xdr:nvCxnSpPr>
        <xdr:cNvPr id="460" name="직선 화살표 연결선 459"/>
        <xdr:cNvCxnSpPr/>
      </xdr:nvCxnSpPr>
      <xdr:spPr>
        <a:xfrm>
          <a:off x="34310410" y="68008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31</xdr:row>
      <xdr:rowOff>38100</xdr:rowOff>
    </xdr:from>
    <xdr:to>
      <xdr:col>53</xdr:col>
      <xdr:colOff>123735</xdr:colOff>
      <xdr:row>31</xdr:row>
      <xdr:rowOff>152400</xdr:rowOff>
    </xdr:to>
    <xdr:sp macro="" textlink="">
      <xdr:nvSpPr>
        <xdr:cNvPr id="461" name="28"/>
        <xdr:cNvSpPr/>
      </xdr:nvSpPr>
      <xdr:spPr>
        <a:xfrm>
          <a:off x="30602465" y="6534150"/>
          <a:ext cx="9907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31</xdr:row>
      <xdr:rowOff>95250</xdr:rowOff>
    </xdr:from>
    <xdr:to>
      <xdr:col>40</xdr:col>
      <xdr:colOff>122465</xdr:colOff>
      <xdr:row>31</xdr:row>
      <xdr:rowOff>95250</xdr:rowOff>
    </xdr:to>
    <xdr:cxnSp macro="">
      <xdr:nvCxnSpPr>
        <xdr:cNvPr id="462" name="직선 화살표 연결선 461"/>
        <xdr:cNvCxnSpPr/>
      </xdr:nvCxnSpPr>
      <xdr:spPr>
        <a:xfrm>
          <a:off x="30602465" y="65913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30</xdr:row>
      <xdr:rowOff>38100</xdr:rowOff>
    </xdr:from>
    <xdr:to>
      <xdr:col>58</xdr:col>
      <xdr:colOff>21681</xdr:colOff>
      <xdr:row>30</xdr:row>
      <xdr:rowOff>152400</xdr:rowOff>
    </xdr:to>
    <xdr:sp macro="" textlink="">
      <xdr:nvSpPr>
        <xdr:cNvPr id="463" name="27"/>
        <xdr:cNvSpPr/>
      </xdr:nvSpPr>
      <xdr:spPr>
        <a:xfrm>
          <a:off x="30602465" y="6324600"/>
          <a:ext cx="1361521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30</xdr:row>
      <xdr:rowOff>95250</xdr:rowOff>
    </xdr:from>
    <xdr:to>
      <xdr:col>40</xdr:col>
      <xdr:colOff>122465</xdr:colOff>
      <xdr:row>30</xdr:row>
      <xdr:rowOff>95250</xdr:rowOff>
    </xdr:to>
    <xdr:cxnSp macro="">
      <xdr:nvCxnSpPr>
        <xdr:cNvPr id="464" name="직선 화살표 연결선 463"/>
        <xdr:cNvCxnSpPr/>
      </xdr:nvCxnSpPr>
      <xdr:spPr>
        <a:xfrm>
          <a:off x="30602465" y="6381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29</xdr:row>
      <xdr:rowOff>38100</xdr:rowOff>
    </xdr:from>
    <xdr:to>
      <xdr:col>67</xdr:col>
      <xdr:colOff>1270</xdr:colOff>
      <xdr:row>29</xdr:row>
      <xdr:rowOff>152400</xdr:rowOff>
    </xdr:to>
    <xdr:sp macro="" textlink="">
      <xdr:nvSpPr>
        <xdr:cNvPr id="465" name="26"/>
        <xdr:cNvSpPr/>
      </xdr:nvSpPr>
      <xdr:spPr>
        <a:xfrm>
          <a:off x="30602465" y="6115050"/>
          <a:ext cx="2045280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29</xdr:row>
      <xdr:rowOff>95250</xdr:rowOff>
    </xdr:from>
    <xdr:to>
      <xdr:col>40</xdr:col>
      <xdr:colOff>122465</xdr:colOff>
      <xdr:row>29</xdr:row>
      <xdr:rowOff>95250</xdr:rowOff>
    </xdr:to>
    <xdr:cxnSp macro="">
      <xdr:nvCxnSpPr>
        <xdr:cNvPr id="466" name="직선 화살표 연결선 465"/>
        <xdr:cNvCxnSpPr/>
      </xdr:nvCxnSpPr>
      <xdr:spPr>
        <a:xfrm>
          <a:off x="30602465" y="61722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28</xdr:row>
      <xdr:rowOff>38100</xdr:rowOff>
    </xdr:from>
    <xdr:to>
      <xdr:col>75</xdr:col>
      <xdr:colOff>103324</xdr:colOff>
      <xdr:row>28</xdr:row>
      <xdr:rowOff>152400</xdr:rowOff>
    </xdr:to>
    <xdr:sp macro="" textlink="">
      <xdr:nvSpPr>
        <xdr:cNvPr id="467" name="25"/>
        <xdr:cNvSpPr/>
      </xdr:nvSpPr>
      <xdr:spPr>
        <a:xfrm>
          <a:off x="25969232" y="590550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28</xdr:row>
      <xdr:rowOff>95250</xdr:rowOff>
    </xdr:from>
    <xdr:to>
      <xdr:col>34</xdr:col>
      <xdr:colOff>61232</xdr:colOff>
      <xdr:row>28</xdr:row>
      <xdr:rowOff>95250</xdr:rowOff>
    </xdr:to>
    <xdr:cxnSp macro="">
      <xdr:nvCxnSpPr>
        <xdr:cNvPr id="468" name="직선 화살표 연결선 467"/>
        <xdr:cNvCxnSpPr/>
      </xdr:nvCxnSpPr>
      <xdr:spPr>
        <a:xfrm>
          <a:off x="25969232" y="5962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27</xdr:row>
      <xdr:rowOff>38100</xdr:rowOff>
    </xdr:from>
    <xdr:to>
      <xdr:col>75</xdr:col>
      <xdr:colOff>103324</xdr:colOff>
      <xdr:row>27</xdr:row>
      <xdr:rowOff>152400</xdr:rowOff>
    </xdr:to>
    <xdr:sp macro="" textlink="">
      <xdr:nvSpPr>
        <xdr:cNvPr id="469" name="24"/>
        <xdr:cNvSpPr/>
      </xdr:nvSpPr>
      <xdr:spPr>
        <a:xfrm>
          <a:off x="25969232" y="5695950"/>
          <a:ext cx="312840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27</xdr:row>
      <xdr:rowOff>95250</xdr:rowOff>
    </xdr:from>
    <xdr:to>
      <xdr:col>34</xdr:col>
      <xdr:colOff>61232</xdr:colOff>
      <xdr:row>27</xdr:row>
      <xdr:rowOff>95250</xdr:rowOff>
    </xdr:to>
    <xdr:cxnSp macro="">
      <xdr:nvCxnSpPr>
        <xdr:cNvPr id="470" name="직선 화살표 연결선 469"/>
        <xdr:cNvCxnSpPr/>
      </xdr:nvCxnSpPr>
      <xdr:spPr>
        <a:xfrm>
          <a:off x="25969232" y="57531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26</xdr:row>
      <xdr:rowOff>38100</xdr:rowOff>
    </xdr:from>
    <xdr:to>
      <xdr:col>43</xdr:col>
      <xdr:colOff>1270</xdr:colOff>
      <xdr:row>26</xdr:row>
      <xdr:rowOff>152400</xdr:rowOff>
    </xdr:to>
    <xdr:sp macro="" textlink="">
      <xdr:nvSpPr>
        <xdr:cNvPr id="471" name="23"/>
        <xdr:cNvSpPr/>
      </xdr:nvSpPr>
      <xdr:spPr>
        <a:xfrm>
          <a:off x="30602465" y="5486400"/>
          <a:ext cx="21648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26</xdr:row>
      <xdr:rowOff>95250</xdr:rowOff>
    </xdr:from>
    <xdr:to>
      <xdr:col>40</xdr:col>
      <xdr:colOff>122465</xdr:colOff>
      <xdr:row>26</xdr:row>
      <xdr:rowOff>95250</xdr:rowOff>
    </xdr:to>
    <xdr:cxnSp macro="">
      <xdr:nvCxnSpPr>
        <xdr:cNvPr id="472" name="직선 화살표 연결선 471"/>
        <xdr:cNvCxnSpPr/>
      </xdr:nvCxnSpPr>
      <xdr:spPr>
        <a:xfrm>
          <a:off x="30602465" y="5543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25</xdr:row>
      <xdr:rowOff>38100</xdr:rowOff>
    </xdr:from>
    <xdr:to>
      <xdr:col>43</xdr:col>
      <xdr:colOff>1270</xdr:colOff>
      <xdr:row>25</xdr:row>
      <xdr:rowOff>152400</xdr:rowOff>
    </xdr:to>
    <xdr:sp macro="" textlink="">
      <xdr:nvSpPr>
        <xdr:cNvPr id="473" name="22"/>
        <xdr:cNvSpPr/>
      </xdr:nvSpPr>
      <xdr:spPr>
        <a:xfrm>
          <a:off x="30602465" y="5276850"/>
          <a:ext cx="216480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25</xdr:row>
      <xdr:rowOff>95250</xdr:rowOff>
    </xdr:from>
    <xdr:to>
      <xdr:col>40</xdr:col>
      <xdr:colOff>122465</xdr:colOff>
      <xdr:row>25</xdr:row>
      <xdr:rowOff>95250</xdr:rowOff>
    </xdr:to>
    <xdr:cxnSp macro="">
      <xdr:nvCxnSpPr>
        <xdr:cNvPr id="474" name="직선 화살표 연결선 473"/>
        <xdr:cNvCxnSpPr/>
      </xdr:nvCxnSpPr>
      <xdr:spPr>
        <a:xfrm>
          <a:off x="30602465" y="53340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24</xdr:row>
      <xdr:rowOff>38100</xdr:rowOff>
    </xdr:from>
    <xdr:to>
      <xdr:col>45</xdr:col>
      <xdr:colOff>21680</xdr:colOff>
      <xdr:row>24</xdr:row>
      <xdr:rowOff>152400</xdr:rowOff>
    </xdr:to>
    <xdr:sp macro="" textlink="">
      <xdr:nvSpPr>
        <xdr:cNvPr id="475" name="21"/>
        <xdr:cNvSpPr/>
      </xdr:nvSpPr>
      <xdr:spPr>
        <a:xfrm>
          <a:off x="27493232" y="5067300"/>
          <a:ext cx="68184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24</xdr:row>
      <xdr:rowOff>95250</xdr:rowOff>
    </xdr:from>
    <xdr:to>
      <xdr:col>36</xdr:col>
      <xdr:colOff>61232</xdr:colOff>
      <xdr:row>24</xdr:row>
      <xdr:rowOff>95250</xdr:rowOff>
    </xdr:to>
    <xdr:cxnSp macro="">
      <xdr:nvCxnSpPr>
        <xdr:cNvPr id="476" name="직선 화살표 연결선 475"/>
        <xdr:cNvCxnSpPr/>
      </xdr:nvCxnSpPr>
      <xdr:spPr>
        <a:xfrm>
          <a:off x="27493232" y="51244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23</xdr:row>
      <xdr:rowOff>38100</xdr:rowOff>
    </xdr:from>
    <xdr:to>
      <xdr:col>45</xdr:col>
      <xdr:colOff>21680</xdr:colOff>
      <xdr:row>23</xdr:row>
      <xdr:rowOff>152400</xdr:rowOff>
    </xdr:to>
    <xdr:sp macro="" textlink="">
      <xdr:nvSpPr>
        <xdr:cNvPr id="477" name="20"/>
        <xdr:cNvSpPr/>
      </xdr:nvSpPr>
      <xdr:spPr>
        <a:xfrm>
          <a:off x="27493232" y="4857750"/>
          <a:ext cx="68184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23</xdr:row>
      <xdr:rowOff>95250</xdr:rowOff>
    </xdr:from>
    <xdr:to>
      <xdr:col>36</xdr:col>
      <xdr:colOff>61232</xdr:colOff>
      <xdr:row>23</xdr:row>
      <xdr:rowOff>95250</xdr:rowOff>
    </xdr:to>
    <xdr:cxnSp macro="">
      <xdr:nvCxnSpPr>
        <xdr:cNvPr id="478" name="직선 화살표 연결선 477"/>
        <xdr:cNvCxnSpPr/>
      </xdr:nvCxnSpPr>
      <xdr:spPr>
        <a:xfrm>
          <a:off x="27493232" y="49149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22</xdr:row>
      <xdr:rowOff>38100</xdr:rowOff>
    </xdr:from>
    <xdr:to>
      <xdr:col>36</xdr:col>
      <xdr:colOff>62502</xdr:colOff>
      <xdr:row>22</xdr:row>
      <xdr:rowOff>152400</xdr:rowOff>
    </xdr:to>
    <xdr:sp macro="" textlink="">
      <xdr:nvSpPr>
        <xdr:cNvPr id="479" name="19"/>
        <xdr:cNvSpPr/>
      </xdr:nvSpPr>
      <xdr:spPr>
        <a:xfrm>
          <a:off x="24445232" y="4648200"/>
          <a:ext cx="3049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22</xdr:row>
      <xdr:rowOff>95250</xdr:rowOff>
    </xdr:from>
    <xdr:to>
      <xdr:col>32</xdr:col>
      <xdr:colOff>124097</xdr:colOff>
      <xdr:row>22</xdr:row>
      <xdr:rowOff>95250</xdr:rowOff>
    </xdr:to>
    <xdr:cxnSp macro="">
      <xdr:nvCxnSpPr>
        <xdr:cNvPr id="480" name="직선 화살표 연결선 479"/>
        <xdr:cNvCxnSpPr/>
      </xdr:nvCxnSpPr>
      <xdr:spPr>
        <a:xfrm>
          <a:off x="24445232" y="4705350"/>
          <a:ext cx="6286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21</xdr:row>
      <xdr:rowOff>38100</xdr:rowOff>
    </xdr:from>
    <xdr:to>
      <xdr:col>34</xdr:col>
      <xdr:colOff>82913</xdr:colOff>
      <xdr:row>21</xdr:row>
      <xdr:rowOff>152400</xdr:rowOff>
    </xdr:to>
    <xdr:sp macro="" textlink="">
      <xdr:nvSpPr>
        <xdr:cNvPr id="481" name="18"/>
        <xdr:cNvSpPr/>
      </xdr:nvSpPr>
      <xdr:spPr>
        <a:xfrm>
          <a:off x="24445232" y="4438650"/>
          <a:ext cx="1545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21</xdr:row>
      <xdr:rowOff>95250</xdr:rowOff>
    </xdr:from>
    <xdr:to>
      <xdr:col>32</xdr:col>
      <xdr:colOff>122464</xdr:colOff>
      <xdr:row>21</xdr:row>
      <xdr:rowOff>95250</xdr:rowOff>
    </xdr:to>
    <xdr:cxnSp macro="">
      <xdr:nvCxnSpPr>
        <xdr:cNvPr id="482" name="직선 화살표 연결선 481"/>
        <xdr:cNvCxnSpPr/>
      </xdr:nvCxnSpPr>
      <xdr:spPr>
        <a:xfrm>
          <a:off x="24445232" y="4495800"/>
          <a:ext cx="6123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20</xdr:row>
      <xdr:rowOff>38100</xdr:rowOff>
    </xdr:from>
    <xdr:to>
      <xdr:col>45</xdr:col>
      <xdr:colOff>21681</xdr:colOff>
      <xdr:row>20</xdr:row>
      <xdr:rowOff>152400</xdr:rowOff>
    </xdr:to>
    <xdr:sp macro="" textlink="">
      <xdr:nvSpPr>
        <xdr:cNvPr id="483" name="17"/>
        <xdr:cNvSpPr/>
      </xdr:nvSpPr>
      <xdr:spPr>
        <a:xfrm>
          <a:off x="24445232" y="4229100"/>
          <a:ext cx="98664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20</xdr:row>
      <xdr:rowOff>95250</xdr:rowOff>
    </xdr:from>
    <xdr:to>
      <xdr:col>32</xdr:col>
      <xdr:colOff>128169</xdr:colOff>
      <xdr:row>20</xdr:row>
      <xdr:rowOff>95250</xdr:rowOff>
    </xdr:to>
    <xdr:cxnSp macro="">
      <xdr:nvCxnSpPr>
        <xdr:cNvPr id="484" name="직선 화살표 연결선 483"/>
        <xdr:cNvCxnSpPr/>
      </xdr:nvCxnSpPr>
      <xdr:spPr>
        <a:xfrm>
          <a:off x="24445232" y="4286250"/>
          <a:ext cx="6693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19</xdr:row>
      <xdr:rowOff>38100</xdr:rowOff>
    </xdr:from>
    <xdr:to>
      <xdr:col>45</xdr:col>
      <xdr:colOff>21680</xdr:colOff>
      <xdr:row>19</xdr:row>
      <xdr:rowOff>152400</xdr:rowOff>
    </xdr:to>
    <xdr:sp macro="" textlink="">
      <xdr:nvSpPr>
        <xdr:cNvPr id="485" name="16"/>
        <xdr:cNvSpPr/>
      </xdr:nvSpPr>
      <xdr:spPr>
        <a:xfrm>
          <a:off x="27493232" y="4019550"/>
          <a:ext cx="68184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19</xdr:row>
      <xdr:rowOff>95250</xdr:rowOff>
    </xdr:from>
    <xdr:to>
      <xdr:col>36</xdr:col>
      <xdr:colOff>61232</xdr:colOff>
      <xdr:row>19</xdr:row>
      <xdr:rowOff>95250</xdr:rowOff>
    </xdr:to>
    <xdr:cxnSp macro="">
      <xdr:nvCxnSpPr>
        <xdr:cNvPr id="486" name="직선 화살표 연결선 485"/>
        <xdr:cNvCxnSpPr/>
      </xdr:nvCxnSpPr>
      <xdr:spPr>
        <a:xfrm>
          <a:off x="27493232" y="40767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18</xdr:row>
      <xdr:rowOff>38100</xdr:rowOff>
    </xdr:from>
    <xdr:to>
      <xdr:col>45</xdr:col>
      <xdr:colOff>21680</xdr:colOff>
      <xdr:row>18</xdr:row>
      <xdr:rowOff>152400</xdr:rowOff>
    </xdr:to>
    <xdr:sp macro="" textlink="">
      <xdr:nvSpPr>
        <xdr:cNvPr id="487" name="15"/>
        <xdr:cNvSpPr/>
      </xdr:nvSpPr>
      <xdr:spPr>
        <a:xfrm>
          <a:off x="27493232" y="3810000"/>
          <a:ext cx="68184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18</xdr:row>
      <xdr:rowOff>95250</xdr:rowOff>
    </xdr:from>
    <xdr:to>
      <xdr:col>36</xdr:col>
      <xdr:colOff>61232</xdr:colOff>
      <xdr:row>18</xdr:row>
      <xdr:rowOff>95250</xdr:rowOff>
    </xdr:to>
    <xdr:cxnSp macro="">
      <xdr:nvCxnSpPr>
        <xdr:cNvPr id="488" name="직선 화살표 연결선 487"/>
        <xdr:cNvCxnSpPr/>
      </xdr:nvCxnSpPr>
      <xdr:spPr>
        <a:xfrm>
          <a:off x="27493232" y="3867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17</xdr:row>
      <xdr:rowOff>38100</xdr:rowOff>
    </xdr:from>
    <xdr:to>
      <xdr:col>36</xdr:col>
      <xdr:colOff>62502</xdr:colOff>
      <xdr:row>17</xdr:row>
      <xdr:rowOff>152400</xdr:rowOff>
    </xdr:to>
    <xdr:sp macro="" textlink="">
      <xdr:nvSpPr>
        <xdr:cNvPr id="489" name="14"/>
        <xdr:cNvSpPr/>
      </xdr:nvSpPr>
      <xdr:spPr>
        <a:xfrm>
          <a:off x="24445232" y="3600450"/>
          <a:ext cx="3049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17</xdr:row>
      <xdr:rowOff>95250</xdr:rowOff>
    </xdr:from>
    <xdr:to>
      <xdr:col>32</xdr:col>
      <xdr:colOff>124097</xdr:colOff>
      <xdr:row>17</xdr:row>
      <xdr:rowOff>95250</xdr:rowOff>
    </xdr:to>
    <xdr:cxnSp macro="">
      <xdr:nvCxnSpPr>
        <xdr:cNvPr id="490" name="직선 화살표 연결선 489"/>
        <xdr:cNvCxnSpPr/>
      </xdr:nvCxnSpPr>
      <xdr:spPr>
        <a:xfrm>
          <a:off x="24445232" y="3657600"/>
          <a:ext cx="6286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16</xdr:row>
      <xdr:rowOff>38100</xdr:rowOff>
    </xdr:from>
    <xdr:to>
      <xdr:col>34</xdr:col>
      <xdr:colOff>82913</xdr:colOff>
      <xdr:row>16</xdr:row>
      <xdr:rowOff>152400</xdr:rowOff>
    </xdr:to>
    <xdr:sp macro="" textlink="">
      <xdr:nvSpPr>
        <xdr:cNvPr id="491" name="13"/>
        <xdr:cNvSpPr/>
      </xdr:nvSpPr>
      <xdr:spPr>
        <a:xfrm>
          <a:off x="24445232" y="3390900"/>
          <a:ext cx="1545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16</xdr:row>
      <xdr:rowOff>95250</xdr:rowOff>
    </xdr:from>
    <xdr:to>
      <xdr:col>32</xdr:col>
      <xdr:colOff>122464</xdr:colOff>
      <xdr:row>16</xdr:row>
      <xdr:rowOff>95250</xdr:rowOff>
    </xdr:to>
    <xdr:cxnSp macro="">
      <xdr:nvCxnSpPr>
        <xdr:cNvPr id="492" name="직선 화살표 연결선 491"/>
        <xdr:cNvCxnSpPr/>
      </xdr:nvCxnSpPr>
      <xdr:spPr>
        <a:xfrm>
          <a:off x="24445232" y="3448050"/>
          <a:ext cx="6123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15</xdr:row>
      <xdr:rowOff>38100</xdr:rowOff>
    </xdr:from>
    <xdr:to>
      <xdr:col>45</xdr:col>
      <xdr:colOff>21681</xdr:colOff>
      <xdr:row>15</xdr:row>
      <xdr:rowOff>152400</xdr:rowOff>
    </xdr:to>
    <xdr:sp macro="" textlink="">
      <xdr:nvSpPr>
        <xdr:cNvPr id="493" name="12"/>
        <xdr:cNvSpPr/>
      </xdr:nvSpPr>
      <xdr:spPr>
        <a:xfrm>
          <a:off x="24445232" y="3181350"/>
          <a:ext cx="98664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15</xdr:row>
      <xdr:rowOff>95250</xdr:rowOff>
    </xdr:from>
    <xdr:to>
      <xdr:col>32</xdr:col>
      <xdr:colOff>128169</xdr:colOff>
      <xdr:row>15</xdr:row>
      <xdr:rowOff>95250</xdr:rowOff>
    </xdr:to>
    <xdr:cxnSp macro="">
      <xdr:nvCxnSpPr>
        <xdr:cNvPr id="494" name="직선 화살표 연결선 493"/>
        <xdr:cNvCxnSpPr/>
      </xdr:nvCxnSpPr>
      <xdr:spPr>
        <a:xfrm>
          <a:off x="24445232" y="3238500"/>
          <a:ext cx="6693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14</xdr:row>
      <xdr:rowOff>38100</xdr:rowOff>
    </xdr:from>
    <xdr:to>
      <xdr:col>43</xdr:col>
      <xdr:colOff>1270</xdr:colOff>
      <xdr:row>14</xdr:row>
      <xdr:rowOff>152400</xdr:rowOff>
    </xdr:to>
    <xdr:sp macro="" textlink="">
      <xdr:nvSpPr>
        <xdr:cNvPr id="495" name="11"/>
        <xdr:cNvSpPr/>
      </xdr:nvSpPr>
      <xdr:spPr>
        <a:xfrm>
          <a:off x="30602465" y="2971800"/>
          <a:ext cx="21648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14</xdr:row>
      <xdr:rowOff>95250</xdr:rowOff>
    </xdr:from>
    <xdr:to>
      <xdr:col>40</xdr:col>
      <xdr:colOff>122465</xdr:colOff>
      <xdr:row>14</xdr:row>
      <xdr:rowOff>95250</xdr:rowOff>
    </xdr:to>
    <xdr:cxnSp macro="">
      <xdr:nvCxnSpPr>
        <xdr:cNvPr id="496" name="직선 화살표 연결선 495"/>
        <xdr:cNvCxnSpPr/>
      </xdr:nvCxnSpPr>
      <xdr:spPr>
        <a:xfrm>
          <a:off x="30602465" y="3028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13</xdr:row>
      <xdr:rowOff>38100</xdr:rowOff>
    </xdr:from>
    <xdr:to>
      <xdr:col>36</xdr:col>
      <xdr:colOff>62502</xdr:colOff>
      <xdr:row>13</xdr:row>
      <xdr:rowOff>152400</xdr:rowOff>
    </xdr:to>
    <xdr:sp macro="" textlink="">
      <xdr:nvSpPr>
        <xdr:cNvPr id="497" name="10"/>
        <xdr:cNvSpPr/>
      </xdr:nvSpPr>
      <xdr:spPr>
        <a:xfrm>
          <a:off x="25969232" y="2762250"/>
          <a:ext cx="1525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13</xdr:row>
      <xdr:rowOff>95250</xdr:rowOff>
    </xdr:from>
    <xdr:to>
      <xdr:col>34</xdr:col>
      <xdr:colOff>61232</xdr:colOff>
      <xdr:row>13</xdr:row>
      <xdr:rowOff>95250</xdr:rowOff>
    </xdr:to>
    <xdr:cxnSp macro="">
      <xdr:nvCxnSpPr>
        <xdr:cNvPr id="498" name="직선 화살표 연결선 497"/>
        <xdr:cNvCxnSpPr/>
      </xdr:nvCxnSpPr>
      <xdr:spPr>
        <a:xfrm>
          <a:off x="25969232" y="28194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12</xdr:row>
      <xdr:rowOff>38100</xdr:rowOff>
    </xdr:from>
    <xdr:to>
      <xdr:col>45</xdr:col>
      <xdr:colOff>21681</xdr:colOff>
      <xdr:row>12</xdr:row>
      <xdr:rowOff>152400</xdr:rowOff>
    </xdr:to>
    <xdr:sp macro="" textlink="">
      <xdr:nvSpPr>
        <xdr:cNvPr id="499" name="9"/>
        <xdr:cNvSpPr/>
      </xdr:nvSpPr>
      <xdr:spPr>
        <a:xfrm>
          <a:off x="24445232" y="2552700"/>
          <a:ext cx="98664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12</xdr:row>
      <xdr:rowOff>95250</xdr:rowOff>
    </xdr:from>
    <xdr:to>
      <xdr:col>32</xdr:col>
      <xdr:colOff>122762</xdr:colOff>
      <xdr:row>12</xdr:row>
      <xdr:rowOff>95250</xdr:rowOff>
    </xdr:to>
    <xdr:cxnSp macro="">
      <xdr:nvCxnSpPr>
        <xdr:cNvPr id="500" name="직선 화살표 연결선 499"/>
        <xdr:cNvCxnSpPr/>
      </xdr:nvCxnSpPr>
      <xdr:spPr>
        <a:xfrm>
          <a:off x="24445232" y="2609850"/>
          <a:ext cx="6153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11</xdr:row>
      <xdr:rowOff>38100</xdr:rowOff>
    </xdr:from>
    <xdr:to>
      <xdr:col>43</xdr:col>
      <xdr:colOff>1270</xdr:colOff>
      <xdr:row>11</xdr:row>
      <xdr:rowOff>152400</xdr:rowOff>
    </xdr:to>
    <xdr:sp macro="" textlink="">
      <xdr:nvSpPr>
        <xdr:cNvPr id="501" name="8"/>
        <xdr:cNvSpPr/>
      </xdr:nvSpPr>
      <xdr:spPr>
        <a:xfrm>
          <a:off x="24445232" y="2343150"/>
          <a:ext cx="83220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11</xdr:row>
      <xdr:rowOff>95250</xdr:rowOff>
    </xdr:from>
    <xdr:to>
      <xdr:col>32</xdr:col>
      <xdr:colOff>136751</xdr:colOff>
      <xdr:row>11</xdr:row>
      <xdr:rowOff>95250</xdr:rowOff>
    </xdr:to>
    <xdr:cxnSp macro="">
      <xdr:nvCxnSpPr>
        <xdr:cNvPr id="502" name="직선 화살표 연결선 501"/>
        <xdr:cNvCxnSpPr/>
      </xdr:nvCxnSpPr>
      <xdr:spPr>
        <a:xfrm>
          <a:off x="24445232" y="2400300"/>
          <a:ext cx="7551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10</xdr:row>
      <xdr:rowOff>38100</xdr:rowOff>
    </xdr:from>
    <xdr:to>
      <xdr:col>38</xdr:col>
      <xdr:colOff>82913</xdr:colOff>
      <xdr:row>10</xdr:row>
      <xdr:rowOff>152400</xdr:rowOff>
    </xdr:to>
    <xdr:sp macro="" textlink="">
      <xdr:nvSpPr>
        <xdr:cNvPr id="503" name="7"/>
        <xdr:cNvSpPr/>
      </xdr:nvSpPr>
      <xdr:spPr>
        <a:xfrm>
          <a:off x="24445232" y="2133600"/>
          <a:ext cx="4593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10</xdr:row>
      <xdr:rowOff>95250</xdr:rowOff>
    </xdr:from>
    <xdr:to>
      <xdr:col>32</xdr:col>
      <xdr:colOff>122668</xdr:colOff>
      <xdr:row>10</xdr:row>
      <xdr:rowOff>95250</xdr:rowOff>
    </xdr:to>
    <xdr:cxnSp macro="">
      <xdr:nvCxnSpPr>
        <xdr:cNvPr id="504" name="직선 화살표 연결선 503"/>
        <xdr:cNvCxnSpPr/>
      </xdr:nvCxnSpPr>
      <xdr:spPr>
        <a:xfrm>
          <a:off x="24445232" y="2190750"/>
          <a:ext cx="6143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9</xdr:row>
      <xdr:rowOff>38100</xdr:rowOff>
    </xdr:from>
    <xdr:to>
      <xdr:col>43</xdr:col>
      <xdr:colOff>1270</xdr:colOff>
      <xdr:row>9</xdr:row>
      <xdr:rowOff>152400</xdr:rowOff>
    </xdr:to>
    <xdr:sp macro="" textlink="">
      <xdr:nvSpPr>
        <xdr:cNvPr id="505" name="6"/>
        <xdr:cNvSpPr/>
      </xdr:nvSpPr>
      <xdr:spPr>
        <a:xfrm>
          <a:off x="24445232" y="1924050"/>
          <a:ext cx="83220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9</xdr:row>
      <xdr:rowOff>95250</xdr:rowOff>
    </xdr:from>
    <xdr:to>
      <xdr:col>33</xdr:col>
      <xdr:colOff>4979</xdr:colOff>
      <xdr:row>9</xdr:row>
      <xdr:rowOff>95250</xdr:rowOff>
    </xdr:to>
    <xdr:cxnSp macro="">
      <xdr:nvCxnSpPr>
        <xdr:cNvPr id="506" name="직선 화살표 연결선 505"/>
        <xdr:cNvCxnSpPr/>
      </xdr:nvCxnSpPr>
      <xdr:spPr>
        <a:xfrm>
          <a:off x="24445232" y="1981200"/>
          <a:ext cx="70574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8</xdr:row>
      <xdr:rowOff>38100</xdr:rowOff>
    </xdr:from>
    <xdr:to>
      <xdr:col>42</xdr:col>
      <xdr:colOff>42091</xdr:colOff>
      <xdr:row>8</xdr:row>
      <xdr:rowOff>152400</xdr:rowOff>
    </xdr:to>
    <xdr:sp macro="" textlink="">
      <xdr:nvSpPr>
        <xdr:cNvPr id="507" name="5"/>
        <xdr:cNvSpPr/>
      </xdr:nvSpPr>
      <xdr:spPr>
        <a:xfrm>
          <a:off x="30602465" y="1714500"/>
          <a:ext cx="144362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8</xdr:row>
      <xdr:rowOff>95250</xdr:rowOff>
    </xdr:from>
    <xdr:to>
      <xdr:col>40</xdr:col>
      <xdr:colOff>122465</xdr:colOff>
      <xdr:row>8</xdr:row>
      <xdr:rowOff>95250</xdr:rowOff>
    </xdr:to>
    <xdr:cxnSp macro="">
      <xdr:nvCxnSpPr>
        <xdr:cNvPr id="508" name="직선 화살표 연결선 507"/>
        <xdr:cNvCxnSpPr/>
      </xdr:nvCxnSpPr>
      <xdr:spPr>
        <a:xfrm>
          <a:off x="30602465" y="17716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7</xdr:row>
      <xdr:rowOff>38100</xdr:rowOff>
    </xdr:from>
    <xdr:to>
      <xdr:col>43</xdr:col>
      <xdr:colOff>1270</xdr:colOff>
      <xdr:row>7</xdr:row>
      <xdr:rowOff>152400</xdr:rowOff>
    </xdr:to>
    <xdr:sp macro="" textlink="">
      <xdr:nvSpPr>
        <xdr:cNvPr id="509" name="4"/>
        <xdr:cNvSpPr/>
      </xdr:nvSpPr>
      <xdr:spPr>
        <a:xfrm>
          <a:off x="24445232" y="1504950"/>
          <a:ext cx="83220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7</xdr:row>
      <xdr:rowOff>95250</xdr:rowOff>
    </xdr:from>
    <xdr:to>
      <xdr:col>32</xdr:col>
      <xdr:colOff>141033</xdr:colOff>
      <xdr:row>7</xdr:row>
      <xdr:rowOff>95250</xdr:rowOff>
    </xdr:to>
    <xdr:cxnSp macro="">
      <xdr:nvCxnSpPr>
        <xdr:cNvPr id="510" name="직선 화살표 연결선 509"/>
        <xdr:cNvCxnSpPr/>
      </xdr:nvCxnSpPr>
      <xdr:spPr>
        <a:xfrm>
          <a:off x="24445232" y="1562100"/>
          <a:ext cx="7980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6</xdr:row>
      <xdr:rowOff>38100</xdr:rowOff>
    </xdr:from>
    <xdr:to>
      <xdr:col>36</xdr:col>
      <xdr:colOff>62502</xdr:colOff>
      <xdr:row>6</xdr:row>
      <xdr:rowOff>152400</xdr:rowOff>
    </xdr:to>
    <xdr:sp macro="" textlink="">
      <xdr:nvSpPr>
        <xdr:cNvPr id="511" name="3"/>
        <xdr:cNvSpPr/>
      </xdr:nvSpPr>
      <xdr:spPr>
        <a:xfrm>
          <a:off x="24445232" y="1295400"/>
          <a:ext cx="3049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6</xdr:row>
      <xdr:rowOff>95250</xdr:rowOff>
    </xdr:from>
    <xdr:to>
      <xdr:col>32</xdr:col>
      <xdr:colOff>124097</xdr:colOff>
      <xdr:row>6</xdr:row>
      <xdr:rowOff>95250</xdr:rowOff>
    </xdr:to>
    <xdr:cxnSp macro="">
      <xdr:nvCxnSpPr>
        <xdr:cNvPr id="512" name="직선 화살표 연결선 511"/>
        <xdr:cNvCxnSpPr/>
      </xdr:nvCxnSpPr>
      <xdr:spPr>
        <a:xfrm>
          <a:off x="24445232" y="1352550"/>
          <a:ext cx="6286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5</xdr:row>
      <xdr:rowOff>38100</xdr:rowOff>
    </xdr:from>
    <xdr:to>
      <xdr:col>45</xdr:col>
      <xdr:colOff>21681</xdr:colOff>
      <xdr:row>5</xdr:row>
      <xdr:rowOff>152400</xdr:rowOff>
    </xdr:to>
    <xdr:sp macro="" textlink="">
      <xdr:nvSpPr>
        <xdr:cNvPr id="513" name="2"/>
        <xdr:cNvSpPr/>
      </xdr:nvSpPr>
      <xdr:spPr>
        <a:xfrm>
          <a:off x="24445232" y="1085850"/>
          <a:ext cx="98664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5</xdr:row>
      <xdr:rowOff>95250</xdr:rowOff>
    </xdr:from>
    <xdr:to>
      <xdr:col>32</xdr:col>
      <xdr:colOff>136607</xdr:colOff>
      <xdr:row>5</xdr:row>
      <xdr:rowOff>95250</xdr:rowOff>
    </xdr:to>
    <xdr:cxnSp macro="">
      <xdr:nvCxnSpPr>
        <xdr:cNvPr id="514" name="직선 화살표 연결선 513"/>
        <xdr:cNvCxnSpPr/>
      </xdr:nvCxnSpPr>
      <xdr:spPr>
        <a:xfrm>
          <a:off x="24445232" y="1143000"/>
          <a:ext cx="7537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4</xdr:row>
      <xdr:rowOff>38100</xdr:rowOff>
    </xdr:from>
    <xdr:to>
      <xdr:col>45</xdr:col>
      <xdr:colOff>21681</xdr:colOff>
      <xdr:row>4</xdr:row>
      <xdr:rowOff>152400</xdr:rowOff>
    </xdr:to>
    <xdr:sp macro="" textlink="">
      <xdr:nvSpPr>
        <xdr:cNvPr id="515" name="1"/>
        <xdr:cNvSpPr/>
      </xdr:nvSpPr>
      <xdr:spPr>
        <a:xfrm>
          <a:off x="24445232" y="876300"/>
          <a:ext cx="98664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4</xdr:row>
      <xdr:rowOff>95250</xdr:rowOff>
    </xdr:from>
    <xdr:to>
      <xdr:col>32</xdr:col>
      <xdr:colOff>136607</xdr:colOff>
      <xdr:row>4</xdr:row>
      <xdr:rowOff>95250</xdr:rowOff>
    </xdr:to>
    <xdr:cxnSp macro="">
      <xdr:nvCxnSpPr>
        <xdr:cNvPr id="516" name="직선 화살표 연결선 515"/>
        <xdr:cNvCxnSpPr/>
      </xdr:nvCxnSpPr>
      <xdr:spPr>
        <a:xfrm>
          <a:off x="24445232" y="933450"/>
          <a:ext cx="7537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303</xdr:row>
      <xdr:rowOff>0</xdr:rowOff>
    </xdr:from>
    <xdr:to>
      <xdr:col>48</xdr:col>
      <xdr:colOff>0</xdr:colOff>
      <xdr:row>883</xdr:row>
      <xdr:rowOff>0</xdr:rowOff>
    </xdr:to>
    <xdr:cxnSp macro="">
      <xdr:nvCxnSpPr>
        <xdr:cNvPr id="517" name="직선 화살표 연결선 516"/>
        <xdr:cNvCxnSpPr/>
      </xdr:nvCxnSpPr>
      <xdr:spPr>
        <a:xfrm>
          <a:off x="36576000" y="63493650"/>
          <a:ext cx="0" cy="121539000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</xdr:colOff>
      <xdr:row>303</xdr:row>
      <xdr:rowOff>0</xdr:rowOff>
    </xdr:from>
    <xdr:to>
      <xdr:col>64</xdr:col>
      <xdr:colOff>1</xdr:colOff>
      <xdr:row>883</xdr:row>
      <xdr:rowOff>0</xdr:rowOff>
    </xdr:to>
    <xdr:cxnSp macro="">
      <xdr:nvCxnSpPr>
        <xdr:cNvPr id="518" name="직선 화살표 연결선 517"/>
        <xdr:cNvCxnSpPr/>
      </xdr:nvCxnSpPr>
      <xdr:spPr>
        <a:xfrm>
          <a:off x="48768001" y="63493650"/>
          <a:ext cx="0" cy="121539000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303</xdr:row>
      <xdr:rowOff>0</xdr:rowOff>
    </xdr:from>
    <xdr:to>
      <xdr:col>92</xdr:col>
      <xdr:colOff>0</xdr:colOff>
      <xdr:row>883</xdr:row>
      <xdr:rowOff>0</xdr:rowOff>
    </xdr:to>
    <xdr:cxnSp macro="">
      <xdr:nvCxnSpPr>
        <xdr:cNvPr id="519" name="직선 화살표 연결선 518"/>
        <xdr:cNvCxnSpPr/>
      </xdr:nvCxnSpPr>
      <xdr:spPr>
        <a:xfrm>
          <a:off x="70104000" y="63493650"/>
          <a:ext cx="0" cy="121539000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1</xdr:colOff>
      <xdr:row>303</xdr:row>
      <xdr:rowOff>0</xdr:rowOff>
    </xdr:from>
    <xdr:to>
      <xdr:col>108</xdr:col>
      <xdr:colOff>1</xdr:colOff>
      <xdr:row>883</xdr:row>
      <xdr:rowOff>0</xdr:rowOff>
    </xdr:to>
    <xdr:cxnSp macro="">
      <xdr:nvCxnSpPr>
        <xdr:cNvPr id="520" name="직선 화살표 연결선 519"/>
        <xdr:cNvCxnSpPr/>
      </xdr:nvCxnSpPr>
      <xdr:spPr>
        <a:xfrm>
          <a:off x="82296001" y="63493650"/>
          <a:ext cx="0" cy="121539000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303</xdr:row>
      <xdr:rowOff>0</xdr:rowOff>
    </xdr:from>
    <xdr:to>
      <xdr:col>92</xdr:col>
      <xdr:colOff>0</xdr:colOff>
      <xdr:row>883</xdr:row>
      <xdr:rowOff>0</xdr:rowOff>
    </xdr:to>
    <xdr:cxnSp macro="">
      <xdr:nvCxnSpPr>
        <xdr:cNvPr id="521" name="직선 화살표 연결선 520"/>
        <xdr:cNvCxnSpPr/>
      </xdr:nvCxnSpPr>
      <xdr:spPr>
        <a:xfrm>
          <a:off x="70104000" y="63493650"/>
          <a:ext cx="0" cy="121539000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1</xdr:colOff>
      <xdr:row>303</xdr:row>
      <xdr:rowOff>0</xdr:rowOff>
    </xdr:from>
    <xdr:to>
      <xdr:col>108</xdr:col>
      <xdr:colOff>1</xdr:colOff>
      <xdr:row>883</xdr:row>
      <xdr:rowOff>0</xdr:rowOff>
    </xdr:to>
    <xdr:cxnSp macro="">
      <xdr:nvCxnSpPr>
        <xdr:cNvPr id="522" name="직선 화살표 연결선 521"/>
        <xdr:cNvCxnSpPr/>
      </xdr:nvCxnSpPr>
      <xdr:spPr>
        <a:xfrm>
          <a:off x="82296001" y="63493650"/>
          <a:ext cx="0" cy="121539000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41366</xdr:colOff>
      <xdr:row>882</xdr:row>
      <xdr:rowOff>38105</xdr:rowOff>
    </xdr:from>
    <xdr:to>
      <xdr:col>89</xdr:col>
      <xdr:colOff>63318</xdr:colOff>
      <xdr:row>882</xdr:row>
      <xdr:rowOff>152405</xdr:rowOff>
    </xdr:to>
    <xdr:sp macro="" textlink="">
      <xdr:nvSpPr>
        <xdr:cNvPr id="523" name="580"/>
        <xdr:cNvSpPr/>
      </xdr:nvSpPr>
      <xdr:spPr>
        <a:xfrm>
          <a:off x="67859366" y="184861205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882</xdr:row>
      <xdr:rowOff>95255</xdr:rowOff>
    </xdr:from>
    <xdr:to>
      <xdr:col>89</xdr:col>
      <xdr:colOff>41366</xdr:colOff>
      <xdr:row>882</xdr:row>
      <xdr:rowOff>95255</xdr:rowOff>
    </xdr:to>
    <xdr:cxnSp macro="">
      <xdr:nvCxnSpPr>
        <xdr:cNvPr id="524" name="직선 화살표 연결선 523"/>
        <xdr:cNvCxnSpPr/>
      </xdr:nvCxnSpPr>
      <xdr:spPr>
        <a:xfrm>
          <a:off x="67859366" y="1849183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20683</xdr:colOff>
      <xdr:row>881</xdr:row>
      <xdr:rowOff>38105</xdr:rowOff>
    </xdr:from>
    <xdr:to>
      <xdr:col>89</xdr:col>
      <xdr:colOff>42635</xdr:colOff>
      <xdr:row>881</xdr:row>
      <xdr:rowOff>152405</xdr:rowOff>
    </xdr:to>
    <xdr:sp macro="" textlink="">
      <xdr:nvSpPr>
        <xdr:cNvPr id="525" name="579"/>
        <xdr:cNvSpPr/>
      </xdr:nvSpPr>
      <xdr:spPr>
        <a:xfrm>
          <a:off x="67076683" y="184651655"/>
          <a:ext cx="78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20683</xdr:colOff>
      <xdr:row>881</xdr:row>
      <xdr:rowOff>95255</xdr:rowOff>
    </xdr:from>
    <xdr:to>
      <xdr:col>88</xdr:col>
      <xdr:colOff>20683</xdr:colOff>
      <xdr:row>881</xdr:row>
      <xdr:rowOff>95255</xdr:rowOff>
    </xdr:to>
    <xdr:cxnSp macro="">
      <xdr:nvCxnSpPr>
        <xdr:cNvPr id="526" name="직선 화살표 연결선 525"/>
        <xdr:cNvCxnSpPr/>
      </xdr:nvCxnSpPr>
      <xdr:spPr>
        <a:xfrm>
          <a:off x="67076683" y="1847088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880</xdr:row>
      <xdr:rowOff>38105</xdr:rowOff>
    </xdr:from>
    <xdr:to>
      <xdr:col>88</xdr:col>
      <xdr:colOff>21952</xdr:colOff>
      <xdr:row>880</xdr:row>
      <xdr:rowOff>152405</xdr:rowOff>
    </xdr:to>
    <xdr:sp macro="" textlink="">
      <xdr:nvSpPr>
        <xdr:cNvPr id="527" name="578"/>
        <xdr:cNvSpPr/>
      </xdr:nvSpPr>
      <xdr:spPr>
        <a:xfrm>
          <a:off x="66418098" y="184442105"/>
          <a:ext cx="6598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880</xdr:row>
      <xdr:rowOff>95255</xdr:rowOff>
    </xdr:from>
    <xdr:to>
      <xdr:col>87</xdr:col>
      <xdr:colOff>124098</xdr:colOff>
      <xdr:row>880</xdr:row>
      <xdr:rowOff>95255</xdr:rowOff>
    </xdr:to>
    <xdr:cxnSp macro="">
      <xdr:nvCxnSpPr>
        <xdr:cNvPr id="528" name="직선 화살표 연결선 527"/>
        <xdr:cNvCxnSpPr/>
      </xdr:nvCxnSpPr>
      <xdr:spPr>
        <a:xfrm>
          <a:off x="66418098" y="1844992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879</xdr:row>
      <xdr:rowOff>38105</xdr:rowOff>
    </xdr:from>
    <xdr:to>
      <xdr:col>87</xdr:col>
      <xdr:colOff>104684</xdr:colOff>
      <xdr:row>879</xdr:row>
      <xdr:rowOff>152405</xdr:rowOff>
    </xdr:to>
    <xdr:sp macro="" textlink="">
      <xdr:nvSpPr>
        <xdr:cNvPr id="529" name="577"/>
        <xdr:cNvSpPr/>
      </xdr:nvSpPr>
      <xdr:spPr>
        <a:xfrm>
          <a:off x="66356049" y="184232555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879</xdr:row>
      <xdr:rowOff>95255</xdr:rowOff>
    </xdr:from>
    <xdr:to>
      <xdr:col>87</xdr:col>
      <xdr:colOff>62049</xdr:colOff>
      <xdr:row>879</xdr:row>
      <xdr:rowOff>95255</xdr:rowOff>
    </xdr:to>
    <xdr:cxnSp macro="">
      <xdr:nvCxnSpPr>
        <xdr:cNvPr id="530" name="직선 화살표 연결선 529"/>
        <xdr:cNvCxnSpPr/>
      </xdr:nvCxnSpPr>
      <xdr:spPr>
        <a:xfrm>
          <a:off x="66356049" y="1842897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878</xdr:row>
      <xdr:rowOff>38105</xdr:rowOff>
    </xdr:from>
    <xdr:to>
      <xdr:col>87</xdr:col>
      <xdr:colOff>125368</xdr:colOff>
      <xdr:row>878</xdr:row>
      <xdr:rowOff>152405</xdr:rowOff>
    </xdr:to>
    <xdr:sp macro="" textlink="">
      <xdr:nvSpPr>
        <xdr:cNvPr id="531" name="576"/>
        <xdr:cNvSpPr/>
      </xdr:nvSpPr>
      <xdr:spPr>
        <a:xfrm>
          <a:off x="66356049" y="184023005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878</xdr:row>
      <xdr:rowOff>95255</xdr:rowOff>
    </xdr:from>
    <xdr:to>
      <xdr:col>87</xdr:col>
      <xdr:colOff>62049</xdr:colOff>
      <xdr:row>878</xdr:row>
      <xdr:rowOff>95255</xdr:rowOff>
    </xdr:to>
    <xdr:cxnSp macro="">
      <xdr:nvCxnSpPr>
        <xdr:cNvPr id="532" name="직선 화살표 연결선 531"/>
        <xdr:cNvCxnSpPr/>
      </xdr:nvCxnSpPr>
      <xdr:spPr>
        <a:xfrm>
          <a:off x="66356049" y="1840801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877</xdr:row>
      <xdr:rowOff>38105</xdr:rowOff>
    </xdr:from>
    <xdr:to>
      <xdr:col>87</xdr:col>
      <xdr:colOff>125368</xdr:colOff>
      <xdr:row>877</xdr:row>
      <xdr:rowOff>152405</xdr:rowOff>
    </xdr:to>
    <xdr:sp macro="" textlink="">
      <xdr:nvSpPr>
        <xdr:cNvPr id="533" name="575"/>
        <xdr:cNvSpPr/>
      </xdr:nvSpPr>
      <xdr:spPr>
        <a:xfrm>
          <a:off x="66356049" y="183813455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877</xdr:row>
      <xdr:rowOff>95255</xdr:rowOff>
    </xdr:from>
    <xdr:to>
      <xdr:col>87</xdr:col>
      <xdr:colOff>62049</xdr:colOff>
      <xdr:row>877</xdr:row>
      <xdr:rowOff>95255</xdr:rowOff>
    </xdr:to>
    <xdr:cxnSp macro="">
      <xdr:nvCxnSpPr>
        <xdr:cNvPr id="534" name="직선 화살표 연결선 533"/>
        <xdr:cNvCxnSpPr/>
      </xdr:nvCxnSpPr>
      <xdr:spPr>
        <a:xfrm>
          <a:off x="66356049" y="1838706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876</xdr:row>
      <xdr:rowOff>38105</xdr:rowOff>
    </xdr:from>
    <xdr:to>
      <xdr:col>87</xdr:col>
      <xdr:colOff>63319</xdr:colOff>
      <xdr:row>876</xdr:row>
      <xdr:rowOff>152405</xdr:rowOff>
    </xdr:to>
    <xdr:sp macro="" textlink="">
      <xdr:nvSpPr>
        <xdr:cNvPr id="535" name="574"/>
        <xdr:cNvSpPr/>
      </xdr:nvSpPr>
      <xdr:spPr>
        <a:xfrm>
          <a:off x="65594049" y="183603905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876</xdr:row>
      <xdr:rowOff>95255</xdr:rowOff>
    </xdr:from>
    <xdr:to>
      <xdr:col>86</xdr:col>
      <xdr:colOff>62049</xdr:colOff>
      <xdr:row>876</xdr:row>
      <xdr:rowOff>95255</xdr:rowOff>
    </xdr:to>
    <xdr:cxnSp macro="">
      <xdr:nvCxnSpPr>
        <xdr:cNvPr id="536" name="직선 화살표 연결선 535"/>
        <xdr:cNvCxnSpPr/>
      </xdr:nvCxnSpPr>
      <xdr:spPr>
        <a:xfrm>
          <a:off x="65594049" y="1836610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41366</xdr:colOff>
      <xdr:row>875</xdr:row>
      <xdr:rowOff>38105</xdr:rowOff>
    </xdr:from>
    <xdr:to>
      <xdr:col>86</xdr:col>
      <xdr:colOff>63318</xdr:colOff>
      <xdr:row>875</xdr:row>
      <xdr:rowOff>152405</xdr:rowOff>
    </xdr:to>
    <xdr:sp macro="" textlink="">
      <xdr:nvSpPr>
        <xdr:cNvPr id="537" name="573"/>
        <xdr:cNvSpPr/>
      </xdr:nvSpPr>
      <xdr:spPr>
        <a:xfrm>
          <a:off x="65573366" y="183394355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41366</xdr:colOff>
      <xdr:row>875</xdr:row>
      <xdr:rowOff>95255</xdr:rowOff>
    </xdr:from>
    <xdr:to>
      <xdr:col>86</xdr:col>
      <xdr:colOff>41366</xdr:colOff>
      <xdr:row>875</xdr:row>
      <xdr:rowOff>95255</xdr:rowOff>
    </xdr:to>
    <xdr:cxnSp macro="">
      <xdr:nvCxnSpPr>
        <xdr:cNvPr id="538" name="직선 화살표 연결선 537"/>
        <xdr:cNvCxnSpPr/>
      </xdr:nvCxnSpPr>
      <xdr:spPr>
        <a:xfrm>
          <a:off x="65573366" y="1834515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41366</xdr:colOff>
      <xdr:row>874</xdr:row>
      <xdr:rowOff>38105</xdr:rowOff>
    </xdr:from>
    <xdr:to>
      <xdr:col>86</xdr:col>
      <xdr:colOff>63318</xdr:colOff>
      <xdr:row>874</xdr:row>
      <xdr:rowOff>152405</xdr:rowOff>
    </xdr:to>
    <xdr:sp macro="" textlink="">
      <xdr:nvSpPr>
        <xdr:cNvPr id="539" name="572"/>
        <xdr:cNvSpPr/>
      </xdr:nvSpPr>
      <xdr:spPr>
        <a:xfrm>
          <a:off x="65573366" y="183184805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41366</xdr:colOff>
      <xdr:row>874</xdr:row>
      <xdr:rowOff>95255</xdr:rowOff>
    </xdr:from>
    <xdr:to>
      <xdr:col>86</xdr:col>
      <xdr:colOff>41366</xdr:colOff>
      <xdr:row>874</xdr:row>
      <xdr:rowOff>95255</xdr:rowOff>
    </xdr:to>
    <xdr:cxnSp macro="">
      <xdr:nvCxnSpPr>
        <xdr:cNvPr id="540" name="직선 화살표 연결선 539"/>
        <xdr:cNvCxnSpPr/>
      </xdr:nvCxnSpPr>
      <xdr:spPr>
        <a:xfrm>
          <a:off x="65573366" y="1832419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41366</xdr:colOff>
      <xdr:row>873</xdr:row>
      <xdr:rowOff>38105</xdr:rowOff>
    </xdr:from>
    <xdr:to>
      <xdr:col>89</xdr:col>
      <xdr:colOff>63318</xdr:colOff>
      <xdr:row>873</xdr:row>
      <xdr:rowOff>152405</xdr:rowOff>
    </xdr:to>
    <xdr:sp macro="" textlink="">
      <xdr:nvSpPr>
        <xdr:cNvPr id="541" name="571"/>
        <xdr:cNvSpPr/>
      </xdr:nvSpPr>
      <xdr:spPr>
        <a:xfrm>
          <a:off x="65573366" y="182975255"/>
          <a:ext cx="23079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41366</xdr:colOff>
      <xdr:row>873</xdr:row>
      <xdr:rowOff>95255</xdr:rowOff>
    </xdr:from>
    <xdr:to>
      <xdr:col>86</xdr:col>
      <xdr:colOff>41366</xdr:colOff>
      <xdr:row>873</xdr:row>
      <xdr:rowOff>95255</xdr:rowOff>
    </xdr:to>
    <xdr:cxnSp macro="">
      <xdr:nvCxnSpPr>
        <xdr:cNvPr id="542" name="직선 화살표 연결선 541"/>
        <xdr:cNvCxnSpPr/>
      </xdr:nvCxnSpPr>
      <xdr:spPr>
        <a:xfrm>
          <a:off x="65573366" y="1830324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62049</xdr:colOff>
      <xdr:row>872</xdr:row>
      <xdr:rowOff>38105</xdr:rowOff>
    </xdr:from>
    <xdr:to>
      <xdr:col>79</xdr:col>
      <xdr:colOff>84001</xdr:colOff>
      <xdr:row>872</xdr:row>
      <xdr:rowOff>152405</xdr:rowOff>
    </xdr:to>
    <xdr:sp macro="" textlink="">
      <xdr:nvSpPr>
        <xdr:cNvPr id="543" name="570"/>
        <xdr:cNvSpPr/>
      </xdr:nvSpPr>
      <xdr:spPr>
        <a:xfrm>
          <a:off x="60260049" y="182765705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62049</xdr:colOff>
      <xdr:row>872</xdr:row>
      <xdr:rowOff>95255</xdr:rowOff>
    </xdr:from>
    <xdr:to>
      <xdr:col>79</xdr:col>
      <xdr:colOff>62049</xdr:colOff>
      <xdr:row>872</xdr:row>
      <xdr:rowOff>95255</xdr:rowOff>
    </xdr:to>
    <xdr:cxnSp macro="">
      <xdr:nvCxnSpPr>
        <xdr:cNvPr id="544" name="직선 화살표 연결선 543"/>
        <xdr:cNvCxnSpPr/>
      </xdr:nvCxnSpPr>
      <xdr:spPr>
        <a:xfrm>
          <a:off x="60260049" y="1828228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62048</xdr:colOff>
      <xdr:row>871</xdr:row>
      <xdr:rowOff>38105</xdr:rowOff>
    </xdr:from>
    <xdr:to>
      <xdr:col>79</xdr:col>
      <xdr:colOff>63318</xdr:colOff>
      <xdr:row>871</xdr:row>
      <xdr:rowOff>152405</xdr:rowOff>
    </xdr:to>
    <xdr:sp macro="" textlink="">
      <xdr:nvSpPr>
        <xdr:cNvPr id="545" name="569"/>
        <xdr:cNvSpPr/>
      </xdr:nvSpPr>
      <xdr:spPr>
        <a:xfrm>
          <a:off x="59498048" y="182556155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62048</xdr:colOff>
      <xdr:row>871</xdr:row>
      <xdr:rowOff>95255</xdr:rowOff>
    </xdr:from>
    <xdr:to>
      <xdr:col>78</xdr:col>
      <xdr:colOff>62048</xdr:colOff>
      <xdr:row>871</xdr:row>
      <xdr:rowOff>95255</xdr:rowOff>
    </xdr:to>
    <xdr:cxnSp macro="">
      <xdr:nvCxnSpPr>
        <xdr:cNvPr id="546" name="직선 화살표 연결선 545"/>
        <xdr:cNvCxnSpPr/>
      </xdr:nvCxnSpPr>
      <xdr:spPr>
        <a:xfrm>
          <a:off x="59498048" y="1826133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20683</xdr:colOff>
      <xdr:row>870</xdr:row>
      <xdr:rowOff>38105</xdr:rowOff>
    </xdr:from>
    <xdr:to>
      <xdr:col>78</xdr:col>
      <xdr:colOff>63318</xdr:colOff>
      <xdr:row>870</xdr:row>
      <xdr:rowOff>152405</xdr:rowOff>
    </xdr:to>
    <xdr:sp macro="" textlink="">
      <xdr:nvSpPr>
        <xdr:cNvPr id="547" name="568"/>
        <xdr:cNvSpPr/>
      </xdr:nvSpPr>
      <xdr:spPr>
        <a:xfrm>
          <a:off x="59456683" y="182346605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20683</xdr:colOff>
      <xdr:row>870</xdr:row>
      <xdr:rowOff>95255</xdr:rowOff>
    </xdr:from>
    <xdr:to>
      <xdr:col>78</xdr:col>
      <xdr:colOff>20683</xdr:colOff>
      <xdr:row>870</xdr:row>
      <xdr:rowOff>95255</xdr:rowOff>
    </xdr:to>
    <xdr:cxnSp macro="">
      <xdr:nvCxnSpPr>
        <xdr:cNvPr id="548" name="직선 화살표 연결선 547"/>
        <xdr:cNvCxnSpPr/>
      </xdr:nvCxnSpPr>
      <xdr:spPr>
        <a:xfrm>
          <a:off x="59456683" y="1824037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103415</xdr:colOff>
      <xdr:row>869</xdr:row>
      <xdr:rowOff>38105</xdr:rowOff>
    </xdr:from>
    <xdr:to>
      <xdr:col>78</xdr:col>
      <xdr:colOff>1270</xdr:colOff>
      <xdr:row>869</xdr:row>
      <xdr:rowOff>152405</xdr:rowOff>
    </xdr:to>
    <xdr:sp macro="" textlink="">
      <xdr:nvSpPr>
        <xdr:cNvPr id="549" name="567"/>
        <xdr:cNvSpPr/>
      </xdr:nvSpPr>
      <xdr:spPr>
        <a:xfrm>
          <a:off x="58777415" y="182137055"/>
          <a:ext cx="65985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103415</xdr:colOff>
      <xdr:row>869</xdr:row>
      <xdr:rowOff>95255</xdr:rowOff>
    </xdr:from>
    <xdr:to>
      <xdr:col>77</xdr:col>
      <xdr:colOff>103415</xdr:colOff>
      <xdr:row>869</xdr:row>
      <xdr:rowOff>95255</xdr:rowOff>
    </xdr:to>
    <xdr:cxnSp macro="">
      <xdr:nvCxnSpPr>
        <xdr:cNvPr id="550" name="직선 화살표 연결선 549"/>
        <xdr:cNvCxnSpPr/>
      </xdr:nvCxnSpPr>
      <xdr:spPr>
        <a:xfrm>
          <a:off x="58777415" y="1821942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103415</xdr:colOff>
      <xdr:row>868</xdr:row>
      <xdr:rowOff>38105</xdr:rowOff>
    </xdr:from>
    <xdr:to>
      <xdr:col>78</xdr:col>
      <xdr:colOff>21952</xdr:colOff>
      <xdr:row>868</xdr:row>
      <xdr:rowOff>152405</xdr:rowOff>
    </xdr:to>
    <xdr:sp macro="" textlink="">
      <xdr:nvSpPr>
        <xdr:cNvPr id="551" name="566"/>
        <xdr:cNvSpPr/>
      </xdr:nvSpPr>
      <xdr:spPr>
        <a:xfrm>
          <a:off x="58777415" y="181927505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103415</xdr:colOff>
      <xdr:row>868</xdr:row>
      <xdr:rowOff>95255</xdr:rowOff>
    </xdr:from>
    <xdr:to>
      <xdr:col>77</xdr:col>
      <xdr:colOff>103415</xdr:colOff>
      <xdr:row>868</xdr:row>
      <xdr:rowOff>95255</xdr:rowOff>
    </xdr:to>
    <xdr:cxnSp macro="">
      <xdr:nvCxnSpPr>
        <xdr:cNvPr id="552" name="직선 화살표 연결선 551"/>
        <xdr:cNvCxnSpPr/>
      </xdr:nvCxnSpPr>
      <xdr:spPr>
        <a:xfrm>
          <a:off x="58777415" y="1819846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103415</xdr:colOff>
      <xdr:row>867</xdr:row>
      <xdr:rowOff>38105</xdr:rowOff>
    </xdr:from>
    <xdr:to>
      <xdr:col>78</xdr:col>
      <xdr:colOff>21952</xdr:colOff>
      <xdr:row>867</xdr:row>
      <xdr:rowOff>152405</xdr:rowOff>
    </xdr:to>
    <xdr:sp macro="" textlink="">
      <xdr:nvSpPr>
        <xdr:cNvPr id="553" name="565"/>
        <xdr:cNvSpPr/>
      </xdr:nvSpPr>
      <xdr:spPr>
        <a:xfrm>
          <a:off x="58777415" y="181717955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103415</xdr:colOff>
      <xdr:row>867</xdr:row>
      <xdr:rowOff>95255</xdr:rowOff>
    </xdr:from>
    <xdr:to>
      <xdr:col>77</xdr:col>
      <xdr:colOff>103415</xdr:colOff>
      <xdr:row>867</xdr:row>
      <xdr:rowOff>95255</xdr:rowOff>
    </xdr:to>
    <xdr:cxnSp macro="">
      <xdr:nvCxnSpPr>
        <xdr:cNvPr id="554" name="직선 화살표 연결선 553"/>
        <xdr:cNvCxnSpPr/>
      </xdr:nvCxnSpPr>
      <xdr:spPr>
        <a:xfrm>
          <a:off x="58777415" y="1817751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103414</xdr:colOff>
      <xdr:row>866</xdr:row>
      <xdr:rowOff>38105</xdr:rowOff>
    </xdr:from>
    <xdr:to>
      <xdr:col>77</xdr:col>
      <xdr:colOff>104684</xdr:colOff>
      <xdr:row>866</xdr:row>
      <xdr:rowOff>152405</xdr:rowOff>
    </xdr:to>
    <xdr:sp macro="" textlink="">
      <xdr:nvSpPr>
        <xdr:cNvPr id="555" name="564"/>
        <xdr:cNvSpPr/>
      </xdr:nvSpPr>
      <xdr:spPr>
        <a:xfrm>
          <a:off x="58015414" y="181508405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103414</xdr:colOff>
      <xdr:row>866</xdr:row>
      <xdr:rowOff>95255</xdr:rowOff>
    </xdr:from>
    <xdr:to>
      <xdr:col>76</xdr:col>
      <xdr:colOff>103414</xdr:colOff>
      <xdr:row>866</xdr:row>
      <xdr:rowOff>95255</xdr:rowOff>
    </xdr:to>
    <xdr:cxnSp macro="">
      <xdr:nvCxnSpPr>
        <xdr:cNvPr id="556" name="직선 화살표 연결선 555"/>
        <xdr:cNvCxnSpPr/>
      </xdr:nvCxnSpPr>
      <xdr:spPr>
        <a:xfrm>
          <a:off x="58015414" y="1815655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865</xdr:row>
      <xdr:rowOff>38105</xdr:rowOff>
    </xdr:from>
    <xdr:to>
      <xdr:col>76</xdr:col>
      <xdr:colOff>104684</xdr:colOff>
      <xdr:row>865</xdr:row>
      <xdr:rowOff>152405</xdr:rowOff>
    </xdr:to>
    <xdr:sp macro="" textlink="">
      <xdr:nvSpPr>
        <xdr:cNvPr id="557" name="563"/>
        <xdr:cNvSpPr/>
      </xdr:nvSpPr>
      <xdr:spPr>
        <a:xfrm>
          <a:off x="57994731" y="181298855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865</xdr:row>
      <xdr:rowOff>95255</xdr:rowOff>
    </xdr:from>
    <xdr:to>
      <xdr:col>76</xdr:col>
      <xdr:colOff>82731</xdr:colOff>
      <xdr:row>865</xdr:row>
      <xdr:rowOff>95255</xdr:rowOff>
    </xdr:to>
    <xdr:cxnSp macro="">
      <xdr:nvCxnSpPr>
        <xdr:cNvPr id="558" name="직선 화살표 연결선 557"/>
        <xdr:cNvCxnSpPr/>
      </xdr:nvCxnSpPr>
      <xdr:spPr>
        <a:xfrm>
          <a:off x="57994731" y="1813560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864</xdr:row>
      <xdr:rowOff>38105</xdr:rowOff>
    </xdr:from>
    <xdr:to>
      <xdr:col>76</xdr:col>
      <xdr:colOff>104684</xdr:colOff>
      <xdr:row>864</xdr:row>
      <xdr:rowOff>152405</xdr:rowOff>
    </xdr:to>
    <xdr:sp macro="" textlink="">
      <xdr:nvSpPr>
        <xdr:cNvPr id="559" name="562"/>
        <xdr:cNvSpPr/>
      </xdr:nvSpPr>
      <xdr:spPr>
        <a:xfrm>
          <a:off x="57994731" y="181089305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864</xdr:row>
      <xdr:rowOff>95255</xdr:rowOff>
    </xdr:from>
    <xdr:to>
      <xdr:col>76</xdr:col>
      <xdr:colOff>82731</xdr:colOff>
      <xdr:row>864</xdr:row>
      <xdr:rowOff>95255</xdr:rowOff>
    </xdr:to>
    <xdr:cxnSp macro="">
      <xdr:nvCxnSpPr>
        <xdr:cNvPr id="560" name="직선 화살표 연결선 559"/>
        <xdr:cNvCxnSpPr/>
      </xdr:nvCxnSpPr>
      <xdr:spPr>
        <a:xfrm>
          <a:off x="57994731" y="1811464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863</xdr:row>
      <xdr:rowOff>38105</xdr:rowOff>
    </xdr:from>
    <xdr:to>
      <xdr:col>79</xdr:col>
      <xdr:colOff>84001</xdr:colOff>
      <xdr:row>863</xdr:row>
      <xdr:rowOff>152405</xdr:rowOff>
    </xdr:to>
    <xdr:sp macro="" textlink="">
      <xdr:nvSpPr>
        <xdr:cNvPr id="561" name="561"/>
        <xdr:cNvSpPr/>
      </xdr:nvSpPr>
      <xdr:spPr>
        <a:xfrm>
          <a:off x="57994731" y="180879755"/>
          <a:ext cx="228727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863</xdr:row>
      <xdr:rowOff>95255</xdr:rowOff>
    </xdr:from>
    <xdr:to>
      <xdr:col>76</xdr:col>
      <xdr:colOff>82731</xdr:colOff>
      <xdr:row>863</xdr:row>
      <xdr:rowOff>95255</xdr:rowOff>
    </xdr:to>
    <xdr:cxnSp macro="">
      <xdr:nvCxnSpPr>
        <xdr:cNvPr id="562" name="직선 화살표 연결선 561"/>
        <xdr:cNvCxnSpPr/>
      </xdr:nvCxnSpPr>
      <xdr:spPr>
        <a:xfrm>
          <a:off x="57994731" y="1809369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41365</xdr:colOff>
      <xdr:row>862</xdr:row>
      <xdr:rowOff>38105</xdr:rowOff>
    </xdr:from>
    <xdr:to>
      <xdr:col>82</xdr:col>
      <xdr:colOff>63319</xdr:colOff>
      <xdr:row>862</xdr:row>
      <xdr:rowOff>152405</xdr:rowOff>
    </xdr:to>
    <xdr:sp macro="" textlink="">
      <xdr:nvSpPr>
        <xdr:cNvPr id="563" name="560"/>
        <xdr:cNvSpPr/>
      </xdr:nvSpPr>
      <xdr:spPr>
        <a:xfrm>
          <a:off x="61763365" y="180670205"/>
          <a:ext cx="7839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41365</xdr:colOff>
      <xdr:row>862</xdr:row>
      <xdr:rowOff>95255</xdr:rowOff>
    </xdr:from>
    <xdr:to>
      <xdr:col>81</xdr:col>
      <xdr:colOff>41365</xdr:colOff>
      <xdr:row>862</xdr:row>
      <xdr:rowOff>95255</xdr:rowOff>
    </xdr:to>
    <xdr:cxnSp macro="">
      <xdr:nvCxnSpPr>
        <xdr:cNvPr id="564" name="직선 화살표 연결선 563"/>
        <xdr:cNvCxnSpPr/>
      </xdr:nvCxnSpPr>
      <xdr:spPr>
        <a:xfrm>
          <a:off x="61763365" y="1807273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124097</xdr:colOff>
      <xdr:row>861</xdr:row>
      <xdr:rowOff>38105</xdr:rowOff>
    </xdr:from>
    <xdr:to>
      <xdr:col>81</xdr:col>
      <xdr:colOff>42635</xdr:colOff>
      <xdr:row>861</xdr:row>
      <xdr:rowOff>152405</xdr:rowOff>
    </xdr:to>
    <xdr:sp macro="" textlink="">
      <xdr:nvSpPr>
        <xdr:cNvPr id="565" name="559"/>
        <xdr:cNvSpPr/>
      </xdr:nvSpPr>
      <xdr:spPr>
        <a:xfrm>
          <a:off x="61084097" y="180460655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124097</xdr:colOff>
      <xdr:row>861</xdr:row>
      <xdr:rowOff>95255</xdr:rowOff>
    </xdr:from>
    <xdr:to>
      <xdr:col>80</xdr:col>
      <xdr:colOff>124097</xdr:colOff>
      <xdr:row>861</xdr:row>
      <xdr:rowOff>95255</xdr:rowOff>
    </xdr:to>
    <xdr:cxnSp macro="">
      <xdr:nvCxnSpPr>
        <xdr:cNvPr id="566" name="직선 화살표 연결선 565"/>
        <xdr:cNvCxnSpPr/>
      </xdr:nvCxnSpPr>
      <xdr:spPr>
        <a:xfrm>
          <a:off x="61084097" y="1805178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82732</xdr:colOff>
      <xdr:row>860</xdr:row>
      <xdr:rowOff>38105</xdr:rowOff>
    </xdr:from>
    <xdr:to>
      <xdr:col>80</xdr:col>
      <xdr:colOff>125367</xdr:colOff>
      <xdr:row>860</xdr:row>
      <xdr:rowOff>152405</xdr:rowOff>
    </xdr:to>
    <xdr:sp macro="" textlink="">
      <xdr:nvSpPr>
        <xdr:cNvPr id="567" name="558"/>
        <xdr:cNvSpPr/>
      </xdr:nvSpPr>
      <xdr:spPr>
        <a:xfrm>
          <a:off x="61042732" y="180251105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82732</xdr:colOff>
      <xdr:row>860</xdr:row>
      <xdr:rowOff>95255</xdr:rowOff>
    </xdr:from>
    <xdr:to>
      <xdr:col>80</xdr:col>
      <xdr:colOff>82732</xdr:colOff>
      <xdr:row>860</xdr:row>
      <xdr:rowOff>95255</xdr:rowOff>
    </xdr:to>
    <xdr:cxnSp macro="">
      <xdr:nvCxnSpPr>
        <xdr:cNvPr id="568" name="직선 화살표 연결선 567"/>
        <xdr:cNvCxnSpPr/>
      </xdr:nvCxnSpPr>
      <xdr:spPr>
        <a:xfrm>
          <a:off x="61042732" y="1803082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82732</xdr:colOff>
      <xdr:row>859</xdr:row>
      <xdr:rowOff>38105</xdr:rowOff>
    </xdr:from>
    <xdr:to>
      <xdr:col>80</xdr:col>
      <xdr:colOff>125367</xdr:colOff>
      <xdr:row>859</xdr:row>
      <xdr:rowOff>152405</xdr:rowOff>
    </xdr:to>
    <xdr:sp macro="" textlink="">
      <xdr:nvSpPr>
        <xdr:cNvPr id="569" name="557"/>
        <xdr:cNvSpPr/>
      </xdr:nvSpPr>
      <xdr:spPr>
        <a:xfrm>
          <a:off x="61042732" y="180041555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82732</xdr:colOff>
      <xdr:row>859</xdr:row>
      <xdr:rowOff>95255</xdr:rowOff>
    </xdr:from>
    <xdr:to>
      <xdr:col>80</xdr:col>
      <xdr:colOff>82732</xdr:colOff>
      <xdr:row>859</xdr:row>
      <xdr:rowOff>95255</xdr:rowOff>
    </xdr:to>
    <xdr:cxnSp macro="">
      <xdr:nvCxnSpPr>
        <xdr:cNvPr id="570" name="직선 화살표 연결선 569"/>
        <xdr:cNvCxnSpPr/>
      </xdr:nvCxnSpPr>
      <xdr:spPr>
        <a:xfrm>
          <a:off x="61042732" y="1800987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82732</xdr:colOff>
      <xdr:row>858</xdr:row>
      <xdr:rowOff>38105</xdr:rowOff>
    </xdr:from>
    <xdr:to>
      <xdr:col>80</xdr:col>
      <xdr:colOff>125367</xdr:colOff>
      <xdr:row>858</xdr:row>
      <xdr:rowOff>152405</xdr:rowOff>
    </xdr:to>
    <xdr:sp macro="" textlink="">
      <xdr:nvSpPr>
        <xdr:cNvPr id="571" name="556"/>
        <xdr:cNvSpPr/>
      </xdr:nvSpPr>
      <xdr:spPr>
        <a:xfrm>
          <a:off x="61042732" y="179832005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82732</xdr:colOff>
      <xdr:row>858</xdr:row>
      <xdr:rowOff>95255</xdr:rowOff>
    </xdr:from>
    <xdr:to>
      <xdr:col>80</xdr:col>
      <xdr:colOff>82732</xdr:colOff>
      <xdr:row>858</xdr:row>
      <xdr:rowOff>95255</xdr:rowOff>
    </xdr:to>
    <xdr:cxnSp macro="">
      <xdr:nvCxnSpPr>
        <xdr:cNvPr id="572" name="직선 화살표 연결선 571"/>
        <xdr:cNvCxnSpPr/>
      </xdr:nvCxnSpPr>
      <xdr:spPr>
        <a:xfrm>
          <a:off x="61042732" y="1798891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82731</xdr:colOff>
      <xdr:row>857</xdr:row>
      <xdr:rowOff>38105</xdr:rowOff>
    </xdr:from>
    <xdr:to>
      <xdr:col>80</xdr:col>
      <xdr:colOff>84001</xdr:colOff>
      <xdr:row>857</xdr:row>
      <xdr:rowOff>152405</xdr:rowOff>
    </xdr:to>
    <xdr:sp macro="" textlink="">
      <xdr:nvSpPr>
        <xdr:cNvPr id="573" name="555"/>
        <xdr:cNvSpPr/>
      </xdr:nvSpPr>
      <xdr:spPr>
        <a:xfrm>
          <a:off x="60280731" y="179622455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82731</xdr:colOff>
      <xdr:row>857</xdr:row>
      <xdr:rowOff>95255</xdr:rowOff>
    </xdr:from>
    <xdr:to>
      <xdr:col>79</xdr:col>
      <xdr:colOff>82731</xdr:colOff>
      <xdr:row>857</xdr:row>
      <xdr:rowOff>95255</xdr:rowOff>
    </xdr:to>
    <xdr:cxnSp macro="">
      <xdr:nvCxnSpPr>
        <xdr:cNvPr id="574" name="직선 화살표 연결선 573"/>
        <xdr:cNvCxnSpPr/>
      </xdr:nvCxnSpPr>
      <xdr:spPr>
        <a:xfrm>
          <a:off x="60280731" y="1796796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62049</xdr:colOff>
      <xdr:row>856</xdr:row>
      <xdr:rowOff>38105</xdr:rowOff>
    </xdr:from>
    <xdr:to>
      <xdr:col>79</xdr:col>
      <xdr:colOff>84001</xdr:colOff>
      <xdr:row>856</xdr:row>
      <xdr:rowOff>152405</xdr:rowOff>
    </xdr:to>
    <xdr:sp macro="" textlink="">
      <xdr:nvSpPr>
        <xdr:cNvPr id="575" name="554"/>
        <xdr:cNvSpPr/>
      </xdr:nvSpPr>
      <xdr:spPr>
        <a:xfrm>
          <a:off x="60260049" y="179412905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62049</xdr:colOff>
      <xdr:row>856</xdr:row>
      <xdr:rowOff>95255</xdr:rowOff>
    </xdr:from>
    <xdr:to>
      <xdr:col>79</xdr:col>
      <xdr:colOff>62049</xdr:colOff>
      <xdr:row>856</xdr:row>
      <xdr:rowOff>95255</xdr:rowOff>
    </xdr:to>
    <xdr:cxnSp macro="">
      <xdr:nvCxnSpPr>
        <xdr:cNvPr id="576" name="직선 화살표 연결선 575"/>
        <xdr:cNvCxnSpPr/>
      </xdr:nvCxnSpPr>
      <xdr:spPr>
        <a:xfrm>
          <a:off x="60260049" y="1794700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62049</xdr:colOff>
      <xdr:row>855</xdr:row>
      <xdr:rowOff>38105</xdr:rowOff>
    </xdr:from>
    <xdr:to>
      <xdr:col>79</xdr:col>
      <xdr:colOff>84001</xdr:colOff>
      <xdr:row>855</xdr:row>
      <xdr:rowOff>152405</xdr:rowOff>
    </xdr:to>
    <xdr:sp macro="" textlink="">
      <xdr:nvSpPr>
        <xdr:cNvPr id="577" name="553"/>
        <xdr:cNvSpPr/>
      </xdr:nvSpPr>
      <xdr:spPr>
        <a:xfrm>
          <a:off x="60260049" y="179203355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62049</xdr:colOff>
      <xdr:row>855</xdr:row>
      <xdr:rowOff>95255</xdr:rowOff>
    </xdr:from>
    <xdr:to>
      <xdr:col>79</xdr:col>
      <xdr:colOff>62049</xdr:colOff>
      <xdr:row>855</xdr:row>
      <xdr:rowOff>95255</xdr:rowOff>
    </xdr:to>
    <xdr:cxnSp macro="">
      <xdr:nvCxnSpPr>
        <xdr:cNvPr id="578" name="직선 화살표 연결선 577"/>
        <xdr:cNvCxnSpPr/>
      </xdr:nvCxnSpPr>
      <xdr:spPr>
        <a:xfrm>
          <a:off x="60260049" y="1792605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62049</xdr:colOff>
      <xdr:row>854</xdr:row>
      <xdr:rowOff>38105</xdr:rowOff>
    </xdr:from>
    <xdr:to>
      <xdr:col>82</xdr:col>
      <xdr:colOff>63319</xdr:colOff>
      <xdr:row>854</xdr:row>
      <xdr:rowOff>152405</xdr:rowOff>
    </xdr:to>
    <xdr:sp macro="" textlink="">
      <xdr:nvSpPr>
        <xdr:cNvPr id="579" name="552"/>
        <xdr:cNvSpPr/>
      </xdr:nvSpPr>
      <xdr:spPr>
        <a:xfrm>
          <a:off x="60260049" y="178993805"/>
          <a:ext cx="228727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62049</xdr:colOff>
      <xdr:row>854</xdr:row>
      <xdr:rowOff>95255</xdr:rowOff>
    </xdr:from>
    <xdr:to>
      <xdr:col>79</xdr:col>
      <xdr:colOff>62049</xdr:colOff>
      <xdr:row>854</xdr:row>
      <xdr:rowOff>95255</xdr:rowOff>
    </xdr:to>
    <xdr:cxnSp macro="">
      <xdr:nvCxnSpPr>
        <xdr:cNvPr id="580" name="직선 화살표 연결선 579"/>
        <xdr:cNvCxnSpPr/>
      </xdr:nvCxnSpPr>
      <xdr:spPr>
        <a:xfrm>
          <a:off x="60260049" y="1790509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82732</xdr:colOff>
      <xdr:row>853</xdr:row>
      <xdr:rowOff>38105</xdr:rowOff>
    </xdr:from>
    <xdr:to>
      <xdr:col>93</xdr:col>
      <xdr:colOff>104684</xdr:colOff>
      <xdr:row>853</xdr:row>
      <xdr:rowOff>152405</xdr:rowOff>
    </xdr:to>
    <xdr:sp macro="" textlink="">
      <xdr:nvSpPr>
        <xdr:cNvPr id="581" name="551"/>
        <xdr:cNvSpPr/>
      </xdr:nvSpPr>
      <xdr:spPr>
        <a:xfrm>
          <a:off x="70948732" y="178784255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82732</xdr:colOff>
      <xdr:row>853</xdr:row>
      <xdr:rowOff>95255</xdr:rowOff>
    </xdr:from>
    <xdr:to>
      <xdr:col>93</xdr:col>
      <xdr:colOff>82732</xdr:colOff>
      <xdr:row>853</xdr:row>
      <xdr:rowOff>95255</xdr:rowOff>
    </xdr:to>
    <xdr:cxnSp macro="">
      <xdr:nvCxnSpPr>
        <xdr:cNvPr id="582" name="직선 화살표 연결선 581"/>
        <xdr:cNvCxnSpPr/>
      </xdr:nvCxnSpPr>
      <xdr:spPr>
        <a:xfrm>
          <a:off x="70948732" y="1788414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62049</xdr:colOff>
      <xdr:row>852</xdr:row>
      <xdr:rowOff>38105</xdr:rowOff>
    </xdr:from>
    <xdr:to>
      <xdr:col>93</xdr:col>
      <xdr:colOff>84001</xdr:colOff>
      <xdr:row>852</xdr:row>
      <xdr:rowOff>152405</xdr:rowOff>
    </xdr:to>
    <xdr:sp macro="" textlink="">
      <xdr:nvSpPr>
        <xdr:cNvPr id="583" name="550"/>
        <xdr:cNvSpPr/>
      </xdr:nvSpPr>
      <xdr:spPr>
        <a:xfrm>
          <a:off x="70166049" y="178574705"/>
          <a:ext cx="78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62049</xdr:colOff>
      <xdr:row>852</xdr:row>
      <xdr:rowOff>95255</xdr:rowOff>
    </xdr:from>
    <xdr:to>
      <xdr:col>92</xdr:col>
      <xdr:colOff>62049</xdr:colOff>
      <xdr:row>852</xdr:row>
      <xdr:rowOff>95255</xdr:rowOff>
    </xdr:to>
    <xdr:cxnSp macro="">
      <xdr:nvCxnSpPr>
        <xdr:cNvPr id="584" name="직선 화살표 연결선 583"/>
        <xdr:cNvCxnSpPr/>
      </xdr:nvCxnSpPr>
      <xdr:spPr>
        <a:xfrm>
          <a:off x="70166049" y="1786318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851</xdr:row>
      <xdr:rowOff>38105</xdr:rowOff>
    </xdr:from>
    <xdr:to>
      <xdr:col>92</xdr:col>
      <xdr:colOff>63319</xdr:colOff>
      <xdr:row>851</xdr:row>
      <xdr:rowOff>152405</xdr:rowOff>
    </xdr:to>
    <xdr:sp macro="" textlink="">
      <xdr:nvSpPr>
        <xdr:cNvPr id="585" name="549"/>
        <xdr:cNvSpPr/>
      </xdr:nvSpPr>
      <xdr:spPr>
        <a:xfrm>
          <a:off x="70104000" y="178365155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0</xdr:colOff>
      <xdr:row>851</xdr:row>
      <xdr:rowOff>95255</xdr:rowOff>
    </xdr:from>
    <xdr:to>
      <xdr:col>92</xdr:col>
      <xdr:colOff>0</xdr:colOff>
      <xdr:row>851</xdr:row>
      <xdr:rowOff>95255</xdr:rowOff>
    </xdr:to>
    <xdr:cxnSp macro="">
      <xdr:nvCxnSpPr>
        <xdr:cNvPr id="586" name="직선 화살표 연결선 585"/>
        <xdr:cNvCxnSpPr/>
      </xdr:nvCxnSpPr>
      <xdr:spPr>
        <a:xfrm>
          <a:off x="70104000" y="1784223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82731</xdr:colOff>
      <xdr:row>850</xdr:row>
      <xdr:rowOff>38105</xdr:rowOff>
    </xdr:from>
    <xdr:to>
      <xdr:col>92</xdr:col>
      <xdr:colOff>1270</xdr:colOff>
      <xdr:row>850</xdr:row>
      <xdr:rowOff>152405</xdr:rowOff>
    </xdr:to>
    <xdr:sp macro="" textlink="">
      <xdr:nvSpPr>
        <xdr:cNvPr id="587" name="548"/>
        <xdr:cNvSpPr/>
      </xdr:nvSpPr>
      <xdr:spPr>
        <a:xfrm>
          <a:off x="69424731" y="178155605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82731</xdr:colOff>
      <xdr:row>850</xdr:row>
      <xdr:rowOff>95255</xdr:rowOff>
    </xdr:from>
    <xdr:to>
      <xdr:col>91</xdr:col>
      <xdr:colOff>82731</xdr:colOff>
      <xdr:row>850</xdr:row>
      <xdr:rowOff>95255</xdr:rowOff>
    </xdr:to>
    <xdr:cxnSp macro="">
      <xdr:nvCxnSpPr>
        <xdr:cNvPr id="588" name="직선 화살표 연결선 587"/>
        <xdr:cNvCxnSpPr/>
      </xdr:nvCxnSpPr>
      <xdr:spPr>
        <a:xfrm>
          <a:off x="69424731" y="1782127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82731</xdr:colOff>
      <xdr:row>849</xdr:row>
      <xdr:rowOff>38105</xdr:rowOff>
    </xdr:from>
    <xdr:to>
      <xdr:col>92</xdr:col>
      <xdr:colOff>1270</xdr:colOff>
      <xdr:row>849</xdr:row>
      <xdr:rowOff>152405</xdr:rowOff>
    </xdr:to>
    <xdr:sp macro="" textlink="">
      <xdr:nvSpPr>
        <xdr:cNvPr id="589" name="547"/>
        <xdr:cNvSpPr/>
      </xdr:nvSpPr>
      <xdr:spPr>
        <a:xfrm>
          <a:off x="69424731" y="177946055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82731</xdr:colOff>
      <xdr:row>849</xdr:row>
      <xdr:rowOff>95255</xdr:rowOff>
    </xdr:from>
    <xdr:to>
      <xdr:col>91</xdr:col>
      <xdr:colOff>82731</xdr:colOff>
      <xdr:row>849</xdr:row>
      <xdr:rowOff>95255</xdr:rowOff>
    </xdr:to>
    <xdr:cxnSp macro="">
      <xdr:nvCxnSpPr>
        <xdr:cNvPr id="590" name="직선 화살표 연결선 589"/>
        <xdr:cNvCxnSpPr/>
      </xdr:nvCxnSpPr>
      <xdr:spPr>
        <a:xfrm>
          <a:off x="69424731" y="1780032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82731</xdr:colOff>
      <xdr:row>848</xdr:row>
      <xdr:rowOff>38105</xdr:rowOff>
    </xdr:from>
    <xdr:to>
      <xdr:col>92</xdr:col>
      <xdr:colOff>1270</xdr:colOff>
      <xdr:row>848</xdr:row>
      <xdr:rowOff>152405</xdr:rowOff>
    </xdr:to>
    <xdr:sp macro="" textlink="">
      <xdr:nvSpPr>
        <xdr:cNvPr id="591" name="546"/>
        <xdr:cNvSpPr/>
      </xdr:nvSpPr>
      <xdr:spPr>
        <a:xfrm>
          <a:off x="69424731" y="177736505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82731</xdr:colOff>
      <xdr:row>848</xdr:row>
      <xdr:rowOff>95255</xdr:rowOff>
    </xdr:from>
    <xdr:to>
      <xdr:col>91</xdr:col>
      <xdr:colOff>82731</xdr:colOff>
      <xdr:row>848</xdr:row>
      <xdr:rowOff>95255</xdr:rowOff>
    </xdr:to>
    <xdr:cxnSp macro="">
      <xdr:nvCxnSpPr>
        <xdr:cNvPr id="592" name="직선 화살표 연결선 591"/>
        <xdr:cNvCxnSpPr/>
      </xdr:nvCxnSpPr>
      <xdr:spPr>
        <a:xfrm>
          <a:off x="69424731" y="1777936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124097</xdr:colOff>
      <xdr:row>847</xdr:row>
      <xdr:rowOff>38105</xdr:rowOff>
    </xdr:from>
    <xdr:to>
      <xdr:col>91</xdr:col>
      <xdr:colOff>84001</xdr:colOff>
      <xdr:row>847</xdr:row>
      <xdr:rowOff>152405</xdr:rowOff>
    </xdr:to>
    <xdr:sp macro="" textlink="">
      <xdr:nvSpPr>
        <xdr:cNvPr id="593" name="545"/>
        <xdr:cNvSpPr/>
      </xdr:nvSpPr>
      <xdr:spPr>
        <a:xfrm>
          <a:off x="68704097" y="177526955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124097</xdr:colOff>
      <xdr:row>847</xdr:row>
      <xdr:rowOff>95255</xdr:rowOff>
    </xdr:from>
    <xdr:to>
      <xdr:col>90</xdr:col>
      <xdr:colOff>124097</xdr:colOff>
      <xdr:row>847</xdr:row>
      <xdr:rowOff>95255</xdr:rowOff>
    </xdr:to>
    <xdr:cxnSp macro="">
      <xdr:nvCxnSpPr>
        <xdr:cNvPr id="594" name="직선 화살표 연결선 593"/>
        <xdr:cNvCxnSpPr/>
      </xdr:nvCxnSpPr>
      <xdr:spPr>
        <a:xfrm>
          <a:off x="68704097" y="1775841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103415</xdr:colOff>
      <xdr:row>846</xdr:row>
      <xdr:rowOff>38105</xdr:rowOff>
    </xdr:from>
    <xdr:to>
      <xdr:col>90</xdr:col>
      <xdr:colOff>125367</xdr:colOff>
      <xdr:row>846</xdr:row>
      <xdr:rowOff>152405</xdr:rowOff>
    </xdr:to>
    <xdr:sp macro="" textlink="">
      <xdr:nvSpPr>
        <xdr:cNvPr id="595" name="544"/>
        <xdr:cNvSpPr/>
      </xdr:nvSpPr>
      <xdr:spPr>
        <a:xfrm>
          <a:off x="68683415" y="177317405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103415</xdr:colOff>
      <xdr:row>846</xdr:row>
      <xdr:rowOff>95255</xdr:rowOff>
    </xdr:from>
    <xdr:to>
      <xdr:col>90</xdr:col>
      <xdr:colOff>103415</xdr:colOff>
      <xdr:row>846</xdr:row>
      <xdr:rowOff>95255</xdr:rowOff>
    </xdr:to>
    <xdr:cxnSp macro="">
      <xdr:nvCxnSpPr>
        <xdr:cNvPr id="596" name="직선 화살표 연결선 595"/>
        <xdr:cNvCxnSpPr/>
      </xdr:nvCxnSpPr>
      <xdr:spPr>
        <a:xfrm>
          <a:off x="68683415" y="17737455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103415</xdr:colOff>
      <xdr:row>845</xdr:row>
      <xdr:rowOff>38105</xdr:rowOff>
    </xdr:from>
    <xdr:to>
      <xdr:col>90</xdr:col>
      <xdr:colOff>125367</xdr:colOff>
      <xdr:row>845</xdr:row>
      <xdr:rowOff>152405</xdr:rowOff>
    </xdr:to>
    <xdr:sp macro="" textlink="">
      <xdr:nvSpPr>
        <xdr:cNvPr id="597" name="543"/>
        <xdr:cNvSpPr/>
      </xdr:nvSpPr>
      <xdr:spPr>
        <a:xfrm>
          <a:off x="68683415" y="177107855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103415</xdr:colOff>
      <xdr:row>845</xdr:row>
      <xdr:rowOff>95255</xdr:rowOff>
    </xdr:from>
    <xdr:to>
      <xdr:col>90</xdr:col>
      <xdr:colOff>103415</xdr:colOff>
      <xdr:row>845</xdr:row>
      <xdr:rowOff>95255</xdr:rowOff>
    </xdr:to>
    <xdr:cxnSp macro="">
      <xdr:nvCxnSpPr>
        <xdr:cNvPr id="598" name="직선 화살표 연결선 597"/>
        <xdr:cNvCxnSpPr/>
      </xdr:nvCxnSpPr>
      <xdr:spPr>
        <a:xfrm>
          <a:off x="68683415" y="177165005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103415</xdr:colOff>
      <xdr:row>844</xdr:row>
      <xdr:rowOff>38099</xdr:rowOff>
    </xdr:from>
    <xdr:to>
      <xdr:col>93</xdr:col>
      <xdr:colOff>104684</xdr:colOff>
      <xdr:row>844</xdr:row>
      <xdr:rowOff>152399</xdr:rowOff>
    </xdr:to>
    <xdr:sp macro="" textlink="">
      <xdr:nvSpPr>
        <xdr:cNvPr id="599" name="542"/>
        <xdr:cNvSpPr/>
      </xdr:nvSpPr>
      <xdr:spPr>
        <a:xfrm>
          <a:off x="68683415" y="176898299"/>
          <a:ext cx="228726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103415</xdr:colOff>
      <xdr:row>844</xdr:row>
      <xdr:rowOff>95249</xdr:rowOff>
    </xdr:from>
    <xdr:to>
      <xdr:col>90</xdr:col>
      <xdr:colOff>103415</xdr:colOff>
      <xdr:row>844</xdr:row>
      <xdr:rowOff>95249</xdr:rowOff>
    </xdr:to>
    <xdr:cxnSp macro="">
      <xdr:nvCxnSpPr>
        <xdr:cNvPr id="600" name="직선 화살표 연결선 599"/>
        <xdr:cNvCxnSpPr/>
      </xdr:nvCxnSpPr>
      <xdr:spPr>
        <a:xfrm>
          <a:off x="68683415" y="176955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62049</xdr:colOff>
      <xdr:row>843</xdr:row>
      <xdr:rowOff>38099</xdr:rowOff>
    </xdr:from>
    <xdr:to>
      <xdr:col>79</xdr:col>
      <xdr:colOff>84001</xdr:colOff>
      <xdr:row>843</xdr:row>
      <xdr:rowOff>152399</xdr:rowOff>
    </xdr:to>
    <xdr:sp macro="" textlink="">
      <xdr:nvSpPr>
        <xdr:cNvPr id="601" name="541"/>
        <xdr:cNvSpPr/>
      </xdr:nvSpPr>
      <xdr:spPr>
        <a:xfrm>
          <a:off x="60260049" y="17668874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62049</xdr:colOff>
      <xdr:row>843</xdr:row>
      <xdr:rowOff>95249</xdr:rowOff>
    </xdr:from>
    <xdr:to>
      <xdr:col>79</xdr:col>
      <xdr:colOff>62049</xdr:colOff>
      <xdr:row>843</xdr:row>
      <xdr:rowOff>95249</xdr:rowOff>
    </xdr:to>
    <xdr:cxnSp macro="">
      <xdr:nvCxnSpPr>
        <xdr:cNvPr id="602" name="직선 화살표 연결선 601"/>
        <xdr:cNvCxnSpPr/>
      </xdr:nvCxnSpPr>
      <xdr:spPr>
        <a:xfrm>
          <a:off x="60260049" y="176745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62048</xdr:colOff>
      <xdr:row>842</xdr:row>
      <xdr:rowOff>38099</xdr:rowOff>
    </xdr:from>
    <xdr:to>
      <xdr:col>79</xdr:col>
      <xdr:colOff>63318</xdr:colOff>
      <xdr:row>842</xdr:row>
      <xdr:rowOff>152399</xdr:rowOff>
    </xdr:to>
    <xdr:sp macro="" textlink="">
      <xdr:nvSpPr>
        <xdr:cNvPr id="603" name="540"/>
        <xdr:cNvSpPr/>
      </xdr:nvSpPr>
      <xdr:spPr>
        <a:xfrm>
          <a:off x="59498048" y="176479199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62048</xdr:colOff>
      <xdr:row>842</xdr:row>
      <xdr:rowOff>95249</xdr:rowOff>
    </xdr:from>
    <xdr:to>
      <xdr:col>78</xdr:col>
      <xdr:colOff>62048</xdr:colOff>
      <xdr:row>842</xdr:row>
      <xdr:rowOff>95249</xdr:rowOff>
    </xdr:to>
    <xdr:cxnSp macro="">
      <xdr:nvCxnSpPr>
        <xdr:cNvPr id="604" name="직선 화살표 연결선 603"/>
        <xdr:cNvCxnSpPr/>
      </xdr:nvCxnSpPr>
      <xdr:spPr>
        <a:xfrm>
          <a:off x="59498048" y="176536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841</xdr:row>
      <xdr:rowOff>38099</xdr:rowOff>
    </xdr:from>
    <xdr:to>
      <xdr:col>78</xdr:col>
      <xdr:colOff>63318</xdr:colOff>
      <xdr:row>841</xdr:row>
      <xdr:rowOff>152399</xdr:rowOff>
    </xdr:to>
    <xdr:sp macro="" textlink="">
      <xdr:nvSpPr>
        <xdr:cNvPr id="605" name="539"/>
        <xdr:cNvSpPr/>
      </xdr:nvSpPr>
      <xdr:spPr>
        <a:xfrm>
          <a:off x="59436000" y="17626964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0</xdr:colOff>
      <xdr:row>841</xdr:row>
      <xdr:rowOff>95249</xdr:rowOff>
    </xdr:from>
    <xdr:to>
      <xdr:col>78</xdr:col>
      <xdr:colOff>0</xdr:colOff>
      <xdr:row>841</xdr:row>
      <xdr:rowOff>95249</xdr:rowOff>
    </xdr:to>
    <xdr:cxnSp macro="">
      <xdr:nvCxnSpPr>
        <xdr:cNvPr id="606" name="직선 화살표 연결선 605"/>
        <xdr:cNvCxnSpPr/>
      </xdr:nvCxnSpPr>
      <xdr:spPr>
        <a:xfrm>
          <a:off x="59436000" y="176326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82731</xdr:colOff>
      <xdr:row>840</xdr:row>
      <xdr:rowOff>38099</xdr:rowOff>
    </xdr:from>
    <xdr:to>
      <xdr:col>78</xdr:col>
      <xdr:colOff>1270</xdr:colOff>
      <xdr:row>840</xdr:row>
      <xdr:rowOff>152399</xdr:rowOff>
    </xdr:to>
    <xdr:sp macro="" textlink="">
      <xdr:nvSpPr>
        <xdr:cNvPr id="607" name="538"/>
        <xdr:cNvSpPr/>
      </xdr:nvSpPr>
      <xdr:spPr>
        <a:xfrm>
          <a:off x="58756731" y="17606009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82731</xdr:colOff>
      <xdr:row>840</xdr:row>
      <xdr:rowOff>95249</xdr:rowOff>
    </xdr:from>
    <xdr:to>
      <xdr:col>77</xdr:col>
      <xdr:colOff>82731</xdr:colOff>
      <xdr:row>840</xdr:row>
      <xdr:rowOff>95249</xdr:rowOff>
    </xdr:to>
    <xdr:cxnSp macro="">
      <xdr:nvCxnSpPr>
        <xdr:cNvPr id="608" name="직선 화살표 연결선 607"/>
        <xdr:cNvCxnSpPr/>
      </xdr:nvCxnSpPr>
      <xdr:spPr>
        <a:xfrm>
          <a:off x="58756731" y="176117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82731</xdr:colOff>
      <xdr:row>839</xdr:row>
      <xdr:rowOff>38099</xdr:rowOff>
    </xdr:from>
    <xdr:to>
      <xdr:col>78</xdr:col>
      <xdr:colOff>1270</xdr:colOff>
      <xdr:row>839</xdr:row>
      <xdr:rowOff>152399</xdr:rowOff>
    </xdr:to>
    <xdr:sp macro="" textlink="">
      <xdr:nvSpPr>
        <xdr:cNvPr id="609" name="537"/>
        <xdr:cNvSpPr/>
      </xdr:nvSpPr>
      <xdr:spPr>
        <a:xfrm>
          <a:off x="58756731" y="17585054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82731</xdr:colOff>
      <xdr:row>839</xdr:row>
      <xdr:rowOff>95249</xdr:rowOff>
    </xdr:from>
    <xdr:to>
      <xdr:col>77</xdr:col>
      <xdr:colOff>82731</xdr:colOff>
      <xdr:row>839</xdr:row>
      <xdr:rowOff>95249</xdr:rowOff>
    </xdr:to>
    <xdr:cxnSp macro="">
      <xdr:nvCxnSpPr>
        <xdr:cNvPr id="610" name="직선 화살표 연결선 609"/>
        <xdr:cNvCxnSpPr/>
      </xdr:nvCxnSpPr>
      <xdr:spPr>
        <a:xfrm>
          <a:off x="58756731" y="175907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82731</xdr:colOff>
      <xdr:row>838</xdr:row>
      <xdr:rowOff>38099</xdr:rowOff>
    </xdr:from>
    <xdr:to>
      <xdr:col>78</xdr:col>
      <xdr:colOff>1270</xdr:colOff>
      <xdr:row>838</xdr:row>
      <xdr:rowOff>152399</xdr:rowOff>
    </xdr:to>
    <xdr:sp macro="" textlink="">
      <xdr:nvSpPr>
        <xdr:cNvPr id="611" name="536"/>
        <xdr:cNvSpPr/>
      </xdr:nvSpPr>
      <xdr:spPr>
        <a:xfrm>
          <a:off x="58756731" y="17564099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82731</xdr:colOff>
      <xdr:row>838</xdr:row>
      <xdr:rowOff>95249</xdr:rowOff>
    </xdr:from>
    <xdr:to>
      <xdr:col>77</xdr:col>
      <xdr:colOff>82731</xdr:colOff>
      <xdr:row>838</xdr:row>
      <xdr:rowOff>95249</xdr:rowOff>
    </xdr:to>
    <xdr:cxnSp macro="">
      <xdr:nvCxnSpPr>
        <xdr:cNvPr id="612" name="직선 화살표 연결선 611"/>
        <xdr:cNvCxnSpPr/>
      </xdr:nvCxnSpPr>
      <xdr:spPr>
        <a:xfrm>
          <a:off x="58756731" y="175698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103414</xdr:colOff>
      <xdr:row>837</xdr:row>
      <xdr:rowOff>38099</xdr:rowOff>
    </xdr:from>
    <xdr:to>
      <xdr:col>77</xdr:col>
      <xdr:colOff>84001</xdr:colOff>
      <xdr:row>837</xdr:row>
      <xdr:rowOff>152399</xdr:rowOff>
    </xdr:to>
    <xdr:sp macro="" textlink="">
      <xdr:nvSpPr>
        <xdr:cNvPr id="613" name="535"/>
        <xdr:cNvSpPr/>
      </xdr:nvSpPr>
      <xdr:spPr>
        <a:xfrm>
          <a:off x="58015414" y="175431449"/>
          <a:ext cx="7425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103414</xdr:colOff>
      <xdr:row>837</xdr:row>
      <xdr:rowOff>95249</xdr:rowOff>
    </xdr:from>
    <xdr:to>
      <xdr:col>76</xdr:col>
      <xdr:colOff>103414</xdr:colOff>
      <xdr:row>837</xdr:row>
      <xdr:rowOff>95249</xdr:rowOff>
    </xdr:to>
    <xdr:cxnSp macro="">
      <xdr:nvCxnSpPr>
        <xdr:cNvPr id="614" name="직선 화살표 연결선 613"/>
        <xdr:cNvCxnSpPr/>
      </xdr:nvCxnSpPr>
      <xdr:spPr>
        <a:xfrm>
          <a:off x="58015414" y="175488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836</xdr:row>
      <xdr:rowOff>38099</xdr:rowOff>
    </xdr:from>
    <xdr:to>
      <xdr:col>76</xdr:col>
      <xdr:colOff>104684</xdr:colOff>
      <xdr:row>836</xdr:row>
      <xdr:rowOff>152399</xdr:rowOff>
    </xdr:to>
    <xdr:sp macro="" textlink="">
      <xdr:nvSpPr>
        <xdr:cNvPr id="615" name="534"/>
        <xdr:cNvSpPr/>
      </xdr:nvSpPr>
      <xdr:spPr>
        <a:xfrm>
          <a:off x="57994731" y="17522189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836</xdr:row>
      <xdr:rowOff>95249</xdr:rowOff>
    </xdr:from>
    <xdr:to>
      <xdr:col>76</xdr:col>
      <xdr:colOff>82731</xdr:colOff>
      <xdr:row>836</xdr:row>
      <xdr:rowOff>95249</xdr:rowOff>
    </xdr:to>
    <xdr:cxnSp macro="">
      <xdr:nvCxnSpPr>
        <xdr:cNvPr id="616" name="직선 화살표 연결선 615"/>
        <xdr:cNvCxnSpPr/>
      </xdr:nvCxnSpPr>
      <xdr:spPr>
        <a:xfrm>
          <a:off x="57994731" y="175279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835</xdr:row>
      <xdr:rowOff>38099</xdr:rowOff>
    </xdr:from>
    <xdr:to>
      <xdr:col>76</xdr:col>
      <xdr:colOff>104684</xdr:colOff>
      <xdr:row>835</xdr:row>
      <xdr:rowOff>152399</xdr:rowOff>
    </xdr:to>
    <xdr:sp macro="" textlink="">
      <xdr:nvSpPr>
        <xdr:cNvPr id="617" name="533"/>
        <xdr:cNvSpPr/>
      </xdr:nvSpPr>
      <xdr:spPr>
        <a:xfrm>
          <a:off x="57994731" y="17501234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835</xdr:row>
      <xdr:rowOff>95249</xdr:rowOff>
    </xdr:from>
    <xdr:to>
      <xdr:col>76</xdr:col>
      <xdr:colOff>82731</xdr:colOff>
      <xdr:row>835</xdr:row>
      <xdr:rowOff>95249</xdr:rowOff>
    </xdr:to>
    <xdr:cxnSp macro="">
      <xdr:nvCxnSpPr>
        <xdr:cNvPr id="618" name="직선 화살표 연결선 617"/>
        <xdr:cNvCxnSpPr/>
      </xdr:nvCxnSpPr>
      <xdr:spPr>
        <a:xfrm>
          <a:off x="57994731" y="175069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834</xdr:row>
      <xdr:rowOff>38099</xdr:rowOff>
    </xdr:from>
    <xdr:to>
      <xdr:col>79</xdr:col>
      <xdr:colOff>84001</xdr:colOff>
      <xdr:row>834</xdr:row>
      <xdr:rowOff>152399</xdr:rowOff>
    </xdr:to>
    <xdr:sp macro="" textlink="">
      <xdr:nvSpPr>
        <xdr:cNvPr id="619" name="532"/>
        <xdr:cNvSpPr/>
      </xdr:nvSpPr>
      <xdr:spPr>
        <a:xfrm>
          <a:off x="57994731" y="174802799"/>
          <a:ext cx="228727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834</xdr:row>
      <xdr:rowOff>95249</xdr:rowOff>
    </xdr:from>
    <xdr:to>
      <xdr:col>76</xdr:col>
      <xdr:colOff>82731</xdr:colOff>
      <xdr:row>834</xdr:row>
      <xdr:rowOff>95249</xdr:rowOff>
    </xdr:to>
    <xdr:cxnSp macro="">
      <xdr:nvCxnSpPr>
        <xdr:cNvPr id="620" name="직선 화살표 연결선 619"/>
        <xdr:cNvCxnSpPr/>
      </xdr:nvCxnSpPr>
      <xdr:spPr>
        <a:xfrm>
          <a:off x="57994731" y="174859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833</xdr:row>
      <xdr:rowOff>38099</xdr:rowOff>
    </xdr:from>
    <xdr:to>
      <xdr:col>89</xdr:col>
      <xdr:colOff>104684</xdr:colOff>
      <xdr:row>833</xdr:row>
      <xdr:rowOff>152399</xdr:rowOff>
    </xdr:to>
    <xdr:sp macro="" textlink="">
      <xdr:nvSpPr>
        <xdr:cNvPr id="621" name="531"/>
        <xdr:cNvSpPr/>
      </xdr:nvSpPr>
      <xdr:spPr>
        <a:xfrm>
          <a:off x="67900732" y="17459324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833</xdr:row>
      <xdr:rowOff>95249</xdr:rowOff>
    </xdr:from>
    <xdr:to>
      <xdr:col>89</xdr:col>
      <xdr:colOff>82732</xdr:colOff>
      <xdr:row>833</xdr:row>
      <xdr:rowOff>95249</xdr:rowOff>
    </xdr:to>
    <xdr:cxnSp macro="">
      <xdr:nvCxnSpPr>
        <xdr:cNvPr id="622" name="직선 화살표 연결선 621"/>
        <xdr:cNvCxnSpPr/>
      </xdr:nvCxnSpPr>
      <xdr:spPr>
        <a:xfrm>
          <a:off x="67900732" y="174650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832</xdr:row>
      <xdr:rowOff>38099</xdr:rowOff>
    </xdr:from>
    <xdr:to>
      <xdr:col>89</xdr:col>
      <xdr:colOff>104684</xdr:colOff>
      <xdr:row>832</xdr:row>
      <xdr:rowOff>152399</xdr:rowOff>
    </xdr:to>
    <xdr:sp macro="" textlink="">
      <xdr:nvSpPr>
        <xdr:cNvPr id="623" name="530"/>
        <xdr:cNvSpPr/>
      </xdr:nvSpPr>
      <xdr:spPr>
        <a:xfrm>
          <a:off x="67900732" y="17438369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832</xdr:row>
      <xdr:rowOff>95249</xdr:rowOff>
    </xdr:from>
    <xdr:to>
      <xdr:col>89</xdr:col>
      <xdr:colOff>82732</xdr:colOff>
      <xdr:row>832</xdr:row>
      <xdr:rowOff>95249</xdr:rowOff>
    </xdr:to>
    <xdr:cxnSp macro="">
      <xdr:nvCxnSpPr>
        <xdr:cNvPr id="624" name="직선 화살표 연결선 623"/>
        <xdr:cNvCxnSpPr/>
      </xdr:nvCxnSpPr>
      <xdr:spPr>
        <a:xfrm>
          <a:off x="67900732" y="174440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831</xdr:row>
      <xdr:rowOff>38099</xdr:rowOff>
    </xdr:from>
    <xdr:to>
      <xdr:col>89</xdr:col>
      <xdr:colOff>104684</xdr:colOff>
      <xdr:row>831</xdr:row>
      <xdr:rowOff>152399</xdr:rowOff>
    </xdr:to>
    <xdr:sp macro="" textlink="">
      <xdr:nvSpPr>
        <xdr:cNvPr id="625" name="529"/>
        <xdr:cNvSpPr/>
      </xdr:nvSpPr>
      <xdr:spPr>
        <a:xfrm>
          <a:off x="67900732" y="17417414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831</xdr:row>
      <xdr:rowOff>95249</xdr:rowOff>
    </xdr:from>
    <xdr:to>
      <xdr:col>89</xdr:col>
      <xdr:colOff>82732</xdr:colOff>
      <xdr:row>831</xdr:row>
      <xdr:rowOff>95249</xdr:rowOff>
    </xdr:to>
    <xdr:cxnSp macro="">
      <xdr:nvCxnSpPr>
        <xdr:cNvPr id="626" name="직선 화살표 연결선 625"/>
        <xdr:cNvCxnSpPr/>
      </xdr:nvCxnSpPr>
      <xdr:spPr>
        <a:xfrm>
          <a:off x="67900732" y="174231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41366</xdr:colOff>
      <xdr:row>830</xdr:row>
      <xdr:rowOff>38099</xdr:rowOff>
    </xdr:from>
    <xdr:to>
      <xdr:col>89</xdr:col>
      <xdr:colOff>84002</xdr:colOff>
      <xdr:row>830</xdr:row>
      <xdr:rowOff>152399</xdr:rowOff>
    </xdr:to>
    <xdr:sp macro="" textlink="">
      <xdr:nvSpPr>
        <xdr:cNvPr id="627" name="528"/>
        <xdr:cNvSpPr/>
      </xdr:nvSpPr>
      <xdr:spPr>
        <a:xfrm>
          <a:off x="67859366" y="1739645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830</xdr:row>
      <xdr:rowOff>95249</xdr:rowOff>
    </xdr:from>
    <xdr:to>
      <xdr:col>89</xdr:col>
      <xdr:colOff>41366</xdr:colOff>
      <xdr:row>830</xdr:row>
      <xdr:rowOff>95249</xdr:rowOff>
    </xdr:to>
    <xdr:cxnSp macro="">
      <xdr:nvCxnSpPr>
        <xdr:cNvPr id="628" name="직선 화살표 연결선 627"/>
        <xdr:cNvCxnSpPr/>
      </xdr:nvCxnSpPr>
      <xdr:spPr>
        <a:xfrm>
          <a:off x="67859366" y="174021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829</xdr:row>
      <xdr:rowOff>38099</xdr:rowOff>
    </xdr:from>
    <xdr:to>
      <xdr:col>89</xdr:col>
      <xdr:colOff>42635</xdr:colOff>
      <xdr:row>829</xdr:row>
      <xdr:rowOff>152399</xdr:rowOff>
    </xdr:to>
    <xdr:sp macro="" textlink="">
      <xdr:nvSpPr>
        <xdr:cNvPr id="629" name="527"/>
        <xdr:cNvSpPr/>
      </xdr:nvSpPr>
      <xdr:spPr>
        <a:xfrm>
          <a:off x="67118049" y="17375504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829</xdr:row>
      <xdr:rowOff>95249</xdr:rowOff>
    </xdr:from>
    <xdr:to>
      <xdr:col>88</xdr:col>
      <xdr:colOff>62049</xdr:colOff>
      <xdr:row>829</xdr:row>
      <xdr:rowOff>95249</xdr:rowOff>
    </xdr:to>
    <xdr:cxnSp macro="">
      <xdr:nvCxnSpPr>
        <xdr:cNvPr id="630" name="직선 화살표 연결선 629"/>
        <xdr:cNvCxnSpPr/>
      </xdr:nvCxnSpPr>
      <xdr:spPr>
        <a:xfrm>
          <a:off x="67118049" y="173812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828</xdr:row>
      <xdr:rowOff>38099</xdr:rowOff>
    </xdr:from>
    <xdr:to>
      <xdr:col>88</xdr:col>
      <xdr:colOff>63319</xdr:colOff>
      <xdr:row>828</xdr:row>
      <xdr:rowOff>152399</xdr:rowOff>
    </xdr:to>
    <xdr:sp macro="" textlink="">
      <xdr:nvSpPr>
        <xdr:cNvPr id="631" name="526"/>
        <xdr:cNvSpPr/>
      </xdr:nvSpPr>
      <xdr:spPr>
        <a:xfrm>
          <a:off x="67056000" y="17354549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828</xdr:row>
      <xdr:rowOff>95249</xdr:rowOff>
    </xdr:from>
    <xdr:to>
      <xdr:col>88</xdr:col>
      <xdr:colOff>0</xdr:colOff>
      <xdr:row>828</xdr:row>
      <xdr:rowOff>95249</xdr:rowOff>
    </xdr:to>
    <xdr:cxnSp macro="">
      <xdr:nvCxnSpPr>
        <xdr:cNvPr id="632" name="직선 화살표 연결선 631"/>
        <xdr:cNvCxnSpPr/>
      </xdr:nvCxnSpPr>
      <xdr:spPr>
        <a:xfrm>
          <a:off x="67056000" y="173602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827</xdr:row>
      <xdr:rowOff>38099</xdr:rowOff>
    </xdr:from>
    <xdr:to>
      <xdr:col>88</xdr:col>
      <xdr:colOff>63319</xdr:colOff>
      <xdr:row>827</xdr:row>
      <xdr:rowOff>152399</xdr:rowOff>
    </xdr:to>
    <xdr:sp macro="" textlink="">
      <xdr:nvSpPr>
        <xdr:cNvPr id="633" name="525"/>
        <xdr:cNvSpPr/>
      </xdr:nvSpPr>
      <xdr:spPr>
        <a:xfrm>
          <a:off x="67056000" y="1733359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827</xdr:row>
      <xdr:rowOff>95249</xdr:rowOff>
    </xdr:from>
    <xdr:to>
      <xdr:col>88</xdr:col>
      <xdr:colOff>0</xdr:colOff>
      <xdr:row>827</xdr:row>
      <xdr:rowOff>95249</xdr:rowOff>
    </xdr:to>
    <xdr:cxnSp macro="">
      <xdr:nvCxnSpPr>
        <xdr:cNvPr id="634" name="직선 화살표 연결선 633"/>
        <xdr:cNvCxnSpPr/>
      </xdr:nvCxnSpPr>
      <xdr:spPr>
        <a:xfrm>
          <a:off x="67056000" y="173393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826</xdr:row>
      <xdr:rowOff>38099</xdr:rowOff>
    </xdr:from>
    <xdr:to>
      <xdr:col>88</xdr:col>
      <xdr:colOff>1270</xdr:colOff>
      <xdr:row>826</xdr:row>
      <xdr:rowOff>152399</xdr:rowOff>
    </xdr:to>
    <xdr:sp macro="" textlink="">
      <xdr:nvSpPr>
        <xdr:cNvPr id="635" name="524"/>
        <xdr:cNvSpPr/>
      </xdr:nvSpPr>
      <xdr:spPr>
        <a:xfrm>
          <a:off x="66376731" y="17312639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826</xdr:row>
      <xdr:rowOff>95249</xdr:rowOff>
    </xdr:from>
    <xdr:to>
      <xdr:col>87</xdr:col>
      <xdr:colOff>82731</xdr:colOff>
      <xdr:row>826</xdr:row>
      <xdr:rowOff>95249</xdr:rowOff>
    </xdr:to>
    <xdr:cxnSp macro="">
      <xdr:nvCxnSpPr>
        <xdr:cNvPr id="636" name="직선 화살표 연결선 635"/>
        <xdr:cNvCxnSpPr/>
      </xdr:nvCxnSpPr>
      <xdr:spPr>
        <a:xfrm>
          <a:off x="66376731" y="173183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825</xdr:row>
      <xdr:rowOff>38099</xdr:rowOff>
    </xdr:from>
    <xdr:to>
      <xdr:col>88</xdr:col>
      <xdr:colOff>21952</xdr:colOff>
      <xdr:row>825</xdr:row>
      <xdr:rowOff>152399</xdr:rowOff>
    </xdr:to>
    <xdr:sp macro="" textlink="">
      <xdr:nvSpPr>
        <xdr:cNvPr id="637" name="523"/>
        <xdr:cNvSpPr/>
      </xdr:nvSpPr>
      <xdr:spPr>
        <a:xfrm>
          <a:off x="66376731" y="1729168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825</xdr:row>
      <xdr:rowOff>95249</xdr:rowOff>
    </xdr:from>
    <xdr:to>
      <xdr:col>87</xdr:col>
      <xdr:colOff>82731</xdr:colOff>
      <xdr:row>825</xdr:row>
      <xdr:rowOff>95249</xdr:rowOff>
    </xdr:to>
    <xdr:cxnSp macro="">
      <xdr:nvCxnSpPr>
        <xdr:cNvPr id="638" name="직선 화살표 연결선 637"/>
        <xdr:cNvCxnSpPr/>
      </xdr:nvCxnSpPr>
      <xdr:spPr>
        <a:xfrm>
          <a:off x="66376731" y="172973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824</xdr:row>
      <xdr:rowOff>38099</xdr:rowOff>
    </xdr:from>
    <xdr:to>
      <xdr:col>88</xdr:col>
      <xdr:colOff>1270</xdr:colOff>
      <xdr:row>824</xdr:row>
      <xdr:rowOff>152399</xdr:rowOff>
    </xdr:to>
    <xdr:sp macro="" textlink="">
      <xdr:nvSpPr>
        <xdr:cNvPr id="639" name="522"/>
        <xdr:cNvSpPr/>
      </xdr:nvSpPr>
      <xdr:spPr>
        <a:xfrm>
          <a:off x="66376731" y="17270729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824</xdr:row>
      <xdr:rowOff>95249</xdr:rowOff>
    </xdr:from>
    <xdr:to>
      <xdr:col>87</xdr:col>
      <xdr:colOff>82731</xdr:colOff>
      <xdr:row>824</xdr:row>
      <xdr:rowOff>95249</xdr:rowOff>
    </xdr:to>
    <xdr:cxnSp macro="">
      <xdr:nvCxnSpPr>
        <xdr:cNvPr id="640" name="직선 화살표 연결선 639"/>
        <xdr:cNvCxnSpPr/>
      </xdr:nvCxnSpPr>
      <xdr:spPr>
        <a:xfrm>
          <a:off x="66376731" y="172764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124098</xdr:colOff>
      <xdr:row>823</xdr:row>
      <xdr:rowOff>38099</xdr:rowOff>
    </xdr:from>
    <xdr:to>
      <xdr:col>87</xdr:col>
      <xdr:colOff>84001</xdr:colOff>
      <xdr:row>823</xdr:row>
      <xdr:rowOff>152399</xdr:rowOff>
    </xdr:to>
    <xdr:sp macro="" textlink="">
      <xdr:nvSpPr>
        <xdr:cNvPr id="641" name="521"/>
        <xdr:cNvSpPr/>
      </xdr:nvSpPr>
      <xdr:spPr>
        <a:xfrm>
          <a:off x="65656098" y="172497749"/>
          <a:ext cx="7219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124098</xdr:colOff>
      <xdr:row>823</xdr:row>
      <xdr:rowOff>95249</xdr:rowOff>
    </xdr:from>
    <xdr:to>
      <xdr:col>86</xdr:col>
      <xdr:colOff>124098</xdr:colOff>
      <xdr:row>823</xdr:row>
      <xdr:rowOff>95249</xdr:rowOff>
    </xdr:to>
    <xdr:cxnSp macro="">
      <xdr:nvCxnSpPr>
        <xdr:cNvPr id="642" name="직선 화살표 연결선 641"/>
        <xdr:cNvCxnSpPr/>
      </xdr:nvCxnSpPr>
      <xdr:spPr>
        <a:xfrm>
          <a:off x="65656098" y="172554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103414</xdr:colOff>
      <xdr:row>822</xdr:row>
      <xdr:rowOff>38099</xdr:rowOff>
    </xdr:from>
    <xdr:to>
      <xdr:col>86</xdr:col>
      <xdr:colOff>125367</xdr:colOff>
      <xdr:row>822</xdr:row>
      <xdr:rowOff>152399</xdr:rowOff>
    </xdr:to>
    <xdr:sp macro="" textlink="">
      <xdr:nvSpPr>
        <xdr:cNvPr id="643" name="520"/>
        <xdr:cNvSpPr/>
      </xdr:nvSpPr>
      <xdr:spPr>
        <a:xfrm>
          <a:off x="65635414" y="17228819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103414</xdr:colOff>
      <xdr:row>822</xdr:row>
      <xdr:rowOff>95249</xdr:rowOff>
    </xdr:from>
    <xdr:to>
      <xdr:col>86</xdr:col>
      <xdr:colOff>103414</xdr:colOff>
      <xdr:row>822</xdr:row>
      <xdr:rowOff>95249</xdr:rowOff>
    </xdr:to>
    <xdr:cxnSp macro="">
      <xdr:nvCxnSpPr>
        <xdr:cNvPr id="644" name="직선 화살표 연결선 643"/>
        <xdr:cNvCxnSpPr/>
      </xdr:nvCxnSpPr>
      <xdr:spPr>
        <a:xfrm>
          <a:off x="65635414" y="172345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103414</xdr:colOff>
      <xdr:row>821</xdr:row>
      <xdr:rowOff>38099</xdr:rowOff>
    </xdr:from>
    <xdr:to>
      <xdr:col>86</xdr:col>
      <xdr:colOff>125367</xdr:colOff>
      <xdr:row>821</xdr:row>
      <xdr:rowOff>152399</xdr:rowOff>
    </xdr:to>
    <xdr:sp macro="" textlink="">
      <xdr:nvSpPr>
        <xdr:cNvPr id="645" name="519"/>
        <xdr:cNvSpPr/>
      </xdr:nvSpPr>
      <xdr:spPr>
        <a:xfrm>
          <a:off x="65635414" y="17207864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103414</xdr:colOff>
      <xdr:row>821</xdr:row>
      <xdr:rowOff>95249</xdr:rowOff>
    </xdr:from>
    <xdr:to>
      <xdr:col>86</xdr:col>
      <xdr:colOff>103414</xdr:colOff>
      <xdr:row>821</xdr:row>
      <xdr:rowOff>95249</xdr:rowOff>
    </xdr:to>
    <xdr:cxnSp macro="">
      <xdr:nvCxnSpPr>
        <xdr:cNvPr id="646" name="직선 화살표 연결선 645"/>
        <xdr:cNvCxnSpPr/>
      </xdr:nvCxnSpPr>
      <xdr:spPr>
        <a:xfrm>
          <a:off x="65635414" y="172135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103414</xdr:colOff>
      <xdr:row>820</xdr:row>
      <xdr:rowOff>38099</xdr:rowOff>
    </xdr:from>
    <xdr:to>
      <xdr:col>89</xdr:col>
      <xdr:colOff>104684</xdr:colOff>
      <xdr:row>820</xdr:row>
      <xdr:rowOff>152399</xdr:rowOff>
    </xdr:to>
    <xdr:sp macro="" textlink="">
      <xdr:nvSpPr>
        <xdr:cNvPr id="647" name="518"/>
        <xdr:cNvSpPr/>
      </xdr:nvSpPr>
      <xdr:spPr>
        <a:xfrm>
          <a:off x="65635414" y="171869099"/>
          <a:ext cx="228727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103414</xdr:colOff>
      <xdr:row>820</xdr:row>
      <xdr:rowOff>95249</xdr:rowOff>
    </xdr:from>
    <xdr:to>
      <xdr:col>86</xdr:col>
      <xdr:colOff>103414</xdr:colOff>
      <xdr:row>820</xdr:row>
      <xdr:rowOff>95249</xdr:rowOff>
    </xdr:to>
    <xdr:cxnSp macro="">
      <xdr:nvCxnSpPr>
        <xdr:cNvPr id="648" name="직선 화살표 연결선 647"/>
        <xdr:cNvCxnSpPr/>
      </xdr:nvCxnSpPr>
      <xdr:spPr>
        <a:xfrm>
          <a:off x="65635414" y="171926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819</xdr:row>
      <xdr:rowOff>38099</xdr:rowOff>
    </xdr:from>
    <xdr:to>
      <xdr:col>89</xdr:col>
      <xdr:colOff>104684</xdr:colOff>
      <xdr:row>819</xdr:row>
      <xdr:rowOff>152399</xdr:rowOff>
    </xdr:to>
    <xdr:sp macro="" textlink="">
      <xdr:nvSpPr>
        <xdr:cNvPr id="649" name="517"/>
        <xdr:cNvSpPr/>
      </xdr:nvSpPr>
      <xdr:spPr>
        <a:xfrm>
          <a:off x="67900732" y="17165954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819</xdr:row>
      <xdr:rowOff>95249</xdr:rowOff>
    </xdr:from>
    <xdr:to>
      <xdr:col>89</xdr:col>
      <xdr:colOff>82732</xdr:colOff>
      <xdr:row>819</xdr:row>
      <xdr:rowOff>95249</xdr:rowOff>
    </xdr:to>
    <xdr:cxnSp macro="">
      <xdr:nvCxnSpPr>
        <xdr:cNvPr id="650" name="직선 화살표 연결선 649"/>
        <xdr:cNvCxnSpPr/>
      </xdr:nvCxnSpPr>
      <xdr:spPr>
        <a:xfrm>
          <a:off x="67900732" y="171716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818</xdr:row>
      <xdr:rowOff>38099</xdr:rowOff>
    </xdr:from>
    <xdr:to>
      <xdr:col>89</xdr:col>
      <xdr:colOff>104684</xdr:colOff>
      <xdr:row>818</xdr:row>
      <xdr:rowOff>152399</xdr:rowOff>
    </xdr:to>
    <xdr:sp macro="" textlink="">
      <xdr:nvSpPr>
        <xdr:cNvPr id="651" name="516"/>
        <xdr:cNvSpPr/>
      </xdr:nvSpPr>
      <xdr:spPr>
        <a:xfrm>
          <a:off x="67900732" y="17144999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818</xdr:row>
      <xdr:rowOff>95249</xdr:rowOff>
    </xdr:from>
    <xdr:to>
      <xdr:col>89</xdr:col>
      <xdr:colOff>82732</xdr:colOff>
      <xdr:row>818</xdr:row>
      <xdr:rowOff>95249</xdr:rowOff>
    </xdr:to>
    <xdr:cxnSp macro="">
      <xdr:nvCxnSpPr>
        <xdr:cNvPr id="652" name="직선 화살표 연결선 651"/>
        <xdr:cNvCxnSpPr/>
      </xdr:nvCxnSpPr>
      <xdr:spPr>
        <a:xfrm>
          <a:off x="67900732" y="171507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817</xdr:row>
      <xdr:rowOff>38099</xdr:rowOff>
    </xdr:from>
    <xdr:to>
      <xdr:col>89</xdr:col>
      <xdr:colOff>104684</xdr:colOff>
      <xdr:row>817</xdr:row>
      <xdr:rowOff>152399</xdr:rowOff>
    </xdr:to>
    <xdr:sp macro="" textlink="">
      <xdr:nvSpPr>
        <xdr:cNvPr id="653" name="515"/>
        <xdr:cNvSpPr/>
      </xdr:nvSpPr>
      <xdr:spPr>
        <a:xfrm>
          <a:off x="67900732" y="17124044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817</xdr:row>
      <xdr:rowOff>95249</xdr:rowOff>
    </xdr:from>
    <xdr:to>
      <xdr:col>89</xdr:col>
      <xdr:colOff>82732</xdr:colOff>
      <xdr:row>817</xdr:row>
      <xdr:rowOff>95249</xdr:rowOff>
    </xdr:to>
    <xdr:cxnSp macro="">
      <xdr:nvCxnSpPr>
        <xdr:cNvPr id="654" name="직선 화살표 연결선 653"/>
        <xdr:cNvCxnSpPr/>
      </xdr:nvCxnSpPr>
      <xdr:spPr>
        <a:xfrm>
          <a:off x="67900732" y="171297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41366</xdr:colOff>
      <xdr:row>816</xdr:row>
      <xdr:rowOff>38099</xdr:rowOff>
    </xdr:from>
    <xdr:to>
      <xdr:col>89</xdr:col>
      <xdr:colOff>84002</xdr:colOff>
      <xdr:row>816</xdr:row>
      <xdr:rowOff>152399</xdr:rowOff>
    </xdr:to>
    <xdr:sp macro="" textlink="">
      <xdr:nvSpPr>
        <xdr:cNvPr id="655" name="514"/>
        <xdr:cNvSpPr/>
      </xdr:nvSpPr>
      <xdr:spPr>
        <a:xfrm>
          <a:off x="67859366" y="1710308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816</xdr:row>
      <xdr:rowOff>95249</xdr:rowOff>
    </xdr:from>
    <xdr:to>
      <xdr:col>89</xdr:col>
      <xdr:colOff>41366</xdr:colOff>
      <xdr:row>816</xdr:row>
      <xdr:rowOff>95249</xdr:rowOff>
    </xdr:to>
    <xdr:cxnSp macro="">
      <xdr:nvCxnSpPr>
        <xdr:cNvPr id="656" name="직선 화살표 연결선 655"/>
        <xdr:cNvCxnSpPr/>
      </xdr:nvCxnSpPr>
      <xdr:spPr>
        <a:xfrm>
          <a:off x="67859366" y="171088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815</xdr:row>
      <xdr:rowOff>38099</xdr:rowOff>
    </xdr:from>
    <xdr:to>
      <xdr:col>89</xdr:col>
      <xdr:colOff>42635</xdr:colOff>
      <xdr:row>815</xdr:row>
      <xdr:rowOff>152399</xdr:rowOff>
    </xdr:to>
    <xdr:sp macro="" textlink="">
      <xdr:nvSpPr>
        <xdr:cNvPr id="657" name="513"/>
        <xdr:cNvSpPr/>
      </xdr:nvSpPr>
      <xdr:spPr>
        <a:xfrm>
          <a:off x="67118049" y="17082134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815</xdr:row>
      <xdr:rowOff>95249</xdr:rowOff>
    </xdr:from>
    <xdr:to>
      <xdr:col>88</xdr:col>
      <xdr:colOff>62049</xdr:colOff>
      <xdr:row>815</xdr:row>
      <xdr:rowOff>95249</xdr:rowOff>
    </xdr:to>
    <xdr:cxnSp macro="">
      <xdr:nvCxnSpPr>
        <xdr:cNvPr id="658" name="직선 화살표 연결선 657"/>
        <xdr:cNvCxnSpPr/>
      </xdr:nvCxnSpPr>
      <xdr:spPr>
        <a:xfrm>
          <a:off x="67118049" y="170878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814</xdr:row>
      <xdr:rowOff>38099</xdr:rowOff>
    </xdr:from>
    <xdr:to>
      <xdr:col>88</xdr:col>
      <xdr:colOff>63319</xdr:colOff>
      <xdr:row>814</xdr:row>
      <xdr:rowOff>152399</xdr:rowOff>
    </xdr:to>
    <xdr:sp macro="" textlink="">
      <xdr:nvSpPr>
        <xdr:cNvPr id="659" name="512"/>
        <xdr:cNvSpPr/>
      </xdr:nvSpPr>
      <xdr:spPr>
        <a:xfrm>
          <a:off x="67056000" y="17061179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814</xdr:row>
      <xdr:rowOff>95249</xdr:rowOff>
    </xdr:from>
    <xdr:to>
      <xdr:col>88</xdr:col>
      <xdr:colOff>0</xdr:colOff>
      <xdr:row>814</xdr:row>
      <xdr:rowOff>95249</xdr:rowOff>
    </xdr:to>
    <xdr:cxnSp macro="">
      <xdr:nvCxnSpPr>
        <xdr:cNvPr id="660" name="직선 화살표 연결선 659"/>
        <xdr:cNvCxnSpPr/>
      </xdr:nvCxnSpPr>
      <xdr:spPr>
        <a:xfrm>
          <a:off x="67056000" y="170668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813</xdr:row>
      <xdr:rowOff>38099</xdr:rowOff>
    </xdr:from>
    <xdr:to>
      <xdr:col>88</xdr:col>
      <xdr:colOff>63319</xdr:colOff>
      <xdr:row>813</xdr:row>
      <xdr:rowOff>152399</xdr:rowOff>
    </xdr:to>
    <xdr:sp macro="" textlink="">
      <xdr:nvSpPr>
        <xdr:cNvPr id="661" name="511"/>
        <xdr:cNvSpPr/>
      </xdr:nvSpPr>
      <xdr:spPr>
        <a:xfrm>
          <a:off x="67056000" y="1704022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813</xdr:row>
      <xdr:rowOff>95249</xdr:rowOff>
    </xdr:from>
    <xdr:to>
      <xdr:col>88</xdr:col>
      <xdr:colOff>0</xdr:colOff>
      <xdr:row>813</xdr:row>
      <xdr:rowOff>95249</xdr:rowOff>
    </xdr:to>
    <xdr:cxnSp macro="">
      <xdr:nvCxnSpPr>
        <xdr:cNvPr id="662" name="직선 화살표 연결선 661"/>
        <xdr:cNvCxnSpPr/>
      </xdr:nvCxnSpPr>
      <xdr:spPr>
        <a:xfrm>
          <a:off x="67056000" y="170459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812</xdr:row>
      <xdr:rowOff>38099</xdr:rowOff>
    </xdr:from>
    <xdr:to>
      <xdr:col>88</xdr:col>
      <xdr:colOff>1270</xdr:colOff>
      <xdr:row>812</xdr:row>
      <xdr:rowOff>152399</xdr:rowOff>
    </xdr:to>
    <xdr:sp macro="" textlink="">
      <xdr:nvSpPr>
        <xdr:cNvPr id="663" name="510"/>
        <xdr:cNvSpPr/>
      </xdr:nvSpPr>
      <xdr:spPr>
        <a:xfrm>
          <a:off x="66376731" y="17019269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812</xdr:row>
      <xdr:rowOff>95249</xdr:rowOff>
    </xdr:from>
    <xdr:to>
      <xdr:col>87</xdr:col>
      <xdr:colOff>82731</xdr:colOff>
      <xdr:row>812</xdr:row>
      <xdr:rowOff>95249</xdr:rowOff>
    </xdr:to>
    <xdr:cxnSp macro="">
      <xdr:nvCxnSpPr>
        <xdr:cNvPr id="664" name="직선 화살표 연결선 663"/>
        <xdr:cNvCxnSpPr/>
      </xdr:nvCxnSpPr>
      <xdr:spPr>
        <a:xfrm>
          <a:off x="66376731" y="170249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811</xdr:row>
      <xdr:rowOff>38099</xdr:rowOff>
    </xdr:from>
    <xdr:to>
      <xdr:col>88</xdr:col>
      <xdr:colOff>21952</xdr:colOff>
      <xdr:row>811</xdr:row>
      <xdr:rowOff>152399</xdr:rowOff>
    </xdr:to>
    <xdr:sp macro="" textlink="">
      <xdr:nvSpPr>
        <xdr:cNvPr id="665" name="509"/>
        <xdr:cNvSpPr/>
      </xdr:nvSpPr>
      <xdr:spPr>
        <a:xfrm>
          <a:off x="66376731" y="1699831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811</xdr:row>
      <xdr:rowOff>95249</xdr:rowOff>
    </xdr:from>
    <xdr:to>
      <xdr:col>87</xdr:col>
      <xdr:colOff>82731</xdr:colOff>
      <xdr:row>811</xdr:row>
      <xdr:rowOff>95249</xdr:rowOff>
    </xdr:to>
    <xdr:cxnSp macro="">
      <xdr:nvCxnSpPr>
        <xdr:cNvPr id="666" name="직선 화살표 연결선 665"/>
        <xdr:cNvCxnSpPr/>
      </xdr:nvCxnSpPr>
      <xdr:spPr>
        <a:xfrm>
          <a:off x="66376731" y="170040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810</xdr:row>
      <xdr:rowOff>38099</xdr:rowOff>
    </xdr:from>
    <xdr:to>
      <xdr:col>88</xdr:col>
      <xdr:colOff>1270</xdr:colOff>
      <xdr:row>810</xdr:row>
      <xdr:rowOff>152399</xdr:rowOff>
    </xdr:to>
    <xdr:sp macro="" textlink="">
      <xdr:nvSpPr>
        <xdr:cNvPr id="667" name="508"/>
        <xdr:cNvSpPr/>
      </xdr:nvSpPr>
      <xdr:spPr>
        <a:xfrm>
          <a:off x="66376731" y="16977359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810</xdr:row>
      <xdr:rowOff>95249</xdr:rowOff>
    </xdr:from>
    <xdr:to>
      <xdr:col>87</xdr:col>
      <xdr:colOff>82731</xdr:colOff>
      <xdr:row>810</xdr:row>
      <xdr:rowOff>95249</xdr:rowOff>
    </xdr:to>
    <xdr:cxnSp macro="">
      <xdr:nvCxnSpPr>
        <xdr:cNvPr id="668" name="직선 화살표 연결선 667"/>
        <xdr:cNvCxnSpPr/>
      </xdr:nvCxnSpPr>
      <xdr:spPr>
        <a:xfrm>
          <a:off x="66376731" y="169830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124098</xdr:colOff>
      <xdr:row>809</xdr:row>
      <xdr:rowOff>38099</xdr:rowOff>
    </xdr:from>
    <xdr:to>
      <xdr:col>87</xdr:col>
      <xdr:colOff>84001</xdr:colOff>
      <xdr:row>809</xdr:row>
      <xdr:rowOff>152399</xdr:rowOff>
    </xdr:to>
    <xdr:sp macro="" textlink="">
      <xdr:nvSpPr>
        <xdr:cNvPr id="669" name="507"/>
        <xdr:cNvSpPr/>
      </xdr:nvSpPr>
      <xdr:spPr>
        <a:xfrm>
          <a:off x="65656098" y="169564049"/>
          <a:ext cx="7219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124098</xdr:colOff>
      <xdr:row>809</xdr:row>
      <xdr:rowOff>95249</xdr:rowOff>
    </xdr:from>
    <xdr:to>
      <xdr:col>86</xdr:col>
      <xdr:colOff>124098</xdr:colOff>
      <xdr:row>809</xdr:row>
      <xdr:rowOff>95249</xdr:rowOff>
    </xdr:to>
    <xdr:cxnSp macro="">
      <xdr:nvCxnSpPr>
        <xdr:cNvPr id="670" name="직선 화살표 연결선 669"/>
        <xdr:cNvCxnSpPr/>
      </xdr:nvCxnSpPr>
      <xdr:spPr>
        <a:xfrm>
          <a:off x="65656098" y="169621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103414</xdr:colOff>
      <xdr:row>808</xdr:row>
      <xdr:rowOff>38099</xdr:rowOff>
    </xdr:from>
    <xdr:to>
      <xdr:col>86</xdr:col>
      <xdr:colOff>125367</xdr:colOff>
      <xdr:row>808</xdr:row>
      <xdr:rowOff>152399</xdr:rowOff>
    </xdr:to>
    <xdr:sp macro="" textlink="">
      <xdr:nvSpPr>
        <xdr:cNvPr id="671" name="506"/>
        <xdr:cNvSpPr/>
      </xdr:nvSpPr>
      <xdr:spPr>
        <a:xfrm>
          <a:off x="65635414" y="16935449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103414</xdr:colOff>
      <xdr:row>808</xdr:row>
      <xdr:rowOff>95249</xdr:rowOff>
    </xdr:from>
    <xdr:to>
      <xdr:col>86</xdr:col>
      <xdr:colOff>103414</xdr:colOff>
      <xdr:row>808</xdr:row>
      <xdr:rowOff>95249</xdr:rowOff>
    </xdr:to>
    <xdr:cxnSp macro="">
      <xdr:nvCxnSpPr>
        <xdr:cNvPr id="672" name="직선 화살표 연결선 671"/>
        <xdr:cNvCxnSpPr/>
      </xdr:nvCxnSpPr>
      <xdr:spPr>
        <a:xfrm>
          <a:off x="65635414" y="169411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103414</xdr:colOff>
      <xdr:row>807</xdr:row>
      <xdr:rowOff>38099</xdr:rowOff>
    </xdr:from>
    <xdr:to>
      <xdr:col>86</xdr:col>
      <xdr:colOff>125367</xdr:colOff>
      <xdr:row>807</xdr:row>
      <xdr:rowOff>152399</xdr:rowOff>
    </xdr:to>
    <xdr:sp macro="" textlink="">
      <xdr:nvSpPr>
        <xdr:cNvPr id="673" name="505"/>
        <xdr:cNvSpPr/>
      </xdr:nvSpPr>
      <xdr:spPr>
        <a:xfrm>
          <a:off x="65635414" y="16914494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103414</xdr:colOff>
      <xdr:row>807</xdr:row>
      <xdr:rowOff>95249</xdr:rowOff>
    </xdr:from>
    <xdr:to>
      <xdr:col>86</xdr:col>
      <xdr:colOff>103414</xdr:colOff>
      <xdr:row>807</xdr:row>
      <xdr:rowOff>95249</xdr:rowOff>
    </xdr:to>
    <xdr:cxnSp macro="">
      <xdr:nvCxnSpPr>
        <xdr:cNvPr id="674" name="직선 화살표 연결선 673"/>
        <xdr:cNvCxnSpPr/>
      </xdr:nvCxnSpPr>
      <xdr:spPr>
        <a:xfrm>
          <a:off x="65635414" y="169202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103414</xdr:colOff>
      <xdr:row>806</xdr:row>
      <xdr:rowOff>38099</xdr:rowOff>
    </xdr:from>
    <xdr:to>
      <xdr:col>89</xdr:col>
      <xdr:colOff>104684</xdr:colOff>
      <xdr:row>806</xdr:row>
      <xdr:rowOff>152399</xdr:rowOff>
    </xdr:to>
    <xdr:sp macro="" textlink="">
      <xdr:nvSpPr>
        <xdr:cNvPr id="675" name="504"/>
        <xdr:cNvSpPr/>
      </xdr:nvSpPr>
      <xdr:spPr>
        <a:xfrm>
          <a:off x="65635414" y="168935399"/>
          <a:ext cx="228727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103414</xdr:colOff>
      <xdr:row>806</xdr:row>
      <xdr:rowOff>95249</xdr:rowOff>
    </xdr:from>
    <xdr:to>
      <xdr:col>86</xdr:col>
      <xdr:colOff>103414</xdr:colOff>
      <xdr:row>806</xdr:row>
      <xdr:rowOff>95249</xdr:rowOff>
    </xdr:to>
    <xdr:cxnSp macro="">
      <xdr:nvCxnSpPr>
        <xdr:cNvPr id="676" name="직선 화살표 연결선 675"/>
        <xdr:cNvCxnSpPr/>
      </xdr:nvCxnSpPr>
      <xdr:spPr>
        <a:xfrm>
          <a:off x="65635414" y="168992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805</xdr:row>
      <xdr:rowOff>38099</xdr:rowOff>
    </xdr:from>
    <xdr:to>
      <xdr:col>87</xdr:col>
      <xdr:colOff>63319</xdr:colOff>
      <xdr:row>805</xdr:row>
      <xdr:rowOff>152399</xdr:rowOff>
    </xdr:to>
    <xdr:sp macro="" textlink="">
      <xdr:nvSpPr>
        <xdr:cNvPr id="677" name="503"/>
        <xdr:cNvSpPr/>
      </xdr:nvSpPr>
      <xdr:spPr>
        <a:xfrm>
          <a:off x="66335366" y="16872584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805</xdr:row>
      <xdr:rowOff>95249</xdr:rowOff>
    </xdr:from>
    <xdr:to>
      <xdr:col>87</xdr:col>
      <xdr:colOff>41366</xdr:colOff>
      <xdr:row>805</xdr:row>
      <xdr:rowOff>95249</xdr:rowOff>
    </xdr:to>
    <xdr:cxnSp macro="">
      <xdr:nvCxnSpPr>
        <xdr:cNvPr id="678" name="직선 화살표 연결선 677"/>
        <xdr:cNvCxnSpPr/>
      </xdr:nvCxnSpPr>
      <xdr:spPr>
        <a:xfrm>
          <a:off x="66335366" y="168782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804</xdr:row>
      <xdr:rowOff>38099</xdr:rowOff>
    </xdr:from>
    <xdr:to>
      <xdr:col>87</xdr:col>
      <xdr:colOff>63319</xdr:colOff>
      <xdr:row>804</xdr:row>
      <xdr:rowOff>152399</xdr:rowOff>
    </xdr:to>
    <xdr:sp macro="" textlink="">
      <xdr:nvSpPr>
        <xdr:cNvPr id="679" name="502"/>
        <xdr:cNvSpPr/>
      </xdr:nvSpPr>
      <xdr:spPr>
        <a:xfrm>
          <a:off x="66335366" y="16851629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804</xdr:row>
      <xdr:rowOff>95249</xdr:rowOff>
    </xdr:from>
    <xdr:to>
      <xdr:col>87</xdr:col>
      <xdr:colOff>41366</xdr:colOff>
      <xdr:row>804</xdr:row>
      <xdr:rowOff>95249</xdr:rowOff>
    </xdr:to>
    <xdr:cxnSp macro="">
      <xdr:nvCxnSpPr>
        <xdr:cNvPr id="680" name="직선 화살표 연결선 679"/>
        <xdr:cNvCxnSpPr/>
      </xdr:nvCxnSpPr>
      <xdr:spPr>
        <a:xfrm>
          <a:off x="66335366" y="168573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803</xdr:row>
      <xdr:rowOff>38099</xdr:rowOff>
    </xdr:from>
    <xdr:to>
      <xdr:col>87</xdr:col>
      <xdr:colOff>63319</xdr:colOff>
      <xdr:row>803</xdr:row>
      <xdr:rowOff>152399</xdr:rowOff>
    </xdr:to>
    <xdr:sp macro="" textlink="">
      <xdr:nvSpPr>
        <xdr:cNvPr id="681" name="501"/>
        <xdr:cNvSpPr/>
      </xdr:nvSpPr>
      <xdr:spPr>
        <a:xfrm>
          <a:off x="66335366" y="16830674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803</xdr:row>
      <xdr:rowOff>95249</xdr:rowOff>
    </xdr:from>
    <xdr:to>
      <xdr:col>87</xdr:col>
      <xdr:colOff>41366</xdr:colOff>
      <xdr:row>803</xdr:row>
      <xdr:rowOff>95249</xdr:rowOff>
    </xdr:to>
    <xdr:cxnSp macro="">
      <xdr:nvCxnSpPr>
        <xdr:cNvPr id="682" name="직선 화살표 연결선 681"/>
        <xdr:cNvCxnSpPr/>
      </xdr:nvCxnSpPr>
      <xdr:spPr>
        <a:xfrm>
          <a:off x="66335366" y="168363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124097</xdr:colOff>
      <xdr:row>802</xdr:row>
      <xdr:rowOff>38099</xdr:rowOff>
    </xdr:from>
    <xdr:to>
      <xdr:col>87</xdr:col>
      <xdr:colOff>42636</xdr:colOff>
      <xdr:row>802</xdr:row>
      <xdr:rowOff>152399</xdr:rowOff>
    </xdr:to>
    <xdr:sp macro="" textlink="">
      <xdr:nvSpPr>
        <xdr:cNvPr id="683" name="500"/>
        <xdr:cNvSpPr/>
      </xdr:nvSpPr>
      <xdr:spPr>
        <a:xfrm>
          <a:off x="64894097" y="168097199"/>
          <a:ext cx="1442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124097</xdr:colOff>
      <xdr:row>802</xdr:row>
      <xdr:rowOff>95249</xdr:rowOff>
    </xdr:from>
    <xdr:to>
      <xdr:col>85</xdr:col>
      <xdr:colOff>124097</xdr:colOff>
      <xdr:row>802</xdr:row>
      <xdr:rowOff>95249</xdr:rowOff>
    </xdr:to>
    <xdr:cxnSp macro="">
      <xdr:nvCxnSpPr>
        <xdr:cNvPr id="684" name="직선 화살표 연결선 683"/>
        <xdr:cNvCxnSpPr/>
      </xdr:nvCxnSpPr>
      <xdr:spPr>
        <a:xfrm>
          <a:off x="64894097" y="168154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82731</xdr:colOff>
      <xdr:row>801</xdr:row>
      <xdr:rowOff>38099</xdr:rowOff>
    </xdr:from>
    <xdr:to>
      <xdr:col>85</xdr:col>
      <xdr:colOff>125367</xdr:colOff>
      <xdr:row>801</xdr:row>
      <xdr:rowOff>152399</xdr:rowOff>
    </xdr:to>
    <xdr:sp macro="" textlink="">
      <xdr:nvSpPr>
        <xdr:cNvPr id="685" name="499"/>
        <xdr:cNvSpPr/>
      </xdr:nvSpPr>
      <xdr:spPr>
        <a:xfrm>
          <a:off x="64852731" y="1678876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82731</xdr:colOff>
      <xdr:row>801</xdr:row>
      <xdr:rowOff>95249</xdr:rowOff>
    </xdr:from>
    <xdr:to>
      <xdr:col>85</xdr:col>
      <xdr:colOff>82731</xdr:colOff>
      <xdr:row>801</xdr:row>
      <xdr:rowOff>95249</xdr:rowOff>
    </xdr:to>
    <xdr:cxnSp macro="">
      <xdr:nvCxnSpPr>
        <xdr:cNvPr id="686" name="직선 화살표 연결선 685"/>
        <xdr:cNvCxnSpPr/>
      </xdr:nvCxnSpPr>
      <xdr:spPr>
        <a:xfrm>
          <a:off x="64852731" y="167944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41366</xdr:colOff>
      <xdr:row>800</xdr:row>
      <xdr:rowOff>38099</xdr:rowOff>
    </xdr:from>
    <xdr:to>
      <xdr:col>85</xdr:col>
      <xdr:colOff>84000</xdr:colOff>
      <xdr:row>800</xdr:row>
      <xdr:rowOff>152399</xdr:rowOff>
    </xdr:to>
    <xdr:sp macro="" textlink="">
      <xdr:nvSpPr>
        <xdr:cNvPr id="687" name="498"/>
        <xdr:cNvSpPr/>
      </xdr:nvSpPr>
      <xdr:spPr>
        <a:xfrm>
          <a:off x="64811366" y="167678099"/>
          <a:ext cx="426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41366</xdr:colOff>
      <xdr:row>800</xdr:row>
      <xdr:rowOff>95249</xdr:rowOff>
    </xdr:from>
    <xdr:to>
      <xdr:col>85</xdr:col>
      <xdr:colOff>41366</xdr:colOff>
      <xdr:row>800</xdr:row>
      <xdr:rowOff>95249</xdr:rowOff>
    </xdr:to>
    <xdr:cxnSp macro="">
      <xdr:nvCxnSpPr>
        <xdr:cNvPr id="688" name="직선 화살표 연결선 687"/>
        <xdr:cNvCxnSpPr/>
      </xdr:nvCxnSpPr>
      <xdr:spPr>
        <a:xfrm>
          <a:off x="64811366" y="167735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41366</xdr:colOff>
      <xdr:row>799</xdr:row>
      <xdr:rowOff>38099</xdr:rowOff>
    </xdr:from>
    <xdr:to>
      <xdr:col>85</xdr:col>
      <xdr:colOff>84000</xdr:colOff>
      <xdr:row>799</xdr:row>
      <xdr:rowOff>152399</xdr:rowOff>
    </xdr:to>
    <xdr:sp macro="" textlink="">
      <xdr:nvSpPr>
        <xdr:cNvPr id="689" name="497"/>
        <xdr:cNvSpPr/>
      </xdr:nvSpPr>
      <xdr:spPr>
        <a:xfrm>
          <a:off x="64811366" y="167468549"/>
          <a:ext cx="426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41366</xdr:colOff>
      <xdr:row>799</xdr:row>
      <xdr:rowOff>95249</xdr:rowOff>
    </xdr:from>
    <xdr:to>
      <xdr:col>85</xdr:col>
      <xdr:colOff>41366</xdr:colOff>
      <xdr:row>799</xdr:row>
      <xdr:rowOff>95249</xdr:rowOff>
    </xdr:to>
    <xdr:cxnSp macro="">
      <xdr:nvCxnSpPr>
        <xdr:cNvPr id="690" name="직선 화살표 연결선 689"/>
        <xdr:cNvCxnSpPr/>
      </xdr:nvCxnSpPr>
      <xdr:spPr>
        <a:xfrm>
          <a:off x="64811366" y="167525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41366</xdr:colOff>
      <xdr:row>798</xdr:row>
      <xdr:rowOff>38099</xdr:rowOff>
    </xdr:from>
    <xdr:to>
      <xdr:col>85</xdr:col>
      <xdr:colOff>84000</xdr:colOff>
      <xdr:row>798</xdr:row>
      <xdr:rowOff>152399</xdr:rowOff>
    </xdr:to>
    <xdr:sp macro="" textlink="">
      <xdr:nvSpPr>
        <xdr:cNvPr id="691" name="496"/>
        <xdr:cNvSpPr/>
      </xdr:nvSpPr>
      <xdr:spPr>
        <a:xfrm>
          <a:off x="64811366" y="167258999"/>
          <a:ext cx="426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41366</xdr:colOff>
      <xdr:row>798</xdr:row>
      <xdr:rowOff>95249</xdr:rowOff>
    </xdr:from>
    <xdr:to>
      <xdr:col>85</xdr:col>
      <xdr:colOff>41366</xdr:colOff>
      <xdr:row>798</xdr:row>
      <xdr:rowOff>95249</xdr:rowOff>
    </xdr:to>
    <xdr:cxnSp macro="">
      <xdr:nvCxnSpPr>
        <xdr:cNvPr id="692" name="직선 화살표 연결선 691"/>
        <xdr:cNvCxnSpPr/>
      </xdr:nvCxnSpPr>
      <xdr:spPr>
        <a:xfrm>
          <a:off x="64811366" y="167316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82732</xdr:colOff>
      <xdr:row>797</xdr:row>
      <xdr:rowOff>38099</xdr:rowOff>
    </xdr:from>
    <xdr:to>
      <xdr:col>85</xdr:col>
      <xdr:colOff>42636</xdr:colOff>
      <xdr:row>797</xdr:row>
      <xdr:rowOff>152399</xdr:rowOff>
    </xdr:to>
    <xdr:sp macro="" textlink="">
      <xdr:nvSpPr>
        <xdr:cNvPr id="693" name="495"/>
        <xdr:cNvSpPr/>
      </xdr:nvSpPr>
      <xdr:spPr>
        <a:xfrm>
          <a:off x="64090732" y="167049449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82732</xdr:colOff>
      <xdr:row>797</xdr:row>
      <xdr:rowOff>95249</xdr:rowOff>
    </xdr:from>
    <xdr:to>
      <xdr:col>84</xdr:col>
      <xdr:colOff>82732</xdr:colOff>
      <xdr:row>797</xdr:row>
      <xdr:rowOff>95249</xdr:rowOff>
    </xdr:to>
    <xdr:cxnSp macro="">
      <xdr:nvCxnSpPr>
        <xdr:cNvPr id="694" name="직선 화살표 연결선 693"/>
        <xdr:cNvCxnSpPr/>
      </xdr:nvCxnSpPr>
      <xdr:spPr>
        <a:xfrm>
          <a:off x="64090732" y="167106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62048</xdr:colOff>
      <xdr:row>796</xdr:row>
      <xdr:rowOff>38099</xdr:rowOff>
    </xdr:from>
    <xdr:to>
      <xdr:col>84</xdr:col>
      <xdr:colOff>84002</xdr:colOff>
      <xdr:row>796</xdr:row>
      <xdr:rowOff>152399</xdr:rowOff>
    </xdr:to>
    <xdr:sp macro="" textlink="">
      <xdr:nvSpPr>
        <xdr:cNvPr id="695" name="494"/>
        <xdr:cNvSpPr/>
      </xdr:nvSpPr>
      <xdr:spPr>
        <a:xfrm>
          <a:off x="64070048" y="166839899"/>
          <a:ext cx="219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62048</xdr:colOff>
      <xdr:row>796</xdr:row>
      <xdr:rowOff>95249</xdr:rowOff>
    </xdr:from>
    <xdr:to>
      <xdr:col>84</xdr:col>
      <xdr:colOff>62048</xdr:colOff>
      <xdr:row>796</xdr:row>
      <xdr:rowOff>95249</xdr:rowOff>
    </xdr:to>
    <xdr:cxnSp macro="">
      <xdr:nvCxnSpPr>
        <xdr:cNvPr id="696" name="직선 화살표 연결선 695"/>
        <xdr:cNvCxnSpPr/>
      </xdr:nvCxnSpPr>
      <xdr:spPr>
        <a:xfrm>
          <a:off x="64070048" y="166897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62048</xdr:colOff>
      <xdr:row>795</xdr:row>
      <xdr:rowOff>38099</xdr:rowOff>
    </xdr:from>
    <xdr:to>
      <xdr:col>84</xdr:col>
      <xdr:colOff>84002</xdr:colOff>
      <xdr:row>795</xdr:row>
      <xdr:rowOff>152399</xdr:rowOff>
    </xdr:to>
    <xdr:sp macro="" textlink="">
      <xdr:nvSpPr>
        <xdr:cNvPr id="697" name="493"/>
        <xdr:cNvSpPr/>
      </xdr:nvSpPr>
      <xdr:spPr>
        <a:xfrm>
          <a:off x="64070048" y="166630349"/>
          <a:ext cx="219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62048</xdr:colOff>
      <xdr:row>795</xdr:row>
      <xdr:rowOff>95249</xdr:rowOff>
    </xdr:from>
    <xdr:to>
      <xdr:col>84</xdr:col>
      <xdr:colOff>62048</xdr:colOff>
      <xdr:row>795</xdr:row>
      <xdr:rowOff>95249</xdr:rowOff>
    </xdr:to>
    <xdr:cxnSp macro="">
      <xdr:nvCxnSpPr>
        <xdr:cNvPr id="698" name="직선 화살표 연결선 697"/>
        <xdr:cNvCxnSpPr/>
      </xdr:nvCxnSpPr>
      <xdr:spPr>
        <a:xfrm>
          <a:off x="64070048" y="166687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62048</xdr:colOff>
      <xdr:row>794</xdr:row>
      <xdr:rowOff>38099</xdr:rowOff>
    </xdr:from>
    <xdr:to>
      <xdr:col>87</xdr:col>
      <xdr:colOff>63319</xdr:colOff>
      <xdr:row>794</xdr:row>
      <xdr:rowOff>152399</xdr:rowOff>
    </xdr:to>
    <xdr:sp macro="" textlink="">
      <xdr:nvSpPr>
        <xdr:cNvPr id="699" name="492"/>
        <xdr:cNvSpPr/>
      </xdr:nvSpPr>
      <xdr:spPr>
        <a:xfrm>
          <a:off x="64070048" y="166420799"/>
          <a:ext cx="2287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62048</xdr:colOff>
      <xdr:row>794</xdr:row>
      <xdr:rowOff>95249</xdr:rowOff>
    </xdr:from>
    <xdr:to>
      <xdr:col>84</xdr:col>
      <xdr:colOff>62048</xdr:colOff>
      <xdr:row>794</xdr:row>
      <xdr:rowOff>95249</xdr:rowOff>
    </xdr:to>
    <xdr:cxnSp macro="">
      <xdr:nvCxnSpPr>
        <xdr:cNvPr id="700" name="직선 화살표 연결선 699"/>
        <xdr:cNvCxnSpPr/>
      </xdr:nvCxnSpPr>
      <xdr:spPr>
        <a:xfrm>
          <a:off x="64070048" y="166477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793</xdr:row>
      <xdr:rowOff>38099</xdr:rowOff>
    </xdr:from>
    <xdr:to>
      <xdr:col>90</xdr:col>
      <xdr:colOff>84000</xdr:colOff>
      <xdr:row>793</xdr:row>
      <xdr:rowOff>152399</xdr:rowOff>
    </xdr:to>
    <xdr:sp macro="" textlink="">
      <xdr:nvSpPr>
        <xdr:cNvPr id="701" name="491"/>
        <xdr:cNvSpPr/>
      </xdr:nvSpPr>
      <xdr:spPr>
        <a:xfrm>
          <a:off x="68642048" y="16621124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793</xdr:row>
      <xdr:rowOff>95249</xdr:rowOff>
    </xdr:from>
    <xdr:to>
      <xdr:col>90</xdr:col>
      <xdr:colOff>62048</xdr:colOff>
      <xdr:row>793</xdr:row>
      <xdr:rowOff>95249</xdr:rowOff>
    </xdr:to>
    <xdr:cxnSp macro="">
      <xdr:nvCxnSpPr>
        <xdr:cNvPr id="702" name="직선 화살표 연결선 701"/>
        <xdr:cNvCxnSpPr/>
      </xdr:nvCxnSpPr>
      <xdr:spPr>
        <a:xfrm>
          <a:off x="68642048" y="166268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792</xdr:row>
      <xdr:rowOff>38099</xdr:rowOff>
    </xdr:from>
    <xdr:to>
      <xdr:col>90</xdr:col>
      <xdr:colOff>84000</xdr:colOff>
      <xdr:row>792</xdr:row>
      <xdr:rowOff>152399</xdr:rowOff>
    </xdr:to>
    <xdr:sp macro="" textlink="">
      <xdr:nvSpPr>
        <xdr:cNvPr id="703" name="490"/>
        <xdr:cNvSpPr/>
      </xdr:nvSpPr>
      <xdr:spPr>
        <a:xfrm>
          <a:off x="68642048" y="16600169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792</xdr:row>
      <xdr:rowOff>95249</xdr:rowOff>
    </xdr:from>
    <xdr:to>
      <xdr:col>90</xdr:col>
      <xdr:colOff>62048</xdr:colOff>
      <xdr:row>792</xdr:row>
      <xdr:rowOff>95249</xdr:rowOff>
    </xdr:to>
    <xdr:cxnSp macro="">
      <xdr:nvCxnSpPr>
        <xdr:cNvPr id="704" name="직선 화살표 연결선 703"/>
        <xdr:cNvCxnSpPr/>
      </xdr:nvCxnSpPr>
      <xdr:spPr>
        <a:xfrm>
          <a:off x="68642048" y="166058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791</xdr:row>
      <xdr:rowOff>38099</xdr:rowOff>
    </xdr:from>
    <xdr:to>
      <xdr:col>90</xdr:col>
      <xdr:colOff>84000</xdr:colOff>
      <xdr:row>791</xdr:row>
      <xdr:rowOff>152399</xdr:rowOff>
    </xdr:to>
    <xdr:sp macro="" textlink="">
      <xdr:nvSpPr>
        <xdr:cNvPr id="705" name="489"/>
        <xdr:cNvSpPr/>
      </xdr:nvSpPr>
      <xdr:spPr>
        <a:xfrm>
          <a:off x="68642048" y="16579214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791</xdr:row>
      <xdr:rowOff>95249</xdr:rowOff>
    </xdr:from>
    <xdr:to>
      <xdr:col>90</xdr:col>
      <xdr:colOff>62048</xdr:colOff>
      <xdr:row>791</xdr:row>
      <xdr:rowOff>95249</xdr:rowOff>
    </xdr:to>
    <xdr:cxnSp macro="">
      <xdr:nvCxnSpPr>
        <xdr:cNvPr id="706" name="직선 화살표 연결선 705"/>
        <xdr:cNvCxnSpPr/>
      </xdr:nvCxnSpPr>
      <xdr:spPr>
        <a:xfrm>
          <a:off x="68642048" y="165849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144779</xdr:colOff>
      <xdr:row>790</xdr:row>
      <xdr:rowOff>38099</xdr:rowOff>
    </xdr:from>
    <xdr:to>
      <xdr:col>90</xdr:col>
      <xdr:colOff>63318</xdr:colOff>
      <xdr:row>790</xdr:row>
      <xdr:rowOff>152399</xdr:rowOff>
    </xdr:to>
    <xdr:sp macro="" textlink="">
      <xdr:nvSpPr>
        <xdr:cNvPr id="707" name="488"/>
        <xdr:cNvSpPr/>
      </xdr:nvSpPr>
      <xdr:spPr>
        <a:xfrm>
          <a:off x="67962779" y="16558259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144779</xdr:colOff>
      <xdr:row>790</xdr:row>
      <xdr:rowOff>95249</xdr:rowOff>
    </xdr:from>
    <xdr:to>
      <xdr:col>89</xdr:col>
      <xdr:colOff>144779</xdr:colOff>
      <xdr:row>790</xdr:row>
      <xdr:rowOff>95249</xdr:rowOff>
    </xdr:to>
    <xdr:cxnSp macro="">
      <xdr:nvCxnSpPr>
        <xdr:cNvPr id="708" name="직선 화살표 연결선 707"/>
        <xdr:cNvCxnSpPr/>
      </xdr:nvCxnSpPr>
      <xdr:spPr>
        <a:xfrm>
          <a:off x="67962779" y="165639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41366</xdr:colOff>
      <xdr:row>789</xdr:row>
      <xdr:rowOff>38099</xdr:rowOff>
    </xdr:from>
    <xdr:to>
      <xdr:col>90</xdr:col>
      <xdr:colOff>1269</xdr:colOff>
      <xdr:row>789</xdr:row>
      <xdr:rowOff>152399</xdr:rowOff>
    </xdr:to>
    <xdr:sp macro="" textlink="">
      <xdr:nvSpPr>
        <xdr:cNvPr id="709" name="487"/>
        <xdr:cNvSpPr/>
      </xdr:nvSpPr>
      <xdr:spPr>
        <a:xfrm>
          <a:off x="67859366" y="165373049"/>
          <a:ext cx="7219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789</xdr:row>
      <xdr:rowOff>95249</xdr:rowOff>
    </xdr:from>
    <xdr:to>
      <xdr:col>89</xdr:col>
      <xdr:colOff>41366</xdr:colOff>
      <xdr:row>789</xdr:row>
      <xdr:rowOff>95249</xdr:rowOff>
    </xdr:to>
    <xdr:cxnSp macro="">
      <xdr:nvCxnSpPr>
        <xdr:cNvPr id="710" name="직선 화살표 연결선 709"/>
        <xdr:cNvCxnSpPr/>
      </xdr:nvCxnSpPr>
      <xdr:spPr>
        <a:xfrm>
          <a:off x="67859366" y="165430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124097</xdr:colOff>
      <xdr:row>788</xdr:row>
      <xdr:rowOff>38099</xdr:rowOff>
    </xdr:from>
    <xdr:to>
      <xdr:col>89</xdr:col>
      <xdr:colOff>42635</xdr:colOff>
      <xdr:row>788</xdr:row>
      <xdr:rowOff>152399</xdr:rowOff>
    </xdr:to>
    <xdr:sp macro="" textlink="">
      <xdr:nvSpPr>
        <xdr:cNvPr id="711" name="486"/>
        <xdr:cNvSpPr/>
      </xdr:nvSpPr>
      <xdr:spPr>
        <a:xfrm>
          <a:off x="67180097" y="16516349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124097</xdr:colOff>
      <xdr:row>788</xdr:row>
      <xdr:rowOff>95249</xdr:rowOff>
    </xdr:from>
    <xdr:to>
      <xdr:col>88</xdr:col>
      <xdr:colOff>124097</xdr:colOff>
      <xdr:row>788</xdr:row>
      <xdr:rowOff>95249</xdr:rowOff>
    </xdr:to>
    <xdr:cxnSp macro="">
      <xdr:nvCxnSpPr>
        <xdr:cNvPr id="712" name="직선 화살표 연결선 711"/>
        <xdr:cNvCxnSpPr/>
      </xdr:nvCxnSpPr>
      <xdr:spPr>
        <a:xfrm>
          <a:off x="67180097" y="165220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124097</xdr:colOff>
      <xdr:row>787</xdr:row>
      <xdr:rowOff>38099</xdr:rowOff>
    </xdr:from>
    <xdr:to>
      <xdr:col>89</xdr:col>
      <xdr:colOff>42635</xdr:colOff>
      <xdr:row>787</xdr:row>
      <xdr:rowOff>152399</xdr:rowOff>
    </xdr:to>
    <xdr:sp macro="" textlink="">
      <xdr:nvSpPr>
        <xdr:cNvPr id="713" name="485"/>
        <xdr:cNvSpPr/>
      </xdr:nvSpPr>
      <xdr:spPr>
        <a:xfrm>
          <a:off x="67180097" y="16495394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124097</xdr:colOff>
      <xdr:row>787</xdr:row>
      <xdr:rowOff>95249</xdr:rowOff>
    </xdr:from>
    <xdr:to>
      <xdr:col>88</xdr:col>
      <xdr:colOff>124097</xdr:colOff>
      <xdr:row>787</xdr:row>
      <xdr:rowOff>95249</xdr:rowOff>
    </xdr:to>
    <xdr:cxnSp macro="">
      <xdr:nvCxnSpPr>
        <xdr:cNvPr id="714" name="직선 화살표 연결선 713"/>
        <xdr:cNvCxnSpPr/>
      </xdr:nvCxnSpPr>
      <xdr:spPr>
        <a:xfrm>
          <a:off x="67180097" y="165011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786</xdr:row>
      <xdr:rowOff>38099</xdr:rowOff>
    </xdr:from>
    <xdr:to>
      <xdr:col>88</xdr:col>
      <xdr:colOff>125366</xdr:colOff>
      <xdr:row>786</xdr:row>
      <xdr:rowOff>152399</xdr:rowOff>
    </xdr:to>
    <xdr:sp macro="" textlink="">
      <xdr:nvSpPr>
        <xdr:cNvPr id="715" name="484"/>
        <xdr:cNvSpPr/>
      </xdr:nvSpPr>
      <xdr:spPr>
        <a:xfrm>
          <a:off x="67118049" y="164744399"/>
          <a:ext cx="63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786</xdr:row>
      <xdr:rowOff>95249</xdr:rowOff>
    </xdr:from>
    <xdr:to>
      <xdr:col>88</xdr:col>
      <xdr:colOff>62049</xdr:colOff>
      <xdr:row>786</xdr:row>
      <xdr:rowOff>95249</xdr:rowOff>
    </xdr:to>
    <xdr:cxnSp macro="">
      <xdr:nvCxnSpPr>
        <xdr:cNvPr id="716" name="직선 화살표 연결선 715"/>
        <xdr:cNvCxnSpPr/>
      </xdr:nvCxnSpPr>
      <xdr:spPr>
        <a:xfrm>
          <a:off x="67118049" y="164801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785</xdr:row>
      <xdr:rowOff>38099</xdr:rowOff>
    </xdr:from>
    <xdr:to>
      <xdr:col>88</xdr:col>
      <xdr:colOff>125366</xdr:colOff>
      <xdr:row>785</xdr:row>
      <xdr:rowOff>152399</xdr:rowOff>
    </xdr:to>
    <xdr:sp macro="" textlink="">
      <xdr:nvSpPr>
        <xdr:cNvPr id="717" name="483"/>
        <xdr:cNvSpPr/>
      </xdr:nvSpPr>
      <xdr:spPr>
        <a:xfrm>
          <a:off x="67118049" y="164534849"/>
          <a:ext cx="63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785</xdr:row>
      <xdr:rowOff>95249</xdr:rowOff>
    </xdr:from>
    <xdr:to>
      <xdr:col>88</xdr:col>
      <xdr:colOff>62049</xdr:colOff>
      <xdr:row>785</xdr:row>
      <xdr:rowOff>95249</xdr:rowOff>
    </xdr:to>
    <xdr:cxnSp macro="">
      <xdr:nvCxnSpPr>
        <xdr:cNvPr id="718" name="직선 화살표 연결선 717"/>
        <xdr:cNvCxnSpPr/>
      </xdr:nvCxnSpPr>
      <xdr:spPr>
        <a:xfrm>
          <a:off x="67118049" y="164591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784</xdr:row>
      <xdr:rowOff>38099</xdr:rowOff>
    </xdr:from>
    <xdr:to>
      <xdr:col>88</xdr:col>
      <xdr:colOff>125366</xdr:colOff>
      <xdr:row>784</xdr:row>
      <xdr:rowOff>152399</xdr:rowOff>
    </xdr:to>
    <xdr:sp macro="" textlink="">
      <xdr:nvSpPr>
        <xdr:cNvPr id="719" name="482"/>
        <xdr:cNvSpPr/>
      </xdr:nvSpPr>
      <xdr:spPr>
        <a:xfrm>
          <a:off x="67118049" y="164325299"/>
          <a:ext cx="63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784</xdr:row>
      <xdr:rowOff>95249</xdr:rowOff>
    </xdr:from>
    <xdr:to>
      <xdr:col>88</xdr:col>
      <xdr:colOff>62049</xdr:colOff>
      <xdr:row>784</xdr:row>
      <xdr:rowOff>95249</xdr:rowOff>
    </xdr:to>
    <xdr:cxnSp macro="">
      <xdr:nvCxnSpPr>
        <xdr:cNvPr id="720" name="직선 화살표 연결선 719"/>
        <xdr:cNvCxnSpPr/>
      </xdr:nvCxnSpPr>
      <xdr:spPr>
        <a:xfrm>
          <a:off x="67118049" y="164382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783</xdr:row>
      <xdr:rowOff>38099</xdr:rowOff>
    </xdr:from>
    <xdr:to>
      <xdr:col>88</xdr:col>
      <xdr:colOff>63319</xdr:colOff>
      <xdr:row>783</xdr:row>
      <xdr:rowOff>152399</xdr:rowOff>
    </xdr:to>
    <xdr:sp macro="" textlink="">
      <xdr:nvSpPr>
        <xdr:cNvPr id="721" name="481"/>
        <xdr:cNvSpPr/>
      </xdr:nvSpPr>
      <xdr:spPr>
        <a:xfrm>
          <a:off x="66397414" y="164115749"/>
          <a:ext cx="7219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783</xdr:row>
      <xdr:rowOff>95249</xdr:rowOff>
    </xdr:from>
    <xdr:to>
      <xdr:col>87</xdr:col>
      <xdr:colOff>103414</xdr:colOff>
      <xdr:row>783</xdr:row>
      <xdr:rowOff>95249</xdr:rowOff>
    </xdr:to>
    <xdr:cxnSp macro="">
      <xdr:nvCxnSpPr>
        <xdr:cNvPr id="722" name="직선 화살표 연결선 721"/>
        <xdr:cNvCxnSpPr/>
      </xdr:nvCxnSpPr>
      <xdr:spPr>
        <a:xfrm>
          <a:off x="66397414" y="164172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782</xdr:row>
      <xdr:rowOff>38099</xdr:rowOff>
    </xdr:from>
    <xdr:to>
      <xdr:col>87</xdr:col>
      <xdr:colOff>104684</xdr:colOff>
      <xdr:row>782</xdr:row>
      <xdr:rowOff>152399</xdr:rowOff>
    </xdr:to>
    <xdr:sp macro="" textlink="">
      <xdr:nvSpPr>
        <xdr:cNvPr id="723" name="480"/>
        <xdr:cNvSpPr/>
      </xdr:nvSpPr>
      <xdr:spPr>
        <a:xfrm>
          <a:off x="66376731" y="16390619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782</xdr:row>
      <xdr:rowOff>95249</xdr:rowOff>
    </xdr:from>
    <xdr:to>
      <xdr:col>87</xdr:col>
      <xdr:colOff>82731</xdr:colOff>
      <xdr:row>782</xdr:row>
      <xdr:rowOff>95249</xdr:rowOff>
    </xdr:to>
    <xdr:cxnSp macro="">
      <xdr:nvCxnSpPr>
        <xdr:cNvPr id="724" name="직선 화살표 연결선 723"/>
        <xdr:cNvCxnSpPr/>
      </xdr:nvCxnSpPr>
      <xdr:spPr>
        <a:xfrm>
          <a:off x="66376731" y="163963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781</xdr:row>
      <xdr:rowOff>38099</xdr:rowOff>
    </xdr:from>
    <xdr:to>
      <xdr:col>87</xdr:col>
      <xdr:colOff>104684</xdr:colOff>
      <xdr:row>781</xdr:row>
      <xdr:rowOff>152399</xdr:rowOff>
    </xdr:to>
    <xdr:sp macro="" textlink="">
      <xdr:nvSpPr>
        <xdr:cNvPr id="725" name="479"/>
        <xdr:cNvSpPr/>
      </xdr:nvSpPr>
      <xdr:spPr>
        <a:xfrm>
          <a:off x="66376731" y="16369664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781</xdr:row>
      <xdr:rowOff>95249</xdr:rowOff>
    </xdr:from>
    <xdr:to>
      <xdr:col>87</xdr:col>
      <xdr:colOff>82731</xdr:colOff>
      <xdr:row>781</xdr:row>
      <xdr:rowOff>95249</xdr:rowOff>
    </xdr:to>
    <xdr:cxnSp macro="">
      <xdr:nvCxnSpPr>
        <xdr:cNvPr id="726" name="직선 화살표 연결선 725"/>
        <xdr:cNvCxnSpPr/>
      </xdr:nvCxnSpPr>
      <xdr:spPr>
        <a:xfrm>
          <a:off x="66376731" y="163753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780</xdr:row>
      <xdr:rowOff>38099</xdr:rowOff>
    </xdr:from>
    <xdr:to>
      <xdr:col>90</xdr:col>
      <xdr:colOff>84000</xdr:colOff>
      <xdr:row>780</xdr:row>
      <xdr:rowOff>152399</xdr:rowOff>
    </xdr:to>
    <xdr:sp macro="" textlink="">
      <xdr:nvSpPr>
        <xdr:cNvPr id="727" name="478"/>
        <xdr:cNvSpPr/>
      </xdr:nvSpPr>
      <xdr:spPr>
        <a:xfrm>
          <a:off x="66376731" y="163487099"/>
          <a:ext cx="228726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780</xdr:row>
      <xdr:rowOff>95249</xdr:rowOff>
    </xdr:from>
    <xdr:to>
      <xdr:col>87</xdr:col>
      <xdr:colOff>82731</xdr:colOff>
      <xdr:row>780</xdr:row>
      <xdr:rowOff>95249</xdr:rowOff>
    </xdr:to>
    <xdr:cxnSp macro="">
      <xdr:nvCxnSpPr>
        <xdr:cNvPr id="728" name="직선 화살표 연결선 727"/>
        <xdr:cNvCxnSpPr/>
      </xdr:nvCxnSpPr>
      <xdr:spPr>
        <a:xfrm>
          <a:off x="66376731" y="163544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779</xdr:row>
      <xdr:rowOff>38099</xdr:rowOff>
    </xdr:from>
    <xdr:to>
      <xdr:col>87</xdr:col>
      <xdr:colOff>63319</xdr:colOff>
      <xdr:row>779</xdr:row>
      <xdr:rowOff>152399</xdr:rowOff>
    </xdr:to>
    <xdr:sp macro="" textlink="">
      <xdr:nvSpPr>
        <xdr:cNvPr id="729" name="477"/>
        <xdr:cNvSpPr/>
      </xdr:nvSpPr>
      <xdr:spPr>
        <a:xfrm>
          <a:off x="66335366" y="16327754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779</xdr:row>
      <xdr:rowOff>95249</xdr:rowOff>
    </xdr:from>
    <xdr:to>
      <xdr:col>87</xdr:col>
      <xdr:colOff>41366</xdr:colOff>
      <xdr:row>779</xdr:row>
      <xdr:rowOff>95249</xdr:rowOff>
    </xdr:to>
    <xdr:cxnSp macro="">
      <xdr:nvCxnSpPr>
        <xdr:cNvPr id="730" name="직선 화살표 연결선 729"/>
        <xdr:cNvCxnSpPr/>
      </xdr:nvCxnSpPr>
      <xdr:spPr>
        <a:xfrm>
          <a:off x="66335366" y="163334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778</xdr:row>
      <xdr:rowOff>38099</xdr:rowOff>
    </xdr:from>
    <xdr:to>
      <xdr:col>87</xdr:col>
      <xdr:colOff>63319</xdr:colOff>
      <xdr:row>778</xdr:row>
      <xdr:rowOff>152399</xdr:rowOff>
    </xdr:to>
    <xdr:sp macro="" textlink="">
      <xdr:nvSpPr>
        <xdr:cNvPr id="731" name="476"/>
        <xdr:cNvSpPr/>
      </xdr:nvSpPr>
      <xdr:spPr>
        <a:xfrm>
          <a:off x="66335366" y="16306799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778</xdr:row>
      <xdr:rowOff>95249</xdr:rowOff>
    </xdr:from>
    <xdr:to>
      <xdr:col>87</xdr:col>
      <xdr:colOff>41366</xdr:colOff>
      <xdr:row>778</xdr:row>
      <xdr:rowOff>95249</xdr:rowOff>
    </xdr:to>
    <xdr:cxnSp macro="">
      <xdr:nvCxnSpPr>
        <xdr:cNvPr id="732" name="직선 화살표 연결선 731"/>
        <xdr:cNvCxnSpPr/>
      </xdr:nvCxnSpPr>
      <xdr:spPr>
        <a:xfrm>
          <a:off x="66335366" y="163125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777</xdr:row>
      <xdr:rowOff>38099</xdr:rowOff>
    </xdr:from>
    <xdr:to>
      <xdr:col>87</xdr:col>
      <xdr:colOff>63319</xdr:colOff>
      <xdr:row>777</xdr:row>
      <xdr:rowOff>152399</xdr:rowOff>
    </xdr:to>
    <xdr:sp macro="" textlink="">
      <xdr:nvSpPr>
        <xdr:cNvPr id="733" name="475"/>
        <xdr:cNvSpPr/>
      </xdr:nvSpPr>
      <xdr:spPr>
        <a:xfrm>
          <a:off x="66335366" y="16285844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777</xdr:row>
      <xdr:rowOff>95249</xdr:rowOff>
    </xdr:from>
    <xdr:to>
      <xdr:col>87</xdr:col>
      <xdr:colOff>41366</xdr:colOff>
      <xdr:row>777</xdr:row>
      <xdr:rowOff>95249</xdr:rowOff>
    </xdr:to>
    <xdr:cxnSp macro="">
      <xdr:nvCxnSpPr>
        <xdr:cNvPr id="734" name="직선 화살표 연결선 733"/>
        <xdr:cNvCxnSpPr/>
      </xdr:nvCxnSpPr>
      <xdr:spPr>
        <a:xfrm>
          <a:off x="66335366" y="162915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124098</xdr:colOff>
      <xdr:row>776</xdr:row>
      <xdr:rowOff>38099</xdr:rowOff>
    </xdr:from>
    <xdr:to>
      <xdr:col>87</xdr:col>
      <xdr:colOff>42636</xdr:colOff>
      <xdr:row>776</xdr:row>
      <xdr:rowOff>152399</xdr:rowOff>
    </xdr:to>
    <xdr:sp macro="" textlink="">
      <xdr:nvSpPr>
        <xdr:cNvPr id="735" name="474"/>
        <xdr:cNvSpPr/>
      </xdr:nvSpPr>
      <xdr:spPr>
        <a:xfrm>
          <a:off x="65656098" y="16264889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124098</xdr:colOff>
      <xdr:row>776</xdr:row>
      <xdr:rowOff>95249</xdr:rowOff>
    </xdr:from>
    <xdr:to>
      <xdr:col>86</xdr:col>
      <xdr:colOff>124098</xdr:colOff>
      <xdr:row>776</xdr:row>
      <xdr:rowOff>95249</xdr:rowOff>
    </xdr:to>
    <xdr:cxnSp macro="">
      <xdr:nvCxnSpPr>
        <xdr:cNvPr id="736" name="직선 화살표 연결선 735"/>
        <xdr:cNvCxnSpPr/>
      </xdr:nvCxnSpPr>
      <xdr:spPr>
        <a:xfrm>
          <a:off x="65656098" y="162706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775</xdr:row>
      <xdr:rowOff>38099</xdr:rowOff>
    </xdr:from>
    <xdr:to>
      <xdr:col>86</xdr:col>
      <xdr:colOff>125367</xdr:colOff>
      <xdr:row>775</xdr:row>
      <xdr:rowOff>152399</xdr:rowOff>
    </xdr:to>
    <xdr:sp macro="" textlink="">
      <xdr:nvSpPr>
        <xdr:cNvPr id="737" name="473"/>
        <xdr:cNvSpPr/>
      </xdr:nvSpPr>
      <xdr:spPr>
        <a:xfrm>
          <a:off x="65552682" y="162439349"/>
          <a:ext cx="1046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775</xdr:row>
      <xdr:rowOff>95249</xdr:rowOff>
    </xdr:from>
    <xdr:to>
      <xdr:col>86</xdr:col>
      <xdr:colOff>20682</xdr:colOff>
      <xdr:row>775</xdr:row>
      <xdr:rowOff>95249</xdr:rowOff>
    </xdr:to>
    <xdr:cxnSp macro="">
      <xdr:nvCxnSpPr>
        <xdr:cNvPr id="738" name="직선 화살표 연결선 737"/>
        <xdr:cNvCxnSpPr/>
      </xdr:nvCxnSpPr>
      <xdr:spPr>
        <a:xfrm>
          <a:off x="65552682" y="162496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774</xdr:row>
      <xdr:rowOff>38099</xdr:rowOff>
    </xdr:from>
    <xdr:to>
      <xdr:col>86</xdr:col>
      <xdr:colOff>21952</xdr:colOff>
      <xdr:row>774</xdr:row>
      <xdr:rowOff>152399</xdr:rowOff>
    </xdr:to>
    <xdr:sp macro="" textlink="">
      <xdr:nvSpPr>
        <xdr:cNvPr id="739" name="472"/>
        <xdr:cNvSpPr/>
      </xdr:nvSpPr>
      <xdr:spPr>
        <a:xfrm>
          <a:off x="64873415" y="1622297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774</xdr:row>
      <xdr:rowOff>95249</xdr:rowOff>
    </xdr:from>
    <xdr:to>
      <xdr:col>85</xdr:col>
      <xdr:colOff>103415</xdr:colOff>
      <xdr:row>774</xdr:row>
      <xdr:rowOff>95249</xdr:rowOff>
    </xdr:to>
    <xdr:cxnSp macro="">
      <xdr:nvCxnSpPr>
        <xdr:cNvPr id="740" name="직선 화살표 연결선 739"/>
        <xdr:cNvCxnSpPr/>
      </xdr:nvCxnSpPr>
      <xdr:spPr>
        <a:xfrm>
          <a:off x="64873415" y="162286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773</xdr:row>
      <xdr:rowOff>38099</xdr:rowOff>
    </xdr:from>
    <xdr:to>
      <xdr:col>86</xdr:col>
      <xdr:colOff>21952</xdr:colOff>
      <xdr:row>773</xdr:row>
      <xdr:rowOff>152399</xdr:rowOff>
    </xdr:to>
    <xdr:sp macro="" textlink="">
      <xdr:nvSpPr>
        <xdr:cNvPr id="741" name="471"/>
        <xdr:cNvSpPr/>
      </xdr:nvSpPr>
      <xdr:spPr>
        <a:xfrm>
          <a:off x="64873415" y="16202024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773</xdr:row>
      <xdr:rowOff>95249</xdr:rowOff>
    </xdr:from>
    <xdr:to>
      <xdr:col>85</xdr:col>
      <xdr:colOff>103415</xdr:colOff>
      <xdr:row>773</xdr:row>
      <xdr:rowOff>95249</xdr:rowOff>
    </xdr:to>
    <xdr:cxnSp macro="">
      <xdr:nvCxnSpPr>
        <xdr:cNvPr id="742" name="직선 화살표 연결선 741"/>
        <xdr:cNvCxnSpPr/>
      </xdr:nvCxnSpPr>
      <xdr:spPr>
        <a:xfrm>
          <a:off x="64873415" y="162077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41366</xdr:colOff>
      <xdr:row>772</xdr:row>
      <xdr:rowOff>38099</xdr:rowOff>
    </xdr:from>
    <xdr:to>
      <xdr:col>85</xdr:col>
      <xdr:colOff>104684</xdr:colOff>
      <xdr:row>772</xdr:row>
      <xdr:rowOff>152399</xdr:rowOff>
    </xdr:to>
    <xdr:sp macro="" textlink="">
      <xdr:nvSpPr>
        <xdr:cNvPr id="743" name="470"/>
        <xdr:cNvSpPr/>
      </xdr:nvSpPr>
      <xdr:spPr>
        <a:xfrm>
          <a:off x="64811366" y="16181069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41366</xdr:colOff>
      <xdr:row>772</xdr:row>
      <xdr:rowOff>95249</xdr:rowOff>
    </xdr:from>
    <xdr:to>
      <xdr:col>85</xdr:col>
      <xdr:colOff>41366</xdr:colOff>
      <xdr:row>772</xdr:row>
      <xdr:rowOff>95249</xdr:rowOff>
    </xdr:to>
    <xdr:cxnSp macro="">
      <xdr:nvCxnSpPr>
        <xdr:cNvPr id="744" name="직선 화살표 연결선 743"/>
        <xdr:cNvCxnSpPr/>
      </xdr:nvCxnSpPr>
      <xdr:spPr>
        <a:xfrm>
          <a:off x="64811366" y="161867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41366</xdr:colOff>
      <xdr:row>771</xdr:row>
      <xdr:rowOff>38099</xdr:rowOff>
    </xdr:from>
    <xdr:to>
      <xdr:col>85</xdr:col>
      <xdr:colOff>104684</xdr:colOff>
      <xdr:row>771</xdr:row>
      <xdr:rowOff>152399</xdr:rowOff>
    </xdr:to>
    <xdr:sp macro="" textlink="">
      <xdr:nvSpPr>
        <xdr:cNvPr id="745" name="469"/>
        <xdr:cNvSpPr/>
      </xdr:nvSpPr>
      <xdr:spPr>
        <a:xfrm>
          <a:off x="64811366" y="16160114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41366</xdr:colOff>
      <xdr:row>771</xdr:row>
      <xdr:rowOff>95249</xdr:rowOff>
    </xdr:from>
    <xdr:to>
      <xdr:col>85</xdr:col>
      <xdr:colOff>41366</xdr:colOff>
      <xdr:row>771</xdr:row>
      <xdr:rowOff>95249</xdr:rowOff>
    </xdr:to>
    <xdr:cxnSp macro="">
      <xdr:nvCxnSpPr>
        <xdr:cNvPr id="746" name="직선 화살표 연결선 745"/>
        <xdr:cNvCxnSpPr/>
      </xdr:nvCxnSpPr>
      <xdr:spPr>
        <a:xfrm>
          <a:off x="64811366" y="161658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41366</xdr:colOff>
      <xdr:row>770</xdr:row>
      <xdr:rowOff>38099</xdr:rowOff>
    </xdr:from>
    <xdr:to>
      <xdr:col>85</xdr:col>
      <xdr:colOff>104684</xdr:colOff>
      <xdr:row>770</xdr:row>
      <xdr:rowOff>152399</xdr:rowOff>
    </xdr:to>
    <xdr:sp macro="" textlink="">
      <xdr:nvSpPr>
        <xdr:cNvPr id="747" name="468"/>
        <xdr:cNvSpPr/>
      </xdr:nvSpPr>
      <xdr:spPr>
        <a:xfrm>
          <a:off x="64811366" y="16139159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41366</xdr:colOff>
      <xdr:row>770</xdr:row>
      <xdr:rowOff>95249</xdr:rowOff>
    </xdr:from>
    <xdr:to>
      <xdr:col>85</xdr:col>
      <xdr:colOff>41366</xdr:colOff>
      <xdr:row>770</xdr:row>
      <xdr:rowOff>95249</xdr:rowOff>
    </xdr:to>
    <xdr:cxnSp macro="">
      <xdr:nvCxnSpPr>
        <xdr:cNvPr id="748" name="직선 화살표 연결선 747"/>
        <xdr:cNvCxnSpPr/>
      </xdr:nvCxnSpPr>
      <xdr:spPr>
        <a:xfrm>
          <a:off x="64811366" y="161448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82732</xdr:colOff>
      <xdr:row>769</xdr:row>
      <xdr:rowOff>38099</xdr:rowOff>
    </xdr:from>
    <xdr:to>
      <xdr:col>85</xdr:col>
      <xdr:colOff>42636</xdr:colOff>
      <xdr:row>769</xdr:row>
      <xdr:rowOff>152399</xdr:rowOff>
    </xdr:to>
    <xdr:sp macro="" textlink="">
      <xdr:nvSpPr>
        <xdr:cNvPr id="749" name="467"/>
        <xdr:cNvSpPr/>
      </xdr:nvSpPr>
      <xdr:spPr>
        <a:xfrm>
          <a:off x="64090732" y="161182049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82732</xdr:colOff>
      <xdr:row>769</xdr:row>
      <xdr:rowOff>95249</xdr:rowOff>
    </xdr:from>
    <xdr:to>
      <xdr:col>84</xdr:col>
      <xdr:colOff>82732</xdr:colOff>
      <xdr:row>769</xdr:row>
      <xdr:rowOff>95249</xdr:rowOff>
    </xdr:to>
    <xdr:cxnSp macro="">
      <xdr:nvCxnSpPr>
        <xdr:cNvPr id="750" name="직선 화살표 연결선 749"/>
        <xdr:cNvCxnSpPr/>
      </xdr:nvCxnSpPr>
      <xdr:spPr>
        <a:xfrm>
          <a:off x="64090732" y="161239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62048</xdr:colOff>
      <xdr:row>768</xdr:row>
      <xdr:rowOff>38099</xdr:rowOff>
    </xdr:from>
    <xdr:to>
      <xdr:col>84</xdr:col>
      <xdr:colOff>84002</xdr:colOff>
      <xdr:row>768</xdr:row>
      <xdr:rowOff>152399</xdr:rowOff>
    </xdr:to>
    <xdr:sp macro="" textlink="">
      <xdr:nvSpPr>
        <xdr:cNvPr id="751" name="466"/>
        <xdr:cNvSpPr/>
      </xdr:nvSpPr>
      <xdr:spPr>
        <a:xfrm>
          <a:off x="64070048" y="160972499"/>
          <a:ext cx="219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62048</xdr:colOff>
      <xdr:row>768</xdr:row>
      <xdr:rowOff>95249</xdr:rowOff>
    </xdr:from>
    <xdr:to>
      <xdr:col>84</xdr:col>
      <xdr:colOff>62048</xdr:colOff>
      <xdr:row>768</xdr:row>
      <xdr:rowOff>95249</xdr:rowOff>
    </xdr:to>
    <xdr:cxnSp macro="">
      <xdr:nvCxnSpPr>
        <xdr:cNvPr id="752" name="직선 화살표 연결선 751"/>
        <xdr:cNvCxnSpPr/>
      </xdr:nvCxnSpPr>
      <xdr:spPr>
        <a:xfrm>
          <a:off x="64070048" y="161029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62048</xdr:colOff>
      <xdr:row>767</xdr:row>
      <xdr:rowOff>38099</xdr:rowOff>
    </xdr:from>
    <xdr:to>
      <xdr:col>84</xdr:col>
      <xdr:colOff>84002</xdr:colOff>
      <xdr:row>767</xdr:row>
      <xdr:rowOff>152399</xdr:rowOff>
    </xdr:to>
    <xdr:sp macro="" textlink="">
      <xdr:nvSpPr>
        <xdr:cNvPr id="753" name="465"/>
        <xdr:cNvSpPr/>
      </xdr:nvSpPr>
      <xdr:spPr>
        <a:xfrm>
          <a:off x="64070048" y="160762949"/>
          <a:ext cx="219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62048</xdr:colOff>
      <xdr:row>767</xdr:row>
      <xdr:rowOff>95249</xdr:rowOff>
    </xdr:from>
    <xdr:to>
      <xdr:col>84</xdr:col>
      <xdr:colOff>62048</xdr:colOff>
      <xdr:row>767</xdr:row>
      <xdr:rowOff>95249</xdr:rowOff>
    </xdr:to>
    <xdr:cxnSp macro="">
      <xdr:nvCxnSpPr>
        <xdr:cNvPr id="754" name="직선 화살표 연결선 753"/>
        <xdr:cNvCxnSpPr/>
      </xdr:nvCxnSpPr>
      <xdr:spPr>
        <a:xfrm>
          <a:off x="64070048" y="160820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62048</xdr:colOff>
      <xdr:row>766</xdr:row>
      <xdr:rowOff>38099</xdr:rowOff>
    </xdr:from>
    <xdr:to>
      <xdr:col>87</xdr:col>
      <xdr:colOff>63319</xdr:colOff>
      <xdr:row>766</xdr:row>
      <xdr:rowOff>152399</xdr:rowOff>
    </xdr:to>
    <xdr:sp macro="" textlink="">
      <xdr:nvSpPr>
        <xdr:cNvPr id="755" name="464"/>
        <xdr:cNvSpPr/>
      </xdr:nvSpPr>
      <xdr:spPr>
        <a:xfrm>
          <a:off x="64070048" y="160553399"/>
          <a:ext cx="2287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62048</xdr:colOff>
      <xdr:row>766</xdr:row>
      <xdr:rowOff>95249</xdr:rowOff>
    </xdr:from>
    <xdr:to>
      <xdr:col>84</xdr:col>
      <xdr:colOff>62048</xdr:colOff>
      <xdr:row>766</xdr:row>
      <xdr:rowOff>95249</xdr:rowOff>
    </xdr:to>
    <xdr:cxnSp macro="">
      <xdr:nvCxnSpPr>
        <xdr:cNvPr id="756" name="직선 화살표 연결선 755"/>
        <xdr:cNvCxnSpPr/>
      </xdr:nvCxnSpPr>
      <xdr:spPr>
        <a:xfrm>
          <a:off x="64070048" y="160610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765</xdr:row>
      <xdr:rowOff>38099</xdr:rowOff>
    </xdr:from>
    <xdr:to>
      <xdr:col>98</xdr:col>
      <xdr:colOff>125366</xdr:colOff>
      <xdr:row>765</xdr:row>
      <xdr:rowOff>152399</xdr:rowOff>
    </xdr:to>
    <xdr:sp macro="" textlink="">
      <xdr:nvSpPr>
        <xdr:cNvPr id="757" name="463"/>
        <xdr:cNvSpPr/>
      </xdr:nvSpPr>
      <xdr:spPr>
        <a:xfrm>
          <a:off x="66397414" y="16034384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765</xdr:row>
      <xdr:rowOff>95249</xdr:rowOff>
    </xdr:from>
    <xdr:to>
      <xdr:col>87</xdr:col>
      <xdr:colOff>103414</xdr:colOff>
      <xdr:row>765</xdr:row>
      <xdr:rowOff>95249</xdr:rowOff>
    </xdr:to>
    <xdr:cxnSp macro="">
      <xdr:nvCxnSpPr>
        <xdr:cNvPr id="758" name="직선 화살표 연결선 757"/>
        <xdr:cNvCxnSpPr/>
      </xdr:nvCxnSpPr>
      <xdr:spPr>
        <a:xfrm>
          <a:off x="66397414" y="160400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764</xdr:row>
      <xdr:rowOff>38099</xdr:rowOff>
    </xdr:from>
    <xdr:to>
      <xdr:col>98</xdr:col>
      <xdr:colOff>125366</xdr:colOff>
      <xdr:row>764</xdr:row>
      <xdr:rowOff>152399</xdr:rowOff>
    </xdr:to>
    <xdr:sp macro="" textlink="">
      <xdr:nvSpPr>
        <xdr:cNvPr id="759" name="462"/>
        <xdr:cNvSpPr/>
      </xdr:nvSpPr>
      <xdr:spPr>
        <a:xfrm>
          <a:off x="66397414" y="16013429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764</xdr:row>
      <xdr:rowOff>95249</xdr:rowOff>
    </xdr:from>
    <xdr:to>
      <xdr:col>87</xdr:col>
      <xdr:colOff>103414</xdr:colOff>
      <xdr:row>764</xdr:row>
      <xdr:rowOff>95249</xdr:rowOff>
    </xdr:to>
    <xdr:cxnSp macro="">
      <xdr:nvCxnSpPr>
        <xdr:cNvPr id="760" name="직선 화살표 연결선 759"/>
        <xdr:cNvCxnSpPr/>
      </xdr:nvCxnSpPr>
      <xdr:spPr>
        <a:xfrm>
          <a:off x="66397414" y="160191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763</xdr:row>
      <xdr:rowOff>38099</xdr:rowOff>
    </xdr:from>
    <xdr:to>
      <xdr:col>98</xdr:col>
      <xdr:colOff>125366</xdr:colOff>
      <xdr:row>763</xdr:row>
      <xdr:rowOff>152399</xdr:rowOff>
    </xdr:to>
    <xdr:sp macro="" textlink="">
      <xdr:nvSpPr>
        <xdr:cNvPr id="761" name="461"/>
        <xdr:cNvSpPr/>
      </xdr:nvSpPr>
      <xdr:spPr>
        <a:xfrm>
          <a:off x="66397414" y="15992474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763</xdr:row>
      <xdr:rowOff>95249</xdr:rowOff>
    </xdr:from>
    <xdr:to>
      <xdr:col>87</xdr:col>
      <xdr:colOff>103414</xdr:colOff>
      <xdr:row>763</xdr:row>
      <xdr:rowOff>95249</xdr:rowOff>
    </xdr:to>
    <xdr:cxnSp macro="">
      <xdr:nvCxnSpPr>
        <xdr:cNvPr id="762" name="직선 화살표 연결선 761"/>
        <xdr:cNvCxnSpPr/>
      </xdr:nvCxnSpPr>
      <xdr:spPr>
        <a:xfrm>
          <a:off x="66397414" y="159981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762</xdr:row>
      <xdr:rowOff>38099</xdr:rowOff>
    </xdr:from>
    <xdr:to>
      <xdr:col>98</xdr:col>
      <xdr:colOff>125366</xdr:colOff>
      <xdr:row>762</xdr:row>
      <xdr:rowOff>152399</xdr:rowOff>
    </xdr:to>
    <xdr:sp macro="" textlink="">
      <xdr:nvSpPr>
        <xdr:cNvPr id="763" name="460"/>
        <xdr:cNvSpPr/>
      </xdr:nvSpPr>
      <xdr:spPr>
        <a:xfrm>
          <a:off x="66397414" y="15971519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762</xdr:row>
      <xdr:rowOff>95249</xdr:rowOff>
    </xdr:from>
    <xdr:to>
      <xdr:col>87</xdr:col>
      <xdr:colOff>103414</xdr:colOff>
      <xdr:row>762</xdr:row>
      <xdr:rowOff>95249</xdr:rowOff>
    </xdr:to>
    <xdr:cxnSp macro="">
      <xdr:nvCxnSpPr>
        <xdr:cNvPr id="764" name="직선 화살표 연결선 763"/>
        <xdr:cNvCxnSpPr/>
      </xdr:nvCxnSpPr>
      <xdr:spPr>
        <a:xfrm>
          <a:off x="66397414" y="159772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761</xdr:row>
      <xdr:rowOff>38099</xdr:rowOff>
    </xdr:from>
    <xdr:to>
      <xdr:col>98</xdr:col>
      <xdr:colOff>125366</xdr:colOff>
      <xdr:row>761</xdr:row>
      <xdr:rowOff>152399</xdr:rowOff>
    </xdr:to>
    <xdr:sp macro="" textlink="">
      <xdr:nvSpPr>
        <xdr:cNvPr id="765" name="459"/>
        <xdr:cNvSpPr/>
      </xdr:nvSpPr>
      <xdr:spPr>
        <a:xfrm>
          <a:off x="66397414" y="15950564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761</xdr:row>
      <xdr:rowOff>95249</xdr:rowOff>
    </xdr:from>
    <xdr:to>
      <xdr:col>87</xdr:col>
      <xdr:colOff>103414</xdr:colOff>
      <xdr:row>761</xdr:row>
      <xdr:rowOff>95249</xdr:rowOff>
    </xdr:to>
    <xdr:cxnSp macro="">
      <xdr:nvCxnSpPr>
        <xdr:cNvPr id="766" name="직선 화살표 연결선 765"/>
        <xdr:cNvCxnSpPr/>
      </xdr:nvCxnSpPr>
      <xdr:spPr>
        <a:xfrm>
          <a:off x="66397414" y="159562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760</xdr:row>
      <xdr:rowOff>38099</xdr:rowOff>
    </xdr:from>
    <xdr:to>
      <xdr:col>98</xdr:col>
      <xdr:colOff>125366</xdr:colOff>
      <xdr:row>760</xdr:row>
      <xdr:rowOff>152399</xdr:rowOff>
    </xdr:to>
    <xdr:sp macro="" textlink="">
      <xdr:nvSpPr>
        <xdr:cNvPr id="767" name="458"/>
        <xdr:cNvSpPr/>
      </xdr:nvSpPr>
      <xdr:spPr>
        <a:xfrm>
          <a:off x="66397414" y="15929609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760</xdr:row>
      <xdr:rowOff>95249</xdr:rowOff>
    </xdr:from>
    <xdr:to>
      <xdr:col>87</xdr:col>
      <xdr:colOff>103414</xdr:colOff>
      <xdr:row>760</xdr:row>
      <xdr:rowOff>95249</xdr:rowOff>
    </xdr:to>
    <xdr:cxnSp macro="">
      <xdr:nvCxnSpPr>
        <xdr:cNvPr id="768" name="직선 화살표 연결선 767"/>
        <xdr:cNvCxnSpPr/>
      </xdr:nvCxnSpPr>
      <xdr:spPr>
        <a:xfrm>
          <a:off x="66397414" y="159353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759</xdr:row>
      <xdr:rowOff>38099</xdr:rowOff>
    </xdr:from>
    <xdr:to>
      <xdr:col>98</xdr:col>
      <xdr:colOff>125366</xdr:colOff>
      <xdr:row>759</xdr:row>
      <xdr:rowOff>152399</xdr:rowOff>
    </xdr:to>
    <xdr:sp macro="" textlink="">
      <xdr:nvSpPr>
        <xdr:cNvPr id="769" name="457"/>
        <xdr:cNvSpPr/>
      </xdr:nvSpPr>
      <xdr:spPr>
        <a:xfrm>
          <a:off x="66397414" y="15908654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759</xdr:row>
      <xdr:rowOff>95249</xdr:rowOff>
    </xdr:from>
    <xdr:to>
      <xdr:col>87</xdr:col>
      <xdr:colOff>103414</xdr:colOff>
      <xdr:row>759</xdr:row>
      <xdr:rowOff>95249</xdr:rowOff>
    </xdr:to>
    <xdr:cxnSp macro="">
      <xdr:nvCxnSpPr>
        <xdr:cNvPr id="770" name="직선 화살표 연결선 769"/>
        <xdr:cNvCxnSpPr/>
      </xdr:nvCxnSpPr>
      <xdr:spPr>
        <a:xfrm>
          <a:off x="66397414" y="159143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758</xdr:row>
      <xdr:rowOff>38099</xdr:rowOff>
    </xdr:from>
    <xdr:to>
      <xdr:col>98</xdr:col>
      <xdr:colOff>125366</xdr:colOff>
      <xdr:row>758</xdr:row>
      <xdr:rowOff>152399</xdr:rowOff>
    </xdr:to>
    <xdr:sp macro="" textlink="">
      <xdr:nvSpPr>
        <xdr:cNvPr id="771" name="456"/>
        <xdr:cNvSpPr/>
      </xdr:nvSpPr>
      <xdr:spPr>
        <a:xfrm>
          <a:off x="66397414" y="15887699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758</xdr:row>
      <xdr:rowOff>95249</xdr:rowOff>
    </xdr:from>
    <xdr:to>
      <xdr:col>87</xdr:col>
      <xdr:colOff>103414</xdr:colOff>
      <xdr:row>758</xdr:row>
      <xdr:rowOff>95249</xdr:rowOff>
    </xdr:to>
    <xdr:cxnSp macro="">
      <xdr:nvCxnSpPr>
        <xdr:cNvPr id="772" name="직선 화살표 연결선 771"/>
        <xdr:cNvCxnSpPr/>
      </xdr:nvCxnSpPr>
      <xdr:spPr>
        <a:xfrm>
          <a:off x="66397414" y="158934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757</xdr:row>
      <xdr:rowOff>38099</xdr:rowOff>
    </xdr:from>
    <xdr:to>
      <xdr:col>98</xdr:col>
      <xdr:colOff>125366</xdr:colOff>
      <xdr:row>757</xdr:row>
      <xdr:rowOff>152399</xdr:rowOff>
    </xdr:to>
    <xdr:sp macro="" textlink="">
      <xdr:nvSpPr>
        <xdr:cNvPr id="773" name="455"/>
        <xdr:cNvSpPr/>
      </xdr:nvSpPr>
      <xdr:spPr>
        <a:xfrm>
          <a:off x="66397414" y="15866744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757</xdr:row>
      <xdr:rowOff>95249</xdr:rowOff>
    </xdr:from>
    <xdr:to>
      <xdr:col>87</xdr:col>
      <xdr:colOff>103414</xdr:colOff>
      <xdr:row>757</xdr:row>
      <xdr:rowOff>95249</xdr:rowOff>
    </xdr:to>
    <xdr:cxnSp macro="">
      <xdr:nvCxnSpPr>
        <xdr:cNvPr id="774" name="직선 화살표 연결선 773"/>
        <xdr:cNvCxnSpPr/>
      </xdr:nvCxnSpPr>
      <xdr:spPr>
        <a:xfrm>
          <a:off x="66397414" y="158724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756</xdr:row>
      <xdr:rowOff>38099</xdr:rowOff>
    </xdr:from>
    <xdr:to>
      <xdr:col>98</xdr:col>
      <xdr:colOff>125366</xdr:colOff>
      <xdr:row>756</xdr:row>
      <xdr:rowOff>152399</xdr:rowOff>
    </xdr:to>
    <xdr:sp macro="" textlink="">
      <xdr:nvSpPr>
        <xdr:cNvPr id="775" name="454"/>
        <xdr:cNvSpPr/>
      </xdr:nvSpPr>
      <xdr:spPr>
        <a:xfrm>
          <a:off x="66397414" y="15845789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756</xdr:row>
      <xdr:rowOff>95249</xdr:rowOff>
    </xdr:from>
    <xdr:to>
      <xdr:col>87</xdr:col>
      <xdr:colOff>103414</xdr:colOff>
      <xdr:row>756</xdr:row>
      <xdr:rowOff>95249</xdr:rowOff>
    </xdr:to>
    <xdr:cxnSp macro="">
      <xdr:nvCxnSpPr>
        <xdr:cNvPr id="776" name="직선 화살표 연결선 775"/>
        <xdr:cNvCxnSpPr/>
      </xdr:nvCxnSpPr>
      <xdr:spPr>
        <a:xfrm>
          <a:off x="66397414" y="158515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755</xdr:row>
      <xdr:rowOff>38099</xdr:rowOff>
    </xdr:from>
    <xdr:to>
      <xdr:col>98</xdr:col>
      <xdr:colOff>125366</xdr:colOff>
      <xdr:row>755</xdr:row>
      <xdr:rowOff>152399</xdr:rowOff>
    </xdr:to>
    <xdr:sp macro="" textlink="">
      <xdr:nvSpPr>
        <xdr:cNvPr id="777" name="453"/>
        <xdr:cNvSpPr/>
      </xdr:nvSpPr>
      <xdr:spPr>
        <a:xfrm>
          <a:off x="66397414" y="15824834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755</xdr:row>
      <xdr:rowOff>95249</xdr:rowOff>
    </xdr:from>
    <xdr:to>
      <xdr:col>87</xdr:col>
      <xdr:colOff>103414</xdr:colOff>
      <xdr:row>755</xdr:row>
      <xdr:rowOff>95249</xdr:rowOff>
    </xdr:to>
    <xdr:cxnSp macro="">
      <xdr:nvCxnSpPr>
        <xdr:cNvPr id="778" name="직선 화살표 연결선 777"/>
        <xdr:cNvCxnSpPr/>
      </xdr:nvCxnSpPr>
      <xdr:spPr>
        <a:xfrm>
          <a:off x="66397414" y="158305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754</xdr:row>
      <xdr:rowOff>38099</xdr:rowOff>
    </xdr:from>
    <xdr:to>
      <xdr:col>98</xdr:col>
      <xdr:colOff>125366</xdr:colOff>
      <xdr:row>754</xdr:row>
      <xdr:rowOff>152399</xdr:rowOff>
    </xdr:to>
    <xdr:sp macro="" textlink="">
      <xdr:nvSpPr>
        <xdr:cNvPr id="779" name="452"/>
        <xdr:cNvSpPr/>
      </xdr:nvSpPr>
      <xdr:spPr>
        <a:xfrm>
          <a:off x="66397414" y="15803879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754</xdr:row>
      <xdr:rowOff>95249</xdr:rowOff>
    </xdr:from>
    <xdr:to>
      <xdr:col>87</xdr:col>
      <xdr:colOff>103414</xdr:colOff>
      <xdr:row>754</xdr:row>
      <xdr:rowOff>95249</xdr:rowOff>
    </xdr:to>
    <xdr:cxnSp macro="">
      <xdr:nvCxnSpPr>
        <xdr:cNvPr id="780" name="직선 화살표 연결선 779"/>
        <xdr:cNvCxnSpPr/>
      </xdr:nvCxnSpPr>
      <xdr:spPr>
        <a:xfrm>
          <a:off x="66397414" y="158095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753</xdr:row>
      <xdr:rowOff>38099</xdr:rowOff>
    </xdr:from>
    <xdr:to>
      <xdr:col>98</xdr:col>
      <xdr:colOff>125366</xdr:colOff>
      <xdr:row>753</xdr:row>
      <xdr:rowOff>152399</xdr:rowOff>
    </xdr:to>
    <xdr:sp macro="" textlink="">
      <xdr:nvSpPr>
        <xdr:cNvPr id="781" name="451"/>
        <xdr:cNvSpPr/>
      </xdr:nvSpPr>
      <xdr:spPr>
        <a:xfrm>
          <a:off x="66397414" y="15782924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753</xdr:row>
      <xdr:rowOff>95249</xdr:rowOff>
    </xdr:from>
    <xdr:to>
      <xdr:col>87</xdr:col>
      <xdr:colOff>103414</xdr:colOff>
      <xdr:row>753</xdr:row>
      <xdr:rowOff>95249</xdr:rowOff>
    </xdr:to>
    <xdr:cxnSp macro="">
      <xdr:nvCxnSpPr>
        <xdr:cNvPr id="782" name="직선 화살표 연결선 781"/>
        <xdr:cNvCxnSpPr/>
      </xdr:nvCxnSpPr>
      <xdr:spPr>
        <a:xfrm>
          <a:off x="66397414" y="157886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752</xdr:row>
      <xdr:rowOff>38099</xdr:rowOff>
    </xdr:from>
    <xdr:to>
      <xdr:col>98</xdr:col>
      <xdr:colOff>125366</xdr:colOff>
      <xdr:row>752</xdr:row>
      <xdr:rowOff>152399</xdr:rowOff>
    </xdr:to>
    <xdr:sp macro="" textlink="">
      <xdr:nvSpPr>
        <xdr:cNvPr id="783" name="450"/>
        <xdr:cNvSpPr/>
      </xdr:nvSpPr>
      <xdr:spPr>
        <a:xfrm>
          <a:off x="66397414" y="157619699"/>
          <a:ext cx="840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752</xdr:row>
      <xdr:rowOff>95249</xdr:rowOff>
    </xdr:from>
    <xdr:to>
      <xdr:col>87</xdr:col>
      <xdr:colOff>103414</xdr:colOff>
      <xdr:row>752</xdr:row>
      <xdr:rowOff>95249</xdr:rowOff>
    </xdr:to>
    <xdr:cxnSp macro="">
      <xdr:nvCxnSpPr>
        <xdr:cNvPr id="784" name="직선 화살표 연결선 783"/>
        <xdr:cNvCxnSpPr/>
      </xdr:nvCxnSpPr>
      <xdr:spPr>
        <a:xfrm>
          <a:off x="66397414" y="157676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751</xdr:row>
      <xdr:rowOff>38099</xdr:rowOff>
    </xdr:from>
    <xdr:to>
      <xdr:col>98</xdr:col>
      <xdr:colOff>125366</xdr:colOff>
      <xdr:row>751</xdr:row>
      <xdr:rowOff>152399</xdr:rowOff>
    </xdr:to>
    <xdr:sp macro="" textlink="">
      <xdr:nvSpPr>
        <xdr:cNvPr id="785" name="449"/>
        <xdr:cNvSpPr/>
      </xdr:nvSpPr>
      <xdr:spPr>
        <a:xfrm>
          <a:off x="66397414" y="157410149"/>
          <a:ext cx="84039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751</xdr:row>
      <xdr:rowOff>95249</xdr:rowOff>
    </xdr:from>
    <xdr:to>
      <xdr:col>87</xdr:col>
      <xdr:colOff>103414</xdr:colOff>
      <xdr:row>751</xdr:row>
      <xdr:rowOff>95249</xdr:rowOff>
    </xdr:to>
    <xdr:cxnSp macro="">
      <xdr:nvCxnSpPr>
        <xdr:cNvPr id="786" name="직선 화살표 연결선 785"/>
        <xdr:cNvCxnSpPr/>
      </xdr:nvCxnSpPr>
      <xdr:spPr>
        <a:xfrm>
          <a:off x="66397414" y="157467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750</xdr:row>
      <xdr:rowOff>38099</xdr:rowOff>
    </xdr:from>
    <xdr:to>
      <xdr:col>90</xdr:col>
      <xdr:colOff>125367</xdr:colOff>
      <xdr:row>750</xdr:row>
      <xdr:rowOff>152399</xdr:rowOff>
    </xdr:to>
    <xdr:sp macro="" textlink="">
      <xdr:nvSpPr>
        <xdr:cNvPr id="787" name="448"/>
        <xdr:cNvSpPr/>
      </xdr:nvSpPr>
      <xdr:spPr>
        <a:xfrm>
          <a:off x="66397414" y="15720059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750</xdr:row>
      <xdr:rowOff>95249</xdr:rowOff>
    </xdr:from>
    <xdr:to>
      <xdr:col>87</xdr:col>
      <xdr:colOff>103414</xdr:colOff>
      <xdr:row>750</xdr:row>
      <xdr:rowOff>95249</xdr:rowOff>
    </xdr:to>
    <xdr:cxnSp macro="">
      <xdr:nvCxnSpPr>
        <xdr:cNvPr id="788" name="직선 화살표 연결선 787"/>
        <xdr:cNvCxnSpPr/>
      </xdr:nvCxnSpPr>
      <xdr:spPr>
        <a:xfrm>
          <a:off x="66397414" y="157257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749</xdr:row>
      <xdr:rowOff>38099</xdr:rowOff>
    </xdr:from>
    <xdr:to>
      <xdr:col>90</xdr:col>
      <xdr:colOff>125367</xdr:colOff>
      <xdr:row>749</xdr:row>
      <xdr:rowOff>152399</xdr:rowOff>
    </xdr:to>
    <xdr:sp macro="" textlink="">
      <xdr:nvSpPr>
        <xdr:cNvPr id="789" name="447"/>
        <xdr:cNvSpPr/>
      </xdr:nvSpPr>
      <xdr:spPr>
        <a:xfrm>
          <a:off x="66397414" y="15699104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749</xdr:row>
      <xdr:rowOff>95249</xdr:rowOff>
    </xdr:from>
    <xdr:to>
      <xdr:col>87</xdr:col>
      <xdr:colOff>103414</xdr:colOff>
      <xdr:row>749</xdr:row>
      <xdr:rowOff>95249</xdr:rowOff>
    </xdr:to>
    <xdr:cxnSp macro="">
      <xdr:nvCxnSpPr>
        <xdr:cNvPr id="790" name="직선 화살표 연결선 789"/>
        <xdr:cNvCxnSpPr/>
      </xdr:nvCxnSpPr>
      <xdr:spPr>
        <a:xfrm>
          <a:off x="66397414" y="157048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748</xdr:row>
      <xdr:rowOff>38099</xdr:rowOff>
    </xdr:from>
    <xdr:to>
      <xdr:col>90</xdr:col>
      <xdr:colOff>125367</xdr:colOff>
      <xdr:row>748</xdr:row>
      <xdr:rowOff>152399</xdr:rowOff>
    </xdr:to>
    <xdr:sp macro="" textlink="">
      <xdr:nvSpPr>
        <xdr:cNvPr id="791" name="446"/>
        <xdr:cNvSpPr/>
      </xdr:nvSpPr>
      <xdr:spPr>
        <a:xfrm>
          <a:off x="66397414" y="15678149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748</xdr:row>
      <xdr:rowOff>95249</xdr:rowOff>
    </xdr:from>
    <xdr:to>
      <xdr:col>87</xdr:col>
      <xdr:colOff>103414</xdr:colOff>
      <xdr:row>748</xdr:row>
      <xdr:rowOff>95249</xdr:rowOff>
    </xdr:to>
    <xdr:cxnSp macro="">
      <xdr:nvCxnSpPr>
        <xdr:cNvPr id="792" name="직선 화살표 연결선 791"/>
        <xdr:cNvCxnSpPr/>
      </xdr:nvCxnSpPr>
      <xdr:spPr>
        <a:xfrm>
          <a:off x="66397414" y="156838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747</xdr:row>
      <xdr:rowOff>38099</xdr:rowOff>
    </xdr:from>
    <xdr:to>
      <xdr:col>90</xdr:col>
      <xdr:colOff>125367</xdr:colOff>
      <xdr:row>747</xdr:row>
      <xdr:rowOff>152399</xdr:rowOff>
    </xdr:to>
    <xdr:sp macro="" textlink="">
      <xdr:nvSpPr>
        <xdr:cNvPr id="793" name="445"/>
        <xdr:cNvSpPr/>
      </xdr:nvSpPr>
      <xdr:spPr>
        <a:xfrm>
          <a:off x="66397414" y="15657194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747</xdr:row>
      <xdr:rowOff>95249</xdr:rowOff>
    </xdr:from>
    <xdr:to>
      <xdr:col>87</xdr:col>
      <xdr:colOff>103414</xdr:colOff>
      <xdr:row>747</xdr:row>
      <xdr:rowOff>95249</xdr:rowOff>
    </xdr:to>
    <xdr:cxnSp macro="">
      <xdr:nvCxnSpPr>
        <xdr:cNvPr id="794" name="직선 화살표 연결선 793"/>
        <xdr:cNvCxnSpPr/>
      </xdr:nvCxnSpPr>
      <xdr:spPr>
        <a:xfrm>
          <a:off x="66397414" y="156629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746</xdr:row>
      <xdr:rowOff>38099</xdr:rowOff>
    </xdr:from>
    <xdr:to>
      <xdr:col>90</xdr:col>
      <xdr:colOff>125367</xdr:colOff>
      <xdr:row>746</xdr:row>
      <xdr:rowOff>152399</xdr:rowOff>
    </xdr:to>
    <xdr:sp macro="" textlink="">
      <xdr:nvSpPr>
        <xdr:cNvPr id="795" name="444"/>
        <xdr:cNvSpPr/>
      </xdr:nvSpPr>
      <xdr:spPr>
        <a:xfrm>
          <a:off x="66397414" y="15636239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746</xdr:row>
      <xdr:rowOff>95249</xdr:rowOff>
    </xdr:from>
    <xdr:to>
      <xdr:col>87</xdr:col>
      <xdr:colOff>103414</xdr:colOff>
      <xdr:row>746</xdr:row>
      <xdr:rowOff>95249</xdr:rowOff>
    </xdr:to>
    <xdr:cxnSp macro="">
      <xdr:nvCxnSpPr>
        <xdr:cNvPr id="796" name="직선 화살표 연결선 795"/>
        <xdr:cNvCxnSpPr/>
      </xdr:nvCxnSpPr>
      <xdr:spPr>
        <a:xfrm>
          <a:off x="66397414" y="156419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745</xdr:row>
      <xdr:rowOff>38099</xdr:rowOff>
    </xdr:from>
    <xdr:to>
      <xdr:col>90</xdr:col>
      <xdr:colOff>125367</xdr:colOff>
      <xdr:row>745</xdr:row>
      <xdr:rowOff>152399</xdr:rowOff>
    </xdr:to>
    <xdr:sp macro="" textlink="">
      <xdr:nvSpPr>
        <xdr:cNvPr id="797" name="443"/>
        <xdr:cNvSpPr/>
      </xdr:nvSpPr>
      <xdr:spPr>
        <a:xfrm>
          <a:off x="66397414" y="15615284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745</xdr:row>
      <xdr:rowOff>95249</xdr:rowOff>
    </xdr:from>
    <xdr:to>
      <xdr:col>87</xdr:col>
      <xdr:colOff>103414</xdr:colOff>
      <xdr:row>745</xdr:row>
      <xdr:rowOff>95249</xdr:rowOff>
    </xdr:to>
    <xdr:cxnSp macro="">
      <xdr:nvCxnSpPr>
        <xdr:cNvPr id="798" name="직선 화살표 연결선 797"/>
        <xdr:cNvCxnSpPr/>
      </xdr:nvCxnSpPr>
      <xdr:spPr>
        <a:xfrm>
          <a:off x="66397414" y="156209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744</xdr:row>
      <xdr:rowOff>38099</xdr:rowOff>
    </xdr:from>
    <xdr:to>
      <xdr:col>90</xdr:col>
      <xdr:colOff>125367</xdr:colOff>
      <xdr:row>744</xdr:row>
      <xdr:rowOff>152399</xdr:rowOff>
    </xdr:to>
    <xdr:sp macro="" textlink="">
      <xdr:nvSpPr>
        <xdr:cNvPr id="799" name="442"/>
        <xdr:cNvSpPr/>
      </xdr:nvSpPr>
      <xdr:spPr>
        <a:xfrm>
          <a:off x="66397414" y="15594329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744</xdr:row>
      <xdr:rowOff>95249</xdr:rowOff>
    </xdr:from>
    <xdr:to>
      <xdr:col>87</xdr:col>
      <xdr:colOff>103414</xdr:colOff>
      <xdr:row>744</xdr:row>
      <xdr:rowOff>95249</xdr:rowOff>
    </xdr:to>
    <xdr:cxnSp macro="">
      <xdr:nvCxnSpPr>
        <xdr:cNvPr id="800" name="직선 화살표 연결선 799"/>
        <xdr:cNvCxnSpPr/>
      </xdr:nvCxnSpPr>
      <xdr:spPr>
        <a:xfrm>
          <a:off x="66397414" y="156000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743</xdr:row>
      <xdr:rowOff>38099</xdr:rowOff>
    </xdr:from>
    <xdr:to>
      <xdr:col>90</xdr:col>
      <xdr:colOff>125367</xdr:colOff>
      <xdr:row>743</xdr:row>
      <xdr:rowOff>152399</xdr:rowOff>
    </xdr:to>
    <xdr:sp macro="" textlink="">
      <xdr:nvSpPr>
        <xdr:cNvPr id="801" name="441"/>
        <xdr:cNvSpPr/>
      </xdr:nvSpPr>
      <xdr:spPr>
        <a:xfrm>
          <a:off x="66397414" y="15573374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743</xdr:row>
      <xdr:rowOff>95249</xdr:rowOff>
    </xdr:from>
    <xdr:to>
      <xdr:col>87</xdr:col>
      <xdr:colOff>103414</xdr:colOff>
      <xdr:row>743</xdr:row>
      <xdr:rowOff>95249</xdr:rowOff>
    </xdr:to>
    <xdr:cxnSp macro="">
      <xdr:nvCxnSpPr>
        <xdr:cNvPr id="802" name="직선 화살표 연결선 801"/>
        <xdr:cNvCxnSpPr/>
      </xdr:nvCxnSpPr>
      <xdr:spPr>
        <a:xfrm>
          <a:off x="66397414" y="155790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742</xdr:row>
      <xdr:rowOff>38099</xdr:rowOff>
    </xdr:from>
    <xdr:to>
      <xdr:col>90</xdr:col>
      <xdr:colOff>125367</xdr:colOff>
      <xdr:row>742</xdr:row>
      <xdr:rowOff>152399</xdr:rowOff>
    </xdr:to>
    <xdr:sp macro="" textlink="">
      <xdr:nvSpPr>
        <xdr:cNvPr id="803" name="440"/>
        <xdr:cNvSpPr/>
      </xdr:nvSpPr>
      <xdr:spPr>
        <a:xfrm>
          <a:off x="66397414" y="15552419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742</xdr:row>
      <xdr:rowOff>95249</xdr:rowOff>
    </xdr:from>
    <xdr:to>
      <xdr:col>87</xdr:col>
      <xdr:colOff>103414</xdr:colOff>
      <xdr:row>742</xdr:row>
      <xdr:rowOff>95249</xdr:rowOff>
    </xdr:to>
    <xdr:cxnSp macro="">
      <xdr:nvCxnSpPr>
        <xdr:cNvPr id="804" name="직선 화살표 연결선 803"/>
        <xdr:cNvCxnSpPr/>
      </xdr:nvCxnSpPr>
      <xdr:spPr>
        <a:xfrm>
          <a:off x="66397414" y="155581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741</xdr:row>
      <xdr:rowOff>38099</xdr:rowOff>
    </xdr:from>
    <xdr:to>
      <xdr:col>90</xdr:col>
      <xdr:colOff>125367</xdr:colOff>
      <xdr:row>741</xdr:row>
      <xdr:rowOff>152399</xdr:rowOff>
    </xdr:to>
    <xdr:sp macro="" textlink="">
      <xdr:nvSpPr>
        <xdr:cNvPr id="805" name="439"/>
        <xdr:cNvSpPr/>
      </xdr:nvSpPr>
      <xdr:spPr>
        <a:xfrm>
          <a:off x="66397414" y="15531464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741</xdr:row>
      <xdr:rowOff>95249</xdr:rowOff>
    </xdr:from>
    <xdr:to>
      <xdr:col>87</xdr:col>
      <xdr:colOff>103414</xdr:colOff>
      <xdr:row>741</xdr:row>
      <xdr:rowOff>95249</xdr:rowOff>
    </xdr:to>
    <xdr:cxnSp macro="">
      <xdr:nvCxnSpPr>
        <xdr:cNvPr id="806" name="직선 화살표 연결선 805"/>
        <xdr:cNvCxnSpPr/>
      </xdr:nvCxnSpPr>
      <xdr:spPr>
        <a:xfrm>
          <a:off x="66397414" y="155371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740</xdr:row>
      <xdr:rowOff>38099</xdr:rowOff>
    </xdr:from>
    <xdr:to>
      <xdr:col>90</xdr:col>
      <xdr:colOff>125367</xdr:colOff>
      <xdr:row>740</xdr:row>
      <xdr:rowOff>152399</xdr:rowOff>
    </xdr:to>
    <xdr:sp macro="" textlink="">
      <xdr:nvSpPr>
        <xdr:cNvPr id="807" name="438"/>
        <xdr:cNvSpPr/>
      </xdr:nvSpPr>
      <xdr:spPr>
        <a:xfrm>
          <a:off x="66397414" y="15510509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740</xdr:row>
      <xdr:rowOff>95249</xdr:rowOff>
    </xdr:from>
    <xdr:to>
      <xdr:col>87</xdr:col>
      <xdr:colOff>103414</xdr:colOff>
      <xdr:row>740</xdr:row>
      <xdr:rowOff>95249</xdr:rowOff>
    </xdr:to>
    <xdr:cxnSp macro="">
      <xdr:nvCxnSpPr>
        <xdr:cNvPr id="808" name="직선 화살표 연결선 807"/>
        <xdr:cNvCxnSpPr/>
      </xdr:nvCxnSpPr>
      <xdr:spPr>
        <a:xfrm>
          <a:off x="66397414" y="155162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739</xdr:row>
      <xdr:rowOff>38099</xdr:rowOff>
    </xdr:from>
    <xdr:to>
      <xdr:col>90</xdr:col>
      <xdr:colOff>125367</xdr:colOff>
      <xdr:row>739</xdr:row>
      <xdr:rowOff>152399</xdr:rowOff>
    </xdr:to>
    <xdr:sp macro="" textlink="">
      <xdr:nvSpPr>
        <xdr:cNvPr id="809" name="437"/>
        <xdr:cNvSpPr/>
      </xdr:nvSpPr>
      <xdr:spPr>
        <a:xfrm>
          <a:off x="66397414" y="15489554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739</xdr:row>
      <xdr:rowOff>95249</xdr:rowOff>
    </xdr:from>
    <xdr:to>
      <xdr:col>87</xdr:col>
      <xdr:colOff>103414</xdr:colOff>
      <xdr:row>739</xdr:row>
      <xdr:rowOff>95249</xdr:rowOff>
    </xdr:to>
    <xdr:cxnSp macro="">
      <xdr:nvCxnSpPr>
        <xdr:cNvPr id="810" name="직선 화살표 연결선 809"/>
        <xdr:cNvCxnSpPr/>
      </xdr:nvCxnSpPr>
      <xdr:spPr>
        <a:xfrm>
          <a:off x="66397414" y="154952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738</xdr:row>
      <xdr:rowOff>38099</xdr:rowOff>
    </xdr:from>
    <xdr:to>
      <xdr:col>90</xdr:col>
      <xdr:colOff>125367</xdr:colOff>
      <xdr:row>738</xdr:row>
      <xdr:rowOff>152399</xdr:rowOff>
    </xdr:to>
    <xdr:sp macro="" textlink="">
      <xdr:nvSpPr>
        <xdr:cNvPr id="811" name="436"/>
        <xdr:cNvSpPr/>
      </xdr:nvSpPr>
      <xdr:spPr>
        <a:xfrm>
          <a:off x="66397414" y="15468599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738</xdr:row>
      <xdr:rowOff>95249</xdr:rowOff>
    </xdr:from>
    <xdr:to>
      <xdr:col>87</xdr:col>
      <xdr:colOff>103414</xdr:colOff>
      <xdr:row>738</xdr:row>
      <xdr:rowOff>95249</xdr:rowOff>
    </xdr:to>
    <xdr:cxnSp macro="">
      <xdr:nvCxnSpPr>
        <xdr:cNvPr id="812" name="직선 화살표 연결선 811"/>
        <xdr:cNvCxnSpPr/>
      </xdr:nvCxnSpPr>
      <xdr:spPr>
        <a:xfrm>
          <a:off x="66397414" y="154743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737</xdr:row>
      <xdr:rowOff>38099</xdr:rowOff>
    </xdr:from>
    <xdr:to>
      <xdr:col>90</xdr:col>
      <xdr:colOff>125367</xdr:colOff>
      <xdr:row>737</xdr:row>
      <xdr:rowOff>152399</xdr:rowOff>
    </xdr:to>
    <xdr:sp macro="" textlink="">
      <xdr:nvSpPr>
        <xdr:cNvPr id="813" name="435"/>
        <xdr:cNvSpPr/>
      </xdr:nvSpPr>
      <xdr:spPr>
        <a:xfrm>
          <a:off x="66397414" y="15447644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737</xdr:row>
      <xdr:rowOff>95249</xdr:rowOff>
    </xdr:from>
    <xdr:to>
      <xdr:col>87</xdr:col>
      <xdr:colOff>103414</xdr:colOff>
      <xdr:row>737</xdr:row>
      <xdr:rowOff>95249</xdr:rowOff>
    </xdr:to>
    <xdr:cxnSp macro="">
      <xdr:nvCxnSpPr>
        <xdr:cNvPr id="814" name="직선 화살표 연결선 813"/>
        <xdr:cNvCxnSpPr/>
      </xdr:nvCxnSpPr>
      <xdr:spPr>
        <a:xfrm>
          <a:off x="66397414" y="154533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736</xdr:row>
      <xdr:rowOff>38099</xdr:rowOff>
    </xdr:from>
    <xdr:to>
      <xdr:col>90</xdr:col>
      <xdr:colOff>125367</xdr:colOff>
      <xdr:row>736</xdr:row>
      <xdr:rowOff>152399</xdr:rowOff>
    </xdr:to>
    <xdr:sp macro="" textlink="">
      <xdr:nvSpPr>
        <xdr:cNvPr id="815" name="434"/>
        <xdr:cNvSpPr/>
      </xdr:nvSpPr>
      <xdr:spPr>
        <a:xfrm>
          <a:off x="66397414" y="15426689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736</xdr:row>
      <xdr:rowOff>95249</xdr:rowOff>
    </xdr:from>
    <xdr:to>
      <xdr:col>87</xdr:col>
      <xdr:colOff>103414</xdr:colOff>
      <xdr:row>736</xdr:row>
      <xdr:rowOff>95249</xdr:rowOff>
    </xdr:to>
    <xdr:cxnSp macro="">
      <xdr:nvCxnSpPr>
        <xdr:cNvPr id="816" name="직선 화살표 연결선 815"/>
        <xdr:cNvCxnSpPr/>
      </xdr:nvCxnSpPr>
      <xdr:spPr>
        <a:xfrm>
          <a:off x="66397414" y="154324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735</xdr:row>
      <xdr:rowOff>38099</xdr:rowOff>
    </xdr:from>
    <xdr:to>
      <xdr:col>90</xdr:col>
      <xdr:colOff>125367</xdr:colOff>
      <xdr:row>735</xdr:row>
      <xdr:rowOff>152399</xdr:rowOff>
    </xdr:to>
    <xdr:sp macro="" textlink="">
      <xdr:nvSpPr>
        <xdr:cNvPr id="817" name="433"/>
        <xdr:cNvSpPr/>
      </xdr:nvSpPr>
      <xdr:spPr>
        <a:xfrm>
          <a:off x="66397414" y="15405734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735</xdr:row>
      <xdr:rowOff>95249</xdr:rowOff>
    </xdr:from>
    <xdr:to>
      <xdr:col>87</xdr:col>
      <xdr:colOff>103414</xdr:colOff>
      <xdr:row>735</xdr:row>
      <xdr:rowOff>95249</xdr:rowOff>
    </xdr:to>
    <xdr:cxnSp macro="">
      <xdr:nvCxnSpPr>
        <xdr:cNvPr id="818" name="직선 화살표 연결선 817"/>
        <xdr:cNvCxnSpPr/>
      </xdr:nvCxnSpPr>
      <xdr:spPr>
        <a:xfrm>
          <a:off x="66397414" y="154114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734</xdr:row>
      <xdr:rowOff>38099</xdr:rowOff>
    </xdr:from>
    <xdr:to>
      <xdr:col>90</xdr:col>
      <xdr:colOff>125367</xdr:colOff>
      <xdr:row>734</xdr:row>
      <xdr:rowOff>152399</xdr:rowOff>
    </xdr:to>
    <xdr:sp macro="" textlink="">
      <xdr:nvSpPr>
        <xdr:cNvPr id="819" name="432"/>
        <xdr:cNvSpPr/>
      </xdr:nvSpPr>
      <xdr:spPr>
        <a:xfrm>
          <a:off x="66397414" y="15384779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734</xdr:row>
      <xdr:rowOff>95249</xdr:rowOff>
    </xdr:from>
    <xdr:to>
      <xdr:col>87</xdr:col>
      <xdr:colOff>103414</xdr:colOff>
      <xdr:row>734</xdr:row>
      <xdr:rowOff>95249</xdr:rowOff>
    </xdr:to>
    <xdr:cxnSp macro="">
      <xdr:nvCxnSpPr>
        <xdr:cNvPr id="820" name="직선 화살표 연결선 819"/>
        <xdr:cNvCxnSpPr/>
      </xdr:nvCxnSpPr>
      <xdr:spPr>
        <a:xfrm>
          <a:off x="66397414" y="153904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733</xdr:row>
      <xdr:rowOff>38099</xdr:rowOff>
    </xdr:from>
    <xdr:to>
      <xdr:col>90</xdr:col>
      <xdr:colOff>125367</xdr:colOff>
      <xdr:row>733</xdr:row>
      <xdr:rowOff>152399</xdr:rowOff>
    </xdr:to>
    <xdr:sp macro="" textlink="">
      <xdr:nvSpPr>
        <xdr:cNvPr id="821" name="431"/>
        <xdr:cNvSpPr/>
      </xdr:nvSpPr>
      <xdr:spPr>
        <a:xfrm>
          <a:off x="66397414" y="15363824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733</xdr:row>
      <xdr:rowOff>95249</xdr:rowOff>
    </xdr:from>
    <xdr:to>
      <xdr:col>87</xdr:col>
      <xdr:colOff>103414</xdr:colOff>
      <xdr:row>733</xdr:row>
      <xdr:rowOff>95249</xdr:rowOff>
    </xdr:to>
    <xdr:cxnSp macro="">
      <xdr:nvCxnSpPr>
        <xdr:cNvPr id="822" name="직선 화살표 연결선 821"/>
        <xdr:cNvCxnSpPr/>
      </xdr:nvCxnSpPr>
      <xdr:spPr>
        <a:xfrm>
          <a:off x="66397414" y="153695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732</xdr:row>
      <xdr:rowOff>38099</xdr:rowOff>
    </xdr:from>
    <xdr:to>
      <xdr:col>90</xdr:col>
      <xdr:colOff>125367</xdr:colOff>
      <xdr:row>732</xdr:row>
      <xdr:rowOff>152399</xdr:rowOff>
    </xdr:to>
    <xdr:sp macro="" textlink="">
      <xdr:nvSpPr>
        <xdr:cNvPr id="823" name="430"/>
        <xdr:cNvSpPr/>
      </xdr:nvSpPr>
      <xdr:spPr>
        <a:xfrm>
          <a:off x="66397414" y="15342869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732</xdr:row>
      <xdr:rowOff>95249</xdr:rowOff>
    </xdr:from>
    <xdr:to>
      <xdr:col>87</xdr:col>
      <xdr:colOff>103414</xdr:colOff>
      <xdr:row>732</xdr:row>
      <xdr:rowOff>95249</xdr:rowOff>
    </xdr:to>
    <xdr:cxnSp macro="">
      <xdr:nvCxnSpPr>
        <xdr:cNvPr id="824" name="직선 화살표 연결선 823"/>
        <xdr:cNvCxnSpPr/>
      </xdr:nvCxnSpPr>
      <xdr:spPr>
        <a:xfrm>
          <a:off x="66397414" y="153485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731</xdr:row>
      <xdr:rowOff>38099</xdr:rowOff>
    </xdr:from>
    <xdr:to>
      <xdr:col>90</xdr:col>
      <xdr:colOff>125367</xdr:colOff>
      <xdr:row>731</xdr:row>
      <xdr:rowOff>152399</xdr:rowOff>
    </xdr:to>
    <xdr:sp macro="" textlink="">
      <xdr:nvSpPr>
        <xdr:cNvPr id="825" name="429"/>
        <xdr:cNvSpPr/>
      </xdr:nvSpPr>
      <xdr:spPr>
        <a:xfrm>
          <a:off x="66397414" y="153219149"/>
          <a:ext cx="2307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731</xdr:row>
      <xdr:rowOff>95249</xdr:rowOff>
    </xdr:from>
    <xdr:to>
      <xdr:col>87</xdr:col>
      <xdr:colOff>103414</xdr:colOff>
      <xdr:row>731</xdr:row>
      <xdr:rowOff>95249</xdr:rowOff>
    </xdr:to>
    <xdr:cxnSp macro="">
      <xdr:nvCxnSpPr>
        <xdr:cNvPr id="826" name="직선 화살표 연결선 825"/>
        <xdr:cNvCxnSpPr/>
      </xdr:nvCxnSpPr>
      <xdr:spPr>
        <a:xfrm>
          <a:off x="66397414" y="153276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730</xdr:row>
      <xdr:rowOff>38099</xdr:rowOff>
    </xdr:from>
    <xdr:to>
      <xdr:col>90</xdr:col>
      <xdr:colOff>125367</xdr:colOff>
      <xdr:row>730</xdr:row>
      <xdr:rowOff>152399</xdr:rowOff>
    </xdr:to>
    <xdr:sp macro="" textlink="">
      <xdr:nvSpPr>
        <xdr:cNvPr id="827" name="428"/>
        <xdr:cNvSpPr/>
      </xdr:nvSpPr>
      <xdr:spPr>
        <a:xfrm>
          <a:off x="66397414" y="153009599"/>
          <a:ext cx="230795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730</xdr:row>
      <xdr:rowOff>95249</xdr:rowOff>
    </xdr:from>
    <xdr:to>
      <xdr:col>87</xdr:col>
      <xdr:colOff>103414</xdr:colOff>
      <xdr:row>730</xdr:row>
      <xdr:rowOff>95249</xdr:rowOff>
    </xdr:to>
    <xdr:cxnSp macro="">
      <xdr:nvCxnSpPr>
        <xdr:cNvPr id="828" name="직선 화살표 연결선 827"/>
        <xdr:cNvCxnSpPr/>
      </xdr:nvCxnSpPr>
      <xdr:spPr>
        <a:xfrm>
          <a:off x="66397414" y="153066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729</xdr:row>
      <xdr:rowOff>38099</xdr:rowOff>
    </xdr:from>
    <xdr:to>
      <xdr:col>98</xdr:col>
      <xdr:colOff>125366</xdr:colOff>
      <xdr:row>729</xdr:row>
      <xdr:rowOff>152399</xdr:rowOff>
    </xdr:to>
    <xdr:sp macro="" textlink="">
      <xdr:nvSpPr>
        <xdr:cNvPr id="829" name="427"/>
        <xdr:cNvSpPr/>
      </xdr:nvSpPr>
      <xdr:spPr>
        <a:xfrm>
          <a:off x="57994731" y="152800049"/>
          <a:ext cx="1680663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729</xdr:row>
      <xdr:rowOff>95249</xdr:rowOff>
    </xdr:from>
    <xdr:to>
      <xdr:col>76</xdr:col>
      <xdr:colOff>82731</xdr:colOff>
      <xdr:row>729</xdr:row>
      <xdr:rowOff>95249</xdr:rowOff>
    </xdr:to>
    <xdr:cxnSp macro="">
      <xdr:nvCxnSpPr>
        <xdr:cNvPr id="830" name="직선 화살표 연결선 829"/>
        <xdr:cNvCxnSpPr/>
      </xdr:nvCxnSpPr>
      <xdr:spPr>
        <a:xfrm>
          <a:off x="57994731" y="152857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728</xdr:row>
      <xdr:rowOff>38099</xdr:rowOff>
    </xdr:from>
    <xdr:to>
      <xdr:col>98</xdr:col>
      <xdr:colOff>125366</xdr:colOff>
      <xdr:row>728</xdr:row>
      <xdr:rowOff>152399</xdr:rowOff>
    </xdr:to>
    <xdr:sp macro="" textlink="">
      <xdr:nvSpPr>
        <xdr:cNvPr id="831" name="426"/>
        <xdr:cNvSpPr/>
      </xdr:nvSpPr>
      <xdr:spPr>
        <a:xfrm>
          <a:off x="57994731" y="152590499"/>
          <a:ext cx="1680663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728</xdr:row>
      <xdr:rowOff>95249</xdr:rowOff>
    </xdr:from>
    <xdr:to>
      <xdr:col>76</xdr:col>
      <xdr:colOff>82731</xdr:colOff>
      <xdr:row>728</xdr:row>
      <xdr:rowOff>95249</xdr:rowOff>
    </xdr:to>
    <xdr:cxnSp macro="">
      <xdr:nvCxnSpPr>
        <xdr:cNvPr id="832" name="직선 화살표 연결선 831"/>
        <xdr:cNvCxnSpPr/>
      </xdr:nvCxnSpPr>
      <xdr:spPr>
        <a:xfrm>
          <a:off x="57994731" y="152647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20683</xdr:colOff>
      <xdr:row>727</xdr:row>
      <xdr:rowOff>38099</xdr:rowOff>
    </xdr:from>
    <xdr:to>
      <xdr:col>100</xdr:col>
      <xdr:colOff>42636</xdr:colOff>
      <xdr:row>727</xdr:row>
      <xdr:rowOff>152399</xdr:rowOff>
    </xdr:to>
    <xdr:sp macro="" textlink="">
      <xdr:nvSpPr>
        <xdr:cNvPr id="833" name="425"/>
        <xdr:cNvSpPr/>
      </xdr:nvSpPr>
      <xdr:spPr>
        <a:xfrm>
          <a:off x="70886683" y="152380949"/>
          <a:ext cx="5355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20683</xdr:colOff>
      <xdr:row>727</xdr:row>
      <xdr:rowOff>95249</xdr:rowOff>
    </xdr:from>
    <xdr:to>
      <xdr:col>93</xdr:col>
      <xdr:colOff>20683</xdr:colOff>
      <xdr:row>727</xdr:row>
      <xdr:rowOff>95249</xdr:rowOff>
    </xdr:to>
    <xdr:cxnSp macro="">
      <xdr:nvCxnSpPr>
        <xdr:cNvPr id="834" name="직선 화살표 연결선 833"/>
        <xdr:cNvCxnSpPr/>
      </xdr:nvCxnSpPr>
      <xdr:spPr>
        <a:xfrm>
          <a:off x="70886683" y="152438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41365</xdr:colOff>
      <xdr:row>726</xdr:row>
      <xdr:rowOff>38099</xdr:rowOff>
    </xdr:from>
    <xdr:to>
      <xdr:col>93</xdr:col>
      <xdr:colOff>84001</xdr:colOff>
      <xdr:row>726</xdr:row>
      <xdr:rowOff>152399</xdr:rowOff>
    </xdr:to>
    <xdr:sp macro="" textlink="">
      <xdr:nvSpPr>
        <xdr:cNvPr id="835" name="424"/>
        <xdr:cNvSpPr/>
      </xdr:nvSpPr>
      <xdr:spPr>
        <a:xfrm>
          <a:off x="70907365" y="1521713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41365</xdr:colOff>
      <xdr:row>726</xdr:row>
      <xdr:rowOff>95249</xdr:rowOff>
    </xdr:from>
    <xdr:to>
      <xdr:col>93</xdr:col>
      <xdr:colOff>41365</xdr:colOff>
      <xdr:row>726</xdr:row>
      <xdr:rowOff>95249</xdr:rowOff>
    </xdr:to>
    <xdr:cxnSp macro="">
      <xdr:nvCxnSpPr>
        <xdr:cNvPr id="836" name="직선 화살표 연결선 835"/>
        <xdr:cNvCxnSpPr/>
      </xdr:nvCxnSpPr>
      <xdr:spPr>
        <a:xfrm>
          <a:off x="70907365" y="152228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62049</xdr:colOff>
      <xdr:row>725</xdr:row>
      <xdr:rowOff>38099</xdr:rowOff>
    </xdr:from>
    <xdr:to>
      <xdr:col>93</xdr:col>
      <xdr:colOff>104684</xdr:colOff>
      <xdr:row>725</xdr:row>
      <xdr:rowOff>152399</xdr:rowOff>
    </xdr:to>
    <xdr:sp macro="" textlink="">
      <xdr:nvSpPr>
        <xdr:cNvPr id="837" name="423"/>
        <xdr:cNvSpPr/>
      </xdr:nvSpPr>
      <xdr:spPr>
        <a:xfrm>
          <a:off x="70928049" y="151961849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62049</xdr:colOff>
      <xdr:row>725</xdr:row>
      <xdr:rowOff>95249</xdr:rowOff>
    </xdr:from>
    <xdr:to>
      <xdr:col>93</xdr:col>
      <xdr:colOff>62049</xdr:colOff>
      <xdr:row>725</xdr:row>
      <xdr:rowOff>95249</xdr:rowOff>
    </xdr:to>
    <xdr:cxnSp macro="">
      <xdr:nvCxnSpPr>
        <xdr:cNvPr id="838" name="직선 화살표 연결선 837"/>
        <xdr:cNvCxnSpPr/>
      </xdr:nvCxnSpPr>
      <xdr:spPr>
        <a:xfrm>
          <a:off x="70928049" y="152018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724</xdr:row>
      <xdr:rowOff>38099</xdr:rowOff>
    </xdr:from>
    <xdr:to>
      <xdr:col>93</xdr:col>
      <xdr:colOff>84001</xdr:colOff>
      <xdr:row>724</xdr:row>
      <xdr:rowOff>152399</xdr:rowOff>
    </xdr:to>
    <xdr:sp macro="" textlink="">
      <xdr:nvSpPr>
        <xdr:cNvPr id="839" name="422"/>
        <xdr:cNvSpPr/>
      </xdr:nvSpPr>
      <xdr:spPr>
        <a:xfrm>
          <a:off x="70866000" y="15175229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0</xdr:colOff>
      <xdr:row>724</xdr:row>
      <xdr:rowOff>95249</xdr:rowOff>
    </xdr:from>
    <xdr:to>
      <xdr:col>93</xdr:col>
      <xdr:colOff>0</xdr:colOff>
      <xdr:row>724</xdr:row>
      <xdr:rowOff>95249</xdr:rowOff>
    </xdr:to>
    <xdr:cxnSp macro="">
      <xdr:nvCxnSpPr>
        <xdr:cNvPr id="840" name="직선 화살표 연결선 839"/>
        <xdr:cNvCxnSpPr/>
      </xdr:nvCxnSpPr>
      <xdr:spPr>
        <a:xfrm>
          <a:off x="70866000" y="151809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723</xdr:row>
      <xdr:rowOff>38099</xdr:rowOff>
    </xdr:from>
    <xdr:to>
      <xdr:col>93</xdr:col>
      <xdr:colOff>21952</xdr:colOff>
      <xdr:row>723</xdr:row>
      <xdr:rowOff>152399</xdr:rowOff>
    </xdr:to>
    <xdr:sp macro="" textlink="">
      <xdr:nvSpPr>
        <xdr:cNvPr id="841" name="421"/>
        <xdr:cNvSpPr/>
      </xdr:nvSpPr>
      <xdr:spPr>
        <a:xfrm>
          <a:off x="70866000" y="15154274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0</xdr:colOff>
      <xdr:row>723</xdr:row>
      <xdr:rowOff>95249</xdr:rowOff>
    </xdr:from>
    <xdr:to>
      <xdr:col>93</xdr:col>
      <xdr:colOff>0</xdr:colOff>
      <xdr:row>723</xdr:row>
      <xdr:rowOff>95249</xdr:rowOff>
    </xdr:to>
    <xdr:cxnSp macro="">
      <xdr:nvCxnSpPr>
        <xdr:cNvPr id="842" name="직선 화살표 연결선 841"/>
        <xdr:cNvCxnSpPr/>
      </xdr:nvCxnSpPr>
      <xdr:spPr>
        <a:xfrm>
          <a:off x="70866000" y="151599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722</xdr:row>
      <xdr:rowOff>38099</xdr:rowOff>
    </xdr:from>
    <xdr:to>
      <xdr:col>93</xdr:col>
      <xdr:colOff>21952</xdr:colOff>
      <xdr:row>722</xdr:row>
      <xdr:rowOff>152399</xdr:rowOff>
    </xdr:to>
    <xdr:sp macro="" textlink="">
      <xdr:nvSpPr>
        <xdr:cNvPr id="843" name="420"/>
        <xdr:cNvSpPr/>
      </xdr:nvSpPr>
      <xdr:spPr>
        <a:xfrm>
          <a:off x="70866000" y="15133319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0</xdr:colOff>
      <xdr:row>722</xdr:row>
      <xdr:rowOff>95249</xdr:rowOff>
    </xdr:from>
    <xdr:to>
      <xdr:col>93</xdr:col>
      <xdr:colOff>0</xdr:colOff>
      <xdr:row>722</xdr:row>
      <xdr:rowOff>95249</xdr:rowOff>
    </xdr:to>
    <xdr:cxnSp macro="">
      <xdr:nvCxnSpPr>
        <xdr:cNvPr id="844" name="직선 화살표 연결선 843"/>
        <xdr:cNvCxnSpPr/>
      </xdr:nvCxnSpPr>
      <xdr:spPr>
        <a:xfrm>
          <a:off x="70866000" y="151390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124098</xdr:colOff>
      <xdr:row>721</xdr:row>
      <xdr:rowOff>38099</xdr:rowOff>
    </xdr:from>
    <xdr:to>
      <xdr:col>93</xdr:col>
      <xdr:colOff>21952</xdr:colOff>
      <xdr:row>721</xdr:row>
      <xdr:rowOff>152399</xdr:rowOff>
    </xdr:to>
    <xdr:sp macro="" textlink="">
      <xdr:nvSpPr>
        <xdr:cNvPr id="845" name="419"/>
        <xdr:cNvSpPr/>
      </xdr:nvSpPr>
      <xdr:spPr>
        <a:xfrm>
          <a:off x="70228098" y="151123649"/>
          <a:ext cx="6598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124098</xdr:colOff>
      <xdr:row>721</xdr:row>
      <xdr:rowOff>95249</xdr:rowOff>
    </xdr:from>
    <xdr:to>
      <xdr:col>92</xdr:col>
      <xdr:colOff>124098</xdr:colOff>
      <xdr:row>721</xdr:row>
      <xdr:rowOff>95249</xdr:rowOff>
    </xdr:to>
    <xdr:cxnSp macro="">
      <xdr:nvCxnSpPr>
        <xdr:cNvPr id="846" name="직선 화살표 연결선 845"/>
        <xdr:cNvCxnSpPr/>
      </xdr:nvCxnSpPr>
      <xdr:spPr>
        <a:xfrm>
          <a:off x="70228098" y="151180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20682</xdr:colOff>
      <xdr:row>720</xdr:row>
      <xdr:rowOff>38099</xdr:rowOff>
    </xdr:from>
    <xdr:to>
      <xdr:col>93</xdr:col>
      <xdr:colOff>1270</xdr:colOff>
      <xdr:row>720</xdr:row>
      <xdr:rowOff>152399</xdr:rowOff>
    </xdr:to>
    <xdr:sp macro="" textlink="">
      <xdr:nvSpPr>
        <xdr:cNvPr id="847" name="418"/>
        <xdr:cNvSpPr/>
      </xdr:nvSpPr>
      <xdr:spPr>
        <a:xfrm>
          <a:off x="69362682" y="150914099"/>
          <a:ext cx="150458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20682</xdr:colOff>
      <xdr:row>720</xdr:row>
      <xdr:rowOff>95249</xdr:rowOff>
    </xdr:from>
    <xdr:to>
      <xdr:col>91</xdr:col>
      <xdr:colOff>20682</xdr:colOff>
      <xdr:row>720</xdr:row>
      <xdr:rowOff>95249</xdr:rowOff>
    </xdr:to>
    <xdr:cxnSp macro="">
      <xdr:nvCxnSpPr>
        <xdr:cNvPr id="848" name="직선 화살표 연결선 847"/>
        <xdr:cNvCxnSpPr/>
      </xdr:nvCxnSpPr>
      <xdr:spPr>
        <a:xfrm>
          <a:off x="69362682" y="150971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719</xdr:row>
      <xdr:rowOff>38099</xdr:rowOff>
    </xdr:from>
    <xdr:to>
      <xdr:col>91</xdr:col>
      <xdr:colOff>42636</xdr:colOff>
      <xdr:row>719</xdr:row>
      <xdr:rowOff>152399</xdr:rowOff>
    </xdr:to>
    <xdr:sp macro="" textlink="">
      <xdr:nvSpPr>
        <xdr:cNvPr id="849" name="417"/>
        <xdr:cNvSpPr/>
      </xdr:nvSpPr>
      <xdr:spPr>
        <a:xfrm>
          <a:off x="68642048" y="150704549"/>
          <a:ext cx="74258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719</xdr:row>
      <xdr:rowOff>95249</xdr:rowOff>
    </xdr:from>
    <xdr:to>
      <xdr:col>90</xdr:col>
      <xdr:colOff>62048</xdr:colOff>
      <xdr:row>719</xdr:row>
      <xdr:rowOff>95249</xdr:rowOff>
    </xdr:to>
    <xdr:cxnSp macro="">
      <xdr:nvCxnSpPr>
        <xdr:cNvPr id="850" name="직선 화살표 연결선 849"/>
        <xdr:cNvCxnSpPr/>
      </xdr:nvCxnSpPr>
      <xdr:spPr>
        <a:xfrm>
          <a:off x="68642048" y="150761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103414</xdr:colOff>
      <xdr:row>718</xdr:row>
      <xdr:rowOff>38099</xdr:rowOff>
    </xdr:from>
    <xdr:to>
      <xdr:col>90</xdr:col>
      <xdr:colOff>1269</xdr:colOff>
      <xdr:row>718</xdr:row>
      <xdr:rowOff>152399</xdr:rowOff>
    </xdr:to>
    <xdr:sp macro="" textlink="">
      <xdr:nvSpPr>
        <xdr:cNvPr id="851" name="416"/>
        <xdr:cNvSpPr/>
      </xdr:nvSpPr>
      <xdr:spPr>
        <a:xfrm>
          <a:off x="67159414" y="150494999"/>
          <a:ext cx="142185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103414</xdr:colOff>
      <xdr:row>718</xdr:row>
      <xdr:rowOff>95249</xdr:rowOff>
    </xdr:from>
    <xdr:to>
      <xdr:col>88</xdr:col>
      <xdr:colOff>103414</xdr:colOff>
      <xdr:row>718</xdr:row>
      <xdr:rowOff>95249</xdr:rowOff>
    </xdr:to>
    <xdr:cxnSp macro="">
      <xdr:nvCxnSpPr>
        <xdr:cNvPr id="852" name="직선 화살표 연결선 851"/>
        <xdr:cNvCxnSpPr/>
      </xdr:nvCxnSpPr>
      <xdr:spPr>
        <a:xfrm>
          <a:off x="67159414" y="150552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103414</xdr:colOff>
      <xdr:row>717</xdr:row>
      <xdr:rowOff>38099</xdr:rowOff>
    </xdr:from>
    <xdr:to>
      <xdr:col>90</xdr:col>
      <xdr:colOff>84000</xdr:colOff>
      <xdr:row>717</xdr:row>
      <xdr:rowOff>152399</xdr:rowOff>
    </xdr:to>
    <xdr:sp macro="" textlink="">
      <xdr:nvSpPr>
        <xdr:cNvPr id="853" name="415"/>
        <xdr:cNvSpPr/>
      </xdr:nvSpPr>
      <xdr:spPr>
        <a:xfrm>
          <a:off x="67159414" y="150285449"/>
          <a:ext cx="1504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103414</xdr:colOff>
      <xdr:row>717</xdr:row>
      <xdr:rowOff>95249</xdr:rowOff>
    </xdr:from>
    <xdr:to>
      <xdr:col>88</xdr:col>
      <xdr:colOff>103414</xdr:colOff>
      <xdr:row>717</xdr:row>
      <xdr:rowOff>95249</xdr:rowOff>
    </xdr:to>
    <xdr:cxnSp macro="">
      <xdr:nvCxnSpPr>
        <xdr:cNvPr id="854" name="직선 화살표 연결선 853"/>
        <xdr:cNvCxnSpPr/>
      </xdr:nvCxnSpPr>
      <xdr:spPr>
        <a:xfrm>
          <a:off x="67159414" y="150342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103414</xdr:colOff>
      <xdr:row>716</xdr:row>
      <xdr:rowOff>38099</xdr:rowOff>
    </xdr:from>
    <xdr:to>
      <xdr:col>91</xdr:col>
      <xdr:colOff>104683</xdr:colOff>
      <xdr:row>716</xdr:row>
      <xdr:rowOff>152399</xdr:rowOff>
    </xdr:to>
    <xdr:sp macro="" textlink="">
      <xdr:nvSpPr>
        <xdr:cNvPr id="855" name="414"/>
        <xdr:cNvSpPr/>
      </xdr:nvSpPr>
      <xdr:spPr>
        <a:xfrm>
          <a:off x="67159414" y="150075899"/>
          <a:ext cx="2287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103414</xdr:colOff>
      <xdr:row>716</xdr:row>
      <xdr:rowOff>95249</xdr:rowOff>
    </xdr:from>
    <xdr:to>
      <xdr:col>88</xdr:col>
      <xdr:colOff>103414</xdr:colOff>
      <xdr:row>716</xdr:row>
      <xdr:rowOff>95249</xdr:rowOff>
    </xdr:to>
    <xdr:cxnSp macro="">
      <xdr:nvCxnSpPr>
        <xdr:cNvPr id="856" name="직선 화살표 연결선 855"/>
        <xdr:cNvCxnSpPr/>
      </xdr:nvCxnSpPr>
      <xdr:spPr>
        <a:xfrm>
          <a:off x="67159414" y="150133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103414</xdr:colOff>
      <xdr:row>715</xdr:row>
      <xdr:rowOff>38099</xdr:rowOff>
    </xdr:from>
    <xdr:to>
      <xdr:col>91</xdr:col>
      <xdr:colOff>84001</xdr:colOff>
      <xdr:row>715</xdr:row>
      <xdr:rowOff>152399</xdr:rowOff>
    </xdr:to>
    <xdr:sp macro="" textlink="">
      <xdr:nvSpPr>
        <xdr:cNvPr id="857" name="413"/>
        <xdr:cNvSpPr/>
      </xdr:nvSpPr>
      <xdr:spPr>
        <a:xfrm>
          <a:off x="67159414" y="149866349"/>
          <a:ext cx="22665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103414</xdr:colOff>
      <xdr:row>715</xdr:row>
      <xdr:rowOff>95249</xdr:rowOff>
    </xdr:from>
    <xdr:to>
      <xdr:col>88</xdr:col>
      <xdr:colOff>103414</xdr:colOff>
      <xdr:row>715</xdr:row>
      <xdr:rowOff>95249</xdr:rowOff>
    </xdr:to>
    <xdr:cxnSp macro="">
      <xdr:nvCxnSpPr>
        <xdr:cNvPr id="858" name="직선 화살표 연결선 857"/>
        <xdr:cNvCxnSpPr/>
      </xdr:nvCxnSpPr>
      <xdr:spPr>
        <a:xfrm>
          <a:off x="67159414" y="149923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714</xdr:row>
      <xdr:rowOff>38099</xdr:rowOff>
    </xdr:from>
    <xdr:to>
      <xdr:col>88</xdr:col>
      <xdr:colOff>125366</xdr:colOff>
      <xdr:row>714</xdr:row>
      <xdr:rowOff>152399</xdr:rowOff>
    </xdr:to>
    <xdr:sp macro="" textlink="">
      <xdr:nvSpPr>
        <xdr:cNvPr id="859" name="412"/>
        <xdr:cNvSpPr/>
      </xdr:nvSpPr>
      <xdr:spPr>
        <a:xfrm>
          <a:off x="67138732" y="149656799"/>
          <a:ext cx="426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714</xdr:row>
      <xdr:rowOff>95249</xdr:rowOff>
    </xdr:from>
    <xdr:to>
      <xdr:col>88</xdr:col>
      <xdr:colOff>82732</xdr:colOff>
      <xdr:row>714</xdr:row>
      <xdr:rowOff>95249</xdr:rowOff>
    </xdr:to>
    <xdr:cxnSp macro="">
      <xdr:nvCxnSpPr>
        <xdr:cNvPr id="860" name="직선 화살표 연결선 859"/>
        <xdr:cNvCxnSpPr/>
      </xdr:nvCxnSpPr>
      <xdr:spPr>
        <a:xfrm>
          <a:off x="67138732" y="149713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41365</xdr:colOff>
      <xdr:row>713</xdr:row>
      <xdr:rowOff>38099</xdr:rowOff>
    </xdr:from>
    <xdr:to>
      <xdr:col>88</xdr:col>
      <xdr:colOff>84001</xdr:colOff>
      <xdr:row>713</xdr:row>
      <xdr:rowOff>152399</xdr:rowOff>
    </xdr:to>
    <xdr:sp macro="" textlink="">
      <xdr:nvSpPr>
        <xdr:cNvPr id="861" name="411"/>
        <xdr:cNvSpPr/>
      </xdr:nvSpPr>
      <xdr:spPr>
        <a:xfrm>
          <a:off x="67097365" y="1494472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41365</xdr:colOff>
      <xdr:row>713</xdr:row>
      <xdr:rowOff>95249</xdr:rowOff>
    </xdr:from>
    <xdr:to>
      <xdr:col>88</xdr:col>
      <xdr:colOff>41365</xdr:colOff>
      <xdr:row>713</xdr:row>
      <xdr:rowOff>95249</xdr:rowOff>
    </xdr:to>
    <xdr:cxnSp macro="">
      <xdr:nvCxnSpPr>
        <xdr:cNvPr id="862" name="직선 화살표 연결선 861"/>
        <xdr:cNvCxnSpPr/>
      </xdr:nvCxnSpPr>
      <xdr:spPr>
        <a:xfrm>
          <a:off x="67097365" y="149504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41365</xdr:colOff>
      <xdr:row>712</xdr:row>
      <xdr:rowOff>38099</xdr:rowOff>
    </xdr:from>
    <xdr:to>
      <xdr:col>100</xdr:col>
      <xdr:colOff>42636</xdr:colOff>
      <xdr:row>712</xdr:row>
      <xdr:rowOff>152399</xdr:rowOff>
    </xdr:to>
    <xdr:sp macro="" textlink="">
      <xdr:nvSpPr>
        <xdr:cNvPr id="863" name="410"/>
        <xdr:cNvSpPr/>
      </xdr:nvSpPr>
      <xdr:spPr>
        <a:xfrm>
          <a:off x="67097365" y="149237699"/>
          <a:ext cx="91452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41365</xdr:colOff>
      <xdr:row>712</xdr:row>
      <xdr:rowOff>95249</xdr:rowOff>
    </xdr:from>
    <xdr:to>
      <xdr:col>88</xdr:col>
      <xdr:colOff>41365</xdr:colOff>
      <xdr:row>712</xdr:row>
      <xdr:rowOff>95249</xdr:rowOff>
    </xdr:to>
    <xdr:cxnSp macro="">
      <xdr:nvCxnSpPr>
        <xdr:cNvPr id="864" name="직선 화살표 연결선 863"/>
        <xdr:cNvCxnSpPr/>
      </xdr:nvCxnSpPr>
      <xdr:spPr>
        <a:xfrm>
          <a:off x="67097365" y="149294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62049</xdr:colOff>
      <xdr:row>711</xdr:row>
      <xdr:rowOff>38099</xdr:rowOff>
    </xdr:from>
    <xdr:to>
      <xdr:col>91</xdr:col>
      <xdr:colOff>125367</xdr:colOff>
      <xdr:row>711</xdr:row>
      <xdr:rowOff>152399</xdr:rowOff>
    </xdr:to>
    <xdr:sp macro="" textlink="">
      <xdr:nvSpPr>
        <xdr:cNvPr id="865" name="409"/>
        <xdr:cNvSpPr/>
      </xdr:nvSpPr>
      <xdr:spPr>
        <a:xfrm>
          <a:off x="69404049" y="14902814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62049</xdr:colOff>
      <xdr:row>711</xdr:row>
      <xdr:rowOff>95249</xdr:rowOff>
    </xdr:from>
    <xdr:to>
      <xdr:col>91</xdr:col>
      <xdr:colOff>62049</xdr:colOff>
      <xdr:row>711</xdr:row>
      <xdr:rowOff>95249</xdr:rowOff>
    </xdr:to>
    <xdr:cxnSp macro="">
      <xdr:nvCxnSpPr>
        <xdr:cNvPr id="866" name="직선 화살표 연결선 865"/>
        <xdr:cNvCxnSpPr/>
      </xdr:nvCxnSpPr>
      <xdr:spPr>
        <a:xfrm>
          <a:off x="69404049" y="149085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710</xdr:row>
      <xdr:rowOff>38099</xdr:rowOff>
    </xdr:from>
    <xdr:to>
      <xdr:col>91</xdr:col>
      <xdr:colOff>84001</xdr:colOff>
      <xdr:row>710</xdr:row>
      <xdr:rowOff>152399</xdr:rowOff>
    </xdr:to>
    <xdr:sp macro="" textlink="">
      <xdr:nvSpPr>
        <xdr:cNvPr id="867" name="408"/>
        <xdr:cNvSpPr/>
      </xdr:nvSpPr>
      <xdr:spPr>
        <a:xfrm>
          <a:off x="69342000" y="14881859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0</xdr:colOff>
      <xdr:row>710</xdr:row>
      <xdr:rowOff>95249</xdr:rowOff>
    </xdr:from>
    <xdr:to>
      <xdr:col>91</xdr:col>
      <xdr:colOff>0</xdr:colOff>
      <xdr:row>710</xdr:row>
      <xdr:rowOff>95249</xdr:rowOff>
    </xdr:to>
    <xdr:cxnSp macro="">
      <xdr:nvCxnSpPr>
        <xdr:cNvPr id="868" name="직선 화살표 연결선 867"/>
        <xdr:cNvCxnSpPr/>
      </xdr:nvCxnSpPr>
      <xdr:spPr>
        <a:xfrm>
          <a:off x="69342000" y="148875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103414</xdr:colOff>
      <xdr:row>709</xdr:row>
      <xdr:rowOff>38099</xdr:rowOff>
    </xdr:from>
    <xdr:to>
      <xdr:col>91</xdr:col>
      <xdr:colOff>21952</xdr:colOff>
      <xdr:row>709</xdr:row>
      <xdr:rowOff>152399</xdr:rowOff>
    </xdr:to>
    <xdr:sp macro="" textlink="">
      <xdr:nvSpPr>
        <xdr:cNvPr id="869" name="407"/>
        <xdr:cNvSpPr/>
      </xdr:nvSpPr>
      <xdr:spPr>
        <a:xfrm>
          <a:off x="67921414" y="148609049"/>
          <a:ext cx="1442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103414</xdr:colOff>
      <xdr:row>709</xdr:row>
      <xdr:rowOff>95249</xdr:rowOff>
    </xdr:from>
    <xdr:to>
      <xdr:col>89</xdr:col>
      <xdr:colOff>103414</xdr:colOff>
      <xdr:row>709</xdr:row>
      <xdr:rowOff>95249</xdr:rowOff>
    </xdr:to>
    <xdr:cxnSp macro="">
      <xdr:nvCxnSpPr>
        <xdr:cNvPr id="870" name="직선 화살표 연결선 869"/>
        <xdr:cNvCxnSpPr/>
      </xdr:nvCxnSpPr>
      <xdr:spPr>
        <a:xfrm>
          <a:off x="67921414" y="148666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708</xdr:row>
      <xdr:rowOff>38099</xdr:rowOff>
    </xdr:from>
    <xdr:to>
      <xdr:col>89</xdr:col>
      <xdr:colOff>125367</xdr:colOff>
      <xdr:row>708</xdr:row>
      <xdr:rowOff>152399</xdr:rowOff>
    </xdr:to>
    <xdr:sp macro="" textlink="">
      <xdr:nvSpPr>
        <xdr:cNvPr id="871" name="406"/>
        <xdr:cNvSpPr/>
      </xdr:nvSpPr>
      <xdr:spPr>
        <a:xfrm>
          <a:off x="67900732" y="148399499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708</xdr:row>
      <xdr:rowOff>95249</xdr:rowOff>
    </xdr:from>
    <xdr:to>
      <xdr:col>89</xdr:col>
      <xdr:colOff>82732</xdr:colOff>
      <xdr:row>708</xdr:row>
      <xdr:rowOff>95249</xdr:rowOff>
    </xdr:to>
    <xdr:cxnSp macro="">
      <xdr:nvCxnSpPr>
        <xdr:cNvPr id="872" name="직선 화살표 연결선 871"/>
        <xdr:cNvCxnSpPr/>
      </xdr:nvCxnSpPr>
      <xdr:spPr>
        <a:xfrm>
          <a:off x="67900732" y="148456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707</xdr:row>
      <xdr:rowOff>38099</xdr:rowOff>
    </xdr:from>
    <xdr:to>
      <xdr:col>89</xdr:col>
      <xdr:colOff>104684</xdr:colOff>
      <xdr:row>707</xdr:row>
      <xdr:rowOff>152399</xdr:rowOff>
    </xdr:to>
    <xdr:sp macro="" textlink="">
      <xdr:nvSpPr>
        <xdr:cNvPr id="873" name="405"/>
        <xdr:cNvSpPr/>
      </xdr:nvSpPr>
      <xdr:spPr>
        <a:xfrm>
          <a:off x="67900732" y="14818994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707</xdr:row>
      <xdr:rowOff>95249</xdr:rowOff>
    </xdr:from>
    <xdr:to>
      <xdr:col>89</xdr:col>
      <xdr:colOff>82732</xdr:colOff>
      <xdr:row>707</xdr:row>
      <xdr:rowOff>95249</xdr:rowOff>
    </xdr:to>
    <xdr:cxnSp macro="">
      <xdr:nvCxnSpPr>
        <xdr:cNvPr id="874" name="직선 화살표 연결선 873"/>
        <xdr:cNvCxnSpPr/>
      </xdr:nvCxnSpPr>
      <xdr:spPr>
        <a:xfrm>
          <a:off x="67900732" y="148247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124097</xdr:colOff>
      <xdr:row>706</xdr:row>
      <xdr:rowOff>38099</xdr:rowOff>
    </xdr:from>
    <xdr:to>
      <xdr:col>89</xdr:col>
      <xdr:colOff>104684</xdr:colOff>
      <xdr:row>706</xdr:row>
      <xdr:rowOff>152399</xdr:rowOff>
    </xdr:to>
    <xdr:sp macro="" textlink="">
      <xdr:nvSpPr>
        <xdr:cNvPr id="875" name="404"/>
        <xdr:cNvSpPr/>
      </xdr:nvSpPr>
      <xdr:spPr>
        <a:xfrm>
          <a:off x="67180097" y="147980399"/>
          <a:ext cx="7425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124097</xdr:colOff>
      <xdr:row>706</xdr:row>
      <xdr:rowOff>95249</xdr:rowOff>
    </xdr:from>
    <xdr:to>
      <xdr:col>88</xdr:col>
      <xdr:colOff>124097</xdr:colOff>
      <xdr:row>706</xdr:row>
      <xdr:rowOff>95249</xdr:rowOff>
    </xdr:to>
    <xdr:cxnSp macro="">
      <xdr:nvCxnSpPr>
        <xdr:cNvPr id="876" name="직선 화살표 연결선 875"/>
        <xdr:cNvCxnSpPr/>
      </xdr:nvCxnSpPr>
      <xdr:spPr>
        <a:xfrm>
          <a:off x="67180097" y="148037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20683</xdr:colOff>
      <xdr:row>705</xdr:row>
      <xdr:rowOff>38099</xdr:rowOff>
    </xdr:from>
    <xdr:to>
      <xdr:col>89</xdr:col>
      <xdr:colOff>1270</xdr:colOff>
      <xdr:row>705</xdr:row>
      <xdr:rowOff>152399</xdr:rowOff>
    </xdr:to>
    <xdr:sp macro="" textlink="">
      <xdr:nvSpPr>
        <xdr:cNvPr id="877" name="403"/>
        <xdr:cNvSpPr/>
      </xdr:nvSpPr>
      <xdr:spPr>
        <a:xfrm>
          <a:off x="67076683" y="147770849"/>
          <a:ext cx="7425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20683</xdr:colOff>
      <xdr:row>705</xdr:row>
      <xdr:rowOff>95249</xdr:rowOff>
    </xdr:from>
    <xdr:to>
      <xdr:col>88</xdr:col>
      <xdr:colOff>20683</xdr:colOff>
      <xdr:row>705</xdr:row>
      <xdr:rowOff>95249</xdr:rowOff>
    </xdr:to>
    <xdr:cxnSp macro="">
      <xdr:nvCxnSpPr>
        <xdr:cNvPr id="878" name="직선 화살표 연결선 877"/>
        <xdr:cNvCxnSpPr/>
      </xdr:nvCxnSpPr>
      <xdr:spPr>
        <a:xfrm>
          <a:off x="67076683" y="147827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704</xdr:row>
      <xdr:rowOff>38099</xdr:rowOff>
    </xdr:from>
    <xdr:to>
      <xdr:col>88</xdr:col>
      <xdr:colOff>42635</xdr:colOff>
      <xdr:row>704</xdr:row>
      <xdr:rowOff>152399</xdr:rowOff>
    </xdr:to>
    <xdr:sp macro="" textlink="">
      <xdr:nvSpPr>
        <xdr:cNvPr id="879" name="402"/>
        <xdr:cNvSpPr/>
      </xdr:nvSpPr>
      <xdr:spPr>
        <a:xfrm>
          <a:off x="66418098" y="1475612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704</xdr:row>
      <xdr:rowOff>95249</xdr:rowOff>
    </xdr:from>
    <xdr:to>
      <xdr:col>87</xdr:col>
      <xdr:colOff>124098</xdr:colOff>
      <xdr:row>704</xdr:row>
      <xdr:rowOff>95249</xdr:rowOff>
    </xdr:to>
    <xdr:cxnSp macro="">
      <xdr:nvCxnSpPr>
        <xdr:cNvPr id="880" name="직선 화살표 연결선 879"/>
        <xdr:cNvCxnSpPr/>
      </xdr:nvCxnSpPr>
      <xdr:spPr>
        <a:xfrm>
          <a:off x="66418098" y="147618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703</xdr:row>
      <xdr:rowOff>38099</xdr:rowOff>
    </xdr:from>
    <xdr:to>
      <xdr:col>88</xdr:col>
      <xdr:colOff>1270</xdr:colOff>
      <xdr:row>703</xdr:row>
      <xdr:rowOff>152399</xdr:rowOff>
    </xdr:to>
    <xdr:sp macro="" textlink="">
      <xdr:nvSpPr>
        <xdr:cNvPr id="881" name="401"/>
        <xdr:cNvSpPr/>
      </xdr:nvSpPr>
      <xdr:spPr>
        <a:xfrm>
          <a:off x="66376731" y="14735174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703</xdr:row>
      <xdr:rowOff>95249</xdr:rowOff>
    </xdr:from>
    <xdr:to>
      <xdr:col>87</xdr:col>
      <xdr:colOff>82731</xdr:colOff>
      <xdr:row>703</xdr:row>
      <xdr:rowOff>95249</xdr:rowOff>
    </xdr:to>
    <xdr:cxnSp macro="">
      <xdr:nvCxnSpPr>
        <xdr:cNvPr id="882" name="직선 화살표 연결선 881"/>
        <xdr:cNvCxnSpPr/>
      </xdr:nvCxnSpPr>
      <xdr:spPr>
        <a:xfrm>
          <a:off x="66376731" y="147408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41366</xdr:colOff>
      <xdr:row>702</xdr:row>
      <xdr:rowOff>38099</xdr:rowOff>
    </xdr:from>
    <xdr:to>
      <xdr:col>87</xdr:col>
      <xdr:colOff>104684</xdr:colOff>
      <xdr:row>702</xdr:row>
      <xdr:rowOff>152399</xdr:rowOff>
    </xdr:to>
    <xdr:sp macro="" textlink="">
      <xdr:nvSpPr>
        <xdr:cNvPr id="883" name="400"/>
        <xdr:cNvSpPr/>
      </xdr:nvSpPr>
      <xdr:spPr>
        <a:xfrm>
          <a:off x="65573366" y="147142199"/>
          <a:ext cx="825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41366</xdr:colOff>
      <xdr:row>702</xdr:row>
      <xdr:rowOff>95249</xdr:rowOff>
    </xdr:from>
    <xdr:to>
      <xdr:col>86</xdr:col>
      <xdr:colOff>41366</xdr:colOff>
      <xdr:row>702</xdr:row>
      <xdr:rowOff>95249</xdr:rowOff>
    </xdr:to>
    <xdr:cxnSp macro="">
      <xdr:nvCxnSpPr>
        <xdr:cNvPr id="884" name="직선 화살표 연결선 883"/>
        <xdr:cNvCxnSpPr/>
      </xdr:nvCxnSpPr>
      <xdr:spPr>
        <a:xfrm>
          <a:off x="65573366" y="147199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701</xdr:row>
      <xdr:rowOff>38099</xdr:rowOff>
    </xdr:from>
    <xdr:to>
      <xdr:col>86</xdr:col>
      <xdr:colOff>63318</xdr:colOff>
      <xdr:row>701</xdr:row>
      <xdr:rowOff>152399</xdr:rowOff>
    </xdr:to>
    <xdr:sp macro="" textlink="">
      <xdr:nvSpPr>
        <xdr:cNvPr id="885" name="0"/>
        <xdr:cNvSpPr/>
      </xdr:nvSpPr>
      <xdr:spPr>
        <a:xfrm>
          <a:off x="65552682" y="1469326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701</xdr:row>
      <xdr:rowOff>95249</xdr:rowOff>
    </xdr:from>
    <xdr:to>
      <xdr:col>86</xdr:col>
      <xdr:colOff>20682</xdr:colOff>
      <xdr:row>701</xdr:row>
      <xdr:rowOff>95249</xdr:rowOff>
    </xdr:to>
    <xdr:cxnSp macro="">
      <xdr:nvCxnSpPr>
        <xdr:cNvPr id="886" name="직선 화살표 연결선 885"/>
        <xdr:cNvCxnSpPr/>
      </xdr:nvCxnSpPr>
      <xdr:spPr>
        <a:xfrm>
          <a:off x="65552682" y="146989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700</xdr:row>
      <xdr:rowOff>38099</xdr:rowOff>
    </xdr:from>
    <xdr:to>
      <xdr:col>86</xdr:col>
      <xdr:colOff>42636</xdr:colOff>
      <xdr:row>700</xdr:row>
      <xdr:rowOff>152399</xdr:rowOff>
    </xdr:to>
    <xdr:sp macro="" textlink="">
      <xdr:nvSpPr>
        <xdr:cNvPr id="887" name="398"/>
        <xdr:cNvSpPr/>
      </xdr:nvSpPr>
      <xdr:spPr>
        <a:xfrm>
          <a:off x="65532000" y="1467230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700</xdr:row>
      <xdr:rowOff>95249</xdr:rowOff>
    </xdr:from>
    <xdr:to>
      <xdr:col>86</xdr:col>
      <xdr:colOff>0</xdr:colOff>
      <xdr:row>700</xdr:row>
      <xdr:rowOff>95249</xdr:rowOff>
    </xdr:to>
    <xdr:cxnSp macro="">
      <xdr:nvCxnSpPr>
        <xdr:cNvPr id="888" name="직선 화살표 연결선 887"/>
        <xdr:cNvCxnSpPr/>
      </xdr:nvCxnSpPr>
      <xdr:spPr>
        <a:xfrm>
          <a:off x="65532000" y="146780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699</xdr:row>
      <xdr:rowOff>38099</xdr:rowOff>
    </xdr:from>
    <xdr:to>
      <xdr:col>91</xdr:col>
      <xdr:colOff>125367</xdr:colOff>
      <xdr:row>699</xdr:row>
      <xdr:rowOff>152399</xdr:rowOff>
    </xdr:to>
    <xdr:sp macro="" textlink="">
      <xdr:nvSpPr>
        <xdr:cNvPr id="889" name="397"/>
        <xdr:cNvSpPr/>
      </xdr:nvSpPr>
      <xdr:spPr>
        <a:xfrm>
          <a:off x="65532000" y="146513549"/>
          <a:ext cx="393536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699</xdr:row>
      <xdr:rowOff>95249</xdr:rowOff>
    </xdr:from>
    <xdr:to>
      <xdr:col>86</xdr:col>
      <xdr:colOff>0</xdr:colOff>
      <xdr:row>699</xdr:row>
      <xdr:rowOff>95249</xdr:rowOff>
    </xdr:to>
    <xdr:cxnSp macro="">
      <xdr:nvCxnSpPr>
        <xdr:cNvPr id="890" name="직선 화살표 연결선 889"/>
        <xdr:cNvCxnSpPr/>
      </xdr:nvCxnSpPr>
      <xdr:spPr>
        <a:xfrm>
          <a:off x="65532000" y="146570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62048</xdr:colOff>
      <xdr:row>698</xdr:row>
      <xdr:rowOff>38099</xdr:rowOff>
    </xdr:from>
    <xdr:to>
      <xdr:col>111</xdr:col>
      <xdr:colOff>1269</xdr:colOff>
      <xdr:row>698</xdr:row>
      <xdr:rowOff>152399</xdr:rowOff>
    </xdr:to>
    <xdr:sp macro="" textlink="">
      <xdr:nvSpPr>
        <xdr:cNvPr id="891" name="396"/>
        <xdr:cNvSpPr/>
      </xdr:nvSpPr>
      <xdr:spPr>
        <a:xfrm>
          <a:off x="83882048" y="1463039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110</xdr:col>
      <xdr:colOff>62048</xdr:colOff>
      <xdr:row>698</xdr:row>
      <xdr:rowOff>95249</xdr:rowOff>
    </xdr:from>
    <xdr:to>
      <xdr:col>110</xdr:col>
      <xdr:colOff>62048</xdr:colOff>
      <xdr:row>698</xdr:row>
      <xdr:rowOff>95249</xdr:rowOff>
    </xdr:to>
    <xdr:cxnSp macro="">
      <xdr:nvCxnSpPr>
        <xdr:cNvPr id="892" name="직선 화살표 연결선 891"/>
        <xdr:cNvCxnSpPr/>
      </xdr:nvCxnSpPr>
      <xdr:spPr>
        <a:xfrm>
          <a:off x="83882048" y="146361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144779</xdr:colOff>
      <xdr:row>697</xdr:row>
      <xdr:rowOff>38099</xdr:rowOff>
    </xdr:from>
    <xdr:to>
      <xdr:col>110</xdr:col>
      <xdr:colOff>84000</xdr:colOff>
      <xdr:row>697</xdr:row>
      <xdr:rowOff>152399</xdr:rowOff>
    </xdr:to>
    <xdr:sp macro="" textlink="">
      <xdr:nvSpPr>
        <xdr:cNvPr id="893" name="395"/>
        <xdr:cNvSpPr/>
      </xdr:nvSpPr>
      <xdr:spPr>
        <a:xfrm>
          <a:off x="83202779" y="1460944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109</xdr:col>
      <xdr:colOff>144779</xdr:colOff>
      <xdr:row>697</xdr:row>
      <xdr:rowOff>95249</xdr:rowOff>
    </xdr:from>
    <xdr:to>
      <xdr:col>109</xdr:col>
      <xdr:colOff>144779</xdr:colOff>
      <xdr:row>697</xdr:row>
      <xdr:rowOff>95249</xdr:rowOff>
    </xdr:to>
    <xdr:cxnSp macro="">
      <xdr:nvCxnSpPr>
        <xdr:cNvPr id="894" name="직선 화살표 연결선 893"/>
        <xdr:cNvCxnSpPr/>
      </xdr:nvCxnSpPr>
      <xdr:spPr>
        <a:xfrm>
          <a:off x="83202779" y="146151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82732</xdr:colOff>
      <xdr:row>696</xdr:row>
      <xdr:rowOff>38099</xdr:rowOff>
    </xdr:from>
    <xdr:to>
      <xdr:col>110</xdr:col>
      <xdr:colOff>21953</xdr:colOff>
      <xdr:row>696</xdr:row>
      <xdr:rowOff>152399</xdr:rowOff>
    </xdr:to>
    <xdr:sp macro="" textlink="">
      <xdr:nvSpPr>
        <xdr:cNvPr id="895" name="394"/>
        <xdr:cNvSpPr/>
      </xdr:nvSpPr>
      <xdr:spPr>
        <a:xfrm>
          <a:off x="83140732" y="1458848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109</xdr:col>
      <xdr:colOff>82732</xdr:colOff>
      <xdr:row>696</xdr:row>
      <xdr:rowOff>95249</xdr:rowOff>
    </xdr:from>
    <xdr:to>
      <xdr:col>109</xdr:col>
      <xdr:colOff>82732</xdr:colOff>
      <xdr:row>696</xdr:row>
      <xdr:rowOff>95249</xdr:rowOff>
    </xdr:to>
    <xdr:cxnSp macro="">
      <xdr:nvCxnSpPr>
        <xdr:cNvPr id="896" name="직선 화살표 연결선 895"/>
        <xdr:cNvCxnSpPr/>
      </xdr:nvCxnSpPr>
      <xdr:spPr>
        <a:xfrm>
          <a:off x="83140732" y="145942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82732</xdr:colOff>
      <xdr:row>695</xdr:row>
      <xdr:rowOff>38099</xdr:rowOff>
    </xdr:from>
    <xdr:to>
      <xdr:col>109</xdr:col>
      <xdr:colOff>104684</xdr:colOff>
      <xdr:row>695</xdr:row>
      <xdr:rowOff>152399</xdr:rowOff>
    </xdr:to>
    <xdr:sp macro="" textlink="">
      <xdr:nvSpPr>
        <xdr:cNvPr id="897" name="393"/>
        <xdr:cNvSpPr/>
      </xdr:nvSpPr>
      <xdr:spPr>
        <a:xfrm>
          <a:off x="82378732" y="145675349"/>
          <a:ext cx="78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108</xdr:col>
      <xdr:colOff>82732</xdr:colOff>
      <xdr:row>695</xdr:row>
      <xdr:rowOff>95249</xdr:rowOff>
    </xdr:from>
    <xdr:to>
      <xdr:col>108</xdr:col>
      <xdr:colOff>82732</xdr:colOff>
      <xdr:row>695</xdr:row>
      <xdr:rowOff>95249</xdr:rowOff>
    </xdr:to>
    <xdr:cxnSp macro="">
      <xdr:nvCxnSpPr>
        <xdr:cNvPr id="898" name="직선 화살표 연결선 897"/>
        <xdr:cNvCxnSpPr/>
      </xdr:nvCxnSpPr>
      <xdr:spPr>
        <a:xfrm>
          <a:off x="82378732" y="145732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62049</xdr:colOff>
      <xdr:row>694</xdr:row>
      <xdr:rowOff>38099</xdr:rowOff>
    </xdr:from>
    <xdr:to>
      <xdr:col>108</xdr:col>
      <xdr:colOff>104684</xdr:colOff>
      <xdr:row>694</xdr:row>
      <xdr:rowOff>152399</xdr:rowOff>
    </xdr:to>
    <xdr:sp macro="" textlink="">
      <xdr:nvSpPr>
        <xdr:cNvPr id="899" name="392"/>
        <xdr:cNvSpPr/>
      </xdr:nvSpPr>
      <xdr:spPr>
        <a:xfrm>
          <a:off x="82358049" y="145465799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108</xdr:col>
      <xdr:colOff>62049</xdr:colOff>
      <xdr:row>694</xdr:row>
      <xdr:rowOff>95249</xdr:rowOff>
    </xdr:from>
    <xdr:to>
      <xdr:col>108</xdr:col>
      <xdr:colOff>62049</xdr:colOff>
      <xdr:row>694</xdr:row>
      <xdr:rowOff>95249</xdr:rowOff>
    </xdr:to>
    <xdr:cxnSp macro="">
      <xdr:nvCxnSpPr>
        <xdr:cNvPr id="900" name="직선 화살표 연결선 899"/>
        <xdr:cNvCxnSpPr/>
      </xdr:nvCxnSpPr>
      <xdr:spPr>
        <a:xfrm>
          <a:off x="82358049" y="145522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41365</xdr:colOff>
      <xdr:row>693</xdr:row>
      <xdr:rowOff>38099</xdr:rowOff>
    </xdr:from>
    <xdr:to>
      <xdr:col>108</xdr:col>
      <xdr:colOff>84001</xdr:colOff>
      <xdr:row>693</xdr:row>
      <xdr:rowOff>152399</xdr:rowOff>
    </xdr:to>
    <xdr:sp macro="" textlink="">
      <xdr:nvSpPr>
        <xdr:cNvPr id="901" name="391"/>
        <xdr:cNvSpPr/>
      </xdr:nvSpPr>
      <xdr:spPr>
        <a:xfrm>
          <a:off x="82337365" y="1452562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108</xdr:col>
      <xdr:colOff>41365</xdr:colOff>
      <xdr:row>693</xdr:row>
      <xdr:rowOff>95249</xdr:rowOff>
    </xdr:from>
    <xdr:to>
      <xdr:col>108</xdr:col>
      <xdr:colOff>41365</xdr:colOff>
      <xdr:row>693</xdr:row>
      <xdr:rowOff>95249</xdr:rowOff>
    </xdr:to>
    <xdr:cxnSp macro="">
      <xdr:nvCxnSpPr>
        <xdr:cNvPr id="902" name="직선 화살표 연결선 901"/>
        <xdr:cNvCxnSpPr/>
      </xdr:nvCxnSpPr>
      <xdr:spPr>
        <a:xfrm>
          <a:off x="82337365" y="145313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20683</xdr:colOff>
      <xdr:row>692</xdr:row>
      <xdr:rowOff>38099</xdr:rowOff>
    </xdr:from>
    <xdr:to>
      <xdr:col>108</xdr:col>
      <xdr:colOff>63319</xdr:colOff>
      <xdr:row>692</xdr:row>
      <xdr:rowOff>152399</xdr:rowOff>
    </xdr:to>
    <xdr:sp macro="" textlink="">
      <xdr:nvSpPr>
        <xdr:cNvPr id="903" name="390"/>
        <xdr:cNvSpPr/>
      </xdr:nvSpPr>
      <xdr:spPr>
        <a:xfrm>
          <a:off x="82316683" y="1450466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108</xdr:col>
      <xdr:colOff>20683</xdr:colOff>
      <xdr:row>692</xdr:row>
      <xdr:rowOff>95249</xdr:rowOff>
    </xdr:from>
    <xdr:to>
      <xdr:col>108</xdr:col>
      <xdr:colOff>20683</xdr:colOff>
      <xdr:row>692</xdr:row>
      <xdr:rowOff>95249</xdr:rowOff>
    </xdr:to>
    <xdr:cxnSp macro="">
      <xdr:nvCxnSpPr>
        <xdr:cNvPr id="904" name="직선 화살표 연결선 903"/>
        <xdr:cNvCxnSpPr/>
      </xdr:nvCxnSpPr>
      <xdr:spPr>
        <a:xfrm>
          <a:off x="82316683" y="145103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0</xdr:colOff>
      <xdr:row>691</xdr:row>
      <xdr:rowOff>38099</xdr:rowOff>
    </xdr:from>
    <xdr:to>
      <xdr:col>108</xdr:col>
      <xdr:colOff>42635</xdr:colOff>
      <xdr:row>691</xdr:row>
      <xdr:rowOff>152399</xdr:rowOff>
    </xdr:to>
    <xdr:sp macro="" textlink="">
      <xdr:nvSpPr>
        <xdr:cNvPr id="905" name="389"/>
        <xdr:cNvSpPr/>
      </xdr:nvSpPr>
      <xdr:spPr>
        <a:xfrm>
          <a:off x="78486000" y="144837149"/>
          <a:ext cx="385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103</xdr:col>
      <xdr:colOff>0</xdr:colOff>
      <xdr:row>691</xdr:row>
      <xdr:rowOff>95249</xdr:rowOff>
    </xdr:from>
    <xdr:to>
      <xdr:col>103</xdr:col>
      <xdr:colOff>0</xdr:colOff>
      <xdr:row>691</xdr:row>
      <xdr:rowOff>95249</xdr:rowOff>
    </xdr:to>
    <xdr:cxnSp macro="">
      <xdr:nvCxnSpPr>
        <xdr:cNvPr id="906" name="직선 화살표 연결선 905"/>
        <xdr:cNvCxnSpPr/>
      </xdr:nvCxnSpPr>
      <xdr:spPr>
        <a:xfrm>
          <a:off x="78486000" y="144894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41366</xdr:colOff>
      <xdr:row>690</xdr:row>
      <xdr:rowOff>38099</xdr:rowOff>
    </xdr:from>
    <xdr:to>
      <xdr:col>103</xdr:col>
      <xdr:colOff>21952</xdr:colOff>
      <xdr:row>690</xdr:row>
      <xdr:rowOff>152399</xdr:rowOff>
    </xdr:to>
    <xdr:sp macro="" textlink="">
      <xdr:nvSpPr>
        <xdr:cNvPr id="907" name="388"/>
        <xdr:cNvSpPr/>
      </xdr:nvSpPr>
      <xdr:spPr>
        <a:xfrm>
          <a:off x="77765366" y="14462759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102</xdr:col>
      <xdr:colOff>41366</xdr:colOff>
      <xdr:row>690</xdr:row>
      <xdr:rowOff>95249</xdr:rowOff>
    </xdr:from>
    <xdr:to>
      <xdr:col>102</xdr:col>
      <xdr:colOff>41366</xdr:colOff>
      <xdr:row>690</xdr:row>
      <xdr:rowOff>95249</xdr:rowOff>
    </xdr:to>
    <xdr:cxnSp macro="">
      <xdr:nvCxnSpPr>
        <xdr:cNvPr id="908" name="직선 화살표 연결선 907"/>
        <xdr:cNvCxnSpPr/>
      </xdr:nvCxnSpPr>
      <xdr:spPr>
        <a:xfrm>
          <a:off x="77765366" y="144684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41365</xdr:colOff>
      <xdr:row>689</xdr:row>
      <xdr:rowOff>38099</xdr:rowOff>
    </xdr:from>
    <xdr:to>
      <xdr:col>102</xdr:col>
      <xdr:colOff>63319</xdr:colOff>
      <xdr:row>689</xdr:row>
      <xdr:rowOff>152399</xdr:rowOff>
    </xdr:to>
    <xdr:sp macro="" textlink="">
      <xdr:nvSpPr>
        <xdr:cNvPr id="909" name="387"/>
        <xdr:cNvSpPr/>
      </xdr:nvSpPr>
      <xdr:spPr>
        <a:xfrm>
          <a:off x="74717365" y="144418049"/>
          <a:ext cx="30699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98</xdr:col>
      <xdr:colOff>41365</xdr:colOff>
      <xdr:row>689</xdr:row>
      <xdr:rowOff>95249</xdr:rowOff>
    </xdr:from>
    <xdr:to>
      <xdr:col>98</xdr:col>
      <xdr:colOff>41365</xdr:colOff>
      <xdr:row>689</xdr:row>
      <xdr:rowOff>95249</xdr:rowOff>
    </xdr:to>
    <xdr:cxnSp macro="">
      <xdr:nvCxnSpPr>
        <xdr:cNvPr id="910" name="직선 화살표 연결선 909"/>
        <xdr:cNvCxnSpPr/>
      </xdr:nvCxnSpPr>
      <xdr:spPr>
        <a:xfrm>
          <a:off x="74717365" y="144475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103414</xdr:colOff>
      <xdr:row>688</xdr:row>
      <xdr:rowOff>38099</xdr:rowOff>
    </xdr:from>
    <xdr:to>
      <xdr:col>98</xdr:col>
      <xdr:colOff>63319</xdr:colOff>
      <xdr:row>688</xdr:row>
      <xdr:rowOff>152399</xdr:rowOff>
    </xdr:to>
    <xdr:sp macro="" textlink="">
      <xdr:nvSpPr>
        <xdr:cNvPr id="911" name="386"/>
        <xdr:cNvSpPr/>
      </xdr:nvSpPr>
      <xdr:spPr>
        <a:xfrm>
          <a:off x="70969414" y="144208499"/>
          <a:ext cx="37699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103414</xdr:colOff>
      <xdr:row>688</xdr:row>
      <xdr:rowOff>95249</xdr:rowOff>
    </xdr:from>
    <xdr:to>
      <xdr:col>93</xdr:col>
      <xdr:colOff>103414</xdr:colOff>
      <xdr:row>688</xdr:row>
      <xdr:rowOff>95249</xdr:rowOff>
    </xdr:to>
    <xdr:cxnSp macro="">
      <xdr:nvCxnSpPr>
        <xdr:cNvPr id="912" name="직선 화살표 연결선 911"/>
        <xdr:cNvCxnSpPr/>
      </xdr:nvCxnSpPr>
      <xdr:spPr>
        <a:xfrm>
          <a:off x="70969414" y="144265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103414</xdr:colOff>
      <xdr:row>687</xdr:row>
      <xdr:rowOff>38099</xdr:rowOff>
    </xdr:from>
    <xdr:to>
      <xdr:col>93</xdr:col>
      <xdr:colOff>125366</xdr:colOff>
      <xdr:row>687</xdr:row>
      <xdr:rowOff>152399</xdr:rowOff>
    </xdr:to>
    <xdr:sp macro="" textlink="">
      <xdr:nvSpPr>
        <xdr:cNvPr id="913" name="385"/>
        <xdr:cNvSpPr/>
      </xdr:nvSpPr>
      <xdr:spPr>
        <a:xfrm>
          <a:off x="70207414" y="143998949"/>
          <a:ext cx="78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103414</xdr:colOff>
      <xdr:row>687</xdr:row>
      <xdr:rowOff>95249</xdr:rowOff>
    </xdr:from>
    <xdr:to>
      <xdr:col>92</xdr:col>
      <xdr:colOff>103414</xdr:colOff>
      <xdr:row>687</xdr:row>
      <xdr:rowOff>95249</xdr:rowOff>
    </xdr:to>
    <xdr:cxnSp macro="">
      <xdr:nvCxnSpPr>
        <xdr:cNvPr id="914" name="직선 화살표 연결선 913"/>
        <xdr:cNvCxnSpPr/>
      </xdr:nvCxnSpPr>
      <xdr:spPr>
        <a:xfrm>
          <a:off x="70207414" y="144056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41366</xdr:colOff>
      <xdr:row>686</xdr:row>
      <xdr:rowOff>38099</xdr:rowOff>
    </xdr:from>
    <xdr:to>
      <xdr:col>92</xdr:col>
      <xdr:colOff>125368</xdr:colOff>
      <xdr:row>686</xdr:row>
      <xdr:rowOff>152399</xdr:rowOff>
    </xdr:to>
    <xdr:sp macro="" textlink="">
      <xdr:nvSpPr>
        <xdr:cNvPr id="915" name="384"/>
        <xdr:cNvSpPr/>
      </xdr:nvSpPr>
      <xdr:spPr>
        <a:xfrm>
          <a:off x="65573366" y="143789399"/>
          <a:ext cx="46560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41366</xdr:colOff>
      <xdr:row>686</xdr:row>
      <xdr:rowOff>95249</xdr:rowOff>
    </xdr:from>
    <xdr:to>
      <xdr:col>86</xdr:col>
      <xdr:colOff>41366</xdr:colOff>
      <xdr:row>686</xdr:row>
      <xdr:rowOff>95249</xdr:rowOff>
    </xdr:to>
    <xdr:cxnSp macro="">
      <xdr:nvCxnSpPr>
        <xdr:cNvPr id="916" name="직선 화살표 연결선 915"/>
        <xdr:cNvCxnSpPr/>
      </xdr:nvCxnSpPr>
      <xdr:spPr>
        <a:xfrm>
          <a:off x="65573366" y="143846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685</xdr:row>
      <xdr:rowOff>38099</xdr:rowOff>
    </xdr:from>
    <xdr:to>
      <xdr:col>86</xdr:col>
      <xdr:colOff>63318</xdr:colOff>
      <xdr:row>685</xdr:row>
      <xdr:rowOff>152399</xdr:rowOff>
    </xdr:to>
    <xdr:sp macro="" textlink="">
      <xdr:nvSpPr>
        <xdr:cNvPr id="917" name="383"/>
        <xdr:cNvSpPr/>
      </xdr:nvSpPr>
      <xdr:spPr>
        <a:xfrm>
          <a:off x="65552682" y="1435798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685</xdr:row>
      <xdr:rowOff>95249</xdr:rowOff>
    </xdr:from>
    <xdr:to>
      <xdr:col>86</xdr:col>
      <xdr:colOff>20682</xdr:colOff>
      <xdr:row>685</xdr:row>
      <xdr:rowOff>95249</xdr:rowOff>
    </xdr:to>
    <xdr:cxnSp macro="">
      <xdr:nvCxnSpPr>
        <xdr:cNvPr id="918" name="직선 화살표 연결선 917"/>
        <xdr:cNvCxnSpPr/>
      </xdr:nvCxnSpPr>
      <xdr:spPr>
        <a:xfrm>
          <a:off x="65552682" y="143636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684</xdr:row>
      <xdr:rowOff>38099</xdr:rowOff>
    </xdr:from>
    <xdr:to>
      <xdr:col>86</xdr:col>
      <xdr:colOff>42636</xdr:colOff>
      <xdr:row>684</xdr:row>
      <xdr:rowOff>152399</xdr:rowOff>
    </xdr:to>
    <xdr:sp macro="" textlink="">
      <xdr:nvSpPr>
        <xdr:cNvPr id="919" name="382"/>
        <xdr:cNvSpPr/>
      </xdr:nvSpPr>
      <xdr:spPr>
        <a:xfrm>
          <a:off x="65532000" y="1433702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684</xdr:row>
      <xdr:rowOff>95249</xdr:rowOff>
    </xdr:from>
    <xdr:to>
      <xdr:col>86</xdr:col>
      <xdr:colOff>0</xdr:colOff>
      <xdr:row>684</xdr:row>
      <xdr:rowOff>95249</xdr:rowOff>
    </xdr:to>
    <xdr:cxnSp macro="">
      <xdr:nvCxnSpPr>
        <xdr:cNvPr id="920" name="직선 화살표 연결선 919"/>
        <xdr:cNvCxnSpPr/>
      </xdr:nvCxnSpPr>
      <xdr:spPr>
        <a:xfrm>
          <a:off x="65532000" y="143427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683</xdr:row>
      <xdr:rowOff>38099</xdr:rowOff>
    </xdr:from>
    <xdr:to>
      <xdr:col>111</xdr:col>
      <xdr:colOff>1269</xdr:colOff>
      <xdr:row>683</xdr:row>
      <xdr:rowOff>152399</xdr:rowOff>
    </xdr:to>
    <xdr:sp macro="" textlink="">
      <xdr:nvSpPr>
        <xdr:cNvPr id="921" name="381"/>
        <xdr:cNvSpPr/>
      </xdr:nvSpPr>
      <xdr:spPr>
        <a:xfrm>
          <a:off x="65532000" y="143160749"/>
          <a:ext cx="1905126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683</xdr:row>
      <xdr:rowOff>95249</xdr:rowOff>
    </xdr:from>
    <xdr:to>
      <xdr:col>86</xdr:col>
      <xdr:colOff>0</xdr:colOff>
      <xdr:row>683</xdr:row>
      <xdr:rowOff>95249</xdr:rowOff>
    </xdr:to>
    <xdr:cxnSp macro="">
      <xdr:nvCxnSpPr>
        <xdr:cNvPr id="922" name="직선 화살표 연결선 921"/>
        <xdr:cNvCxnSpPr/>
      </xdr:nvCxnSpPr>
      <xdr:spPr>
        <a:xfrm>
          <a:off x="65532000" y="143217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682</xdr:row>
      <xdr:rowOff>38099</xdr:rowOff>
    </xdr:from>
    <xdr:to>
      <xdr:col>90</xdr:col>
      <xdr:colOff>104684</xdr:colOff>
      <xdr:row>682</xdr:row>
      <xdr:rowOff>152399</xdr:rowOff>
    </xdr:to>
    <xdr:sp macro="" textlink="">
      <xdr:nvSpPr>
        <xdr:cNvPr id="923" name="380"/>
        <xdr:cNvSpPr/>
      </xdr:nvSpPr>
      <xdr:spPr>
        <a:xfrm>
          <a:off x="68642048" y="1429511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682</xdr:row>
      <xdr:rowOff>95249</xdr:rowOff>
    </xdr:from>
    <xdr:to>
      <xdr:col>90</xdr:col>
      <xdr:colOff>62048</xdr:colOff>
      <xdr:row>682</xdr:row>
      <xdr:rowOff>95249</xdr:rowOff>
    </xdr:to>
    <xdr:cxnSp macro="">
      <xdr:nvCxnSpPr>
        <xdr:cNvPr id="924" name="직선 화살표 연결선 923"/>
        <xdr:cNvCxnSpPr/>
      </xdr:nvCxnSpPr>
      <xdr:spPr>
        <a:xfrm>
          <a:off x="68642048" y="143008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41366</xdr:colOff>
      <xdr:row>681</xdr:row>
      <xdr:rowOff>38099</xdr:rowOff>
    </xdr:from>
    <xdr:to>
      <xdr:col>90</xdr:col>
      <xdr:colOff>84000</xdr:colOff>
      <xdr:row>681</xdr:row>
      <xdr:rowOff>152399</xdr:rowOff>
    </xdr:to>
    <xdr:sp macro="" textlink="">
      <xdr:nvSpPr>
        <xdr:cNvPr id="925" name="379"/>
        <xdr:cNvSpPr/>
      </xdr:nvSpPr>
      <xdr:spPr>
        <a:xfrm>
          <a:off x="68621366" y="142741649"/>
          <a:ext cx="426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41366</xdr:colOff>
      <xdr:row>681</xdr:row>
      <xdr:rowOff>95249</xdr:rowOff>
    </xdr:from>
    <xdr:to>
      <xdr:col>90</xdr:col>
      <xdr:colOff>41366</xdr:colOff>
      <xdr:row>681</xdr:row>
      <xdr:rowOff>95249</xdr:rowOff>
    </xdr:to>
    <xdr:cxnSp macro="">
      <xdr:nvCxnSpPr>
        <xdr:cNvPr id="926" name="직선 화살표 연결선 925"/>
        <xdr:cNvCxnSpPr/>
      </xdr:nvCxnSpPr>
      <xdr:spPr>
        <a:xfrm>
          <a:off x="68621366" y="142798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144779</xdr:colOff>
      <xdr:row>680</xdr:row>
      <xdr:rowOff>38099</xdr:rowOff>
    </xdr:from>
    <xdr:to>
      <xdr:col>90</xdr:col>
      <xdr:colOff>63318</xdr:colOff>
      <xdr:row>680</xdr:row>
      <xdr:rowOff>152399</xdr:rowOff>
    </xdr:to>
    <xdr:sp macro="" textlink="">
      <xdr:nvSpPr>
        <xdr:cNvPr id="927" name="378"/>
        <xdr:cNvSpPr/>
      </xdr:nvSpPr>
      <xdr:spPr>
        <a:xfrm>
          <a:off x="67962779" y="14253209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144779</xdr:colOff>
      <xdr:row>680</xdr:row>
      <xdr:rowOff>95249</xdr:rowOff>
    </xdr:from>
    <xdr:to>
      <xdr:col>89</xdr:col>
      <xdr:colOff>144779</xdr:colOff>
      <xdr:row>680</xdr:row>
      <xdr:rowOff>95249</xdr:rowOff>
    </xdr:to>
    <xdr:cxnSp macro="">
      <xdr:nvCxnSpPr>
        <xdr:cNvPr id="928" name="직선 화살표 연결선 927"/>
        <xdr:cNvCxnSpPr/>
      </xdr:nvCxnSpPr>
      <xdr:spPr>
        <a:xfrm>
          <a:off x="67962779" y="142589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20683</xdr:colOff>
      <xdr:row>679</xdr:row>
      <xdr:rowOff>38099</xdr:rowOff>
    </xdr:from>
    <xdr:to>
      <xdr:col>90</xdr:col>
      <xdr:colOff>1269</xdr:colOff>
      <xdr:row>679</xdr:row>
      <xdr:rowOff>152399</xdr:rowOff>
    </xdr:to>
    <xdr:sp macro="" textlink="">
      <xdr:nvSpPr>
        <xdr:cNvPr id="929" name="377"/>
        <xdr:cNvSpPr/>
      </xdr:nvSpPr>
      <xdr:spPr>
        <a:xfrm>
          <a:off x="67838683" y="14232254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20683</xdr:colOff>
      <xdr:row>679</xdr:row>
      <xdr:rowOff>95249</xdr:rowOff>
    </xdr:from>
    <xdr:to>
      <xdr:col>89</xdr:col>
      <xdr:colOff>20683</xdr:colOff>
      <xdr:row>679</xdr:row>
      <xdr:rowOff>95249</xdr:rowOff>
    </xdr:to>
    <xdr:cxnSp macro="">
      <xdr:nvCxnSpPr>
        <xdr:cNvPr id="930" name="직선 화살표 연결선 929"/>
        <xdr:cNvCxnSpPr/>
      </xdr:nvCxnSpPr>
      <xdr:spPr>
        <a:xfrm>
          <a:off x="67838683" y="142379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678</xdr:row>
      <xdr:rowOff>38099</xdr:rowOff>
    </xdr:from>
    <xdr:to>
      <xdr:col>89</xdr:col>
      <xdr:colOff>42635</xdr:colOff>
      <xdr:row>678</xdr:row>
      <xdr:rowOff>152399</xdr:rowOff>
    </xdr:to>
    <xdr:sp macro="" textlink="">
      <xdr:nvSpPr>
        <xdr:cNvPr id="931" name="376"/>
        <xdr:cNvSpPr/>
      </xdr:nvSpPr>
      <xdr:spPr>
        <a:xfrm>
          <a:off x="67818001" y="142112999"/>
          <a:ext cx="426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678</xdr:row>
      <xdr:rowOff>95249</xdr:rowOff>
    </xdr:from>
    <xdr:to>
      <xdr:col>89</xdr:col>
      <xdr:colOff>1</xdr:colOff>
      <xdr:row>678</xdr:row>
      <xdr:rowOff>95249</xdr:rowOff>
    </xdr:to>
    <xdr:cxnSp macro="">
      <xdr:nvCxnSpPr>
        <xdr:cNvPr id="932" name="직선 화살표 연결선 931"/>
        <xdr:cNvCxnSpPr/>
      </xdr:nvCxnSpPr>
      <xdr:spPr>
        <a:xfrm>
          <a:off x="67818001" y="142170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103414</xdr:colOff>
      <xdr:row>677</xdr:row>
      <xdr:rowOff>38099</xdr:rowOff>
    </xdr:from>
    <xdr:to>
      <xdr:col>89</xdr:col>
      <xdr:colOff>1270</xdr:colOff>
      <xdr:row>677</xdr:row>
      <xdr:rowOff>152399</xdr:rowOff>
    </xdr:to>
    <xdr:sp macro="" textlink="">
      <xdr:nvSpPr>
        <xdr:cNvPr id="933" name="375"/>
        <xdr:cNvSpPr/>
      </xdr:nvSpPr>
      <xdr:spPr>
        <a:xfrm>
          <a:off x="67159414" y="141903449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103414</xdr:colOff>
      <xdr:row>677</xdr:row>
      <xdr:rowOff>95249</xdr:rowOff>
    </xdr:from>
    <xdr:to>
      <xdr:col>88</xdr:col>
      <xdr:colOff>103414</xdr:colOff>
      <xdr:row>677</xdr:row>
      <xdr:rowOff>95249</xdr:rowOff>
    </xdr:to>
    <xdr:cxnSp macro="">
      <xdr:nvCxnSpPr>
        <xdr:cNvPr id="934" name="직선 화살표 연결선 933"/>
        <xdr:cNvCxnSpPr/>
      </xdr:nvCxnSpPr>
      <xdr:spPr>
        <a:xfrm>
          <a:off x="67159414" y="141960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676</xdr:row>
      <xdr:rowOff>38099</xdr:rowOff>
    </xdr:from>
    <xdr:to>
      <xdr:col>88</xdr:col>
      <xdr:colOff>104684</xdr:colOff>
      <xdr:row>676</xdr:row>
      <xdr:rowOff>152399</xdr:rowOff>
    </xdr:to>
    <xdr:sp macro="" textlink="">
      <xdr:nvSpPr>
        <xdr:cNvPr id="935" name="374"/>
        <xdr:cNvSpPr/>
      </xdr:nvSpPr>
      <xdr:spPr>
        <a:xfrm>
          <a:off x="67138732" y="14169389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676</xdr:row>
      <xdr:rowOff>95249</xdr:rowOff>
    </xdr:from>
    <xdr:to>
      <xdr:col>88</xdr:col>
      <xdr:colOff>82732</xdr:colOff>
      <xdr:row>676</xdr:row>
      <xdr:rowOff>95249</xdr:rowOff>
    </xdr:to>
    <xdr:cxnSp macro="">
      <xdr:nvCxnSpPr>
        <xdr:cNvPr id="936" name="직선 화살표 연결선 935"/>
        <xdr:cNvCxnSpPr/>
      </xdr:nvCxnSpPr>
      <xdr:spPr>
        <a:xfrm>
          <a:off x="67138732" y="141751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675</xdr:row>
      <xdr:rowOff>38099</xdr:rowOff>
    </xdr:from>
    <xdr:to>
      <xdr:col>88</xdr:col>
      <xdr:colOff>84001</xdr:colOff>
      <xdr:row>675</xdr:row>
      <xdr:rowOff>152399</xdr:rowOff>
    </xdr:to>
    <xdr:sp macro="" textlink="">
      <xdr:nvSpPr>
        <xdr:cNvPr id="937" name="373"/>
        <xdr:cNvSpPr/>
      </xdr:nvSpPr>
      <xdr:spPr>
        <a:xfrm>
          <a:off x="66418098" y="141484349"/>
          <a:ext cx="7219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675</xdr:row>
      <xdr:rowOff>95249</xdr:rowOff>
    </xdr:from>
    <xdr:to>
      <xdr:col>87</xdr:col>
      <xdr:colOff>124098</xdr:colOff>
      <xdr:row>675</xdr:row>
      <xdr:rowOff>95249</xdr:rowOff>
    </xdr:to>
    <xdr:cxnSp macro="">
      <xdr:nvCxnSpPr>
        <xdr:cNvPr id="938" name="직선 화살표 연결선 937"/>
        <xdr:cNvCxnSpPr/>
      </xdr:nvCxnSpPr>
      <xdr:spPr>
        <a:xfrm>
          <a:off x="66418098" y="141541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103414</xdr:colOff>
      <xdr:row>674</xdr:row>
      <xdr:rowOff>38099</xdr:rowOff>
    </xdr:from>
    <xdr:to>
      <xdr:col>87</xdr:col>
      <xdr:colOff>125368</xdr:colOff>
      <xdr:row>674</xdr:row>
      <xdr:rowOff>152399</xdr:rowOff>
    </xdr:to>
    <xdr:sp macro="" textlink="">
      <xdr:nvSpPr>
        <xdr:cNvPr id="939" name="372"/>
        <xdr:cNvSpPr/>
      </xdr:nvSpPr>
      <xdr:spPr>
        <a:xfrm>
          <a:off x="65635414" y="141274799"/>
          <a:ext cx="7839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103414</xdr:colOff>
      <xdr:row>674</xdr:row>
      <xdr:rowOff>95249</xdr:rowOff>
    </xdr:from>
    <xdr:to>
      <xdr:col>86</xdr:col>
      <xdr:colOff>103414</xdr:colOff>
      <xdr:row>674</xdr:row>
      <xdr:rowOff>95249</xdr:rowOff>
    </xdr:to>
    <xdr:cxnSp macro="">
      <xdr:nvCxnSpPr>
        <xdr:cNvPr id="940" name="직선 화살표 연결선 939"/>
        <xdr:cNvCxnSpPr/>
      </xdr:nvCxnSpPr>
      <xdr:spPr>
        <a:xfrm>
          <a:off x="65635414" y="141331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82731</xdr:colOff>
      <xdr:row>673</xdr:row>
      <xdr:rowOff>38099</xdr:rowOff>
    </xdr:from>
    <xdr:to>
      <xdr:col>89</xdr:col>
      <xdr:colOff>42635</xdr:colOff>
      <xdr:row>673</xdr:row>
      <xdr:rowOff>152399</xdr:rowOff>
    </xdr:to>
    <xdr:sp macro="" textlink="">
      <xdr:nvSpPr>
        <xdr:cNvPr id="941" name="371"/>
        <xdr:cNvSpPr/>
      </xdr:nvSpPr>
      <xdr:spPr>
        <a:xfrm>
          <a:off x="65614731" y="141065249"/>
          <a:ext cx="2245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82731</xdr:colOff>
      <xdr:row>673</xdr:row>
      <xdr:rowOff>95249</xdr:rowOff>
    </xdr:from>
    <xdr:to>
      <xdr:col>86</xdr:col>
      <xdr:colOff>82731</xdr:colOff>
      <xdr:row>673</xdr:row>
      <xdr:rowOff>95249</xdr:rowOff>
    </xdr:to>
    <xdr:cxnSp macro="">
      <xdr:nvCxnSpPr>
        <xdr:cNvPr id="942" name="직선 화살표 연결선 941"/>
        <xdr:cNvCxnSpPr/>
      </xdr:nvCxnSpPr>
      <xdr:spPr>
        <a:xfrm>
          <a:off x="65614731" y="141122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41366</xdr:colOff>
      <xdr:row>672</xdr:row>
      <xdr:rowOff>38099</xdr:rowOff>
    </xdr:from>
    <xdr:to>
      <xdr:col>86</xdr:col>
      <xdr:colOff>84001</xdr:colOff>
      <xdr:row>672</xdr:row>
      <xdr:rowOff>152399</xdr:rowOff>
    </xdr:to>
    <xdr:sp macro="" textlink="">
      <xdr:nvSpPr>
        <xdr:cNvPr id="943" name="370"/>
        <xdr:cNvSpPr/>
      </xdr:nvSpPr>
      <xdr:spPr>
        <a:xfrm>
          <a:off x="65573366" y="140855699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41366</xdr:colOff>
      <xdr:row>672</xdr:row>
      <xdr:rowOff>95249</xdr:rowOff>
    </xdr:from>
    <xdr:to>
      <xdr:col>86</xdr:col>
      <xdr:colOff>41366</xdr:colOff>
      <xdr:row>672</xdr:row>
      <xdr:rowOff>95249</xdr:rowOff>
    </xdr:to>
    <xdr:cxnSp macro="">
      <xdr:nvCxnSpPr>
        <xdr:cNvPr id="944" name="직선 화살표 연결선 943"/>
        <xdr:cNvCxnSpPr/>
      </xdr:nvCxnSpPr>
      <xdr:spPr>
        <a:xfrm>
          <a:off x="65573366" y="140912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671</xdr:row>
      <xdr:rowOff>38099</xdr:rowOff>
    </xdr:from>
    <xdr:to>
      <xdr:col>86</xdr:col>
      <xdr:colOff>42636</xdr:colOff>
      <xdr:row>671</xdr:row>
      <xdr:rowOff>152399</xdr:rowOff>
    </xdr:to>
    <xdr:sp macro="" textlink="">
      <xdr:nvSpPr>
        <xdr:cNvPr id="945" name="369"/>
        <xdr:cNvSpPr/>
      </xdr:nvSpPr>
      <xdr:spPr>
        <a:xfrm>
          <a:off x="65532000" y="1406461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671</xdr:row>
      <xdr:rowOff>95249</xdr:rowOff>
    </xdr:from>
    <xdr:to>
      <xdr:col>86</xdr:col>
      <xdr:colOff>0</xdr:colOff>
      <xdr:row>671</xdr:row>
      <xdr:rowOff>95249</xdr:rowOff>
    </xdr:to>
    <xdr:cxnSp macro="">
      <xdr:nvCxnSpPr>
        <xdr:cNvPr id="946" name="직선 화살표 연결선 945"/>
        <xdr:cNvCxnSpPr/>
      </xdr:nvCxnSpPr>
      <xdr:spPr>
        <a:xfrm>
          <a:off x="65532000" y="140703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670</xdr:row>
      <xdr:rowOff>38099</xdr:rowOff>
    </xdr:from>
    <xdr:to>
      <xdr:col>86</xdr:col>
      <xdr:colOff>1269</xdr:colOff>
      <xdr:row>670</xdr:row>
      <xdr:rowOff>152399</xdr:rowOff>
    </xdr:to>
    <xdr:sp macro="" textlink="">
      <xdr:nvSpPr>
        <xdr:cNvPr id="947" name="368"/>
        <xdr:cNvSpPr/>
      </xdr:nvSpPr>
      <xdr:spPr>
        <a:xfrm>
          <a:off x="64873415" y="140436599"/>
          <a:ext cx="6598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670</xdr:row>
      <xdr:rowOff>95249</xdr:rowOff>
    </xdr:from>
    <xdr:to>
      <xdr:col>85</xdr:col>
      <xdr:colOff>103415</xdr:colOff>
      <xdr:row>670</xdr:row>
      <xdr:rowOff>95249</xdr:rowOff>
    </xdr:to>
    <xdr:cxnSp macro="">
      <xdr:nvCxnSpPr>
        <xdr:cNvPr id="948" name="직선 화살표 연결선 947"/>
        <xdr:cNvCxnSpPr/>
      </xdr:nvCxnSpPr>
      <xdr:spPr>
        <a:xfrm>
          <a:off x="64873415" y="140493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669</xdr:row>
      <xdr:rowOff>38099</xdr:rowOff>
    </xdr:from>
    <xdr:to>
      <xdr:col>90</xdr:col>
      <xdr:colOff>104684</xdr:colOff>
      <xdr:row>669</xdr:row>
      <xdr:rowOff>152399</xdr:rowOff>
    </xdr:to>
    <xdr:sp macro="" textlink="">
      <xdr:nvSpPr>
        <xdr:cNvPr id="949" name="367"/>
        <xdr:cNvSpPr/>
      </xdr:nvSpPr>
      <xdr:spPr>
        <a:xfrm>
          <a:off x="64873415" y="140227049"/>
          <a:ext cx="381126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669</xdr:row>
      <xdr:rowOff>95249</xdr:rowOff>
    </xdr:from>
    <xdr:to>
      <xdr:col>85</xdr:col>
      <xdr:colOff>103415</xdr:colOff>
      <xdr:row>669</xdr:row>
      <xdr:rowOff>95249</xdr:rowOff>
    </xdr:to>
    <xdr:cxnSp macro="">
      <xdr:nvCxnSpPr>
        <xdr:cNvPr id="950" name="직선 화살표 연결선 949"/>
        <xdr:cNvCxnSpPr/>
      </xdr:nvCxnSpPr>
      <xdr:spPr>
        <a:xfrm>
          <a:off x="64873415" y="140284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668</xdr:row>
      <xdr:rowOff>38099</xdr:rowOff>
    </xdr:from>
    <xdr:to>
      <xdr:col>90</xdr:col>
      <xdr:colOff>104684</xdr:colOff>
      <xdr:row>668</xdr:row>
      <xdr:rowOff>152399</xdr:rowOff>
    </xdr:to>
    <xdr:sp macro="" textlink="">
      <xdr:nvSpPr>
        <xdr:cNvPr id="951" name="366"/>
        <xdr:cNvSpPr/>
      </xdr:nvSpPr>
      <xdr:spPr>
        <a:xfrm>
          <a:off x="68642048" y="1400174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668</xdr:row>
      <xdr:rowOff>95249</xdr:rowOff>
    </xdr:from>
    <xdr:to>
      <xdr:col>90</xdr:col>
      <xdr:colOff>62048</xdr:colOff>
      <xdr:row>668</xdr:row>
      <xdr:rowOff>95249</xdr:rowOff>
    </xdr:to>
    <xdr:cxnSp macro="">
      <xdr:nvCxnSpPr>
        <xdr:cNvPr id="952" name="직선 화살표 연결선 951"/>
        <xdr:cNvCxnSpPr/>
      </xdr:nvCxnSpPr>
      <xdr:spPr>
        <a:xfrm>
          <a:off x="68642048" y="140074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41366</xdr:colOff>
      <xdr:row>667</xdr:row>
      <xdr:rowOff>38099</xdr:rowOff>
    </xdr:from>
    <xdr:to>
      <xdr:col>90</xdr:col>
      <xdr:colOff>84000</xdr:colOff>
      <xdr:row>667</xdr:row>
      <xdr:rowOff>152399</xdr:rowOff>
    </xdr:to>
    <xdr:sp macro="" textlink="">
      <xdr:nvSpPr>
        <xdr:cNvPr id="953" name="365"/>
        <xdr:cNvSpPr/>
      </xdr:nvSpPr>
      <xdr:spPr>
        <a:xfrm>
          <a:off x="68621366" y="139807949"/>
          <a:ext cx="426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41366</xdr:colOff>
      <xdr:row>667</xdr:row>
      <xdr:rowOff>95249</xdr:rowOff>
    </xdr:from>
    <xdr:to>
      <xdr:col>90</xdr:col>
      <xdr:colOff>41366</xdr:colOff>
      <xdr:row>667</xdr:row>
      <xdr:rowOff>95249</xdr:rowOff>
    </xdr:to>
    <xdr:cxnSp macro="">
      <xdr:nvCxnSpPr>
        <xdr:cNvPr id="954" name="직선 화살표 연결선 953"/>
        <xdr:cNvCxnSpPr/>
      </xdr:nvCxnSpPr>
      <xdr:spPr>
        <a:xfrm>
          <a:off x="68621366" y="139865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20683</xdr:colOff>
      <xdr:row>666</xdr:row>
      <xdr:rowOff>38099</xdr:rowOff>
    </xdr:from>
    <xdr:to>
      <xdr:col>90</xdr:col>
      <xdr:colOff>63318</xdr:colOff>
      <xdr:row>666</xdr:row>
      <xdr:rowOff>152399</xdr:rowOff>
    </xdr:to>
    <xdr:sp macro="" textlink="">
      <xdr:nvSpPr>
        <xdr:cNvPr id="955" name="364"/>
        <xdr:cNvSpPr/>
      </xdr:nvSpPr>
      <xdr:spPr>
        <a:xfrm>
          <a:off x="68600683" y="139598399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20683</xdr:colOff>
      <xdr:row>666</xdr:row>
      <xdr:rowOff>95249</xdr:rowOff>
    </xdr:from>
    <xdr:to>
      <xdr:col>90</xdr:col>
      <xdr:colOff>20683</xdr:colOff>
      <xdr:row>666</xdr:row>
      <xdr:rowOff>95249</xdr:rowOff>
    </xdr:to>
    <xdr:cxnSp macro="">
      <xdr:nvCxnSpPr>
        <xdr:cNvPr id="956" name="직선 화살표 연결선 955"/>
        <xdr:cNvCxnSpPr/>
      </xdr:nvCxnSpPr>
      <xdr:spPr>
        <a:xfrm>
          <a:off x="68600683" y="139655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62048</xdr:colOff>
      <xdr:row>665</xdr:row>
      <xdr:rowOff>38099</xdr:rowOff>
    </xdr:from>
    <xdr:to>
      <xdr:col>90</xdr:col>
      <xdr:colOff>21953</xdr:colOff>
      <xdr:row>665</xdr:row>
      <xdr:rowOff>152399</xdr:rowOff>
    </xdr:to>
    <xdr:sp macro="" textlink="">
      <xdr:nvSpPr>
        <xdr:cNvPr id="957" name="363"/>
        <xdr:cNvSpPr/>
      </xdr:nvSpPr>
      <xdr:spPr>
        <a:xfrm>
          <a:off x="67880048" y="139388849"/>
          <a:ext cx="7219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62048</xdr:colOff>
      <xdr:row>665</xdr:row>
      <xdr:rowOff>95249</xdr:rowOff>
    </xdr:from>
    <xdr:to>
      <xdr:col>89</xdr:col>
      <xdr:colOff>62048</xdr:colOff>
      <xdr:row>665</xdr:row>
      <xdr:rowOff>95249</xdr:rowOff>
    </xdr:to>
    <xdr:cxnSp macro="">
      <xdr:nvCxnSpPr>
        <xdr:cNvPr id="958" name="직선 화살표 연결선 957"/>
        <xdr:cNvCxnSpPr/>
      </xdr:nvCxnSpPr>
      <xdr:spPr>
        <a:xfrm>
          <a:off x="67880048" y="139445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41366</xdr:colOff>
      <xdr:row>664</xdr:row>
      <xdr:rowOff>38099</xdr:rowOff>
    </xdr:from>
    <xdr:to>
      <xdr:col>89</xdr:col>
      <xdr:colOff>84002</xdr:colOff>
      <xdr:row>664</xdr:row>
      <xdr:rowOff>152399</xdr:rowOff>
    </xdr:to>
    <xdr:sp macro="" textlink="">
      <xdr:nvSpPr>
        <xdr:cNvPr id="959" name="362"/>
        <xdr:cNvSpPr/>
      </xdr:nvSpPr>
      <xdr:spPr>
        <a:xfrm>
          <a:off x="67859366" y="1391792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664</xdr:row>
      <xdr:rowOff>95249</xdr:rowOff>
    </xdr:from>
    <xdr:to>
      <xdr:col>89</xdr:col>
      <xdr:colOff>41366</xdr:colOff>
      <xdr:row>664</xdr:row>
      <xdr:rowOff>95249</xdr:rowOff>
    </xdr:to>
    <xdr:cxnSp macro="">
      <xdr:nvCxnSpPr>
        <xdr:cNvPr id="960" name="직선 화살표 연결선 959"/>
        <xdr:cNvCxnSpPr/>
      </xdr:nvCxnSpPr>
      <xdr:spPr>
        <a:xfrm>
          <a:off x="67859366" y="139236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663</xdr:row>
      <xdr:rowOff>38099</xdr:rowOff>
    </xdr:from>
    <xdr:to>
      <xdr:col>89</xdr:col>
      <xdr:colOff>42635</xdr:colOff>
      <xdr:row>663</xdr:row>
      <xdr:rowOff>152399</xdr:rowOff>
    </xdr:to>
    <xdr:sp macro="" textlink="">
      <xdr:nvSpPr>
        <xdr:cNvPr id="961" name="361"/>
        <xdr:cNvSpPr/>
      </xdr:nvSpPr>
      <xdr:spPr>
        <a:xfrm>
          <a:off x="67818001" y="138969749"/>
          <a:ext cx="426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663</xdr:row>
      <xdr:rowOff>95249</xdr:rowOff>
    </xdr:from>
    <xdr:to>
      <xdr:col>89</xdr:col>
      <xdr:colOff>1</xdr:colOff>
      <xdr:row>663</xdr:row>
      <xdr:rowOff>95249</xdr:rowOff>
    </xdr:to>
    <xdr:cxnSp macro="">
      <xdr:nvCxnSpPr>
        <xdr:cNvPr id="962" name="직선 화살표 연결선 961"/>
        <xdr:cNvCxnSpPr/>
      </xdr:nvCxnSpPr>
      <xdr:spPr>
        <a:xfrm>
          <a:off x="67818001" y="139026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103414</xdr:colOff>
      <xdr:row>662</xdr:row>
      <xdr:rowOff>38099</xdr:rowOff>
    </xdr:from>
    <xdr:to>
      <xdr:col>89</xdr:col>
      <xdr:colOff>1270</xdr:colOff>
      <xdr:row>662</xdr:row>
      <xdr:rowOff>152399</xdr:rowOff>
    </xdr:to>
    <xdr:sp macro="" textlink="">
      <xdr:nvSpPr>
        <xdr:cNvPr id="963" name="360"/>
        <xdr:cNvSpPr/>
      </xdr:nvSpPr>
      <xdr:spPr>
        <a:xfrm>
          <a:off x="67159414" y="138760199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103414</xdr:colOff>
      <xdr:row>662</xdr:row>
      <xdr:rowOff>95249</xdr:rowOff>
    </xdr:from>
    <xdr:to>
      <xdr:col>88</xdr:col>
      <xdr:colOff>103414</xdr:colOff>
      <xdr:row>662</xdr:row>
      <xdr:rowOff>95249</xdr:rowOff>
    </xdr:to>
    <xdr:cxnSp macro="">
      <xdr:nvCxnSpPr>
        <xdr:cNvPr id="964" name="직선 화살표 연결선 963"/>
        <xdr:cNvCxnSpPr/>
      </xdr:nvCxnSpPr>
      <xdr:spPr>
        <a:xfrm>
          <a:off x="67159414" y="138817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661</xdr:row>
      <xdr:rowOff>38099</xdr:rowOff>
    </xdr:from>
    <xdr:to>
      <xdr:col>88</xdr:col>
      <xdr:colOff>104684</xdr:colOff>
      <xdr:row>661</xdr:row>
      <xdr:rowOff>152399</xdr:rowOff>
    </xdr:to>
    <xdr:sp macro="" textlink="">
      <xdr:nvSpPr>
        <xdr:cNvPr id="965" name="359"/>
        <xdr:cNvSpPr/>
      </xdr:nvSpPr>
      <xdr:spPr>
        <a:xfrm>
          <a:off x="67138732" y="138550649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661</xdr:row>
      <xdr:rowOff>95249</xdr:rowOff>
    </xdr:from>
    <xdr:to>
      <xdr:col>88</xdr:col>
      <xdr:colOff>82732</xdr:colOff>
      <xdr:row>661</xdr:row>
      <xdr:rowOff>95249</xdr:rowOff>
    </xdr:to>
    <xdr:cxnSp macro="">
      <xdr:nvCxnSpPr>
        <xdr:cNvPr id="966" name="직선 화살표 연결선 965"/>
        <xdr:cNvCxnSpPr/>
      </xdr:nvCxnSpPr>
      <xdr:spPr>
        <a:xfrm>
          <a:off x="67138732" y="138607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20683</xdr:colOff>
      <xdr:row>660</xdr:row>
      <xdr:rowOff>38099</xdr:rowOff>
    </xdr:from>
    <xdr:to>
      <xdr:col>88</xdr:col>
      <xdr:colOff>84001</xdr:colOff>
      <xdr:row>660</xdr:row>
      <xdr:rowOff>152399</xdr:rowOff>
    </xdr:to>
    <xdr:sp macro="" textlink="">
      <xdr:nvSpPr>
        <xdr:cNvPr id="967" name="358"/>
        <xdr:cNvSpPr/>
      </xdr:nvSpPr>
      <xdr:spPr>
        <a:xfrm>
          <a:off x="67076683" y="13834109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20683</xdr:colOff>
      <xdr:row>660</xdr:row>
      <xdr:rowOff>95249</xdr:rowOff>
    </xdr:from>
    <xdr:to>
      <xdr:col>88</xdr:col>
      <xdr:colOff>20683</xdr:colOff>
      <xdr:row>660</xdr:row>
      <xdr:rowOff>95249</xdr:rowOff>
    </xdr:to>
    <xdr:cxnSp macro="">
      <xdr:nvCxnSpPr>
        <xdr:cNvPr id="968" name="직선 화살표 연결선 967"/>
        <xdr:cNvCxnSpPr/>
      </xdr:nvCxnSpPr>
      <xdr:spPr>
        <a:xfrm>
          <a:off x="67076683" y="138398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659</xdr:row>
      <xdr:rowOff>38099</xdr:rowOff>
    </xdr:from>
    <xdr:to>
      <xdr:col>88</xdr:col>
      <xdr:colOff>21952</xdr:colOff>
      <xdr:row>659</xdr:row>
      <xdr:rowOff>152399</xdr:rowOff>
    </xdr:to>
    <xdr:sp macro="" textlink="">
      <xdr:nvSpPr>
        <xdr:cNvPr id="969" name="357"/>
        <xdr:cNvSpPr/>
      </xdr:nvSpPr>
      <xdr:spPr>
        <a:xfrm>
          <a:off x="66376731" y="1381315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659</xdr:row>
      <xdr:rowOff>95249</xdr:rowOff>
    </xdr:from>
    <xdr:to>
      <xdr:col>87</xdr:col>
      <xdr:colOff>82731</xdr:colOff>
      <xdr:row>659</xdr:row>
      <xdr:rowOff>95249</xdr:rowOff>
    </xdr:to>
    <xdr:cxnSp macro="">
      <xdr:nvCxnSpPr>
        <xdr:cNvPr id="970" name="직선 화살표 연결선 969"/>
        <xdr:cNvCxnSpPr/>
      </xdr:nvCxnSpPr>
      <xdr:spPr>
        <a:xfrm>
          <a:off x="66376731" y="138188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658</xdr:row>
      <xdr:rowOff>38099</xdr:rowOff>
    </xdr:from>
    <xdr:to>
      <xdr:col>87</xdr:col>
      <xdr:colOff>104684</xdr:colOff>
      <xdr:row>658</xdr:row>
      <xdr:rowOff>152399</xdr:rowOff>
    </xdr:to>
    <xdr:sp macro="" textlink="">
      <xdr:nvSpPr>
        <xdr:cNvPr id="971" name="356"/>
        <xdr:cNvSpPr/>
      </xdr:nvSpPr>
      <xdr:spPr>
        <a:xfrm>
          <a:off x="66356049" y="137921999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658</xdr:row>
      <xdr:rowOff>95249</xdr:rowOff>
    </xdr:from>
    <xdr:to>
      <xdr:col>87</xdr:col>
      <xdr:colOff>62049</xdr:colOff>
      <xdr:row>658</xdr:row>
      <xdr:rowOff>95249</xdr:rowOff>
    </xdr:to>
    <xdr:cxnSp macro="">
      <xdr:nvCxnSpPr>
        <xdr:cNvPr id="972" name="직선 화살표 연결선 971"/>
        <xdr:cNvCxnSpPr/>
      </xdr:nvCxnSpPr>
      <xdr:spPr>
        <a:xfrm>
          <a:off x="66356049" y="137979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657</xdr:row>
      <xdr:rowOff>38099</xdr:rowOff>
    </xdr:from>
    <xdr:to>
      <xdr:col>87</xdr:col>
      <xdr:colOff>63319</xdr:colOff>
      <xdr:row>657</xdr:row>
      <xdr:rowOff>152399</xdr:rowOff>
    </xdr:to>
    <xdr:sp macro="" textlink="">
      <xdr:nvSpPr>
        <xdr:cNvPr id="973" name="355"/>
        <xdr:cNvSpPr/>
      </xdr:nvSpPr>
      <xdr:spPr>
        <a:xfrm>
          <a:off x="66335366" y="137712449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657</xdr:row>
      <xdr:rowOff>95249</xdr:rowOff>
    </xdr:from>
    <xdr:to>
      <xdr:col>87</xdr:col>
      <xdr:colOff>41366</xdr:colOff>
      <xdr:row>657</xdr:row>
      <xdr:rowOff>95249</xdr:rowOff>
    </xdr:to>
    <xdr:cxnSp macro="">
      <xdr:nvCxnSpPr>
        <xdr:cNvPr id="974" name="직선 화살표 연결선 973"/>
        <xdr:cNvCxnSpPr/>
      </xdr:nvCxnSpPr>
      <xdr:spPr>
        <a:xfrm>
          <a:off x="66335366" y="137769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20682</xdr:colOff>
      <xdr:row>656</xdr:row>
      <xdr:rowOff>38099</xdr:rowOff>
    </xdr:from>
    <xdr:to>
      <xdr:col>87</xdr:col>
      <xdr:colOff>42636</xdr:colOff>
      <xdr:row>656</xdr:row>
      <xdr:rowOff>152399</xdr:rowOff>
    </xdr:to>
    <xdr:sp macro="" textlink="">
      <xdr:nvSpPr>
        <xdr:cNvPr id="975" name="354"/>
        <xdr:cNvSpPr/>
      </xdr:nvSpPr>
      <xdr:spPr>
        <a:xfrm>
          <a:off x="66314682" y="137502899"/>
          <a:ext cx="219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20682</xdr:colOff>
      <xdr:row>656</xdr:row>
      <xdr:rowOff>95249</xdr:rowOff>
    </xdr:from>
    <xdr:to>
      <xdr:col>87</xdr:col>
      <xdr:colOff>20682</xdr:colOff>
      <xdr:row>656</xdr:row>
      <xdr:rowOff>95249</xdr:rowOff>
    </xdr:to>
    <xdr:cxnSp macro="">
      <xdr:nvCxnSpPr>
        <xdr:cNvPr id="976" name="직선 화살표 연결선 975"/>
        <xdr:cNvCxnSpPr/>
      </xdr:nvCxnSpPr>
      <xdr:spPr>
        <a:xfrm>
          <a:off x="66314682" y="137560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103414</xdr:colOff>
      <xdr:row>655</xdr:row>
      <xdr:rowOff>38099</xdr:rowOff>
    </xdr:from>
    <xdr:to>
      <xdr:col>87</xdr:col>
      <xdr:colOff>21952</xdr:colOff>
      <xdr:row>655</xdr:row>
      <xdr:rowOff>152399</xdr:rowOff>
    </xdr:to>
    <xdr:sp macro="" textlink="">
      <xdr:nvSpPr>
        <xdr:cNvPr id="977" name="353"/>
        <xdr:cNvSpPr/>
      </xdr:nvSpPr>
      <xdr:spPr>
        <a:xfrm>
          <a:off x="65635414" y="13729334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103414</xdr:colOff>
      <xdr:row>655</xdr:row>
      <xdr:rowOff>95249</xdr:rowOff>
    </xdr:from>
    <xdr:to>
      <xdr:col>86</xdr:col>
      <xdr:colOff>103414</xdr:colOff>
      <xdr:row>655</xdr:row>
      <xdr:rowOff>95249</xdr:rowOff>
    </xdr:to>
    <xdr:cxnSp macro="">
      <xdr:nvCxnSpPr>
        <xdr:cNvPr id="978" name="직선 화살표 연결선 977"/>
        <xdr:cNvCxnSpPr/>
      </xdr:nvCxnSpPr>
      <xdr:spPr>
        <a:xfrm>
          <a:off x="65635414" y="137350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82731</xdr:colOff>
      <xdr:row>654</xdr:row>
      <xdr:rowOff>38099</xdr:rowOff>
    </xdr:from>
    <xdr:to>
      <xdr:col>89</xdr:col>
      <xdr:colOff>84002</xdr:colOff>
      <xdr:row>654</xdr:row>
      <xdr:rowOff>152399</xdr:rowOff>
    </xdr:to>
    <xdr:sp macro="" textlink="">
      <xdr:nvSpPr>
        <xdr:cNvPr id="979" name="352"/>
        <xdr:cNvSpPr/>
      </xdr:nvSpPr>
      <xdr:spPr>
        <a:xfrm>
          <a:off x="65614731" y="137083799"/>
          <a:ext cx="22872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82731</xdr:colOff>
      <xdr:row>654</xdr:row>
      <xdr:rowOff>95249</xdr:rowOff>
    </xdr:from>
    <xdr:to>
      <xdr:col>86</xdr:col>
      <xdr:colOff>82731</xdr:colOff>
      <xdr:row>654</xdr:row>
      <xdr:rowOff>95249</xdr:rowOff>
    </xdr:to>
    <xdr:cxnSp macro="">
      <xdr:nvCxnSpPr>
        <xdr:cNvPr id="980" name="직선 화살표 연결선 979"/>
        <xdr:cNvCxnSpPr/>
      </xdr:nvCxnSpPr>
      <xdr:spPr>
        <a:xfrm>
          <a:off x="65614731" y="137140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41366</xdr:colOff>
      <xdr:row>653</xdr:row>
      <xdr:rowOff>38099</xdr:rowOff>
    </xdr:from>
    <xdr:to>
      <xdr:col>86</xdr:col>
      <xdr:colOff>84001</xdr:colOff>
      <xdr:row>653</xdr:row>
      <xdr:rowOff>152399</xdr:rowOff>
    </xdr:to>
    <xdr:sp macro="" textlink="">
      <xdr:nvSpPr>
        <xdr:cNvPr id="981" name="351"/>
        <xdr:cNvSpPr/>
      </xdr:nvSpPr>
      <xdr:spPr>
        <a:xfrm>
          <a:off x="65573366" y="136874249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41366</xdr:colOff>
      <xdr:row>653</xdr:row>
      <xdr:rowOff>95249</xdr:rowOff>
    </xdr:from>
    <xdr:to>
      <xdr:col>86</xdr:col>
      <xdr:colOff>41366</xdr:colOff>
      <xdr:row>653</xdr:row>
      <xdr:rowOff>95249</xdr:rowOff>
    </xdr:to>
    <xdr:cxnSp macro="">
      <xdr:nvCxnSpPr>
        <xdr:cNvPr id="982" name="직선 화살표 연결선 981"/>
        <xdr:cNvCxnSpPr/>
      </xdr:nvCxnSpPr>
      <xdr:spPr>
        <a:xfrm>
          <a:off x="65573366" y="136931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652</xdr:row>
      <xdr:rowOff>38099</xdr:rowOff>
    </xdr:from>
    <xdr:to>
      <xdr:col>86</xdr:col>
      <xdr:colOff>42636</xdr:colOff>
      <xdr:row>652</xdr:row>
      <xdr:rowOff>152399</xdr:rowOff>
    </xdr:to>
    <xdr:sp macro="" textlink="">
      <xdr:nvSpPr>
        <xdr:cNvPr id="983" name="350"/>
        <xdr:cNvSpPr/>
      </xdr:nvSpPr>
      <xdr:spPr>
        <a:xfrm>
          <a:off x="65532000" y="1366646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652</xdr:row>
      <xdr:rowOff>95249</xdr:rowOff>
    </xdr:from>
    <xdr:to>
      <xdr:col>86</xdr:col>
      <xdr:colOff>0</xdr:colOff>
      <xdr:row>652</xdr:row>
      <xdr:rowOff>95249</xdr:rowOff>
    </xdr:to>
    <xdr:cxnSp macro="">
      <xdr:nvCxnSpPr>
        <xdr:cNvPr id="984" name="직선 화살표 연결선 983"/>
        <xdr:cNvCxnSpPr/>
      </xdr:nvCxnSpPr>
      <xdr:spPr>
        <a:xfrm>
          <a:off x="65532000" y="136721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651</xdr:row>
      <xdr:rowOff>38099</xdr:rowOff>
    </xdr:from>
    <xdr:to>
      <xdr:col>86</xdr:col>
      <xdr:colOff>1269</xdr:colOff>
      <xdr:row>651</xdr:row>
      <xdr:rowOff>152399</xdr:rowOff>
    </xdr:to>
    <xdr:sp macro="" textlink="">
      <xdr:nvSpPr>
        <xdr:cNvPr id="985" name="349"/>
        <xdr:cNvSpPr/>
      </xdr:nvSpPr>
      <xdr:spPr>
        <a:xfrm>
          <a:off x="64873415" y="136455149"/>
          <a:ext cx="6598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651</xdr:row>
      <xdr:rowOff>95249</xdr:rowOff>
    </xdr:from>
    <xdr:to>
      <xdr:col>85</xdr:col>
      <xdr:colOff>103415</xdr:colOff>
      <xdr:row>651</xdr:row>
      <xdr:rowOff>95249</xdr:rowOff>
    </xdr:to>
    <xdr:cxnSp macro="">
      <xdr:nvCxnSpPr>
        <xdr:cNvPr id="986" name="직선 화살표 연결선 985"/>
        <xdr:cNvCxnSpPr/>
      </xdr:nvCxnSpPr>
      <xdr:spPr>
        <a:xfrm>
          <a:off x="64873415" y="136512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650</xdr:row>
      <xdr:rowOff>38099</xdr:rowOff>
    </xdr:from>
    <xdr:to>
      <xdr:col>90</xdr:col>
      <xdr:colOff>104684</xdr:colOff>
      <xdr:row>650</xdr:row>
      <xdr:rowOff>152399</xdr:rowOff>
    </xdr:to>
    <xdr:sp macro="" textlink="">
      <xdr:nvSpPr>
        <xdr:cNvPr id="987" name="348"/>
        <xdr:cNvSpPr/>
      </xdr:nvSpPr>
      <xdr:spPr>
        <a:xfrm>
          <a:off x="64873415" y="136245599"/>
          <a:ext cx="381126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650</xdr:row>
      <xdr:rowOff>95249</xdr:rowOff>
    </xdr:from>
    <xdr:to>
      <xdr:col>85</xdr:col>
      <xdr:colOff>103415</xdr:colOff>
      <xdr:row>650</xdr:row>
      <xdr:rowOff>95249</xdr:rowOff>
    </xdr:to>
    <xdr:cxnSp macro="">
      <xdr:nvCxnSpPr>
        <xdr:cNvPr id="988" name="직선 화살표 연결선 987"/>
        <xdr:cNvCxnSpPr/>
      </xdr:nvCxnSpPr>
      <xdr:spPr>
        <a:xfrm>
          <a:off x="64873415" y="136302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103414</xdr:colOff>
      <xdr:row>649</xdr:row>
      <xdr:rowOff>38099</xdr:rowOff>
    </xdr:from>
    <xdr:to>
      <xdr:col>91</xdr:col>
      <xdr:colOff>1269</xdr:colOff>
      <xdr:row>649</xdr:row>
      <xdr:rowOff>152399</xdr:rowOff>
    </xdr:to>
    <xdr:sp macro="" textlink="">
      <xdr:nvSpPr>
        <xdr:cNvPr id="989" name="347"/>
        <xdr:cNvSpPr/>
      </xdr:nvSpPr>
      <xdr:spPr>
        <a:xfrm>
          <a:off x="67921414" y="136036049"/>
          <a:ext cx="142185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649</xdr:row>
      <xdr:rowOff>95249</xdr:rowOff>
    </xdr:from>
    <xdr:to>
      <xdr:col>89</xdr:col>
      <xdr:colOff>82732</xdr:colOff>
      <xdr:row>649</xdr:row>
      <xdr:rowOff>95249</xdr:rowOff>
    </xdr:to>
    <xdr:cxnSp macro="">
      <xdr:nvCxnSpPr>
        <xdr:cNvPr id="990" name="직선 화살표 연결선 989"/>
        <xdr:cNvCxnSpPr/>
      </xdr:nvCxnSpPr>
      <xdr:spPr>
        <a:xfrm>
          <a:off x="66356049" y="136093199"/>
          <a:ext cx="1544683" cy="0"/>
        </a:xfrm>
        <a:prstGeom prst="straightConnector1">
          <a:avLst/>
        </a:prstGeom>
        <a:ln w="31750" cap="flat" cmpd="sng" algn="ctr">
          <a:solidFill>
            <a:srgbClr val="00CC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648</xdr:row>
      <xdr:rowOff>38099</xdr:rowOff>
    </xdr:from>
    <xdr:to>
      <xdr:col>89</xdr:col>
      <xdr:colOff>125367</xdr:colOff>
      <xdr:row>648</xdr:row>
      <xdr:rowOff>152399</xdr:rowOff>
    </xdr:to>
    <xdr:sp macro="" textlink="">
      <xdr:nvSpPr>
        <xdr:cNvPr id="991" name="346"/>
        <xdr:cNvSpPr/>
      </xdr:nvSpPr>
      <xdr:spPr>
        <a:xfrm>
          <a:off x="67138732" y="135826499"/>
          <a:ext cx="804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648</xdr:row>
      <xdr:rowOff>95249</xdr:rowOff>
    </xdr:from>
    <xdr:to>
      <xdr:col>89</xdr:col>
      <xdr:colOff>41366</xdr:colOff>
      <xdr:row>648</xdr:row>
      <xdr:rowOff>95249</xdr:rowOff>
    </xdr:to>
    <xdr:cxnSp macro="">
      <xdr:nvCxnSpPr>
        <xdr:cNvPr id="992" name="직선 화살표 연결선 991"/>
        <xdr:cNvCxnSpPr/>
      </xdr:nvCxnSpPr>
      <xdr:spPr>
        <a:xfrm>
          <a:off x="67859366" y="135883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647</xdr:row>
      <xdr:rowOff>38099</xdr:rowOff>
    </xdr:from>
    <xdr:to>
      <xdr:col>88</xdr:col>
      <xdr:colOff>104684</xdr:colOff>
      <xdr:row>647</xdr:row>
      <xdr:rowOff>152399</xdr:rowOff>
    </xdr:to>
    <xdr:sp macro="" textlink="">
      <xdr:nvSpPr>
        <xdr:cNvPr id="993" name="345"/>
        <xdr:cNvSpPr/>
      </xdr:nvSpPr>
      <xdr:spPr>
        <a:xfrm>
          <a:off x="66356049" y="135616949"/>
          <a:ext cx="804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647</xdr:row>
      <xdr:rowOff>95249</xdr:rowOff>
    </xdr:from>
    <xdr:to>
      <xdr:col>89</xdr:col>
      <xdr:colOff>82732</xdr:colOff>
      <xdr:row>647</xdr:row>
      <xdr:rowOff>95249</xdr:rowOff>
    </xdr:to>
    <xdr:cxnSp macro="">
      <xdr:nvCxnSpPr>
        <xdr:cNvPr id="994" name="직선 화살표 연결선 993"/>
        <xdr:cNvCxnSpPr/>
      </xdr:nvCxnSpPr>
      <xdr:spPr>
        <a:xfrm>
          <a:off x="67859366" y="135674099"/>
          <a:ext cx="41366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41366</xdr:colOff>
      <xdr:row>646</xdr:row>
      <xdr:rowOff>38099</xdr:rowOff>
    </xdr:from>
    <xdr:to>
      <xdr:col>87</xdr:col>
      <xdr:colOff>84001</xdr:colOff>
      <xdr:row>646</xdr:row>
      <xdr:rowOff>152399</xdr:rowOff>
    </xdr:to>
    <xdr:sp macro="" textlink="">
      <xdr:nvSpPr>
        <xdr:cNvPr id="995" name="344"/>
        <xdr:cNvSpPr/>
      </xdr:nvSpPr>
      <xdr:spPr>
        <a:xfrm>
          <a:off x="65573366" y="135407399"/>
          <a:ext cx="804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41366</xdr:colOff>
      <xdr:row>646</xdr:row>
      <xdr:rowOff>95249</xdr:rowOff>
    </xdr:from>
    <xdr:to>
      <xdr:col>86</xdr:col>
      <xdr:colOff>41366</xdr:colOff>
      <xdr:row>646</xdr:row>
      <xdr:rowOff>95249</xdr:rowOff>
    </xdr:to>
    <xdr:cxnSp macro="">
      <xdr:nvCxnSpPr>
        <xdr:cNvPr id="996" name="직선 화살표 연결선 995"/>
        <xdr:cNvCxnSpPr/>
      </xdr:nvCxnSpPr>
      <xdr:spPr>
        <a:xfrm>
          <a:off x="65573366" y="135464549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144779</xdr:colOff>
      <xdr:row>645</xdr:row>
      <xdr:rowOff>38099</xdr:rowOff>
    </xdr:from>
    <xdr:to>
      <xdr:col>86</xdr:col>
      <xdr:colOff>63318</xdr:colOff>
      <xdr:row>645</xdr:row>
      <xdr:rowOff>152399</xdr:rowOff>
    </xdr:to>
    <xdr:sp macro="" textlink="">
      <xdr:nvSpPr>
        <xdr:cNvPr id="997" name="343"/>
        <xdr:cNvSpPr/>
      </xdr:nvSpPr>
      <xdr:spPr>
        <a:xfrm>
          <a:off x="64152779" y="135197849"/>
          <a:ext cx="1442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645</xdr:row>
      <xdr:rowOff>95249</xdr:rowOff>
    </xdr:from>
    <xdr:to>
      <xdr:col>89</xdr:col>
      <xdr:colOff>41366</xdr:colOff>
      <xdr:row>645</xdr:row>
      <xdr:rowOff>95249</xdr:rowOff>
    </xdr:to>
    <xdr:cxnSp macro="">
      <xdr:nvCxnSpPr>
        <xdr:cNvPr id="998" name="직선 화살표 연결선 997"/>
        <xdr:cNvCxnSpPr/>
      </xdr:nvCxnSpPr>
      <xdr:spPr>
        <a:xfrm>
          <a:off x="67859366" y="135254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124097</xdr:colOff>
      <xdr:row>644</xdr:row>
      <xdr:rowOff>38099</xdr:rowOff>
    </xdr:from>
    <xdr:to>
      <xdr:col>85</xdr:col>
      <xdr:colOff>21953</xdr:colOff>
      <xdr:row>644</xdr:row>
      <xdr:rowOff>152399</xdr:rowOff>
    </xdr:to>
    <xdr:sp macro="" textlink="">
      <xdr:nvSpPr>
        <xdr:cNvPr id="999" name="342"/>
        <xdr:cNvSpPr/>
      </xdr:nvSpPr>
      <xdr:spPr>
        <a:xfrm>
          <a:off x="64132097" y="134988299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20682</xdr:colOff>
      <xdr:row>644</xdr:row>
      <xdr:rowOff>95249</xdr:rowOff>
    </xdr:from>
    <xdr:to>
      <xdr:col>87</xdr:col>
      <xdr:colOff>20682</xdr:colOff>
      <xdr:row>644</xdr:row>
      <xdr:rowOff>95249</xdr:rowOff>
    </xdr:to>
    <xdr:cxnSp macro="">
      <xdr:nvCxnSpPr>
        <xdr:cNvPr id="1000" name="직선 화살표 연결선 999"/>
        <xdr:cNvCxnSpPr/>
      </xdr:nvCxnSpPr>
      <xdr:spPr>
        <a:xfrm>
          <a:off x="66314682" y="135045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103414</xdr:colOff>
      <xdr:row>643</xdr:row>
      <xdr:rowOff>38099</xdr:rowOff>
    </xdr:from>
    <xdr:to>
      <xdr:col>84</xdr:col>
      <xdr:colOff>104684</xdr:colOff>
      <xdr:row>643</xdr:row>
      <xdr:rowOff>152399</xdr:rowOff>
    </xdr:to>
    <xdr:sp macro="" textlink="">
      <xdr:nvSpPr>
        <xdr:cNvPr id="1001" name="341"/>
        <xdr:cNvSpPr/>
      </xdr:nvSpPr>
      <xdr:spPr>
        <a:xfrm>
          <a:off x="63349414" y="134778749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643</xdr:row>
      <xdr:rowOff>95249</xdr:rowOff>
    </xdr:from>
    <xdr:to>
      <xdr:col>89</xdr:col>
      <xdr:colOff>82732</xdr:colOff>
      <xdr:row>643</xdr:row>
      <xdr:rowOff>95249</xdr:rowOff>
    </xdr:to>
    <xdr:cxnSp macro="">
      <xdr:nvCxnSpPr>
        <xdr:cNvPr id="1002" name="직선 화살표 연결선 1001"/>
        <xdr:cNvCxnSpPr/>
      </xdr:nvCxnSpPr>
      <xdr:spPr>
        <a:xfrm>
          <a:off x="67056000" y="134835899"/>
          <a:ext cx="844732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</xdr:colOff>
      <xdr:row>642</xdr:row>
      <xdr:rowOff>38099</xdr:rowOff>
    </xdr:from>
    <xdr:to>
      <xdr:col>85</xdr:col>
      <xdr:colOff>1269</xdr:colOff>
      <xdr:row>642</xdr:row>
      <xdr:rowOff>152399</xdr:rowOff>
    </xdr:to>
    <xdr:sp macro="" textlink="">
      <xdr:nvSpPr>
        <xdr:cNvPr id="1003" name="340"/>
        <xdr:cNvSpPr/>
      </xdr:nvSpPr>
      <xdr:spPr>
        <a:xfrm>
          <a:off x="64008001" y="134569199"/>
          <a:ext cx="763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642</xdr:row>
      <xdr:rowOff>95249</xdr:rowOff>
    </xdr:from>
    <xdr:to>
      <xdr:col>89</xdr:col>
      <xdr:colOff>62048</xdr:colOff>
      <xdr:row>642</xdr:row>
      <xdr:rowOff>95249</xdr:rowOff>
    </xdr:to>
    <xdr:cxnSp macro="">
      <xdr:nvCxnSpPr>
        <xdr:cNvPr id="1004" name="직선 화살표 연결선 1003"/>
        <xdr:cNvCxnSpPr/>
      </xdr:nvCxnSpPr>
      <xdr:spPr>
        <a:xfrm>
          <a:off x="65532000" y="134626349"/>
          <a:ext cx="2348048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62049</xdr:colOff>
      <xdr:row>641</xdr:row>
      <xdr:rowOff>38099</xdr:rowOff>
    </xdr:from>
    <xdr:to>
      <xdr:col>84</xdr:col>
      <xdr:colOff>21953</xdr:colOff>
      <xdr:row>641</xdr:row>
      <xdr:rowOff>152399</xdr:rowOff>
    </xdr:to>
    <xdr:sp macro="" textlink="">
      <xdr:nvSpPr>
        <xdr:cNvPr id="1005" name="339"/>
        <xdr:cNvSpPr/>
      </xdr:nvSpPr>
      <xdr:spPr>
        <a:xfrm>
          <a:off x="63308049" y="134359649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641</xdr:row>
      <xdr:rowOff>95249</xdr:rowOff>
    </xdr:from>
    <xdr:to>
      <xdr:col>88</xdr:col>
      <xdr:colOff>82732</xdr:colOff>
      <xdr:row>641</xdr:row>
      <xdr:rowOff>95249</xdr:rowOff>
    </xdr:to>
    <xdr:cxnSp macro="">
      <xdr:nvCxnSpPr>
        <xdr:cNvPr id="1006" name="직선 화살표 연결선 1005"/>
        <xdr:cNvCxnSpPr/>
      </xdr:nvCxnSpPr>
      <xdr:spPr>
        <a:xfrm>
          <a:off x="65532000" y="134416799"/>
          <a:ext cx="1606732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20683</xdr:colOff>
      <xdr:row>640</xdr:row>
      <xdr:rowOff>38099</xdr:rowOff>
    </xdr:from>
    <xdr:to>
      <xdr:col>83</xdr:col>
      <xdr:colOff>84001</xdr:colOff>
      <xdr:row>640</xdr:row>
      <xdr:rowOff>152399</xdr:rowOff>
    </xdr:to>
    <xdr:sp macro="" textlink="">
      <xdr:nvSpPr>
        <xdr:cNvPr id="1007" name="338"/>
        <xdr:cNvSpPr/>
      </xdr:nvSpPr>
      <xdr:spPr>
        <a:xfrm>
          <a:off x="63266683" y="13415009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41366</xdr:colOff>
      <xdr:row>640</xdr:row>
      <xdr:rowOff>95249</xdr:rowOff>
    </xdr:from>
    <xdr:to>
      <xdr:col>85</xdr:col>
      <xdr:colOff>82731</xdr:colOff>
      <xdr:row>640</xdr:row>
      <xdr:rowOff>95249</xdr:rowOff>
    </xdr:to>
    <xdr:cxnSp macro="">
      <xdr:nvCxnSpPr>
        <xdr:cNvPr id="1008" name="직선 화살표 연결선 1007"/>
        <xdr:cNvCxnSpPr/>
      </xdr:nvCxnSpPr>
      <xdr:spPr>
        <a:xfrm>
          <a:off x="64811366" y="134207249"/>
          <a:ext cx="41365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639</xdr:row>
      <xdr:rowOff>38099</xdr:rowOff>
    </xdr:from>
    <xdr:to>
      <xdr:col>87</xdr:col>
      <xdr:colOff>42636</xdr:colOff>
      <xdr:row>639</xdr:row>
      <xdr:rowOff>152399</xdr:rowOff>
    </xdr:to>
    <xdr:sp macro="" textlink="">
      <xdr:nvSpPr>
        <xdr:cNvPr id="1009" name="337"/>
        <xdr:cNvSpPr/>
      </xdr:nvSpPr>
      <xdr:spPr>
        <a:xfrm>
          <a:off x="63246000" y="133940549"/>
          <a:ext cx="3090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20683</xdr:colOff>
      <xdr:row>639</xdr:row>
      <xdr:rowOff>95249</xdr:rowOff>
    </xdr:from>
    <xdr:to>
      <xdr:col>89</xdr:col>
      <xdr:colOff>41366</xdr:colOff>
      <xdr:row>639</xdr:row>
      <xdr:rowOff>95249</xdr:rowOff>
    </xdr:to>
    <xdr:cxnSp macro="">
      <xdr:nvCxnSpPr>
        <xdr:cNvPr id="1010" name="직선 화살표 연결선 1009"/>
        <xdr:cNvCxnSpPr/>
      </xdr:nvCxnSpPr>
      <xdr:spPr>
        <a:xfrm>
          <a:off x="64028683" y="133997699"/>
          <a:ext cx="3830683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103414</xdr:colOff>
      <xdr:row>638</xdr:row>
      <xdr:rowOff>38099</xdr:rowOff>
    </xdr:from>
    <xdr:to>
      <xdr:col>83</xdr:col>
      <xdr:colOff>21952</xdr:colOff>
      <xdr:row>638</xdr:row>
      <xdr:rowOff>152399</xdr:rowOff>
    </xdr:to>
    <xdr:sp macro="" textlink="">
      <xdr:nvSpPr>
        <xdr:cNvPr id="1011" name="336"/>
        <xdr:cNvSpPr/>
      </xdr:nvSpPr>
      <xdr:spPr>
        <a:xfrm>
          <a:off x="62587414" y="13373099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41366</xdr:colOff>
      <xdr:row>638</xdr:row>
      <xdr:rowOff>95249</xdr:rowOff>
    </xdr:from>
    <xdr:to>
      <xdr:col>85</xdr:col>
      <xdr:colOff>103415</xdr:colOff>
      <xdr:row>638</xdr:row>
      <xdr:rowOff>95249</xdr:rowOff>
    </xdr:to>
    <xdr:cxnSp macro="">
      <xdr:nvCxnSpPr>
        <xdr:cNvPr id="1012" name="직선 화살표 연결선 1011"/>
        <xdr:cNvCxnSpPr/>
      </xdr:nvCxnSpPr>
      <xdr:spPr>
        <a:xfrm>
          <a:off x="64811366" y="133788149"/>
          <a:ext cx="62049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62049</xdr:colOff>
      <xdr:row>637</xdr:row>
      <xdr:rowOff>38099</xdr:rowOff>
    </xdr:from>
    <xdr:to>
      <xdr:col>82</xdr:col>
      <xdr:colOff>125368</xdr:colOff>
      <xdr:row>637</xdr:row>
      <xdr:rowOff>152399</xdr:rowOff>
    </xdr:to>
    <xdr:sp macro="" textlink="">
      <xdr:nvSpPr>
        <xdr:cNvPr id="1013" name="335"/>
        <xdr:cNvSpPr/>
      </xdr:nvSpPr>
      <xdr:spPr>
        <a:xfrm>
          <a:off x="62546049" y="1335214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144779</xdr:colOff>
      <xdr:row>637</xdr:row>
      <xdr:rowOff>95249</xdr:rowOff>
    </xdr:from>
    <xdr:to>
      <xdr:col>85</xdr:col>
      <xdr:colOff>41366</xdr:colOff>
      <xdr:row>637</xdr:row>
      <xdr:rowOff>95249</xdr:rowOff>
    </xdr:to>
    <xdr:cxnSp macro="">
      <xdr:nvCxnSpPr>
        <xdr:cNvPr id="1014" name="직선 화살표 연결선 1013"/>
        <xdr:cNvCxnSpPr/>
      </xdr:nvCxnSpPr>
      <xdr:spPr>
        <a:xfrm>
          <a:off x="64152779" y="133578599"/>
          <a:ext cx="658587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20683</xdr:colOff>
      <xdr:row>636</xdr:row>
      <xdr:rowOff>38099</xdr:rowOff>
    </xdr:from>
    <xdr:to>
      <xdr:col>82</xdr:col>
      <xdr:colOff>84001</xdr:colOff>
      <xdr:row>636</xdr:row>
      <xdr:rowOff>152399</xdr:rowOff>
    </xdr:to>
    <xdr:sp macro="" textlink="">
      <xdr:nvSpPr>
        <xdr:cNvPr id="1015" name="334"/>
        <xdr:cNvSpPr/>
      </xdr:nvSpPr>
      <xdr:spPr>
        <a:xfrm>
          <a:off x="62504683" y="13331189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62048</xdr:colOff>
      <xdr:row>636</xdr:row>
      <xdr:rowOff>95249</xdr:rowOff>
    </xdr:from>
    <xdr:to>
      <xdr:col>85</xdr:col>
      <xdr:colOff>41366</xdr:colOff>
      <xdr:row>636</xdr:row>
      <xdr:rowOff>95249</xdr:rowOff>
    </xdr:to>
    <xdr:cxnSp macro="">
      <xdr:nvCxnSpPr>
        <xdr:cNvPr id="1016" name="직선 화살표 연결선 1015"/>
        <xdr:cNvCxnSpPr/>
      </xdr:nvCxnSpPr>
      <xdr:spPr>
        <a:xfrm>
          <a:off x="64070048" y="133369049"/>
          <a:ext cx="741318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20683</xdr:colOff>
      <xdr:row>635</xdr:row>
      <xdr:rowOff>38099</xdr:rowOff>
    </xdr:from>
    <xdr:to>
      <xdr:col>91</xdr:col>
      <xdr:colOff>1269</xdr:colOff>
      <xdr:row>635</xdr:row>
      <xdr:rowOff>152399</xdr:rowOff>
    </xdr:to>
    <xdr:sp macro="" textlink="">
      <xdr:nvSpPr>
        <xdr:cNvPr id="1017" name="333"/>
        <xdr:cNvSpPr/>
      </xdr:nvSpPr>
      <xdr:spPr>
        <a:xfrm>
          <a:off x="62504683" y="133102349"/>
          <a:ext cx="683858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20683</xdr:colOff>
      <xdr:row>635</xdr:row>
      <xdr:rowOff>95249</xdr:rowOff>
    </xdr:from>
    <xdr:to>
      <xdr:col>90</xdr:col>
      <xdr:colOff>81404</xdr:colOff>
      <xdr:row>635</xdr:row>
      <xdr:rowOff>95249</xdr:rowOff>
    </xdr:to>
    <xdr:cxnSp macro="">
      <xdr:nvCxnSpPr>
        <xdr:cNvPr id="1018" name="직선 화살표 연결선 1017"/>
        <xdr:cNvCxnSpPr/>
      </xdr:nvCxnSpPr>
      <xdr:spPr>
        <a:xfrm>
          <a:off x="64028683" y="133159499"/>
          <a:ext cx="4632721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41366</xdr:colOff>
      <xdr:row>634</xdr:row>
      <xdr:rowOff>38099</xdr:rowOff>
    </xdr:from>
    <xdr:to>
      <xdr:col>94</xdr:col>
      <xdr:colOff>104684</xdr:colOff>
      <xdr:row>634</xdr:row>
      <xdr:rowOff>152399</xdr:rowOff>
    </xdr:to>
    <xdr:sp macro="" textlink="">
      <xdr:nvSpPr>
        <xdr:cNvPr id="1019" name="332"/>
        <xdr:cNvSpPr/>
      </xdr:nvSpPr>
      <xdr:spPr>
        <a:xfrm>
          <a:off x="71669366" y="13289279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41366</xdr:colOff>
      <xdr:row>634</xdr:row>
      <xdr:rowOff>95249</xdr:rowOff>
    </xdr:from>
    <xdr:to>
      <xdr:col>94</xdr:col>
      <xdr:colOff>41366</xdr:colOff>
      <xdr:row>634</xdr:row>
      <xdr:rowOff>95249</xdr:rowOff>
    </xdr:to>
    <xdr:cxnSp macro="">
      <xdr:nvCxnSpPr>
        <xdr:cNvPr id="1020" name="직선 화살표 연결선 1019"/>
        <xdr:cNvCxnSpPr/>
      </xdr:nvCxnSpPr>
      <xdr:spPr>
        <a:xfrm>
          <a:off x="71669366" y="132949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41366</xdr:colOff>
      <xdr:row>633</xdr:row>
      <xdr:rowOff>38099</xdr:rowOff>
    </xdr:from>
    <xdr:to>
      <xdr:col>94</xdr:col>
      <xdr:colOff>104684</xdr:colOff>
      <xdr:row>633</xdr:row>
      <xdr:rowOff>152399</xdr:rowOff>
    </xdr:to>
    <xdr:sp macro="" textlink="">
      <xdr:nvSpPr>
        <xdr:cNvPr id="1021" name="331"/>
        <xdr:cNvSpPr/>
      </xdr:nvSpPr>
      <xdr:spPr>
        <a:xfrm>
          <a:off x="71669366" y="13268324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41366</xdr:colOff>
      <xdr:row>633</xdr:row>
      <xdr:rowOff>95249</xdr:rowOff>
    </xdr:from>
    <xdr:to>
      <xdr:col>94</xdr:col>
      <xdr:colOff>41366</xdr:colOff>
      <xdr:row>633</xdr:row>
      <xdr:rowOff>95249</xdr:rowOff>
    </xdr:to>
    <xdr:cxnSp macro="">
      <xdr:nvCxnSpPr>
        <xdr:cNvPr id="1022" name="직선 화살표 연결선 1021"/>
        <xdr:cNvCxnSpPr/>
      </xdr:nvCxnSpPr>
      <xdr:spPr>
        <a:xfrm>
          <a:off x="71669366" y="132740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62049</xdr:colOff>
      <xdr:row>632</xdr:row>
      <xdr:rowOff>38099</xdr:rowOff>
    </xdr:from>
    <xdr:to>
      <xdr:col>94</xdr:col>
      <xdr:colOff>84002</xdr:colOff>
      <xdr:row>632</xdr:row>
      <xdr:rowOff>152399</xdr:rowOff>
    </xdr:to>
    <xdr:sp macro="" textlink="">
      <xdr:nvSpPr>
        <xdr:cNvPr id="1023" name="330"/>
        <xdr:cNvSpPr/>
      </xdr:nvSpPr>
      <xdr:spPr>
        <a:xfrm>
          <a:off x="70928049" y="132473699"/>
          <a:ext cx="783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62049</xdr:colOff>
      <xdr:row>632</xdr:row>
      <xdr:rowOff>95249</xdr:rowOff>
    </xdr:from>
    <xdr:to>
      <xdr:col>93</xdr:col>
      <xdr:colOff>62049</xdr:colOff>
      <xdr:row>632</xdr:row>
      <xdr:rowOff>95249</xdr:rowOff>
    </xdr:to>
    <xdr:cxnSp macro="">
      <xdr:nvCxnSpPr>
        <xdr:cNvPr id="1024" name="직선 화살표 연결선 1023"/>
        <xdr:cNvCxnSpPr/>
      </xdr:nvCxnSpPr>
      <xdr:spPr>
        <a:xfrm>
          <a:off x="70928049" y="132530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82732</xdr:colOff>
      <xdr:row>631</xdr:row>
      <xdr:rowOff>38099</xdr:rowOff>
    </xdr:from>
    <xdr:to>
      <xdr:col>94</xdr:col>
      <xdr:colOff>104684</xdr:colOff>
      <xdr:row>631</xdr:row>
      <xdr:rowOff>152399</xdr:rowOff>
    </xdr:to>
    <xdr:sp macro="" textlink="">
      <xdr:nvSpPr>
        <xdr:cNvPr id="1025" name="329"/>
        <xdr:cNvSpPr/>
      </xdr:nvSpPr>
      <xdr:spPr>
        <a:xfrm>
          <a:off x="70948732" y="132264149"/>
          <a:ext cx="78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82732</xdr:colOff>
      <xdr:row>631</xdr:row>
      <xdr:rowOff>95249</xdr:rowOff>
    </xdr:from>
    <xdr:to>
      <xdr:col>93</xdr:col>
      <xdr:colOff>82732</xdr:colOff>
      <xdr:row>631</xdr:row>
      <xdr:rowOff>95249</xdr:rowOff>
    </xdr:to>
    <xdr:cxnSp macro="">
      <xdr:nvCxnSpPr>
        <xdr:cNvPr id="1026" name="직선 화살표 연결선 1025"/>
        <xdr:cNvCxnSpPr/>
      </xdr:nvCxnSpPr>
      <xdr:spPr>
        <a:xfrm>
          <a:off x="70948732" y="132321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103414</xdr:colOff>
      <xdr:row>630</xdr:row>
      <xdr:rowOff>38099</xdr:rowOff>
    </xdr:from>
    <xdr:to>
      <xdr:col>94</xdr:col>
      <xdr:colOff>104684</xdr:colOff>
      <xdr:row>630</xdr:row>
      <xdr:rowOff>152399</xdr:rowOff>
    </xdr:to>
    <xdr:sp macro="" textlink="">
      <xdr:nvSpPr>
        <xdr:cNvPr id="1027" name="328"/>
        <xdr:cNvSpPr/>
      </xdr:nvSpPr>
      <xdr:spPr>
        <a:xfrm>
          <a:off x="70969414" y="132054599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103414</xdr:colOff>
      <xdr:row>630</xdr:row>
      <xdr:rowOff>95249</xdr:rowOff>
    </xdr:from>
    <xdr:to>
      <xdr:col>93</xdr:col>
      <xdr:colOff>103414</xdr:colOff>
      <xdr:row>630</xdr:row>
      <xdr:rowOff>95249</xdr:rowOff>
    </xdr:to>
    <xdr:cxnSp macro="">
      <xdr:nvCxnSpPr>
        <xdr:cNvPr id="1028" name="직선 화살표 연결선 1027"/>
        <xdr:cNvCxnSpPr/>
      </xdr:nvCxnSpPr>
      <xdr:spPr>
        <a:xfrm>
          <a:off x="70969414" y="132111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124098</xdr:colOff>
      <xdr:row>629</xdr:row>
      <xdr:rowOff>38099</xdr:rowOff>
    </xdr:from>
    <xdr:to>
      <xdr:col>93</xdr:col>
      <xdr:colOff>125366</xdr:colOff>
      <xdr:row>629</xdr:row>
      <xdr:rowOff>152399</xdr:rowOff>
    </xdr:to>
    <xdr:sp macro="" textlink="">
      <xdr:nvSpPr>
        <xdr:cNvPr id="1029" name="327"/>
        <xdr:cNvSpPr/>
      </xdr:nvSpPr>
      <xdr:spPr>
        <a:xfrm>
          <a:off x="70228098" y="131845049"/>
          <a:ext cx="763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124098</xdr:colOff>
      <xdr:row>629</xdr:row>
      <xdr:rowOff>95249</xdr:rowOff>
    </xdr:from>
    <xdr:to>
      <xdr:col>92</xdr:col>
      <xdr:colOff>124098</xdr:colOff>
      <xdr:row>629</xdr:row>
      <xdr:rowOff>95249</xdr:rowOff>
    </xdr:to>
    <xdr:cxnSp macro="">
      <xdr:nvCxnSpPr>
        <xdr:cNvPr id="1030" name="직선 화살표 연결선 1029"/>
        <xdr:cNvCxnSpPr/>
      </xdr:nvCxnSpPr>
      <xdr:spPr>
        <a:xfrm>
          <a:off x="70228098" y="131902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62049</xdr:colOff>
      <xdr:row>628</xdr:row>
      <xdr:rowOff>38099</xdr:rowOff>
    </xdr:from>
    <xdr:to>
      <xdr:col>94</xdr:col>
      <xdr:colOff>1270</xdr:colOff>
      <xdr:row>628</xdr:row>
      <xdr:rowOff>152399</xdr:rowOff>
    </xdr:to>
    <xdr:sp macro="" textlink="">
      <xdr:nvSpPr>
        <xdr:cNvPr id="1031" name="326"/>
        <xdr:cNvSpPr/>
      </xdr:nvSpPr>
      <xdr:spPr>
        <a:xfrm>
          <a:off x="70166049" y="131635499"/>
          <a:ext cx="1463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62049</xdr:colOff>
      <xdr:row>628</xdr:row>
      <xdr:rowOff>95249</xdr:rowOff>
    </xdr:from>
    <xdr:to>
      <xdr:col>92</xdr:col>
      <xdr:colOff>62049</xdr:colOff>
      <xdr:row>628</xdr:row>
      <xdr:rowOff>95249</xdr:rowOff>
    </xdr:to>
    <xdr:cxnSp macro="">
      <xdr:nvCxnSpPr>
        <xdr:cNvPr id="1032" name="직선 화살표 연결선 1031"/>
        <xdr:cNvCxnSpPr/>
      </xdr:nvCxnSpPr>
      <xdr:spPr>
        <a:xfrm>
          <a:off x="70166049" y="131692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41366</xdr:colOff>
      <xdr:row>627</xdr:row>
      <xdr:rowOff>38099</xdr:rowOff>
    </xdr:from>
    <xdr:to>
      <xdr:col>93</xdr:col>
      <xdr:colOff>1270</xdr:colOff>
      <xdr:row>627</xdr:row>
      <xdr:rowOff>152399</xdr:rowOff>
    </xdr:to>
    <xdr:sp macro="" textlink="">
      <xdr:nvSpPr>
        <xdr:cNvPr id="1033" name="325"/>
        <xdr:cNvSpPr/>
      </xdr:nvSpPr>
      <xdr:spPr>
        <a:xfrm>
          <a:off x="70145366" y="131425949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41366</xdr:colOff>
      <xdr:row>627</xdr:row>
      <xdr:rowOff>95249</xdr:rowOff>
    </xdr:from>
    <xdr:to>
      <xdr:col>92</xdr:col>
      <xdr:colOff>41366</xdr:colOff>
      <xdr:row>627</xdr:row>
      <xdr:rowOff>95249</xdr:rowOff>
    </xdr:to>
    <xdr:cxnSp macro="">
      <xdr:nvCxnSpPr>
        <xdr:cNvPr id="1034" name="직선 화살표 연결선 1033"/>
        <xdr:cNvCxnSpPr/>
      </xdr:nvCxnSpPr>
      <xdr:spPr>
        <a:xfrm>
          <a:off x="70145366" y="131483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103414</xdr:colOff>
      <xdr:row>626</xdr:row>
      <xdr:rowOff>38099</xdr:rowOff>
    </xdr:from>
    <xdr:to>
      <xdr:col>92</xdr:col>
      <xdr:colOff>42636</xdr:colOff>
      <xdr:row>626</xdr:row>
      <xdr:rowOff>152399</xdr:rowOff>
    </xdr:to>
    <xdr:sp macro="" textlink="">
      <xdr:nvSpPr>
        <xdr:cNvPr id="1035" name="324"/>
        <xdr:cNvSpPr/>
      </xdr:nvSpPr>
      <xdr:spPr>
        <a:xfrm>
          <a:off x="69445414" y="131216399"/>
          <a:ext cx="70122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103414</xdr:colOff>
      <xdr:row>626</xdr:row>
      <xdr:rowOff>95249</xdr:rowOff>
    </xdr:from>
    <xdr:to>
      <xdr:col>91</xdr:col>
      <xdr:colOff>103414</xdr:colOff>
      <xdr:row>626</xdr:row>
      <xdr:rowOff>95249</xdr:rowOff>
    </xdr:to>
    <xdr:cxnSp macro="">
      <xdr:nvCxnSpPr>
        <xdr:cNvPr id="1036" name="직선 화살표 연결선 1035"/>
        <xdr:cNvCxnSpPr/>
      </xdr:nvCxnSpPr>
      <xdr:spPr>
        <a:xfrm>
          <a:off x="69445414" y="131273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20682</xdr:colOff>
      <xdr:row>625</xdr:row>
      <xdr:rowOff>38099</xdr:rowOff>
    </xdr:from>
    <xdr:to>
      <xdr:col>91</xdr:col>
      <xdr:colOff>104683</xdr:colOff>
      <xdr:row>625</xdr:row>
      <xdr:rowOff>152399</xdr:rowOff>
    </xdr:to>
    <xdr:sp macro="" textlink="">
      <xdr:nvSpPr>
        <xdr:cNvPr id="1037" name="323"/>
        <xdr:cNvSpPr/>
      </xdr:nvSpPr>
      <xdr:spPr>
        <a:xfrm>
          <a:off x="69362682" y="13100684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20682</xdr:colOff>
      <xdr:row>625</xdr:row>
      <xdr:rowOff>95249</xdr:rowOff>
    </xdr:from>
    <xdr:to>
      <xdr:col>91</xdr:col>
      <xdr:colOff>20682</xdr:colOff>
      <xdr:row>625</xdr:row>
      <xdr:rowOff>95249</xdr:rowOff>
    </xdr:to>
    <xdr:cxnSp macro="">
      <xdr:nvCxnSpPr>
        <xdr:cNvPr id="1038" name="직선 화살표 연결선 1037"/>
        <xdr:cNvCxnSpPr/>
      </xdr:nvCxnSpPr>
      <xdr:spPr>
        <a:xfrm>
          <a:off x="69362682" y="131063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20683</xdr:colOff>
      <xdr:row>624</xdr:row>
      <xdr:rowOff>38099</xdr:rowOff>
    </xdr:from>
    <xdr:to>
      <xdr:col>91</xdr:col>
      <xdr:colOff>21952</xdr:colOff>
      <xdr:row>624</xdr:row>
      <xdr:rowOff>152399</xdr:rowOff>
    </xdr:to>
    <xdr:sp macro="" textlink="">
      <xdr:nvSpPr>
        <xdr:cNvPr id="1039" name="322"/>
        <xdr:cNvSpPr/>
      </xdr:nvSpPr>
      <xdr:spPr>
        <a:xfrm>
          <a:off x="67838683" y="130797299"/>
          <a:ext cx="1525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20683</xdr:colOff>
      <xdr:row>624</xdr:row>
      <xdr:rowOff>95249</xdr:rowOff>
    </xdr:from>
    <xdr:to>
      <xdr:col>89</xdr:col>
      <xdr:colOff>20683</xdr:colOff>
      <xdr:row>624</xdr:row>
      <xdr:rowOff>95249</xdr:rowOff>
    </xdr:to>
    <xdr:cxnSp macro="">
      <xdr:nvCxnSpPr>
        <xdr:cNvPr id="1040" name="직선 화살표 연결선 1039"/>
        <xdr:cNvCxnSpPr/>
      </xdr:nvCxnSpPr>
      <xdr:spPr>
        <a:xfrm>
          <a:off x="67838683" y="130854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623</xdr:row>
      <xdr:rowOff>38099</xdr:rowOff>
    </xdr:from>
    <xdr:to>
      <xdr:col>91</xdr:col>
      <xdr:colOff>1269</xdr:colOff>
      <xdr:row>623</xdr:row>
      <xdr:rowOff>152399</xdr:rowOff>
    </xdr:to>
    <xdr:sp macro="" textlink="">
      <xdr:nvSpPr>
        <xdr:cNvPr id="1041" name="321"/>
        <xdr:cNvSpPr/>
      </xdr:nvSpPr>
      <xdr:spPr>
        <a:xfrm>
          <a:off x="67818001" y="130587749"/>
          <a:ext cx="1525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623</xdr:row>
      <xdr:rowOff>95249</xdr:rowOff>
    </xdr:from>
    <xdr:to>
      <xdr:col>89</xdr:col>
      <xdr:colOff>1</xdr:colOff>
      <xdr:row>623</xdr:row>
      <xdr:rowOff>95249</xdr:rowOff>
    </xdr:to>
    <xdr:cxnSp macro="">
      <xdr:nvCxnSpPr>
        <xdr:cNvPr id="1042" name="직선 화살표 연결선 1041"/>
        <xdr:cNvCxnSpPr/>
      </xdr:nvCxnSpPr>
      <xdr:spPr>
        <a:xfrm>
          <a:off x="67818001" y="130644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622</xdr:row>
      <xdr:rowOff>38099</xdr:rowOff>
    </xdr:from>
    <xdr:to>
      <xdr:col>90</xdr:col>
      <xdr:colOff>125367</xdr:colOff>
      <xdr:row>622</xdr:row>
      <xdr:rowOff>152399</xdr:rowOff>
    </xdr:to>
    <xdr:sp macro="" textlink="">
      <xdr:nvSpPr>
        <xdr:cNvPr id="1043" name="320"/>
        <xdr:cNvSpPr/>
      </xdr:nvSpPr>
      <xdr:spPr>
        <a:xfrm>
          <a:off x="67118049" y="130378199"/>
          <a:ext cx="1587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622</xdr:row>
      <xdr:rowOff>95249</xdr:rowOff>
    </xdr:from>
    <xdr:to>
      <xdr:col>88</xdr:col>
      <xdr:colOff>62049</xdr:colOff>
      <xdr:row>622</xdr:row>
      <xdr:rowOff>95249</xdr:rowOff>
    </xdr:to>
    <xdr:cxnSp macro="">
      <xdr:nvCxnSpPr>
        <xdr:cNvPr id="1044" name="직선 화살표 연결선 1043"/>
        <xdr:cNvCxnSpPr/>
      </xdr:nvCxnSpPr>
      <xdr:spPr>
        <a:xfrm>
          <a:off x="67118049" y="130435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621</xdr:row>
      <xdr:rowOff>38099</xdr:rowOff>
    </xdr:from>
    <xdr:to>
      <xdr:col>88</xdr:col>
      <xdr:colOff>63319</xdr:colOff>
      <xdr:row>621</xdr:row>
      <xdr:rowOff>152399</xdr:rowOff>
    </xdr:to>
    <xdr:sp macro="" textlink="">
      <xdr:nvSpPr>
        <xdr:cNvPr id="1045" name="319"/>
        <xdr:cNvSpPr/>
      </xdr:nvSpPr>
      <xdr:spPr>
        <a:xfrm>
          <a:off x="66418098" y="1301686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621</xdr:row>
      <xdr:rowOff>95249</xdr:rowOff>
    </xdr:from>
    <xdr:to>
      <xdr:col>87</xdr:col>
      <xdr:colOff>124098</xdr:colOff>
      <xdr:row>621</xdr:row>
      <xdr:rowOff>95249</xdr:rowOff>
    </xdr:to>
    <xdr:cxnSp macro="">
      <xdr:nvCxnSpPr>
        <xdr:cNvPr id="1046" name="직선 화살표 연결선 1045"/>
        <xdr:cNvCxnSpPr/>
      </xdr:nvCxnSpPr>
      <xdr:spPr>
        <a:xfrm>
          <a:off x="66418098" y="130225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620</xdr:row>
      <xdr:rowOff>38099</xdr:rowOff>
    </xdr:from>
    <xdr:to>
      <xdr:col>87</xdr:col>
      <xdr:colOff>125368</xdr:colOff>
      <xdr:row>620</xdr:row>
      <xdr:rowOff>152399</xdr:rowOff>
    </xdr:to>
    <xdr:sp macro="" textlink="">
      <xdr:nvSpPr>
        <xdr:cNvPr id="1047" name="318"/>
        <xdr:cNvSpPr/>
      </xdr:nvSpPr>
      <xdr:spPr>
        <a:xfrm>
          <a:off x="66356049" y="12995909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620</xdr:row>
      <xdr:rowOff>95249</xdr:rowOff>
    </xdr:from>
    <xdr:to>
      <xdr:col>87</xdr:col>
      <xdr:colOff>62049</xdr:colOff>
      <xdr:row>620</xdr:row>
      <xdr:rowOff>95249</xdr:rowOff>
    </xdr:to>
    <xdr:cxnSp macro="">
      <xdr:nvCxnSpPr>
        <xdr:cNvPr id="1048" name="직선 화살표 연결선 1047"/>
        <xdr:cNvCxnSpPr/>
      </xdr:nvCxnSpPr>
      <xdr:spPr>
        <a:xfrm>
          <a:off x="66356049" y="130016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619</xdr:row>
      <xdr:rowOff>38099</xdr:rowOff>
    </xdr:from>
    <xdr:to>
      <xdr:col>87</xdr:col>
      <xdr:colOff>63319</xdr:colOff>
      <xdr:row>619</xdr:row>
      <xdr:rowOff>152399</xdr:rowOff>
    </xdr:to>
    <xdr:sp macro="" textlink="">
      <xdr:nvSpPr>
        <xdr:cNvPr id="1049" name="317"/>
        <xdr:cNvSpPr/>
      </xdr:nvSpPr>
      <xdr:spPr>
        <a:xfrm>
          <a:off x="66294000" y="1297495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0</xdr:colOff>
      <xdr:row>619</xdr:row>
      <xdr:rowOff>95249</xdr:rowOff>
    </xdr:from>
    <xdr:to>
      <xdr:col>87</xdr:col>
      <xdr:colOff>0</xdr:colOff>
      <xdr:row>619</xdr:row>
      <xdr:rowOff>95249</xdr:rowOff>
    </xdr:to>
    <xdr:cxnSp macro="">
      <xdr:nvCxnSpPr>
        <xdr:cNvPr id="1050" name="직선 화살표 연결선 1049"/>
        <xdr:cNvCxnSpPr/>
      </xdr:nvCxnSpPr>
      <xdr:spPr>
        <a:xfrm>
          <a:off x="66294000" y="129806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618</xdr:row>
      <xdr:rowOff>38099</xdr:rowOff>
    </xdr:from>
    <xdr:to>
      <xdr:col>87</xdr:col>
      <xdr:colOff>1270</xdr:colOff>
      <xdr:row>618</xdr:row>
      <xdr:rowOff>152399</xdr:rowOff>
    </xdr:to>
    <xdr:sp macro="" textlink="">
      <xdr:nvSpPr>
        <xdr:cNvPr id="1051" name="316"/>
        <xdr:cNvSpPr/>
      </xdr:nvSpPr>
      <xdr:spPr>
        <a:xfrm>
          <a:off x="65594049" y="1295399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618</xdr:row>
      <xdr:rowOff>95249</xdr:rowOff>
    </xdr:from>
    <xdr:to>
      <xdr:col>86</xdr:col>
      <xdr:colOff>62049</xdr:colOff>
      <xdr:row>618</xdr:row>
      <xdr:rowOff>95249</xdr:rowOff>
    </xdr:to>
    <xdr:cxnSp macro="">
      <xdr:nvCxnSpPr>
        <xdr:cNvPr id="1052" name="직선 화살표 연결선 1051"/>
        <xdr:cNvCxnSpPr/>
      </xdr:nvCxnSpPr>
      <xdr:spPr>
        <a:xfrm>
          <a:off x="65594049" y="129597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617</xdr:row>
      <xdr:rowOff>38099</xdr:rowOff>
    </xdr:from>
    <xdr:to>
      <xdr:col>88</xdr:col>
      <xdr:colOff>63319</xdr:colOff>
      <xdr:row>617</xdr:row>
      <xdr:rowOff>152399</xdr:rowOff>
    </xdr:to>
    <xdr:sp macro="" textlink="">
      <xdr:nvSpPr>
        <xdr:cNvPr id="1053" name="315"/>
        <xdr:cNvSpPr/>
      </xdr:nvSpPr>
      <xdr:spPr>
        <a:xfrm>
          <a:off x="65552682" y="129330449"/>
          <a:ext cx="15666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617</xdr:row>
      <xdr:rowOff>95249</xdr:rowOff>
    </xdr:from>
    <xdr:to>
      <xdr:col>86</xdr:col>
      <xdr:colOff>20682</xdr:colOff>
      <xdr:row>617</xdr:row>
      <xdr:rowOff>95249</xdr:rowOff>
    </xdr:to>
    <xdr:cxnSp macro="">
      <xdr:nvCxnSpPr>
        <xdr:cNvPr id="1054" name="직선 화살표 연결선 1053"/>
        <xdr:cNvCxnSpPr/>
      </xdr:nvCxnSpPr>
      <xdr:spPr>
        <a:xfrm>
          <a:off x="65552682" y="129387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144779</xdr:colOff>
      <xdr:row>616</xdr:row>
      <xdr:rowOff>38099</xdr:rowOff>
    </xdr:from>
    <xdr:to>
      <xdr:col>90</xdr:col>
      <xdr:colOff>63318</xdr:colOff>
      <xdr:row>616</xdr:row>
      <xdr:rowOff>152399</xdr:rowOff>
    </xdr:to>
    <xdr:sp macro="" textlink="">
      <xdr:nvSpPr>
        <xdr:cNvPr id="1055" name="314"/>
        <xdr:cNvSpPr/>
      </xdr:nvSpPr>
      <xdr:spPr>
        <a:xfrm>
          <a:off x="67962779" y="12912089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144779</xdr:colOff>
      <xdr:row>616</xdr:row>
      <xdr:rowOff>95249</xdr:rowOff>
    </xdr:from>
    <xdr:to>
      <xdr:col>89</xdr:col>
      <xdr:colOff>144779</xdr:colOff>
      <xdr:row>616</xdr:row>
      <xdr:rowOff>95249</xdr:rowOff>
    </xdr:to>
    <xdr:cxnSp macro="">
      <xdr:nvCxnSpPr>
        <xdr:cNvPr id="1056" name="직선 화살표 연결선 1055"/>
        <xdr:cNvCxnSpPr/>
      </xdr:nvCxnSpPr>
      <xdr:spPr>
        <a:xfrm>
          <a:off x="67962779" y="129178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615</xdr:row>
      <xdr:rowOff>38099</xdr:rowOff>
    </xdr:from>
    <xdr:to>
      <xdr:col>90</xdr:col>
      <xdr:colOff>1269</xdr:colOff>
      <xdr:row>615</xdr:row>
      <xdr:rowOff>152399</xdr:rowOff>
    </xdr:to>
    <xdr:sp macro="" textlink="">
      <xdr:nvSpPr>
        <xdr:cNvPr id="1057" name="313"/>
        <xdr:cNvSpPr/>
      </xdr:nvSpPr>
      <xdr:spPr>
        <a:xfrm>
          <a:off x="67900732" y="12891134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615</xdr:row>
      <xdr:rowOff>95249</xdr:rowOff>
    </xdr:from>
    <xdr:to>
      <xdr:col>89</xdr:col>
      <xdr:colOff>82732</xdr:colOff>
      <xdr:row>615</xdr:row>
      <xdr:rowOff>95249</xdr:rowOff>
    </xdr:to>
    <xdr:cxnSp macro="">
      <xdr:nvCxnSpPr>
        <xdr:cNvPr id="1058" name="직선 화살표 연결선 1057"/>
        <xdr:cNvCxnSpPr/>
      </xdr:nvCxnSpPr>
      <xdr:spPr>
        <a:xfrm>
          <a:off x="67900732" y="128968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41366</xdr:colOff>
      <xdr:row>614</xdr:row>
      <xdr:rowOff>38099</xdr:rowOff>
    </xdr:from>
    <xdr:to>
      <xdr:col>89</xdr:col>
      <xdr:colOff>84002</xdr:colOff>
      <xdr:row>614</xdr:row>
      <xdr:rowOff>152399</xdr:rowOff>
    </xdr:to>
    <xdr:sp macro="" textlink="">
      <xdr:nvSpPr>
        <xdr:cNvPr id="1059" name="312"/>
        <xdr:cNvSpPr/>
      </xdr:nvSpPr>
      <xdr:spPr>
        <a:xfrm>
          <a:off x="67859366" y="1287017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614</xdr:row>
      <xdr:rowOff>95249</xdr:rowOff>
    </xdr:from>
    <xdr:to>
      <xdr:col>89</xdr:col>
      <xdr:colOff>41366</xdr:colOff>
      <xdr:row>614</xdr:row>
      <xdr:rowOff>95249</xdr:rowOff>
    </xdr:to>
    <xdr:cxnSp macro="">
      <xdr:nvCxnSpPr>
        <xdr:cNvPr id="1060" name="직선 화살표 연결선 1059"/>
        <xdr:cNvCxnSpPr/>
      </xdr:nvCxnSpPr>
      <xdr:spPr>
        <a:xfrm>
          <a:off x="67859366" y="128758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613</xdr:row>
      <xdr:rowOff>38099</xdr:rowOff>
    </xdr:from>
    <xdr:to>
      <xdr:col>89</xdr:col>
      <xdr:colOff>63318</xdr:colOff>
      <xdr:row>613</xdr:row>
      <xdr:rowOff>152399</xdr:rowOff>
    </xdr:to>
    <xdr:sp macro="" textlink="">
      <xdr:nvSpPr>
        <xdr:cNvPr id="1061" name="311"/>
        <xdr:cNvSpPr/>
      </xdr:nvSpPr>
      <xdr:spPr>
        <a:xfrm>
          <a:off x="67818001" y="128492249"/>
          <a:ext cx="63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613</xdr:row>
      <xdr:rowOff>95249</xdr:rowOff>
    </xdr:from>
    <xdr:to>
      <xdr:col>89</xdr:col>
      <xdr:colOff>1</xdr:colOff>
      <xdr:row>613</xdr:row>
      <xdr:rowOff>95249</xdr:rowOff>
    </xdr:to>
    <xdr:cxnSp macro="">
      <xdr:nvCxnSpPr>
        <xdr:cNvPr id="1062" name="직선 화살표 연결선 1061"/>
        <xdr:cNvCxnSpPr/>
      </xdr:nvCxnSpPr>
      <xdr:spPr>
        <a:xfrm>
          <a:off x="67818001" y="128549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612</xdr:row>
      <xdr:rowOff>38099</xdr:rowOff>
    </xdr:from>
    <xdr:to>
      <xdr:col>89</xdr:col>
      <xdr:colOff>1270</xdr:colOff>
      <xdr:row>612</xdr:row>
      <xdr:rowOff>152399</xdr:rowOff>
    </xdr:to>
    <xdr:sp macro="" textlink="">
      <xdr:nvSpPr>
        <xdr:cNvPr id="1063" name="310"/>
        <xdr:cNvSpPr/>
      </xdr:nvSpPr>
      <xdr:spPr>
        <a:xfrm>
          <a:off x="67138732" y="12828269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612</xdr:row>
      <xdr:rowOff>95249</xdr:rowOff>
    </xdr:from>
    <xdr:to>
      <xdr:col>88</xdr:col>
      <xdr:colOff>82732</xdr:colOff>
      <xdr:row>612</xdr:row>
      <xdr:rowOff>95249</xdr:rowOff>
    </xdr:to>
    <xdr:cxnSp macro="">
      <xdr:nvCxnSpPr>
        <xdr:cNvPr id="1064" name="직선 화살표 연결선 1063"/>
        <xdr:cNvCxnSpPr/>
      </xdr:nvCxnSpPr>
      <xdr:spPr>
        <a:xfrm>
          <a:off x="67138732" y="128339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611</xdr:row>
      <xdr:rowOff>38099</xdr:rowOff>
    </xdr:from>
    <xdr:to>
      <xdr:col>88</xdr:col>
      <xdr:colOff>84001</xdr:colOff>
      <xdr:row>611</xdr:row>
      <xdr:rowOff>152399</xdr:rowOff>
    </xdr:to>
    <xdr:sp macro="" textlink="">
      <xdr:nvSpPr>
        <xdr:cNvPr id="1065" name="309"/>
        <xdr:cNvSpPr/>
      </xdr:nvSpPr>
      <xdr:spPr>
        <a:xfrm>
          <a:off x="67056000" y="12807314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611</xdr:row>
      <xdr:rowOff>95249</xdr:rowOff>
    </xdr:from>
    <xdr:to>
      <xdr:col>88</xdr:col>
      <xdr:colOff>0</xdr:colOff>
      <xdr:row>611</xdr:row>
      <xdr:rowOff>95249</xdr:rowOff>
    </xdr:to>
    <xdr:cxnSp macro="">
      <xdr:nvCxnSpPr>
        <xdr:cNvPr id="1066" name="직선 화살표 연결선 1065"/>
        <xdr:cNvCxnSpPr/>
      </xdr:nvCxnSpPr>
      <xdr:spPr>
        <a:xfrm>
          <a:off x="67056000" y="128130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610</xdr:row>
      <xdr:rowOff>38099</xdr:rowOff>
    </xdr:from>
    <xdr:to>
      <xdr:col>88</xdr:col>
      <xdr:colOff>63319</xdr:colOff>
      <xdr:row>610</xdr:row>
      <xdr:rowOff>152399</xdr:rowOff>
    </xdr:to>
    <xdr:sp macro="" textlink="">
      <xdr:nvSpPr>
        <xdr:cNvPr id="1067" name="308"/>
        <xdr:cNvSpPr/>
      </xdr:nvSpPr>
      <xdr:spPr>
        <a:xfrm>
          <a:off x="66418098" y="1278635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610</xdr:row>
      <xdr:rowOff>95249</xdr:rowOff>
    </xdr:from>
    <xdr:to>
      <xdr:col>87</xdr:col>
      <xdr:colOff>124098</xdr:colOff>
      <xdr:row>610</xdr:row>
      <xdr:rowOff>95249</xdr:rowOff>
    </xdr:to>
    <xdr:cxnSp macro="">
      <xdr:nvCxnSpPr>
        <xdr:cNvPr id="1068" name="직선 화살표 연결선 1067"/>
        <xdr:cNvCxnSpPr/>
      </xdr:nvCxnSpPr>
      <xdr:spPr>
        <a:xfrm>
          <a:off x="66418098" y="127920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609</xdr:row>
      <xdr:rowOff>38099</xdr:rowOff>
    </xdr:from>
    <xdr:to>
      <xdr:col>88</xdr:col>
      <xdr:colOff>1270</xdr:colOff>
      <xdr:row>609</xdr:row>
      <xdr:rowOff>152399</xdr:rowOff>
    </xdr:to>
    <xdr:sp macro="" textlink="">
      <xdr:nvSpPr>
        <xdr:cNvPr id="1069" name="307"/>
        <xdr:cNvSpPr/>
      </xdr:nvSpPr>
      <xdr:spPr>
        <a:xfrm>
          <a:off x="66397414" y="127654049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609</xdr:row>
      <xdr:rowOff>95249</xdr:rowOff>
    </xdr:from>
    <xdr:to>
      <xdr:col>87</xdr:col>
      <xdr:colOff>103414</xdr:colOff>
      <xdr:row>609</xdr:row>
      <xdr:rowOff>95249</xdr:rowOff>
    </xdr:to>
    <xdr:cxnSp macro="">
      <xdr:nvCxnSpPr>
        <xdr:cNvPr id="1070" name="직선 화살표 연결선 1069"/>
        <xdr:cNvCxnSpPr/>
      </xdr:nvCxnSpPr>
      <xdr:spPr>
        <a:xfrm>
          <a:off x="66397414" y="127711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608</xdr:row>
      <xdr:rowOff>38099</xdr:rowOff>
    </xdr:from>
    <xdr:to>
      <xdr:col>88</xdr:col>
      <xdr:colOff>21952</xdr:colOff>
      <xdr:row>608</xdr:row>
      <xdr:rowOff>152399</xdr:rowOff>
    </xdr:to>
    <xdr:sp macro="" textlink="">
      <xdr:nvSpPr>
        <xdr:cNvPr id="1071" name="306"/>
        <xdr:cNvSpPr/>
      </xdr:nvSpPr>
      <xdr:spPr>
        <a:xfrm>
          <a:off x="66376731" y="1274444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608</xdr:row>
      <xdr:rowOff>95249</xdr:rowOff>
    </xdr:from>
    <xdr:to>
      <xdr:col>87</xdr:col>
      <xdr:colOff>82731</xdr:colOff>
      <xdr:row>608</xdr:row>
      <xdr:rowOff>95249</xdr:rowOff>
    </xdr:to>
    <xdr:cxnSp macro="">
      <xdr:nvCxnSpPr>
        <xdr:cNvPr id="1072" name="직선 화살표 연결선 1071"/>
        <xdr:cNvCxnSpPr/>
      </xdr:nvCxnSpPr>
      <xdr:spPr>
        <a:xfrm>
          <a:off x="66376731" y="127501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607</xdr:row>
      <xdr:rowOff>38099</xdr:rowOff>
    </xdr:from>
    <xdr:to>
      <xdr:col>87</xdr:col>
      <xdr:colOff>125368</xdr:colOff>
      <xdr:row>607</xdr:row>
      <xdr:rowOff>152399</xdr:rowOff>
    </xdr:to>
    <xdr:sp macro="" textlink="">
      <xdr:nvSpPr>
        <xdr:cNvPr id="1073" name="305"/>
        <xdr:cNvSpPr/>
      </xdr:nvSpPr>
      <xdr:spPr>
        <a:xfrm>
          <a:off x="66356049" y="1272349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607</xdr:row>
      <xdr:rowOff>95249</xdr:rowOff>
    </xdr:from>
    <xdr:to>
      <xdr:col>87</xdr:col>
      <xdr:colOff>62049</xdr:colOff>
      <xdr:row>607</xdr:row>
      <xdr:rowOff>95249</xdr:rowOff>
    </xdr:to>
    <xdr:cxnSp macro="">
      <xdr:nvCxnSpPr>
        <xdr:cNvPr id="1074" name="직선 화살표 연결선 1073"/>
        <xdr:cNvCxnSpPr/>
      </xdr:nvCxnSpPr>
      <xdr:spPr>
        <a:xfrm>
          <a:off x="66356049" y="127292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606</xdr:row>
      <xdr:rowOff>38099</xdr:rowOff>
    </xdr:from>
    <xdr:to>
      <xdr:col>88</xdr:col>
      <xdr:colOff>42635</xdr:colOff>
      <xdr:row>606</xdr:row>
      <xdr:rowOff>152399</xdr:rowOff>
    </xdr:to>
    <xdr:sp macro="" textlink="">
      <xdr:nvSpPr>
        <xdr:cNvPr id="1075" name="304"/>
        <xdr:cNvSpPr/>
      </xdr:nvSpPr>
      <xdr:spPr>
        <a:xfrm>
          <a:off x="66356049" y="12702539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606</xdr:row>
      <xdr:rowOff>95249</xdr:rowOff>
    </xdr:from>
    <xdr:to>
      <xdr:col>87</xdr:col>
      <xdr:colOff>62049</xdr:colOff>
      <xdr:row>606</xdr:row>
      <xdr:rowOff>95249</xdr:rowOff>
    </xdr:to>
    <xdr:cxnSp macro="">
      <xdr:nvCxnSpPr>
        <xdr:cNvPr id="1076" name="직선 화살표 연결선 1075"/>
        <xdr:cNvCxnSpPr/>
      </xdr:nvCxnSpPr>
      <xdr:spPr>
        <a:xfrm>
          <a:off x="66356049" y="127082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605</xdr:row>
      <xdr:rowOff>38099</xdr:rowOff>
    </xdr:from>
    <xdr:to>
      <xdr:col>88</xdr:col>
      <xdr:colOff>21952</xdr:colOff>
      <xdr:row>605</xdr:row>
      <xdr:rowOff>152399</xdr:rowOff>
    </xdr:to>
    <xdr:sp macro="" textlink="">
      <xdr:nvSpPr>
        <xdr:cNvPr id="1077" name="303"/>
        <xdr:cNvSpPr/>
      </xdr:nvSpPr>
      <xdr:spPr>
        <a:xfrm>
          <a:off x="66335366" y="12681584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605</xdr:row>
      <xdr:rowOff>95249</xdr:rowOff>
    </xdr:from>
    <xdr:to>
      <xdr:col>87</xdr:col>
      <xdr:colOff>41366</xdr:colOff>
      <xdr:row>605</xdr:row>
      <xdr:rowOff>95249</xdr:rowOff>
    </xdr:to>
    <xdr:cxnSp macro="">
      <xdr:nvCxnSpPr>
        <xdr:cNvPr id="1078" name="직선 화살표 연결선 1077"/>
        <xdr:cNvCxnSpPr/>
      </xdr:nvCxnSpPr>
      <xdr:spPr>
        <a:xfrm>
          <a:off x="66335366" y="126872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124098</xdr:colOff>
      <xdr:row>604</xdr:row>
      <xdr:rowOff>38099</xdr:rowOff>
    </xdr:from>
    <xdr:to>
      <xdr:col>87</xdr:col>
      <xdr:colOff>42636</xdr:colOff>
      <xdr:row>604</xdr:row>
      <xdr:rowOff>152399</xdr:rowOff>
    </xdr:to>
    <xdr:sp macro="" textlink="">
      <xdr:nvSpPr>
        <xdr:cNvPr id="1079" name="302"/>
        <xdr:cNvSpPr/>
      </xdr:nvSpPr>
      <xdr:spPr>
        <a:xfrm>
          <a:off x="65656098" y="12660629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124098</xdr:colOff>
      <xdr:row>604</xdr:row>
      <xdr:rowOff>95249</xdr:rowOff>
    </xdr:from>
    <xdr:to>
      <xdr:col>86</xdr:col>
      <xdr:colOff>124098</xdr:colOff>
      <xdr:row>604</xdr:row>
      <xdr:rowOff>95249</xdr:rowOff>
    </xdr:to>
    <xdr:cxnSp macro="">
      <xdr:nvCxnSpPr>
        <xdr:cNvPr id="1080" name="직선 화살표 연결선 1079"/>
        <xdr:cNvCxnSpPr/>
      </xdr:nvCxnSpPr>
      <xdr:spPr>
        <a:xfrm>
          <a:off x="65656098" y="126663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82731</xdr:colOff>
      <xdr:row>603</xdr:row>
      <xdr:rowOff>38099</xdr:rowOff>
    </xdr:from>
    <xdr:to>
      <xdr:col>86</xdr:col>
      <xdr:colOff>125367</xdr:colOff>
      <xdr:row>603</xdr:row>
      <xdr:rowOff>152399</xdr:rowOff>
    </xdr:to>
    <xdr:sp macro="" textlink="">
      <xdr:nvSpPr>
        <xdr:cNvPr id="1081" name="301"/>
        <xdr:cNvSpPr/>
      </xdr:nvSpPr>
      <xdr:spPr>
        <a:xfrm>
          <a:off x="65614731" y="1263967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82731</xdr:colOff>
      <xdr:row>603</xdr:row>
      <xdr:rowOff>95249</xdr:rowOff>
    </xdr:from>
    <xdr:to>
      <xdr:col>86</xdr:col>
      <xdr:colOff>82731</xdr:colOff>
      <xdr:row>603</xdr:row>
      <xdr:rowOff>95249</xdr:rowOff>
    </xdr:to>
    <xdr:cxnSp macro="">
      <xdr:nvCxnSpPr>
        <xdr:cNvPr id="1082" name="직선 화살표 연결선 1081"/>
        <xdr:cNvCxnSpPr/>
      </xdr:nvCxnSpPr>
      <xdr:spPr>
        <a:xfrm>
          <a:off x="65614731" y="126453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602</xdr:row>
      <xdr:rowOff>38099</xdr:rowOff>
    </xdr:from>
    <xdr:to>
      <xdr:col>86</xdr:col>
      <xdr:colOff>125367</xdr:colOff>
      <xdr:row>602</xdr:row>
      <xdr:rowOff>152399</xdr:rowOff>
    </xdr:to>
    <xdr:sp macro="" textlink="">
      <xdr:nvSpPr>
        <xdr:cNvPr id="1083" name="300"/>
        <xdr:cNvSpPr/>
      </xdr:nvSpPr>
      <xdr:spPr>
        <a:xfrm>
          <a:off x="65594049" y="12618719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602</xdr:row>
      <xdr:rowOff>95249</xdr:rowOff>
    </xdr:from>
    <xdr:to>
      <xdr:col>86</xdr:col>
      <xdr:colOff>62049</xdr:colOff>
      <xdr:row>602</xdr:row>
      <xdr:rowOff>95249</xdr:rowOff>
    </xdr:to>
    <xdr:cxnSp macro="">
      <xdr:nvCxnSpPr>
        <xdr:cNvPr id="1084" name="직선 화살표 연결선 1083"/>
        <xdr:cNvCxnSpPr/>
      </xdr:nvCxnSpPr>
      <xdr:spPr>
        <a:xfrm>
          <a:off x="65594049" y="126244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601</xdr:row>
      <xdr:rowOff>38099</xdr:rowOff>
    </xdr:from>
    <xdr:to>
      <xdr:col>86</xdr:col>
      <xdr:colOff>63318</xdr:colOff>
      <xdr:row>601</xdr:row>
      <xdr:rowOff>152399</xdr:rowOff>
    </xdr:to>
    <xdr:sp macro="" textlink="">
      <xdr:nvSpPr>
        <xdr:cNvPr id="1085" name="299"/>
        <xdr:cNvSpPr/>
      </xdr:nvSpPr>
      <xdr:spPr>
        <a:xfrm>
          <a:off x="65552682" y="1259776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601</xdr:row>
      <xdr:rowOff>95249</xdr:rowOff>
    </xdr:from>
    <xdr:to>
      <xdr:col>86</xdr:col>
      <xdr:colOff>20682</xdr:colOff>
      <xdr:row>601</xdr:row>
      <xdr:rowOff>95249</xdr:rowOff>
    </xdr:to>
    <xdr:cxnSp macro="">
      <xdr:nvCxnSpPr>
        <xdr:cNvPr id="1086" name="직선 화살표 연결선 1085"/>
        <xdr:cNvCxnSpPr/>
      </xdr:nvCxnSpPr>
      <xdr:spPr>
        <a:xfrm>
          <a:off x="65552682" y="126034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600</xdr:row>
      <xdr:rowOff>38099</xdr:rowOff>
    </xdr:from>
    <xdr:to>
      <xdr:col>94</xdr:col>
      <xdr:colOff>104684</xdr:colOff>
      <xdr:row>600</xdr:row>
      <xdr:rowOff>152399</xdr:rowOff>
    </xdr:to>
    <xdr:sp macro="" textlink="">
      <xdr:nvSpPr>
        <xdr:cNvPr id="1087" name="298"/>
        <xdr:cNvSpPr/>
      </xdr:nvSpPr>
      <xdr:spPr>
        <a:xfrm>
          <a:off x="65532000" y="125768099"/>
          <a:ext cx="620068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600</xdr:row>
      <xdr:rowOff>95249</xdr:rowOff>
    </xdr:from>
    <xdr:to>
      <xdr:col>86</xdr:col>
      <xdr:colOff>0</xdr:colOff>
      <xdr:row>600</xdr:row>
      <xdr:rowOff>95249</xdr:rowOff>
    </xdr:to>
    <xdr:cxnSp macro="">
      <xdr:nvCxnSpPr>
        <xdr:cNvPr id="1088" name="직선 화살표 연결선 1087"/>
        <xdr:cNvCxnSpPr/>
      </xdr:nvCxnSpPr>
      <xdr:spPr>
        <a:xfrm>
          <a:off x="65532000" y="125825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599</xdr:row>
      <xdr:rowOff>38099</xdr:rowOff>
    </xdr:from>
    <xdr:to>
      <xdr:col>86</xdr:col>
      <xdr:colOff>84001</xdr:colOff>
      <xdr:row>599</xdr:row>
      <xdr:rowOff>152399</xdr:rowOff>
    </xdr:to>
    <xdr:sp macro="" textlink="">
      <xdr:nvSpPr>
        <xdr:cNvPr id="1089" name="297"/>
        <xdr:cNvSpPr/>
      </xdr:nvSpPr>
      <xdr:spPr>
        <a:xfrm>
          <a:off x="65552682" y="1255585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599</xdr:row>
      <xdr:rowOff>95249</xdr:rowOff>
    </xdr:from>
    <xdr:to>
      <xdr:col>86</xdr:col>
      <xdr:colOff>20682</xdr:colOff>
      <xdr:row>599</xdr:row>
      <xdr:rowOff>95249</xdr:rowOff>
    </xdr:to>
    <xdr:cxnSp macro="">
      <xdr:nvCxnSpPr>
        <xdr:cNvPr id="1090" name="직선 화살표 연결선 1089"/>
        <xdr:cNvCxnSpPr/>
      </xdr:nvCxnSpPr>
      <xdr:spPr>
        <a:xfrm>
          <a:off x="65552682" y="125615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598</xdr:row>
      <xdr:rowOff>38099</xdr:rowOff>
    </xdr:from>
    <xdr:to>
      <xdr:col>86</xdr:col>
      <xdr:colOff>21952</xdr:colOff>
      <xdr:row>598</xdr:row>
      <xdr:rowOff>152399</xdr:rowOff>
    </xdr:to>
    <xdr:sp macro="" textlink="">
      <xdr:nvSpPr>
        <xdr:cNvPr id="1091" name="296"/>
        <xdr:cNvSpPr/>
      </xdr:nvSpPr>
      <xdr:spPr>
        <a:xfrm>
          <a:off x="64873415" y="1253489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598</xdr:row>
      <xdr:rowOff>95249</xdr:rowOff>
    </xdr:from>
    <xdr:to>
      <xdr:col>85</xdr:col>
      <xdr:colOff>103415</xdr:colOff>
      <xdr:row>598</xdr:row>
      <xdr:rowOff>95249</xdr:rowOff>
    </xdr:to>
    <xdr:cxnSp macro="">
      <xdr:nvCxnSpPr>
        <xdr:cNvPr id="1092" name="직선 화살표 연결선 1091"/>
        <xdr:cNvCxnSpPr/>
      </xdr:nvCxnSpPr>
      <xdr:spPr>
        <a:xfrm>
          <a:off x="64873415" y="125406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597</xdr:row>
      <xdr:rowOff>38099</xdr:rowOff>
    </xdr:from>
    <xdr:to>
      <xdr:col>86</xdr:col>
      <xdr:colOff>21952</xdr:colOff>
      <xdr:row>597</xdr:row>
      <xdr:rowOff>152399</xdr:rowOff>
    </xdr:to>
    <xdr:sp macro="" textlink="">
      <xdr:nvSpPr>
        <xdr:cNvPr id="1093" name="295"/>
        <xdr:cNvSpPr/>
      </xdr:nvSpPr>
      <xdr:spPr>
        <a:xfrm>
          <a:off x="64873415" y="12513944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597</xdr:row>
      <xdr:rowOff>95249</xdr:rowOff>
    </xdr:from>
    <xdr:to>
      <xdr:col>85</xdr:col>
      <xdr:colOff>103415</xdr:colOff>
      <xdr:row>597</xdr:row>
      <xdr:rowOff>95249</xdr:rowOff>
    </xdr:to>
    <xdr:cxnSp macro="">
      <xdr:nvCxnSpPr>
        <xdr:cNvPr id="1094" name="직선 화살표 연결선 1093"/>
        <xdr:cNvCxnSpPr/>
      </xdr:nvCxnSpPr>
      <xdr:spPr>
        <a:xfrm>
          <a:off x="64873415" y="125196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596</xdr:row>
      <xdr:rowOff>38099</xdr:rowOff>
    </xdr:from>
    <xdr:to>
      <xdr:col>86</xdr:col>
      <xdr:colOff>21952</xdr:colOff>
      <xdr:row>596</xdr:row>
      <xdr:rowOff>152399</xdr:rowOff>
    </xdr:to>
    <xdr:sp macro="" textlink="">
      <xdr:nvSpPr>
        <xdr:cNvPr id="1095" name="294"/>
        <xdr:cNvSpPr/>
      </xdr:nvSpPr>
      <xdr:spPr>
        <a:xfrm>
          <a:off x="64873415" y="1249298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596</xdr:row>
      <xdr:rowOff>95249</xdr:rowOff>
    </xdr:from>
    <xdr:to>
      <xdr:col>85</xdr:col>
      <xdr:colOff>103415</xdr:colOff>
      <xdr:row>596</xdr:row>
      <xdr:rowOff>95249</xdr:rowOff>
    </xdr:to>
    <xdr:cxnSp macro="">
      <xdr:nvCxnSpPr>
        <xdr:cNvPr id="1096" name="직선 화살표 연결선 1095"/>
        <xdr:cNvCxnSpPr/>
      </xdr:nvCxnSpPr>
      <xdr:spPr>
        <a:xfrm>
          <a:off x="64873415" y="124987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595</xdr:row>
      <xdr:rowOff>38099</xdr:rowOff>
    </xdr:from>
    <xdr:to>
      <xdr:col>94</xdr:col>
      <xdr:colOff>104684</xdr:colOff>
      <xdr:row>595</xdr:row>
      <xdr:rowOff>152399</xdr:rowOff>
    </xdr:to>
    <xdr:sp macro="" textlink="">
      <xdr:nvSpPr>
        <xdr:cNvPr id="1097" name="293"/>
        <xdr:cNvSpPr/>
      </xdr:nvSpPr>
      <xdr:spPr>
        <a:xfrm>
          <a:off x="64873415" y="124720349"/>
          <a:ext cx="685926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595</xdr:row>
      <xdr:rowOff>95249</xdr:rowOff>
    </xdr:from>
    <xdr:to>
      <xdr:col>85</xdr:col>
      <xdr:colOff>103415</xdr:colOff>
      <xdr:row>595</xdr:row>
      <xdr:rowOff>95249</xdr:rowOff>
    </xdr:to>
    <xdr:cxnSp macro="">
      <xdr:nvCxnSpPr>
        <xdr:cNvPr id="1098" name="직선 화살표 연결선 1097"/>
        <xdr:cNvCxnSpPr/>
      </xdr:nvCxnSpPr>
      <xdr:spPr>
        <a:xfrm>
          <a:off x="64873415" y="124777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41366</xdr:colOff>
      <xdr:row>594</xdr:row>
      <xdr:rowOff>38099</xdr:rowOff>
    </xdr:from>
    <xdr:to>
      <xdr:col>94</xdr:col>
      <xdr:colOff>104684</xdr:colOff>
      <xdr:row>594</xdr:row>
      <xdr:rowOff>152399</xdr:rowOff>
    </xdr:to>
    <xdr:sp macro="" textlink="">
      <xdr:nvSpPr>
        <xdr:cNvPr id="1099" name="292"/>
        <xdr:cNvSpPr/>
      </xdr:nvSpPr>
      <xdr:spPr>
        <a:xfrm>
          <a:off x="71669366" y="12451079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41366</xdr:colOff>
      <xdr:row>594</xdr:row>
      <xdr:rowOff>95249</xdr:rowOff>
    </xdr:from>
    <xdr:to>
      <xdr:col>94</xdr:col>
      <xdr:colOff>41366</xdr:colOff>
      <xdr:row>594</xdr:row>
      <xdr:rowOff>95249</xdr:rowOff>
    </xdr:to>
    <xdr:cxnSp macro="">
      <xdr:nvCxnSpPr>
        <xdr:cNvPr id="1100" name="직선 화살표 연결선 1099"/>
        <xdr:cNvCxnSpPr/>
      </xdr:nvCxnSpPr>
      <xdr:spPr>
        <a:xfrm>
          <a:off x="71669366" y="124567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41366</xdr:colOff>
      <xdr:row>593</xdr:row>
      <xdr:rowOff>38099</xdr:rowOff>
    </xdr:from>
    <xdr:to>
      <xdr:col>94</xdr:col>
      <xdr:colOff>104684</xdr:colOff>
      <xdr:row>593</xdr:row>
      <xdr:rowOff>152399</xdr:rowOff>
    </xdr:to>
    <xdr:sp macro="" textlink="">
      <xdr:nvSpPr>
        <xdr:cNvPr id="1101" name="291"/>
        <xdr:cNvSpPr/>
      </xdr:nvSpPr>
      <xdr:spPr>
        <a:xfrm>
          <a:off x="71669366" y="12430124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41366</xdr:colOff>
      <xdr:row>593</xdr:row>
      <xdr:rowOff>95249</xdr:rowOff>
    </xdr:from>
    <xdr:to>
      <xdr:col>94</xdr:col>
      <xdr:colOff>41366</xdr:colOff>
      <xdr:row>593</xdr:row>
      <xdr:rowOff>95249</xdr:rowOff>
    </xdr:to>
    <xdr:cxnSp macro="">
      <xdr:nvCxnSpPr>
        <xdr:cNvPr id="1102" name="직선 화살표 연결선 1101"/>
        <xdr:cNvCxnSpPr/>
      </xdr:nvCxnSpPr>
      <xdr:spPr>
        <a:xfrm>
          <a:off x="71669366" y="124358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62049</xdr:colOff>
      <xdr:row>592</xdr:row>
      <xdr:rowOff>38099</xdr:rowOff>
    </xdr:from>
    <xdr:to>
      <xdr:col>94</xdr:col>
      <xdr:colOff>84002</xdr:colOff>
      <xdr:row>592</xdr:row>
      <xdr:rowOff>152399</xdr:rowOff>
    </xdr:to>
    <xdr:sp macro="" textlink="">
      <xdr:nvSpPr>
        <xdr:cNvPr id="1103" name="290"/>
        <xdr:cNvSpPr/>
      </xdr:nvSpPr>
      <xdr:spPr>
        <a:xfrm>
          <a:off x="70928049" y="124091699"/>
          <a:ext cx="783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62049</xdr:colOff>
      <xdr:row>592</xdr:row>
      <xdr:rowOff>95249</xdr:rowOff>
    </xdr:from>
    <xdr:to>
      <xdr:col>93</xdr:col>
      <xdr:colOff>62049</xdr:colOff>
      <xdr:row>592</xdr:row>
      <xdr:rowOff>95249</xdr:rowOff>
    </xdr:to>
    <xdr:cxnSp macro="">
      <xdr:nvCxnSpPr>
        <xdr:cNvPr id="1104" name="직선 화살표 연결선 1103"/>
        <xdr:cNvCxnSpPr/>
      </xdr:nvCxnSpPr>
      <xdr:spPr>
        <a:xfrm>
          <a:off x="70928049" y="124148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82732</xdr:colOff>
      <xdr:row>591</xdr:row>
      <xdr:rowOff>38099</xdr:rowOff>
    </xdr:from>
    <xdr:to>
      <xdr:col>94</xdr:col>
      <xdr:colOff>104684</xdr:colOff>
      <xdr:row>591</xdr:row>
      <xdr:rowOff>152399</xdr:rowOff>
    </xdr:to>
    <xdr:sp macro="" textlink="">
      <xdr:nvSpPr>
        <xdr:cNvPr id="1105" name="289"/>
        <xdr:cNvSpPr/>
      </xdr:nvSpPr>
      <xdr:spPr>
        <a:xfrm>
          <a:off x="70948732" y="123882149"/>
          <a:ext cx="78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82732</xdr:colOff>
      <xdr:row>591</xdr:row>
      <xdr:rowOff>95249</xdr:rowOff>
    </xdr:from>
    <xdr:to>
      <xdr:col>93</xdr:col>
      <xdr:colOff>82732</xdr:colOff>
      <xdr:row>591</xdr:row>
      <xdr:rowOff>95249</xdr:rowOff>
    </xdr:to>
    <xdr:cxnSp macro="">
      <xdr:nvCxnSpPr>
        <xdr:cNvPr id="1106" name="직선 화살표 연결선 1105"/>
        <xdr:cNvCxnSpPr/>
      </xdr:nvCxnSpPr>
      <xdr:spPr>
        <a:xfrm>
          <a:off x="70948732" y="123939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103414</xdr:colOff>
      <xdr:row>590</xdr:row>
      <xdr:rowOff>38099</xdr:rowOff>
    </xdr:from>
    <xdr:to>
      <xdr:col>94</xdr:col>
      <xdr:colOff>104684</xdr:colOff>
      <xdr:row>590</xdr:row>
      <xdr:rowOff>152399</xdr:rowOff>
    </xdr:to>
    <xdr:sp macro="" textlink="">
      <xdr:nvSpPr>
        <xdr:cNvPr id="1107" name="288"/>
        <xdr:cNvSpPr/>
      </xdr:nvSpPr>
      <xdr:spPr>
        <a:xfrm>
          <a:off x="70969414" y="123672599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103414</xdr:colOff>
      <xdr:row>590</xdr:row>
      <xdr:rowOff>95249</xdr:rowOff>
    </xdr:from>
    <xdr:to>
      <xdr:col>93</xdr:col>
      <xdr:colOff>103414</xdr:colOff>
      <xdr:row>590</xdr:row>
      <xdr:rowOff>95249</xdr:rowOff>
    </xdr:to>
    <xdr:cxnSp macro="">
      <xdr:nvCxnSpPr>
        <xdr:cNvPr id="1108" name="직선 화살표 연결선 1107"/>
        <xdr:cNvCxnSpPr/>
      </xdr:nvCxnSpPr>
      <xdr:spPr>
        <a:xfrm>
          <a:off x="70969414" y="123729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124098</xdr:colOff>
      <xdr:row>589</xdr:row>
      <xdr:rowOff>38099</xdr:rowOff>
    </xdr:from>
    <xdr:to>
      <xdr:col>93</xdr:col>
      <xdr:colOff>125366</xdr:colOff>
      <xdr:row>589</xdr:row>
      <xdr:rowOff>152399</xdr:rowOff>
    </xdr:to>
    <xdr:sp macro="" textlink="">
      <xdr:nvSpPr>
        <xdr:cNvPr id="1109" name="287"/>
        <xdr:cNvSpPr/>
      </xdr:nvSpPr>
      <xdr:spPr>
        <a:xfrm>
          <a:off x="70228098" y="123463049"/>
          <a:ext cx="763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124098</xdr:colOff>
      <xdr:row>589</xdr:row>
      <xdr:rowOff>95249</xdr:rowOff>
    </xdr:from>
    <xdr:to>
      <xdr:col>92</xdr:col>
      <xdr:colOff>124098</xdr:colOff>
      <xdr:row>589</xdr:row>
      <xdr:rowOff>95249</xdr:rowOff>
    </xdr:to>
    <xdr:cxnSp macro="">
      <xdr:nvCxnSpPr>
        <xdr:cNvPr id="1110" name="직선 화살표 연결선 1109"/>
        <xdr:cNvCxnSpPr/>
      </xdr:nvCxnSpPr>
      <xdr:spPr>
        <a:xfrm>
          <a:off x="70228098" y="123520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62049</xdr:colOff>
      <xdr:row>588</xdr:row>
      <xdr:rowOff>38099</xdr:rowOff>
    </xdr:from>
    <xdr:to>
      <xdr:col>94</xdr:col>
      <xdr:colOff>1270</xdr:colOff>
      <xdr:row>588</xdr:row>
      <xdr:rowOff>152399</xdr:rowOff>
    </xdr:to>
    <xdr:sp macro="" textlink="">
      <xdr:nvSpPr>
        <xdr:cNvPr id="1111" name="286"/>
        <xdr:cNvSpPr/>
      </xdr:nvSpPr>
      <xdr:spPr>
        <a:xfrm>
          <a:off x="70166049" y="123253499"/>
          <a:ext cx="1463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62049</xdr:colOff>
      <xdr:row>588</xdr:row>
      <xdr:rowOff>95249</xdr:rowOff>
    </xdr:from>
    <xdr:to>
      <xdr:col>92</xdr:col>
      <xdr:colOff>62049</xdr:colOff>
      <xdr:row>588</xdr:row>
      <xdr:rowOff>95249</xdr:rowOff>
    </xdr:to>
    <xdr:cxnSp macro="">
      <xdr:nvCxnSpPr>
        <xdr:cNvPr id="1112" name="직선 화살표 연결선 1111"/>
        <xdr:cNvCxnSpPr/>
      </xdr:nvCxnSpPr>
      <xdr:spPr>
        <a:xfrm>
          <a:off x="70166049" y="123310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41366</xdr:colOff>
      <xdr:row>587</xdr:row>
      <xdr:rowOff>38099</xdr:rowOff>
    </xdr:from>
    <xdr:to>
      <xdr:col>93</xdr:col>
      <xdr:colOff>1270</xdr:colOff>
      <xdr:row>587</xdr:row>
      <xdr:rowOff>152399</xdr:rowOff>
    </xdr:to>
    <xdr:sp macro="" textlink="">
      <xdr:nvSpPr>
        <xdr:cNvPr id="1113" name="285"/>
        <xdr:cNvSpPr/>
      </xdr:nvSpPr>
      <xdr:spPr>
        <a:xfrm>
          <a:off x="70145366" y="123043949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41366</xdr:colOff>
      <xdr:row>587</xdr:row>
      <xdr:rowOff>95249</xdr:rowOff>
    </xdr:from>
    <xdr:to>
      <xdr:col>92</xdr:col>
      <xdr:colOff>41366</xdr:colOff>
      <xdr:row>587</xdr:row>
      <xdr:rowOff>95249</xdr:rowOff>
    </xdr:to>
    <xdr:cxnSp macro="">
      <xdr:nvCxnSpPr>
        <xdr:cNvPr id="1114" name="직선 화살표 연결선 1113"/>
        <xdr:cNvCxnSpPr/>
      </xdr:nvCxnSpPr>
      <xdr:spPr>
        <a:xfrm>
          <a:off x="70145366" y="123101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103414</xdr:colOff>
      <xdr:row>586</xdr:row>
      <xdr:rowOff>38099</xdr:rowOff>
    </xdr:from>
    <xdr:to>
      <xdr:col>92</xdr:col>
      <xdr:colOff>42636</xdr:colOff>
      <xdr:row>586</xdr:row>
      <xdr:rowOff>152399</xdr:rowOff>
    </xdr:to>
    <xdr:sp macro="" textlink="">
      <xdr:nvSpPr>
        <xdr:cNvPr id="1115" name="284"/>
        <xdr:cNvSpPr/>
      </xdr:nvSpPr>
      <xdr:spPr>
        <a:xfrm>
          <a:off x="69445414" y="122834399"/>
          <a:ext cx="70122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103414</xdr:colOff>
      <xdr:row>586</xdr:row>
      <xdr:rowOff>95249</xdr:rowOff>
    </xdr:from>
    <xdr:to>
      <xdr:col>91</xdr:col>
      <xdr:colOff>103414</xdr:colOff>
      <xdr:row>586</xdr:row>
      <xdr:rowOff>95249</xdr:rowOff>
    </xdr:to>
    <xdr:cxnSp macro="">
      <xdr:nvCxnSpPr>
        <xdr:cNvPr id="1116" name="직선 화살표 연결선 1115"/>
        <xdr:cNvCxnSpPr/>
      </xdr:nvCxnSpPr>
      <xdr:spPr>
        <a:xfrm>
          <a:off x="69445414" y="122891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20682</xdr:colOff>
      <xdr:row>585</xdr:row>
      <xdr:rowOff>38099</xdr:rowOff>
    </xdr:from>
    <xdr:to>
      <xdr:col>91</xdr:col>
      <xdr:colOff>104683</xdr:colOff>
      <xdr:row>585</xdr:row>
      <xdr:rowOff>152399</xdr:rowOff>
    </xdr:to>
    <xdr:sp macro="" textlink="">
      <xdr:nvSpPr>
        <xdr:cNvPr id="1117" name="283"/>
        <xdr:cNvSpPr/>
      </xdr:nvSpPr>
      <xdr:spPr>
        <a:xfrm>
          <a:off x="69362682" y="12262484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20682</xdr:colOff>
      <xdr:row>585</xdr:row>
      <xdr:rowOff>95249</xdr:rowOff>
    </xdr:from>
    <xdr:to>
      <xdr:col>91</xdr:col>
      <xdr:colOff>20682</xdr:colOff>
      <xdr:row>585</xdr:row>
      <xdr:rowOff>95249</xdr:rowOff>
    </xdr:to>
    <xdr:cxnSp macro="">
      <xdr:nvCxnSpPr>
        <xdr:cNvPr id="1118" name="직선 화살표 연결선 1117"/>
        <xdr:cNvCxnSpPr/>
      </xdr:nvCxnSpPr>
      <xdr:spPr>
        <a:xfrm>
          <a:off x="69362682" y="122681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20683</xdr:colOff>
      <xdr:row>584</xdr:row>
      <xdr:rowOff>38099</xdr:rowOff>
    </xdr:from>
    <xdr:to>
      <xdr:col>91</xdr:col>
      <xdr:colOff>21952</xdr:colOff>
      <xdr:row>584</xdr:row>
      <xdr:rowOff>152399</xdr:rowOff>
    </xdr:to>
    <xdr:sp macro="" textlink="">
      <xdr:nvSpPr>
        <xdr:cNvPr id="1119" name="282"/>
        <xdr:cNvSpPr/>
      </xdr:nvSpPr>
      <xdr:spPr>
        <a:xfrm>
          <a:off x="67838683" y="122415299"/>
          <a:ext cx="1525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20683</xdr:colOff>
      <xdr:row>584</xdr:row>
      <xdr:rowOff>95249</xdr:rowOff>
    </xdr:from>
    <xdr:to>
      <xdr:col>89</xdr:col>
      <xdr:colOff>20683</xdr:colOff>
      <xdr:row>584</xdr:row>
      <xdr:rowOff>95249</xdr:rowOff>
    </xdr:to>
    <xdr:cxnSp macro="">
      <xdr:nvCxnSpPr>
        <xdr:cNvPr id="1120" name="직선 화살표 연결선 1119"/>
        <xdr:cNvCxnSpPr/>
      </xdr:nvCxnSpPr>
      <xdr:spPr>
        <a:xfrm>
          <a:off x="67838683" y="122472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583</xdr:row>
      <xdr:rowOff>38099</xdr:rowOff>
    </xdr:from>
    <xdr:to>
      <xdr:col>91</xdr:col>
      <xdr:colOff>1269</xdr:colOff>
      <xdr:row>583</xdr:row>
      <xdr:rowOff>152399</xdr:rowOff>
    </xdr:to>
    <xdr:sp macro="" textlink="">
      <xdr:nvSpPr>
        <xdr:cNvPr id="1121" name="281"/>
        <xdr:cNvSpPr/>
      </xdr:nvSpPr>
      <xdr:spPr>
        <a:xfrm>
          <a:off x="67818001" y="122205749"/>
          <a:ext cx="1525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583</xdr:row>
      <xdr:rowOff>95249</xdr:rowOff>
    </xdr:from>
    <xdr:to>
      <xdr:col>89</xdr:col>
      <xdr:colOff>1</xdr:colOff>
      <xdr:row>583</xdr:row>
      <xdr:rowOff>95249</xdr:rowOff>
    </xdr:to>
    <xdr:cxnSp macro="">
      <xdr:nvCxnSpPr>
        <xdr:cNvPr id="1122" name="직선 화살표 연결선 1121"/>
        <xdr:cNvCxnSpPr/>
      </xdr:nvCxnSpPr>
      <xdr:spPr>
        <a:xfrm>
          <a:off x="67818001" y="122262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582</xdr:row>
      <xdr:rowOff>38099</xdr:rowOff>
    </xdr:from>
    <xdr:to>
      <xdr:col>90</xdr:col>
      <xdr:colOff>125367</xdr:colOff>
      <xdr:row>582</xdr:row>
      <xdr:rowOff>152399</xdr:rowOff>
    </xdr:to>
    <xdr:sp macro="" textlink="">
      <xdr:nvSpPr>
        <xdr:cNvPr id="1123" name="280"/>
        <xdr:cNvSpPr/>
      </xdr:nvSpPr>
      <xdr:spPr>
        <a:xfrm>
          <a:off x="67118049" y="121996199"/>
          <a:ext cx="1587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582</xdr:row>
      <xdr:rowOff>95249</xdr:rowOff>
    </xdr:from>
    <xdr:to>
      <xdr:col>88</xdr:col>
      <xdr:colOff>62049</xdr:colOff>
      <xdr:row>582</xdr:row>
      <xdr:rowOff>95249</xdr:rowOff>
    </xdr:to>
    <xdr:cxnSp macro="">
      <xdr:nvCxnSpPr>
        <xdr:cNvPr id="1124" name="직선 화살표 연결선 1123"/>
        <xdr:cNvCxnSpPr/>
      </xdr:nvCxnSpPr>
      <xdr:spPr>
        <a:xfrm>
          <a:off x="67118049" y="122053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581</xdr:row>
      <xdr:rowOff>38099</xdr:rowOff>
    </xdr:from>
    <xdr:to>
      <xdr:col>88</xdr:col>
      <xdr:colOff>63319</xdr:colOff>
      <xdr:row>581</xdr:row>
      <xdr:rowOff>152399</xdr:rowOff>
    </xdr:to>
    <xdr:sp macro="" textlink="">
      <xdr:nvSpPr>
        <xdr:cNvPr id="1125" name="279"/>
        <xdr:cNvSpPr/>
      </xdr:nvSpPr>
      <xdr:spPr>
        <a:xfrm>
          <a:off x="66418098" y="1217866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581</xdr:row>
      <xdr:rowOff>95249</xdr:rowOff>
    </xdr:from>
    <xdr:to>
      <xdr:col>87</xdr:col>
      <xdr:colOff>124098</xdr:colOff>
      <xdr:row>581</xdr:row>
      <xdr:rowOff>95249</xdr:rowOff>
    </xdr:to>
    <xdr:cxnSp macro="">
      <xdr:nvCxnSpPr>
        <xdr:cNvPr id="1126" name="직선 화살표 연결선 1125"/>
        <xdr:cNvCxnSpPr/>
      </xdr:nvCxnSpPr>
      <xdr:spPr>
        <a:xfrm>
          <a:off x="66418098" y="121843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580</xdr:row>
      <xdr:rowOff>38099</xdr:rowOff>
    </xdr:from>
    <xdr:to>
      <xdr:col>87</xdr:col>
      <xdr:colOff>125368</xdr:colOff>
      <xdr:row>580</xdr:row>
      <xdr:rowOff>152399</xdr:rowOff>
    </xdr:to>
    <xdr:sp macro="" textlink="">
      <xdr:nvSpPr>
        <xdr:cNvPr id="1127" name="278"/>
        <xdr:cNvSpPr/>
      </xdr:nvSpPr>
      <xdr:spPr>
        <a:xfrm>
          <a:off x="66356049" y="12157709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580</xdr:row>
      <xdr:rowOff>95249</xdr:rowOff>
    </xdr:from>
    <xdr:to>
      <xdr:col>87</xdr:col>
      <xdr:colOff>62049</xdr:colOff>
      <xdr:row>580</xdr:row>
      <xdr:rowOff>95249</xdr:rowOff>
    </xdr:to>
    <xdr:cxnSp macro="">
      <xdr:nvCxnSpPr>
        <xdr:cNvPr id="1128" name="직선 화살표 연결선 1127"/>
        <xdr:cNvCxnSpPr/>
      </xdr:nvCxnSpPr>
      <xdr:spPr>
        <a:xfrm>
          <a:off x="66356049" y="121634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579</xdr:row>
      <xdr:rowOff>38099</xdr:rowOff>
    </xdr:from>
    <xdr:to>
      <xdr:col>87</xdr:col>
      <xdr:colOff>63319</xdr:colOff>
      <xdr:row>579</xdr:row>
      <xdr:rowOff>152399</xdr:rowOff>
    </xdr:to>
    <xdr:sp macro="" textlink="">
      <xdr:nvSpPr>
        <xdr:cNvPr id="1129" name="277"/>
        <xdr:cNvSpPr/>
      </xdr:nvSpPr>
      <xdr:spPr>
        <a:xfrm>
          <a:off x="66294000" y="1213675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0</xdr:colOff>
      <xdr:row>579</xdr:row>
      <xdr:rowOff>95249</xdr:rowOff>
    </xdr:from>
    <xdr:to>
      <xdr:col>87</xdr:col>
      <xdr:colOff>0</xdr:colOff>
      <xdr:row>579</xdr:row>
      <xdr:rowOff>95249</xdr:rowOff>
    </xdr:to>
    <xdr:cxnSp macro="">
      <xdr:nvCxnSpPr>
        <xdr:cNvPr id="1130" name="직선 화살표 연결선 1129"/>
        <xdr:cNvCxnSpPr/>
      </xdr:nvCxnSpPr>
      <xdr:spPr>
        <a:xfrm>
          <a:off x="66294000" y="121424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578</xdr:row>
      <xdr:rowOff>38099</xdr:rowOff>
    </xdr:from>
    <xdr:to>
      <xdr:col>87</xdr:col>
      <xdr:colOff>1270</xdr:colOff>
      <xdr:row>578</xdr:row>
      <xdr:rowOff>152399</xdr:rowOff>
    </xdr:to>
    <xdr:sp macro="" textlink="">
      <xdr:nvSpPr>
        <xdr:cNvPr id="1131" name="276"/>
        <xdr:cNvSpPr/>
      </xdr:nvSpPr>
      <xdr:spPr>
        <a:xfrm>
          <a:off x="65594049" y="1211579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578</xdr:row>
      <xdr:rowOff>95249</xdr:rowOff>
    </xdr:from>
    <xdr:to>
      <xdr:col>86</xdr:col>
      <xdr:colOff>62049</xdr:colOff>
      <xdr:row>578</xdr:row>
      <xdr:rowOff>95249</xdr:rowOff>
    </xdr:to>
    <xdr:cxnSp macro="">
      <xdr:nvCxnSpPr>
        <xdr:cNvPr id="1132" name="직선 화살표 연결선 1131"/>
        <xdr:cNvCxnSpPr/>
      </xdr:nvCxnSpPr>
      <xdr:spPr>
        <a:xfrm>
          <a:off x="65594049" y="121215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577</xdr:row>
      <xdr:rowOff>38099</xdr:rowOff>
    </xdr:from>
    <xdr:to>
      <xdr:col>88</xdr:col>
      <xdr:colOff>63319</xdr:colOff>
      <xdr:row>577</xdr:row>
      <xdr:rowOff>152399</xdr:rowOff>
    </xdr:to>
    <xdr:sp macro="" textlink="">
      <xdr:nvSpPr>
        <xdr:cNvPr id="1133" name="275"/>
        <xdr:cNvSpPr/>
      </xdr:nvSpPr>
      <xdr:spPr>
        <a:xfrm>
          <a:off x="65552682" y="120948449"/>
          <a:ext cx="15666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577</xdr:row>
      <xdr:rowOff>95249</xdr:rowOff>
    </xdr:from>
    <xdr:to>
      <xdr:col>86</xdr:col>
      <xdr:colOff>20682</xdr:colOff>
      <xdr:row>577</xdr:row>
      <xdr:rowOff>95249</xdr:rowOff>
    </xdr:to>
    <xdr:cxnSp macro="">
      <xdr:nvCxnSpPr>
        <xdr:cNvPr id="1134" name="직선 화살표 연결선 1133"/>
        <xdr:cNvCxnSpPr/>
      </xdr:nvCxnSpPr>
      <xdr:spPr>
        <a:xfrm>
          <a:off x="65552682" y="121005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144779</xdr:colOff>
      <xdr:row>576</xdr:row>
      <xdr:rowOff>38099</xdr:rowOff>
    </xdr:from>
    <xdr:to>
      <xdr:col>90</xdr:col>
      <xdr:colOff>63318</xdr:colOff>
      <xdr:row>576</xdr:row>
      <xdr:rowOff>152399</xdr:rowOff>
    </xdr:to>
    <xdr:sp macro="" textlink="">
      <xdr:nvSpPr>
        <xdr:cNvPr id="1135" name="274"/>
        <xdr:cNvSpPr/>
      </xdr:nvSpPr>
      <xdr:spPr>
        <a:xfrm>
          <a:off x="67962779" y="12073889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144779</xdr:colOff>
      <xdr:row>576</xdr:row>
      <xdr:rowOff>95249</xdr:rowOff>
    </xdr:from>
    <xdr:to>
      <xdr:col>89</xdr:col>
      <xdr:colOff>144779</xdr:colOff>
      <xdr:row>576</xdr:row>
      <xdr:rowOff>95249</xdr:rowOff>
    </xdr:to>
    <xdr:cxnSp macro="">
      <xdr:nvCxnSpPr>
        <xdr:cNvPr id="1136" name="직선 화살표 연결선 1135"/>
        <xdr:cNvCxnSpPr/>
      </xdr:nvCxnSpPr>
      <xdr:spPr>
        <a:xfrm>
          <a:off x="67962779" y="120796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575</xdr:row>
      <xdr:rowOff>38099</xdr:rowOff>
    </xdr:from>
    <xdr:to>
      <xdr:col>90</xdr:col>
      <xdr:colOff>1269</xdr:colOff>
      <xdr:row>575</xdr:row>
      <xdr:rowOff>152399</xdr:rowOff>
    </xdr:to>
    <xdr:sp macro="" textlink="">
      <xdr:nvSpPr>
        <xdr:cNvPr id="1137" name="273"/>
        <xdr:cNvSpPr/>
      </xdr:nvSpPr>
      <xdr:spPr>
        <a:xfrm>
          <a:off x="67900732" y="12052934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575</xdr:row>
      <xdr:rowOff>95249</xdr:rowOff>
    </xdr:from>
    <xdr:to>
      <xdr:col>89</xdr:col>
      <xdr:colOff>82732</xdr:colOff>
      <xdr:row>575</xdr:row>
      <xdr:rowOff>95249</xdr:rowOff>
    </xdr:to>
    <xdr:cxnSp macro="">
      <xdr:nvCxnSpPr>
        <xdr:cNvPr id="1138" name="직선 화살표 연결선 1137"/>
        <xdr:cNvCxnSpPr/>
      </xdr:nvCxnSpPr>
      <xdr:spPr>
        <a:xfrm>
          <a:off x="67900732" y="120586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41366</xdr:colOff>
      <xdr:row>574</xdr:row>
      <xdr:rowOff>38099</xdr:rowOff>
    </xdr:from>
    <xdr:to>
      <xdr:col>89</xdr:col>
      <xdr:colOff>84002</xdr:colOff>
      <xdr:row>574</xdr:row>
      <xdr:rowOff>152399</xdr:rowOff>
    </xdr:to>
    <xdr:sp macro="" textlink="">
      <xdr:nvSpPr>
        <xdr:cNvPr id="1139" name="272"/>
        <xdr:cNvSpPr/>
      </xdr:nvSpPr>
      <xdr:spPr>
        <a:xfrm>
          <a:off x="67859366" y="1203197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574</xdr:row>
      <xdr:rowOff>95249</xdr:rowOff>
    </xdr:from>
    <xdr:to>
      <xdr:col>89</xdr:col>
      <xdr:colOff>41366</xdr:colOff>
      <xdr:row>574</xdr:row>
      <xdr:rowOff>95249</xdr:rowOff>
    </xdr:to>
    <xdr:cxnSp macro="">
      <xdr:nvCxnSpPr>
        <xdr:cNvPr id="1140" name="직선 화살표 연결선 1139"/>
        <xdr:cNvCxnSpPr/>
      </xdr:nvCxnSpPr>
      <xdr:spPr>
        <a:xfrm>
          <a:off x="67859366" y="120376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573</xdr:row>
      <xdr:rowOff>38099</xdr:rowOff>
    </xdr:from>
    <xdr:to>
      <xdr:col>89</xdr:col>
      <xdr:colOff>63318</xdr:colOff>
      <xdr:row>573</xdr:row>
      <xdr:rowOff>152399</xdr:rowOff>
    </xdr:to>
    <xdr:sp macro="" textlink="">
      <xdr:nvSpPr>
        <xdr:cNvPr id="1141" name="271"/>
        <xdr:cNvSpPr/>
      </xdr:nvSpPr>
      <xdr:spPr>
        <a:xfrm>
          <a:off x="67818001" y="120110249"/>
          <a:ext cx="63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573</xdr:row>
      <xdr:rowOff>95249</xdr:rowOff>
    </xdr:from>
    <xdr:to>
      <xdr:col>89</xdr:col>
      <xdr:colOff>1</xdr:colOff>
      <xdr:row>573</xdr:row>
      <xdr:rowOff>95249</xdr:rowOff>
    </xdr:to>
    <xdr:cxnSp macro="">
      <xdr:nvCxnSpPr>
        <xdr:cNvPr id="1142" name="직선 화살표 연결선 1141"/>
        <xdr:cNvCxnSpPr/>
      </xdr:nvCxnSpPr>
      <xdr:spPr>
        <a:xfrm>
          <a:off x="67818001" y="120167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572</xdr:row>
      <xdr:rowOff>38099</xdr:rowOff>
    </xdr:from>
    <xdr:to>
      <xdr:col>89</xdr:col>
      <xdr:colOff>1270</xdr:colOff>
      <xdr:row>572</xdr:row>
      <xdr:rowOff>152399</xdr:rowOff>
    </xdr:to>
    <xdr:sp macro="" textlink="">
      <xdr:nvSpPr>
        <xdr:cNvPr id="1143" name="270"/>
        <xdr:cNvSpPr/>
      </xdr:nvSpPr>
      <xdr:spPr>
        <a:xfrm>
          <a:off x="67138732" y="11990069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572</xdr:row>
      <xdr:rowOff>95249</xdr:rowOff>
    </xdr:from>
    <xdr:to>
      <xdr:col>88</xdr:col>
      <xdr:colOff>82732</xdr:colOff>
      <xdr:row>572</xdr:row>
      <xdr:rowOff>95249</xdr:rowOff>
    </xdr:to>
    <xdr:cxnSp macro="">
      <xdr:nvCxnSpPr>
        <xdr:cNvPr id="1144" name="직선 화살표 연결선 1143"/>
        <xdr:cNvCxnSpPr/>
      </xdr:nvCxnSpPr>
      <xdr:spPr>
        <a:xfrm>
          <a:off x="67138732" y="119957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571</xdr:row>
      <xdr:rowOff>38099</xdr:rowOff>
    </xdr:from>
    <xdr:to>
      <xdr:col>88</xdr:col>
      <xdr:colOff>84001</xdr:colOff>
      <xdr:row>571</xdr:row>
      <xdr:rowOff>152399</xdr:rowOff>
    </xdr:to>
    <xdr:sp macro="" textlink="">
      <xdr:nvSpPr>
        <xdr:cNvPr id="1145" name="269"/>
        <xdr:cNvSpPr/>
      </xdr:nvSpPr>
      <xdr:spPr>
        <a:xfrm>
          <a:off x="67056000" y="11969114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571</xdr:row>
      <xdr:rowOff>95249</xdr:rowOff>
    </xdr:from>
    <xdr:to>
      <xdr:col>88</xdr:col>
      <xdr:colOff>0</xdr:colOff>
      <xdr:row>571</xdr:row>
      <xdr:rowOff>95249</xdr:rowOff>
    </xdr:to>
    <xdr:cxnSp macro="">
      <xdr:nvCxnSpPr>
        <xdr:cNvPr id="1146" name="직선 화살표 연결선 1145"/>
        <xdr:cNvCxnSpPr/>
      </xdr:nvCxnSpPr>
      <xdr:spPr>
        <a:xfrm>
          <a:off x="67056000" y="119748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570</xdr:row>
      <xdr:rowOff>38099</xdr:rowOff>
    </xdr:from>
    <xdr:to>
      <xdr:col>88</xdr:col>
      <xdr:colOff>63319</xdr:colOff>
      <xdr:row>570</xdr:row>
      <xdr:rowOff>152399</xdr:rowOff>
    </xdr:to>
    <xdr:sp macro="" textlink="">
      <xdr:nvSpPr>
        <xdr:cNvPr id="1147" name="268"/>
        <xdr:cNvSpPr/>
      </xdr:nvSpPr>
      <xdr:spPr>
        <a:xfrm>
          <a:off x="66418098" y="1194815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570</xdr:row>
      <xdr:rowOff>95249</xdr:rowOff>
    </xdr:from>
    <xdr:to>
      <xdr:col>87</xdr:col>
      <xdr:colOff>124098</xdr:colOff>
      <xdr:row>570</xdr:row>
      <xdr:rowOff>95249</xdr:rowOff>
    </xdr:to>
    <xdr:cxnSp macro="">
      <xdr:nvCxnSpPr>
        <xdr:cNvPr id="1148" name="직선 화살표 연결선 1147"/>
        <xdr:cNvCxnSpPr/>
      </xdr:nvCxnSpPr>
      <xdr:spPr>
        <a:xfrm>
          <a:off x="66418098" y="119538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569</xdr:row>
      <xdr:rowOff>38099</xdr:rowOff>
    </xdr:from>
    <xdr:to>
      <xdr:col>88</xdr:col>
      <xdr:colOff>1270</xdr:colOff>
      <xdr:row>569</xdr:row>
      <xdr:rowOff>152399</xdr:rowOff>
    </xdr:to>
    <xdr:sp macro="" textlink="">
      <xdr:nvSpPr>
        <xdr:cNvPr id="1149" name="267"/>
        <xdr:cNvSpPr/>
      </xdr:nvSpPr>
      <xdr:spPr>
        <a:xfrm>
          <a:off x="66397414" y="119272049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569</xdr:row>
      <xdr:rowOff>95249</xdr:rowOff>
    </xdr:from>
    <xdr:to>
      <xdr:col>87</xdr:col>
      <xdr:colOff>103414</xdr:colOff>
      <xdr:row>569</xdr:row>
      <xdr:rowOff>95249</xdr:rowOff>
    </xdr:to>
    <xdr:cxnSp macro="">
      <xdr:nvCxnSpPr>
        <xdr:cNvPr id="1150" name="직선 화살표 연결선 1149"/>
        <xdr:cNvCxnSpPr/>
      </xdr:nvCxnSpPr>
      <xdr:spPr>
        <a:xfrm>
          <a:off x="66397414" y="119329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568</xdr:row>
      <xdr:rowOff>38099</xdr:rowOff>
    </xdr:from>
    <xdr:to>
      <xdr:col>88</xdr:col>
      <xdr:colOff>21952</xdr:colOff>
      <xdr:row>568</xdr:row>
      <xdr:rowOff>152399</xdr:rowOff>
    </xdr:to>
    <xdr:sp macro="" textlink="">
      <xdr:nvSpPr>
        <xdr:cNvPr id="1151" name="266"/>
        <xdr:cNvSpPr/>
      </xdr:nvSpPr>
      <xdr:spPr>
        <a:xfrm>
          <a:off x="66376731" y="1190624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568</xdr:row>
      <xdr:rowOff>95249</xdr:rowOff>
    </xdr:from>
    <xdr:to>
      <xdr:col>87</xdr:col>
      <xdr:colOff>82731</xdr:colOff>
      <xdr:row>568</xdr:row>
      <xdr:rowOff>95249</xdr:rowOff>
    </xdr:to>
    <xdr:cxnSp macro="">
      <xdr:nvCxnSpPr>
        <xdr:cNvPr id="1152" name="직선 화살표 연결선 1151"/>
        <xdr:cNvCxnSpPr/>
      </xdr:nvCxnSpPr>
      <xdr:spPr>
        <a:xfrm>
          <a:off x="66376731" y="119119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567</xdr:row>
      <xdr:rowOff>38099</xdr:rowOff>
    </xdr:from>
    <xdr:to>
      <xdr:col>87</xdr:col>
      <xdr:colOff>125368</xdr:colOff>
      <xdr:row>567</xdr:row>
      <xdr:rowOff>152399</xdr:rowOff>
    </xdr:to>
    <xdr:sp macro="" textlink="">
      <xdr:nvSpPr>
        <xdr:cNvPr id="1153" name="265"/>
        <xdr:cNvSpPr/>
      </xdr:nvSpPr>
      <xdr:spPr>
        <a:xfrm>
          <a:off x="66356049" y="1188529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567</xdr:row>
      <xdr:rowOff>95249</xdr:rowOff>
    </xdr:from>
    <xdr:to>
      <xdr:col>87</xdr:col>
      <xdr:colOff>62049</xdr:colOff>
      <xdr:row>567</xdr:row>
      <xdr:rowOff>95249</xdr:rowOff>
    </xdr:to>
    <xdr:cxnSp macro="">
      <xdr:nvCxnSpPr>
        <xdr:cNvPr id="1154" name="직선 화살표 연결선 1153"/>
        <xdr:cNvCxnSpPr/>
      </xdr:nvCxnSpPr>
      <xdr:spPr>
        <a:xfrm>
          <a:off x="66356049" y="118910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566</xdr:row>
      <xdr:rowOff>38099</xdr:rowOff>
    </xdr:from>
    <xdr:to>
      <xdr:col>88</xdr:col>
      <xdr:colOff>42635</xdr:colOff>
      <xdr:row>566</xdr:row>
      <xdr:rowOff>152399</xdr:rowOff>
    </xdr:to>
    <xdr:sp macro="" textlink="">
      <xdr:nvSpPr>
        <xdr:cNvPr id="1155" name="264"/>
        <xdr:cNvSpPr/>
      </xdr:nvSpPr>
      <xdr:spPr>
        <a:xfrm>
          <a:off x="66356049" y="11864339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566</xdr:row>
      <xdr:rowOff>95249</xdr:rowOff>
    </xdr:from>
    <xdr:to>
      <xdr:col>87</xdr:col>
      <xdr:colOff>62049</xdr:colOff>
      <xdr:row>566</xdr:row>
      <xdr:rowOff>95249</xdr:rowOff>
    </xdr:to>
    <xdr:cxnSp macro="">
      <xdr:nvCxnSpPr>
        <xdr:cNvPr id="1156" name="직선 화살표 연결선 1155"/>
        <xdr:cNvCxnSpPr/>
      </xdr:nvCxnSpPr>
      <xdr:spPr>
        <a:xfrm>
          <a:off x="66356049" y="118700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565</xdr:row>
      <xdr:rowOff>38099</xdr:rowOff>
    </xdr:from>
    <xdr:to>
      <xdr:col>88</xdr:col>
      <xdr:colOff>21952</xdr:colOff>
      <xdr:row>565</xdr:row>
      <xdr:rowOff>152399</xdr:rowOff>
    </xdr:to>
    <xdr:sp macro="" textlink="">
      <xdr:nvSpPr>
        <xdr:cNvPr id="1157" name="263"/>
        <xdr:cNvSpPr/>
      </xdr:nvSpPr>
      <xdr:spPr>
        <a:xfrm>
          <a:off x="66335366" y="11843384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565</xdr:row>
      <xdr:rowOff>95249</xdr:rowOff>
    </xdr:from>
    <xdr:to>
      <xdr:col>87</xdr:col>
      <xdr:colOff>41366</xdr:colOff>
      <xdr:row>565</xdr:row>
      <xdr:rowOff>95249</xdr:rowOff>
    </xdr:to>
    <xdr:cxnSp macro="">
      <xdr:nvCxnSpPr>
        <xdr:cNvPr id="1158" name="직선 화살표 연결선 1157"/>
        <xdr:cNvCxnSpPr/>
      </xdr:nvCxnSpPr>
      <xdr:spPr>
        <a:xfrm>
          <a:off x="66335366" y="118490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124098</xdr:colOff>
      <xdr:row>564</xdr:row>
      <xdr:rowOff>38099</xdr:rowOff>
    </xdr:from>
    <xdr:to>
      <xdr:col>87</xdr:col>
      <xdr:colOff>42636</xdr:colOff>
      <xdr:row>564</xdr:row>
      <xdr:rowOff>152399</xdr:rowOff>
    </xdr:to>
    <xdr:sp macro="" textlink="">
      <xdr:nvSpPr>
        <xdr:cNvPr id="1159" name="262"/>
        <xdr:cNvSpPr/>
      </xdr:nvSpPr>
      <xdr:spPr>
        <a:xfrm>
          <a:off x="65656098" y="11822429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124098</xdr:colOff>
      <xdr:row>564</xdr:row>
      <xdr:rowOff>95249</xdr:rowOff>
    </xdr:from>
    <xdr:to>
      <xdr:col>86</xdr:col>
      <xdr:colOff>124098</xdr:colOff>
      <xdr:row>564</xdr:row>
      <xdr:rowOff>95249</xdr:rowOff>
    </xdr:to>
    <xdr:cxnSp macro="">
      <xdr:nvCxnSpPr>
        <xdr:cNvPr id="1160" name="직선 화살표 연결선 1159"/>
        <xdr:cNvCxnSpPr/>
      </xdr:nvCxnSpPr>
      <xdr:spPr>
        <a:xfrm>
          <a:off x="65656098" y="118281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82731</xdr:colOff>
      <xdr:row>563</xdr:row>
      <xdr:rowOff>38099</xdr:rowOff>
    </xdr:from>
    <xdr:to>
      <xdr:col>86</xdr:col>
      <xdr:colOff>125367</xdr:colOff>
      <xdr:row>563</xdr:row>
      <xdr:rowOff>152399</xdr:rowOff>
    </xdr:to>
    <xdr:sp macro="" textlink="">
      <xdr:nvSpPr>
        <xdr:cNvPr id="1161" name="261"/>
        <xdr:cNvSpPr/>
      </xdr:nvSpPr>
      <xdr:spPr>
        <a:xfrm>
          <a:off x="65614731" y="1180147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82731</xdr:colOff>
      <xdr:row>563</xdr:row>
      <xdr:rowOff>95249</xdr:rowOff>
    </xdr:from>
    <xdr:to>
      <xdr:col>86</xdr:col>
      <xdr:colOff>82731</xdr:colOff>
      <xdr:row>563</xdr:row>
      <xdr:rowOff>95249</xdr:rowOff>
    </xdr:to>
    <xdr:cxnSp macro="">
      <xdr:nvCxnSpPr>
        <xdr:cNvPr id="1162" name="직선 화살표 연결선 1161"/>
        <xdr:cNvCxnSpPr/>
      </xdr:nvCxnSpPr>
      <xdr:spPr>
        <a:xfrm>
          <a:off x="65614731" y="118071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562</xdr:row>
      <xdr:rowOff>38099</xdr:rowOff>
    </xdr:from>
    <xdr:to>
      <xdr:col>86</xdr:col>
      <xdr:colOff>125367</xdr:colOff>
      <xdr:row>562</xdr:row>
      <xdr:rowOff>152399</xdr:rowOff>
    </xdr:to>
    <xdr:sp macro="" textlink="">
      <xdr:nvSpPr>
        <xdr:cNvPr id="1163" name="260"/>
        <xdr:cNvSpPr/>
      </xdr:nvSpPr>
      <xdr:spPr>
        <a:xfrm>
          <a:off x="65594049" y="11780519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562</xdr:row>
      <xdr:rowOff>95249</xdr:rowOff>
    </xdr:from>
    <xdr:to>
      <xdr:col>86</xdr:col>
      <xdr:colOff>62049</xdr:colOff>
      <xdr:row>562</xdr:row>
      <xdr:rowOff>95249</xdr:rowOff>
    </xdr:to>
    <xdr:cxnSp macro="">
      <xdr:nvCxnSpPr>
        <xdr:cNvPr id="1164" name="직선 화살표 연결선 1163"/>
        <xdr:cNvCxnSpPr/>
      </xdr:nvCxnSpPr>
      <xdr:spPr>
        <a:xfrm>
          <a:off x="65594049" y="117862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561</xdr:row>
      <xdr:rowOff>38099</xdr:rowOff>
    </xdr:from>
    <xdr:to>
      <xdr:col>86</xdr:col>
      <xdr:colOff>63318</xdr:colOff>
      <xdr:row>561</xdr:row>
      <xdr:rowOff>152399</xdr:rowOff>
    </xdr:to>
    <xdr:sp macro="" textlink="">
      <xdr:nvSpPr>
        <xdr:cNvPr id="1165" name="259"/>
        <xdr:cNvSpPr/>
      </xdr:nvSpPr>
      <xdr:spPr>
        <a:xfrm>
          <a:off x="65552682" y="1175956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561</xdr:row>
      <xdr:rowOff>95249</xdr:rowOff>
    </xdr:from>
    <xdr:to>
      <xdr:col>86</xdr:col>
      <xdr:colOff>20682</xdr:colOff>
      <xdr:row>561</xdr:row>
      <xdr:rowOff>95249</xdr:rowOff>
    </xdr:to>
    <xdr:cxnSp macro="">
      <xdr:nvCxnSpPr>
        <xdr:cNvPr id="1166" name="직선 화살표 연결선 1165"/>
        <xdr:cNvCxnSpPr/>
      </xdr:nvCxnSpPr>
      <xdr:spPr>
        <a:xfrm>
          <a:off x="65552682" y="117652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560</xdr:row>
      <xdr:rowOff>38099</xdr:rowOff>
    </xdr:from>
    <xdr:to>
      <xdr:col>94</xdr:col>
      <xdr:colOff>104684</xdr:colOff>
      <xdr:row>560</xdr:row>
      <xdr:rowOff>152399</xdr:rowOff>
    </xdr:to>
    <xdr:sp macro="" textlink="">
      <xdr:nvSpPr>
        <xdr:cNvPr id="1167" name="258"/>
        <xdr:cNvSpPr/>
      </xdr:nvSpPr>
      <xdr:spPr>
        <a:xfrm>
          <a:off x="65532000" y="117386099"/>
          <a:ext cx="620068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560</xdr:row>
      <xdr:rowOff>95249</xdr:rowOff>
    </xdr:from>
    <xdr:to>
      <xdr:col>86</xdr:col>
      <xdr:colOff>0</xdr:colOff>
      <xdr:row>560</xdr:row>
      <xdr:rowOff>95249</xdr:rowOff>
    </xdr:to>
    <xdr:cxnSp macro="">
      <xdr:nvCxnSpPr>
        <xdr:cNvPr id="1168" name="직선 화살표 연결선 1167"/>
        <xdr:cNvCxnSpPr/>
      </xdr:nvCxnSpPr>
      <xdr:spPr>
        <a:xfrm>
          <a:off x="65532000" y="117443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559</xdr:row>
      <xdr:rowOff>38099</xdr:rowOff>
    </xdr:from>
    <xdr:to>
      <xdr:col>86</xdr:col>
      <xdr:colOff>84001</xdr:colOff>
      <xdr:row>559</xdr:row>
      <xdr:rowOff>152399</xdr:rowOff>
    </xdr:to>
    <xdr:sp macro="" textlink="">
      <xdr:nvSpPr>
        <xdr:cNvPr id="1169" name="257"/>
        <xdr:cNvSpPr/>
      </xdr:nvSpPr>
      <xdr:spPr>
        <a:xfrm>
          <a:off x="65552682" y="1171765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559</xdr:row>
      <xdr:rowOff>95249</xdr:rowOff>
    </xdr:from>
    <xdr:to>
      <xdr:col>86</xdr:col>
      <xdr:colOff>20682</xdr:colOff>
      <xdr:row>559</xdr:row>
      <xdr:rowOff>95249</xdr:rowOff>
    </xdr:to>
    <xdr:cxnSp macro="">
      <xdr:nvCxnSpPr>
        <xdr:cNvPr id="1170" name="직선 화살표 연결선 1169"/>
        <xdr:cNvCxnSpPr/>
      </xdr:nvCxnSpPr>
      <xdr:spPr>
        <a:xfrm>
          <a:off x="65552682" y="117233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558</xdr:row>
      <xdr:rowOff>38099</xdr:rowOff>
    </xdr:from>
    <xdr:to>
      <xdr:col>86</xdr:col>
      <xdr:colOff>21952</xdr:colOff>
      <xdr:row>558</xdr:row>
      <xdr:rowOff>152399</xdr:rowOff>
    </xdr:to>
    <xdr:sp macro="" textlink="">
      <xdr:nvSpPr>
        <xdr:cNvPr id="1171" name="256"/>
        <xdr:cNvSpPr/>
      </xdr:nvSpPr>
      <xdr:spPr>
        <a:xfrm>
          <a:off x="64873415" y="1169669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558</xdr:row>
      <xdr:rowOff>95249</xdr:rowOff>
    </xdr:from>
    <xdr:to>
      <xdr:col>85</xdr:col>
      <xdr:colOff>103415</xdr:colOff>
      <xdr:row>558</xdr:row>
      <xdr:rowOff>95249</xdr:rowOff>
    </xdr:to>
    <xdr:cxnSp macro="">
      <xdr:nvCxnSpPr>
        <xdr:cNvPr id="1172" name="직선 화살표 연결선 1171"/>
        <xdr:cNvCxnSpPr/>
      </xdr:nvCxnSpPr>
      <xdr:spPr>
        <a:xfrm>
          <a:off x="64873415" y="117024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557</xdr:row>
      <xdr:rowOff>38099</xdr:rowOff>
    </xdr:from>
    <xdr:to>
      <xdr:col>86</xdr:col>
      <xdr:colOff>21952</xdr:colOff>
      <xdr:row>557</xdr:row>
      <xdr:rowOff>152399</xdr:rowOff>
    </xdr:to>
    <xdr:sp macro="" textlink="">
      <xdr:nvSpPr>
        <xdr:cNvPr id="1173" name="255"/>
        <xdr:cNvSpPr/>
      </xdr:nvSpPr>
      <xdr:spPr>
        <a:xfrm>
          <a:off x="64873415" y="11675744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557</xdr:row>
      <xdr:rowOff>95249</xdr:rowOff>
    </xdr:from>
    <xdr:to>
      <xdr:col>85</xdr:col>
      <xdr:colOff>103415</xdr:colOff>
      <xdr:row>557</xdr:row>
      <xdr:rowOff>95249</xdr:rowOff>
    </xdr:to>
    <xdr:cxnSp macro="">
      <xdr:nvCxnSpPr>
        <xdr:cNvPr id="1174" name="직선 화살표 연결선 1173"/>
        <xdr:cNvCxnSpPr/>
      </xdr:nvCxnSpPr>
      <xdr:spPr>
        <a:xfrm>
          <a:off x="64873415" y="116814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556</xdr:row>
      <xdr:rowOff>38099</xdr:rowOff>
    </xdr:from>
    <xdr:to>
      <xdr:col>86</xdr:col>
      <xdr:colOff>21952</xdr:colOff>
      <xdr:row>556</xdr:row>
      <xdr:rowOff>152399</xdr:rowOff>
    </xdr:to>
    <xdr:sp macro="" textlink="">
      <xdr:nvSpPr>
        <xdr:cNvPr id="1175" name="254"/>
        <xdr:cNvSpPr/>
      </xdr:nvSpPr>
      <xdr:spPr>
        <a:xfrm>
          <a:off x="64873415" y="1165478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556</xdr:row>
      <xdr:rowOff>95249</xdr:rowOff>
    </xdr:from>
    <xdr:to>
      <xdr:col>85</xdr:col>
      <xdr:colOff>103415</xdr:colOff>
      <xdr:row>556</xdr:row>
      <xdr:rowOff>95249</xdr:rowOff>
    </xdr:to>
    <xdr:cxnSp macro="">
      <xdr:nvCxnSpPr>
        <xdr:cNvPr id="1176" name="직선 화살표 연결선 1175"/>
        <xdr:cNvCxnSpPr/>
      </xdr:nvCxnSpPr>
      <xdr:spPr>
        <a:xfrm>
          <a:off x="64873415" y="116605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555</xdr:row>
      <xdr:rowOff>38099</xdr:rowOff>
    </xdr:from>
    <xdr:to>
      <xdr:col>94</xdr:col>
      <xdr:colOff>104684</xdr:colOff>
      <xdr:row>555</xdr:row>
      <xdr:rowOff>152399</xdr:rowOff>
    </xdr:to>
    <xdr:sp macro="" textlink="">
      <xdr:nvSpPr>
        <xdr:cNvPr id="1177" name="253"/>
        <xdr:cNvSpPr/>
      </xdr:nvSpPr>
      <xdr:spPr>
        <a:xfrm>
          <a:off x="64873415" y="116338349"/>
          <a:ext cx="685926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555</xdr:row>
      <xdr:rowOff>95249</xdr:rowOff>
    </xdr:from>
    <xdr:to>
      <xdr:col>85</xdr:col>
      <xdr:colOff>103415</xdr:colOff>
      <xdr:row>555</xdr:row>
      <xdr:rowOff>95249</xdr:rowOff>
    </xdr:to>
    <xdr:cxnSp macro="">
      <xdr:nvCxnSpPr>
        <xdr:cNvPr id="1178" name="직선 화살표 연결선 1177"/>
        <xdr:cNvCxnSpPr/>
      </xdr:nvCxnSpPr>
      <xdr:spPr>
        <a:xfrm>
          <a:off x="64873415" y="116395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20683</xdr:colOff>
      <xdr:row>554</xdr:row>
      <xdr:rowOff>38099</xdr:rowOff>
    </xdr:from>
    <xdr:to>
      <xdr:col>96</xdr:col>
      <xdr:colOff>21952</xdr:colOff>
      <xdr:row>554</xdr:row>
      <xdr:rowOff>152399</xdr:rowOff>
    </xdr:to>
    <xdr:sp macro="" textlink="">
      <xdr:nvSpPr>
        <xdr:cNvPr id="1179" name="252"/>
        <xdr:cNvSpPr/>
      </xdr:nvSpPr>
      <xdr:spPr>
        <a:xfrm>
          <a:off x="72410683" y="116128799"/>
          <a:ext cx="763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20683</xdr:colOff>
      <xdr:row>554</xdr:row>
      <xdr:rowOff>95249</xdr:rowOff>
    </xdr:from>
    <xdr:to>
      <xdr:col>95</xdr:col>
      <xdr:colOff>20683</xdr:colOff>
      <xdr:row>554</xdr:row>
      <xdr:rowOff>95249</xdr:rowOff>
    </xdr:to>
    <xdr:cxnSp macro="">
      <xdr:nvCxnSpPr>
        <xdr:cNvPr id="1180" name="직선 화살표 연결선 1179"/>
        <xdr:cNvCxnSpPr/>
      </xdr:nvCxnSpPr>
      <xdr:spPr>
        <a:xfrm>
          <a:off x="72410683" y="116185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41366</xdr:colOff>
      <xdr:row>553</xdr:row>
      <xdr:rowOff>38099</xdr:rowOff>
    </xdr:from>
    <xdr:to>
      <xdr:col>95</xdr:col>
      <xdr:colOff>42636</xdr:colOff>
      <xdr:row>553</xdr:row>
      <xdr:rowOff>152399</xdr:rowOff>
    </xdr:to>
    <xdr:sp macro="" textlink="">
      <xdr:nvSpPr>
        <xdr:cNvPr id="1181" name="251"/>
        <xdr:cNvSpPr/>
      </xdr:nvSpPr>
      <xdr:spPr>
        <a:xfrm>
          <a:off x="71669366" y="115919249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41366</xdr:colOff>
      <xdr:row>553</xdr:row>
      <xdr:rowOff>95249</xdr:rowOff>
    </xdr:from>
    <xdr:to>
      <xdr:col>94</xdr:col>
      <xdr:colOff>41366</xdr:colOff>
      <xdr:row>553</xdr:row>
      <xdr:rowOff>95249</xdr:rowOff>
    </xdr:to>
    <xdr:cxnSp macro="">
      <xdr:nvCxnSpPr>
        <xdr:cNvPr id="1182" name="직선 화살표 연결선 1181"/>
        <xdr:cNvCxnSpPr/>
      </xdr:nvCxnSpPr>
      <xdr:spPr>
        <a:xfrm>
          <a:off x="71669366" y="115976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103414</xdr:colOff>
      <xdr:row>552</xdr:row>
      <xdr:rowOff>38099</xdr:rowOff>
    </xdr:from>
    <xdr:to>
      <xdr:col>94</xdr:col>
      <xdr:colOff>42635</xdr:colOff>
      <xdr:row>552</xdr:row>
      <xdr:rowOff>152399</xdr:rowOff>
    </xdr:to>
    <xdr:sp macro="" textlink="">
      <xdr:nvSpPr>
        <xdr:cNvPr id="1183" name="250"/>
        <xdr:cNvSpPr/>
      </xdr:nvSpPr>
      <xdr:spPr>
        <a:xfrm>
          <a:off x="70969414" y="1157096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103414</xdr:colOff>
      <xdr:row>552</xdr:row>
      <xdr:rowOff>95249</xdr:rowOff>
    </xdr:from>
    <xdr:to>
      <xdr:col>93</xdr:col>
      <xdr:colOff>103414</xdr:colOff>
      <xdr:row>552</xdr:row>
      <xdr:rowOff>95249</xdr:rowOff>
    </xdr:to>
    <xdr:cxnSp macro="">
      <xdr:nvCxnSpPr>
        <xdr:cNvPr id="1184" name="직선 화살표 연결선 1183"/>
        <xdr:cNvCxnSpPr/>
      </xdr:nvCxnSpPr>
      <xdr:spPr>
        <a:xfrm>
          <a:off x="70969414" y="115766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103414</xdr:colOff>
      <xdr:row>551</xdr:row>
      <xdr:rowOff>38099</xdr:rowOff>
    </xdr:from>
    <xdr:to>
      <xdr:col>93</xdr:col>
      <xdr:colOff>104684</xdr:colOff>
      <xdr:row>551</xdr:row>
      <xdr:rowOff>152399</xdr:rowOff>
    </xdr:to>
    <xdr:sp macro="" textlink="">
      <xdr:nvSpPr>
        <xdr:cNvPr id="1185" name="249"/>
        <xdr:cNvSpPr/>
      </xdr:nvSpPr>
      <xdr:spPr>
        <a:xfrm>
          <a:off x="69445414" y="115500149"/>
          <a:ext cx="1525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103414</xdr:colOff>
      <xdr:row>551</xdr:row>
      <xdr:rowOff>95249</xdr:rowOff>
    </xdr:from>
    <xdr:to>
      <xdr:col>91</xdr:col>
      <xdr:colOff>103414</xdr:colOff>
      <xdr:row>551</xdr:row>
      <xdr:rowOff>95249</xdr:rowOff>
    </xdr:to>
    <xdr:cxnSp macro="">
      <xdr:nvCxnSpPr>
        <xdr:cNvPr id="1186" name="직선 화살표 연결선 1185"/>
        <xdr:cNvCxnSpPr/>
      </xdr:nvCxnSpPr>
      <xdr:spPr>
        <a:xfrm>
          <a:off x="69445414" y="115557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82731</xdr:colOff>
      <xdr:row>550</xdr:row>
      <xdr:rowOff>38099</xdr:rowOff>
    </xdr:from>
    <xdr:to>
      <xdr:col>93</xdr:col>
      <xdr:colOff>84001</xdr:colOff>
      <xdr:row>550</xdr:row>
      <xdr:rowOff>152399</xdr:rowOff>
    </xdr:to>
    <xdr:sp macro="" textlink="">
      <xdr:nvSpPr>
        <xdr:cNvPr id="1187" name="248"/>
        <xdr:cNvSpPr/>
      </xdr:nvSpPr>
      <xdr:spPr>
        <a:xfrm>
          <a:off x="69424731" y="115290599"/>
          <a:ext cx="1525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82731</xdr:colOff>
      <xdr:row>550</xdr:row>
      <xdr:rowOff>95249</xdr:rowOff>
    </xdr:from>
    <xdr:to>
      <xdr:col>91</xdr:col>
      <xdr:colOff>82731</xdr:colOff>
      <xdr:row>550</xdr:row>
      <xdr:rowOff>95249</xdr:rowOff>
    </xdr:to>
    <xdr:cxnSp macro="">
      <xdr:nvCxnSpPr>
        <xdr:cNvPr id="1188" name="직선 화살표 연결선 1187"/>
        <xdr:cNvCxnSpPr/>
      </xdr:nvCxnSpPr>
      <xdr:spPr>
        <a:xfrm>
          <a:off x="69424731" y="115347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549</xdr:row>
      <xdr:rowOff>38099</xdr:rowOff>
    </xdr:from>
    <xdr:to>
      <xdr:col>93</xdr:col>
      <xdr:colOff>63319</xdr:colOff>
      <xdr:row>549</xdr:row>
      <xdr:rowOff>152399</xdr:rowOff>
    </xdr:to>
    <xdr:sp macro="" textlink="">
      <xdr:nvSpPr>
        <xdr:cNvPr id="1189" name="247"/>
        <xdr:cNvSpPr/>
      </xdr:nvSpPr>
      <xdr:spPr>
        <a:xfrm>
          <a:off x="69342000" y="115081049"/>
          <a:ext cx="1587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0</xdr:colOff>
      <xdr:row>549</xdr:row>
      <xdr:rowOff>95249</xdr:rowOff>
    </xdr:from>
    <xdr:to>
      <xdr:col>91</xdr:col>
      <xdr:colOff>0</xdr:colOff>
      <xdr:row>549</xdr:row>
      <xdr:rowOff>95249</xdr:rowOff>
    </xdr:to>
    <xdr:cxnSp macro="">
      <xdr:nvCxnSpPr>
        <xdr:cNvPr id="1190" name="직선 화살표 연결선 1189"/>
        <xdr:cNvCxnSpPr/>
      </xdr:nvCxnSpPr>
      <xdr:spPr>
        <a:xfrm>
          <a:off x="69342000" y="115138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548</xdr:row>
      <xdr:rowOff>38099</xdr:rowOff>
    </xdr:from>
    <xdr:to>
      <xdr:col>91</xdr:col>
      <xdr:colOff>1269</xdr:colOff>
      <xdr:row>548</xdr:row>
      <xdr:rowOff>152399</xdr:rowOff>
    </xdr:to>
    <xdr:sp macro="" textlink="">
      <xdr:nvSpPr>
        <xdr:cNvPr id="1191" name="246"/>
        <xdr:cNvSpPr/>
      </xdr:nvSpPr>
      <xdr:spPr>
        <a:xfrm>
          <a:off x="68642048" y="1148714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548</xdr:row>
      <xdr:rowOff>95249</xdr:rowOff>
    </xdr:from>
    <xdr:to>
      <xdr:col>90</xdr:col>
      <xdr:colOff>62048</xdr:colOff>
      <xdr:row>548</xdr:row>
      <xdr:rowOff>95249</xdr:rowOff>
    </xdr:to>
    <xdr:cxnSp macro="">
      <xdr:nvCxnSpPr>
        <xdr:cNvPr id="1192" name="직선 화살표 연결선 1191"/>
        <xdr:cNvCxnSpPr/>
      </xdr:nvCxnSpPr>
      <xdr:spPr>
        <a:xfrm>
          <a:off x="68642048" y="114928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144779</xdr:colOff>
      <xdr:row>547</xdr:row>
      <xdr:rowOff>38099</xdr:rowOff>
    </xdr:from>
    <xdr:to>
      <xdr:col>90</xdr:col>
      <xdr:colOff>63318</xdr:colOff>
      <xdr:row>547</xdr:row>
      <xdr:rowOff>152399</xdr:rowOff>
    </xdr:to>
    <xdr:sp macro="" textlink="">
      <xdr:nvSpPr>
        <xdr:cNvPr id="1193" name="245"/>
        <xdr:cNvSpPr/>
      </xdr:nvSpPr>
      <xdr:spPr>
        <a:xfrm>
          <a:off x="67962779" y="11466194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144779</xdr:colOff>
      <xdr:row>547</xdr:row>
      <xdr:rowOff>95249</xdr:rowOff>
    </xdr:from>
    <xdr:to>
      <xdr:col>89</xdr:col>
      <xdr:colOff>144779</xdr:colOff>
      <xdr:row>547</xdr:row>
      <xdr:rowOff>95249</xdr:rowOff>
    </xdr:to>
    <xdr:cxnSp macro="">
      <xdr:nvCxnSpPr>
        <xdr:cNvPr id="1194" name="직선 화살표 연결선 1193"/>
        <xdr:cNvCxnSpPr/>
      </xdr:nvCxnSpPr>
      <xdr:spPr>
        <a:xfrm>
          <a:off x="67962779" y="114719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546</xdr:row>
      <xdr:rowOff>38099</xdr:rowOff>
    </xdr:from>
    <xdr:to>
      <xdr:col>90</xdr:col>
      <xdr:colOff>1269</xdr:colOff>
      <xdr:row>546</xdr:row>
      <xdr:rowOff>152399</xdr:rowOff>
    </xdr:to>
    <xdr:sp macro="" textlink="">
      <xdr:nvSpPr>
        <xdr:cNvPr id="1195" name="244"/>
        <xdr:cNvSpPr/>
      </xdr:nvSpPr>
      <xdr:spPr>
        <a:xfrm>
          <a:off x="67900732" y="1144523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546</xdr:row>
      <xdr:rowOff>95249</xdr:rowOff>
    </xdr:from>
    <xdr:to>
      <xdr:col>89</xdr:col>
      <xdr:colOff>82732</xdr:colOff>
      <xdr:row>546</xdr:row>
      <xdr:rowOff>95249</xdr:rowOff>
    </xdr:to>
    <xdr:cxnSp macro="">
      <xdr:nvCxnSpPr>
        <xdr:cNvPr id="1196" name="직선 화살표 연결선 1195"/>
        <xdr:cNvCxnSpPr/>
      </xdr:nvCxnSpPr>
      <xdr:spPr>
        <a:xfrm>
          <a:off x="67900732" y="114509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545</xdr:row>
      <xdr:rowOff>38099</xdr:rowOff>
    </xdr:from>
    <xdr:to>
      <xdr:col>89</xdr:col>
      <xdr:colOff>84002</xdr:colOff>
      <xdr:row>545</xdr:row>
      <xdr:rowOff>152399</xdr:rowOff>
    </xdr:to>
    <xdr:sp macro="" textlink="">
      <xdr:nvSpPr>
        <xdr:cNvPr id="1197" name="243"/>
        <xdr:cNvSpPr/>
      </xdr:nvSpPr>
      <xdr:spPr>
        <a:xfrm>
          <a:off x="67818001" y="11424284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545</xdr:row>
      <xdr:rowOff>95249</xdr:rowOff>
    </xdr:from>
    <xdr:to>
      <xdr:col>89</xdr:col>
      <xdr:colOff>1</xdr:colOff>
      <xdr:row>545</xdr:row>
      <xdr:rowOff>95249</xdr:rowOff>
    </xdr:to>
    <xdr:cxnSp macro="">
      <xdr:nvCxnSpPr>
        <xdr:cNvPr id="1198" name="직선 화살표 연결선 1197"/>
        <xdr:cNvCxnSpPr/>
      </xdr:nvCxnSpPr>
      <xdr:spPr>
        <a:xfrm>
          <a:off x="67818001" y="114299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544</xdr:row>
      <xdr:rowOff>38099</xdr:rowOff>
    </xdr:from>
    <xdr:to>
      <xdr:col>89</xdr:col>
      <xdr:colOff>84002</xdr:colOff>
      <xdr:row>544</xdr:row>
      <xdr:rowOff>152399</xdr:rowOff>
    </xdr:to>
    <xdr:sp macro="" textlink="">
      <xdr:nvSpPr>
        <xdr:cNvPr id="1199" name="242"/>
        <xdr:cNvSpPr/>
      </xdr:nvSpPr>
      <xdr:spPr>
        <a:xfrm>
          <a:off x="67818001" y="11403329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544</xdr:row>
      <xdr:rowOff>95249</xdr:rowOff>
    </xdr:from>
    <xdr:to>
      <xdr:col>89</xdr:col>
      <xdr:colOff>1</xdr:colOff>
      <xdr:row>544</xdr:row>
      <xdr:rowOff>95249</xdr:rowOff>
    </xdr:to>
    <xdr:cxnSp macro="">
      <xdr:nvCxnSpPr>
        <xdr:cNvPr id="1200" name="직선 화살표 연결선 1199"/>
        <xdr:cNvCxnSpPr/>
      </xdr:nvCxnSpPr>
      <xdr:spPr>
        <a:xfrm>
          <a:off x="67818001" y="114090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103414</xdr:colOff>
      <xdr:row>543</xdr:row>
      <xdr:rowOff>38099</xdr:rowOff>
    </xdr:from>
    <xdr:to>
      <xdr:col>91</xdr:col>
      <xdr:colOff>1269</xdr:colOff>
      <xdr:row>543</xdr:row>
      <xdr:rowOff>152399</xdr:rowOff>
    </xdr:to>
    <xdr:sp macro="" textlink="">
      <xdr:nvSpPr>
        <xdr:cNvPr id="1201" name="241"/>
        <xdr:cNvSpPr/>
      </xdr:nvSpPr>
      <xdr:spPr>
        <a:xfrm>
          <a:off x="67159414" y="113823749"/>
          <a:ext cx="218385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103414</xdr:colOff>
      <xdr:row>543</xdr:row>
      <xdr:rowOff>95249</xdr:rowOff>
    </xdr:from>
    <xdr:to>
      <xdr:col>88</xdr:col>
      <xdr:colOff>103414</xdr:colOff>
      <xdr:row>543</xdr:row>
      <xdr:rowOff>95249</xdr:rowOff>
    </xdr:to>
    <xdr:cxnSp macro="">
      <xdr:nvCxnSpPr>
        <xdr:cNvPr id="1202" name="직선 화살표 연결선 1201"/>
        <xdr:cNvCxnSpPr/>
      </xdr:nvCxnSpPr>
      <xdr:spPr>
        <a:xfrm>
          <a:off x="67159414" y="113880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124097</xdr:colOff>
      <xdr:row>542</xdr:row>
      <xdr:rowOff>38099</xdr:rowOff>
    </xdr:from>
    <xdr:to>
      <xdr:col>89</xdr:col>
      <xdr:colOff>42635</xdr:colOff>
      <xdr:row>542</xdr:row>
      <xdr:rowOff>152399</xdr:rowOff>
    </xdr:to>
    <xdr:sp macro="" textlink="">
      <xdr:nvSpPr>
        <xdr:cNvPr id="1203" name="240"/>
        <xdr:cNvSpPr/>
      </xdr:nvSpPr>
      <xdr:spPr>
        <a:xfrm>
          <a:off x="67180097" y="11361419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124097</xdr:colOff>
      <xdr:row>542</xdr:row>
      <xdr:rowOff>95249</xdr:rowOff>
    </xdr:from>
    <xdr:to>
      <xdr:col>88</xdr:col>
      <xdr:colOff>124097</xdr:colOff>
      <xdr:row>542</xdr:row>
      <xdr:rowOff>95249</xdr:rowOff>
    </xdr:to>
    <xdr:cxnSp macro="">
      <xdr:nvCxnSpPr>
        <xdr:cNvPr id="1204" name="직선 화살표 연결선 1203"/>
        <xdr:cNvCxnSpPr/>
      </xdr:nvCxnSpPr>
      <xdr:spPr>
        <a:xfrm>
          <a:off x="67180097" y="113671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124097</xdr:colOff>
      <xdr:row>541</xdr:row>
      <xdr:rowOff>38099</xdr:rowOff>
    </xdr:from>
    <xdr:to>
      <xdr:col>89</xdr:col>
      <xdr:colOff>104684</xdr:colOff>
      <xdr:row>541</xdr:row>
      <xdr:rowOff>152399</xdr:rowOff>
    </xdr:to>
    <xdr:sp macro="" textlink="">
      <xdr:nvSpPr>
        <xdr:cNvPr id="1205" name="239"/>
        <xdr:cNvSpPr/>
      </xdr:nvSpPr>
      <xdr:spPr>
        <a:xfrm>
          <a:off x="67180097" y="113404649"/>
          <a:ext cx="7425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124097</xdr:colOff>
      <xdr:row>541</xdr:row>
      <xdr:rowOff>95249</xdr:rowOff>
    </xdr:from>
    <xdr:to>
      <xdr:col>88</xdr:col>
      <xdr:colOff>124097</xdr:colOff>
      <xdr:row>541</xdr:row>
      <xdr:rowOff>95249</xdr:rowOff>
    </xdr:to>
    <xdr:cxnSp macro="">
      <xdr:nvCxnSpPr>
        <xdr:cNvPr id="1206" name="직선 화살표 연결선 1205"/>
        <xdr:cNvCxnSpPr/>
      </xdr:nvCxnSpPr>
      <xdr:spPr>
        <a:xfrm>
          <a:off x="67180097" y="113461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103414</xdr:colOff>
      <xdr:row>540</xdr:row>
      <xdr:rowOff>38099</xdr:rowOff>
    </xdr:from>
    <xdr:to>
      <xdr:col>89</xdr:col>
      <xdr:colOff>1270</xdr:colOff>
      <xdr:row>540</xdr:row>
      <xdr:rowOff>152399</xdr:rowOff>
    </xdr:to>
    <xdr:sp macro="" textlink="">
      <xdr:nvSpPr>
        <xdr:cNvPr id="1207" name="238"/>
        <xdr:cNvSpPr/>
      </xdr:nvSpPr>
      <xdr:spPr>
        <a:xfrm>
          <a:off x="67159414" y="113195099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103414</xdr:colOff>
      <xdr:row>540</xdr:row>
      <xdr:rowOff>95249</xdr:rowOff>
    </xdr:from>
    <xdr:to>
      <xdr:col>88</xdr:col>
      <xdr:colOff>103414</xdr:colOff>
      <xdr:row>540</xdr:row>
      <xdr:rowOff>95249</xdr:rowOff>
    </xdr:to>
    <xdr:cxnSp macro="">
      <xdr:nvCxnSpPr>
        <xdr:cNvPr id="1208" name="직선 화살표 연결선 1207"/>
        <xdr:cNvCxnSpPr/>
      </xdr:nvCxnSpPr>
      <xdr:spPr>
        <a:xfrm>
          <a:off x="67159414" y="113252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539</xdr:row>
      <xdr:rowOff>38099</xdr:rowOff>
    </xdr:from>
    <xdr:to>
      <xdr:col>93</xdr:col>
      <xdr:colOff>21952</xdr:colOff>
      <xdr:row>539</xdr:row>
      <xdr:rowOff>152399</xdr:rowOff>
    </xdr:to>
    <xdr:sp macro="" textlink="">
      <xdr:nvSpPr>
        <xdr:cNvPr id="1209" name="237"/>
        <xdr:cNvSpPr/>
      </xdr:nvSpPr>
      <xdr:spPr>
        <a:xfrm>
          <a:off x="67138732" y="112985549"/>
          <a:ext cx="374922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539</xdr:row>
      <xdr:rowOff>95249</xdr:rowOff>
    </xdr:from>
    <xdr:to>
      <xdr:col>88</xdr:col>
      <xdr:colOff>82732</xdr:colOff>
      <xdr:row>539</xdr:row>
      <xdr:rowOff>95249</xdr:rowOff>
    </xdr:to>
    <xdr:cxnSp macro="">
      <xdr:nvCxnSpPr>
        <xdr:cNvPr id="1210" name="직선 화살표 연결선 1209"/>
        <xdr:cNvCxnSpPr/>
      </xdr:nvCxnSpPr>
      <xdr:spPr>
        <a:xfrm>
          <a:off x="67138732" y="113042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538</xdr:row>
      <xdr:rowOff>38099</xdr:rowOff>
    </xdr:from>
    <xdr:to>
      <xdr:col>89</xdr:col>
      <xdr:colOff>63318</xdr:colOff>
      <xdr:row>538</xdr:row>
      <xdr:rowOff>152399</xdr:rowOff>
    </xdr:to>
    <xdr:sp macro="" textlink="">
      <xdr:nvSpPr>
        <xdr:cNvPr id="1211" name="236"/>
        <xdr:cNvSpPr/>
      </xdr:nvSpPr>
      <xdr:spPr>
        <a:xfrm>
          <a:off x="67818001" y="112775999"/>
          <a:ext cx="63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538</xdr:row>
      <xdr:rowOff>95249</xdr:rowOff>
    </xdr:from>
    <xdr:to>
      <xdr:col>89</xdr:col>
      <xdr:colOff>1</xdr:colOff>
      <xdr:row>538</xdr:row>
      <xdr:rowOff>95249</xdr:rowOff>
    </xdr:to>
    <xdr:cxnSp macro="">
      <xdr:nvCxnSpPr>
        <xdr:cNvPr id="1212" name="직선 화살표 연결선 1211"/>
        <xdr:cNvCxnSpPr/>
      </xdr:nvCxnSpPr>
      <xdr:spPr>
        <a:xfrm>
          <a:off x="67818001" y="112833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537</xdr:row>
      <xdr:rowOff>38099</xdr:rowOff>
    </xdr:from>
    <xdr:to>
      <xdr:col>89</xdr:col>
      <xdr:colOff>1270</xdr:colOff>
      <xdr:row>537</xdr:row>
      <xdr:rowOff>152399</xdr:rowOff>
    </xdr:to>
    <xdr:sp macro="" textlink="">
      <xdr:nvSpPr>
        <xdr:cNvPr id="1213" name="235"/>
        <xdr:cNvSpPr/>
      </xdr:nvSpPr>
      <xdr:spPr>
        <a:xfrm>
          <a:off x="67138732" y="11256644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537</xdr:row>
      <xdr:rowOff>95249</xdr:rowOff>
    </xdr:from>
    <xdr:to>
      <xdr:col>88</xdr:col>
      <xdr:colOff>82732</xdr:colOff>
      <xdr:row>537</xdr:row>
      <xdr:rowOff>95249</xdr:rowOff>
    </xdr:to>
    <xdr:cxnSp macro="">
      <xdr:nvCxnSpPr>
        <xdr:cNvPr id="1214" name="직선 화살표 연결선 1213"/>
        <xdr:cNvCxnSpPr/>
      </xdr:nvCxnSpPr>
      <xdr:spPr>
        <a:xfrm>
          <a:off x="67138732" y="112623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536</xdr:row>
      <xdr:rowOff>38099</xdr:rowOff>
    </xdr:from>
    <xdr:to>
      <xdr:col>89</xdr:col>
      <xdr:colOff>1270</xdr:colOff>
      <xdr:row>536</xdr:row>
      <xdr:rowOff>152399</xdr:rowOff>
    </xdr:to>
    <xdr:sp macro="" textlink="">
      <xdr:nvSpPr>
        <xdr:cNvPr id="1215" name="234"/>
        <xdr:cNvSpPr/>
      </xdr:nvSpPr>
      <xdr:spPr>
        <a:xfrm>
          <a:off x="67138732" y="11235689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536</xdr:row>
      <xdr:rowOff>95249</xdr:rowOff>
    </xdr:from>
    <xdr:to>
      <xdr:col>88</xdr:col>
      <xdr:colOff>82732</xdr:colOff>
      <xdr:row>536</xdr:row>
      <xdr:rowOff>95249</xdr:rowOff>
    </xdr:to>
    <xdr:cxnSp macro="">
      <xdr:nvCxnSpPr>
        <xdr:cNvPr id="1216" name="직선 화살표 연결선 1215"/>
        <xdr:cNvCxnSpPr/>
      </xdr:nvCxnSpPr>
      <xdr:spPr>
        <a:xfrm>
          <a:off x="67138732" y="112414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535</xdr:row>
      <xdr:rowOff>38099</xdr:rowOff>
    </xdr:from>
    <xdr:to>
      <xdr:col>89</xdr:col>
      <xdr:colOff>1270</xdr:colOff>
      <xdr:row>535</xdr:row>
      <xdr:rowOff>152399</xdr:rowOff>
    </xdr:to>
    <xdr:sp macro="" textlink="">
      <xdr:nvSpPr>
        <xdr:cNvPr id="1217" name="233"/>
        <xdr:cNvSpPr/>
      </xdr:nvSpPr>
      <xdr:spPr>
        <a:xfrm>
          <a:off x="67138732" y="11214734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535</xdr:row>
      <xdr:rowOff>95249</xdr:rowOff>
    </xdr:from>
    <xdr:to>
      <xdr:col>88</xdr:col>
      <xdr:colOff>82732</xdr:colOff>
      <xdr:row>535</xdr:row>
      <xdr:rowOff>95249</xdr:rowOff>
    </xdr:to>
    <xdr:cxnSp macro="">
      <xdr:nvCxnSpPr>
        <xdr:cNvPr id="1218" name="직선 화살표 연결선 1217"/>
        <xdr:cNvCxnSpPr/>
      </xdr:nvCxnSpPr>
      <xdr:spPr>
        <a:xfrm>
          <a:off x="67138732" y="112204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534</xdr:row>
      <xdr:rowOff>38099</xdr:rowOff>
    </xdr:from>
    <xdr:to>
      <xdr:col>96</xdr:col>
      <xdr:colOff>21952</xdr:colOff>
      <xdr:row>534</xdr:row>
      <xdr:rowOff>152399</xdr:rowOff>
    </xdr:to>
    <xdr:sp macro="" textlink="">
      <xdr:nvSpPr>
        <xdr:cNvPr id="1219" name="232"/>
        <xdr:cNvSpPr/>
      </xdr:nvSpPr>
      <xdr:spPr>
        <a:xfrm>
          <a:off x="67138732" y="111937799"/>
          <a:ext cx="603522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534</xdr:row>
      <xdr:rowOff>95249</xdr:rowOff>
    </xdr:from>
    <xdr:to>
      <xdr:col>88</xdr:col>
      <xdr:colOff>82732</xdr:colOff>
      <xdr:row>534</xdr:row>
      <xdr:rowOff>95249</xdr:rowOff>
    </xdr:to>
    <xdr:cxnSp macro="">
      <xdr:nvCxnSpPr>
        <xdr:cNvPr id="1220" name="직선 화살표 연결선 1219"/>
        <xdr:cNvCxnSpPr/>
      </xdr:nvCxnSpPr>
      <xdr:spPr>
        <a:xfrm>
          <a:off x="67138732" y="111994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82731</xdr:colOff>
      <xdr:row>533</xdr:row>
      <xdr:rowOff>38099</xdr:rowOff>
    </xdr:from>
    <xdr:to>
      <xdr:col>93</xdr:col>
      <xdr:colOff>84001</xdr:colOff>
      <xdr:row>533</xdr:row>
      <xdr:rowOff>152399</xdr:rowOff>
    </xdr:to>
    <xdr:sp macro="" textlink="">
      <xdr:nvSpPr>
        <xdr:cNvPr id="1221" name="231"/>
        <xdr:cNvSpPr/>
      </xdr:nvSpPr>
      <xdr:spPr>
        <a:xfrm>
          <a:off x="70186731" y="111728249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82731</xdr:colOff>
      <xdr:row>533</xdr:row>
      <xdr:rowOff>95249</xdr:rowOff>
    </xdr:from>
    <xdr:to>
      <xdr:col>92</xdr:col>
      <xdr:colOff>82731</xdr:colOff>
      <xdr:row>533</xdr:row>
      <xdr:rowOff>95249</xdr:rowOff>
    </xdr:to>
    <xdr:cxnSp macro="">
      <xdr:nvCxnSpPr>
        <xdr:cNvPr id="1222" name="직선 화살표 연결선 1221"/>
        <xdr:cNvCxnSpPr/>
      </xdr:nvCxnSpPr>
      <xdr:spPr>
        <a:xfrm>
          <a:off x="70186731" y="111785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103414</xdr:colOff>
      <xdr:row>532</xdr:row>
      <xdr:rowOff>38099</xdr:rowOff>
    </xdr:from>
    <xdr:to>
      <xdr:col>92</xdr:col>
      <xdr:colOff>104684</xdr:colOff>
      <xdr:row>532</xdr:row>
      <xdr:rowOff>152399</xdr:rowOff>
    </xdr:to>
    <xdr:sp macro="" textlink="">
      <xdr:nvSpPr>
        <xdr:cNvPr id="1223" name="230"/>
        <xdr:cNvSpPr/>
      </xdr:nvSpPr>
      <xdr:spPr>
        <a:xfrm>
          <a:off x="69445414" y="111518699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103414</xdr:colOff>
      <xdr:row>532</xdr:row>
      <xdr:rowOff>95249</xdr:rowOff>
    </xdr:from>
    <xdr:to>
      <xdr:col>91</xdr:col>
      <xdr:colOff>103414</xdr:colOff>
      <xdr:row>532</xdr:row>
      <xdr:rowOff>95249</xdr:rowOff>
    </xdr:to>
    <xdr:cxnSp macro="">
      <xdr:nvCxnSpPr>
        <xdr:cNvPr id="1224" name="직선 화살표 연결선 1223"/>
        <xdr:cNvCxnSpPr/>
      </xdr:nvCxnSpPr>
      <xdr:spPr>
        <a:xfrm>
          <a:off x="69445414" y="111575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20682</xdr:colOff>
      <xdr:row>531</xdr:row>
      <xdr:rowOff>38099</xdr:rowOff>
    </xdr:from>
    <xdr:to>
      <xdr:col>91</xdr:col>
      <xdr:colOff>104683</xdr:colOff>
      <xdr:row>531</xdr:row>
      <xdr:rowOff>152399</xdr:rowOff>
    </xdr:to>
    <xdr:sp macro="" textlink="">
      <xdr:nvSpPr>
        <xdr:cNvPr id="1225" name="229"/>
        <xdr:cNvSpPr/>
      </xdr:nvSpPr>
      <xdr:spPr>
        <a:xfrm>
          <a:off x="69362682" y="11130914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20682</xdr:colOff>
      <xdr:row>531</xdr:row>
      <xdr:rowOff>95249</xdr:rowOff>
    </xdr:from>
    <xdr:to>
      <xdr:col>91</xdr:col>
      <xdr:colOff>20682</xdr:colOff>
      <xdr:row>531</xdr:row>
      <xdr:rowOff>95249</xdr:rowOff>
    </xdr:to>
    <xdr:cxnSp macro="">
      <xdr:nvCxnSpPr>
        <xdr:cNvPr id="1226" name="직선 화살표 연결선 1225"/>
        <xdr:cNvCxnSpPr/>
      </xdr:nvCxnSpPr>
      <xdr:spPr>
        <a:xfrm>
          <a:off x="69362682" y="111366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20683</xdr:colOff>
      <xdr:row>530</xdr:row>
      <xdr:rowOff>38099</xdr:rowOff>
    </xdr:from>
    <xdr:to>
      <xdr:col>91</xdr:col>
      <xdr:colOff>21952</xdr:colOff>
      <xdr:row>530</xdr:row>
      <xdr:rowOff>152399</xdr:rowOff>
    </xdr:to>
    <xdr:sp macro="" textlink="">
      <xdr:nvSpPr>
        <xdr:cNvPr id="1227" name="228"/>
        <xdr:cNvSpPr/>
      </xdr:nvSpPr>
      <xdr:spPr>
        <a:xfrm>
          <a:off x="67838683" y="111099599"/>
          <a:ext cx="1525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20683</xdr:colOff>
      <xdr:row>530</xdr:row>
      <xdr:rowOff>95249</xdr:rowOff>
    </xdr:from>
    <xdr:to>
      <xdr:col>89</xdr:col>
      <xdr:colOff>20683</xdr:colOff>
      <xdr:row>530</xdr:row>
      <xdr:rowOff>95249</xdr:rowOff>
    </xdr:to>
    <xdr:cxnSp macro="">
      <xdr:nvCxnSpPr>
        <xdr:cNvPr id="1228" name="직선 화살표 연결선 1227"/>
        <xdr:cNvCxnSpPr/>
      </xdr:nvCxnSpPr>
      <xdr:spPr>
        <a:xfrm>
          <a:off x="67838683" y="111156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529</xdr:row>
      <xdr:rowOff>38099</xdr:rowOff>
    </xdr:from>
    <xdr:to>
      <xdr:col>91</xdr:col>
      <xdr:colOff>1269</xdr:colOff>
      <xdr:row>529</xdr:row>
      <xdr:rowOff>152399</xdr:rowOff>
    </xdr:to>
    <xdr:sp macro="" textlink="">
      <xdr:nvSpPr>
        <xdr:cNvPr id="1229" name="227"/>
        <xdr:cNvSpPr/>
      </xdr:nvSpPr>
      <xdr:spPr>
        <a:xfrm>
          <a:off x="67818001" y="110890049"/>
          <a:ext cx="1525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529</xdr:row>
      <xdr:rowOff>95249</xdr:rowOff>
    </xdr:from>
    <xdr:to>
      <xdr:col>89</xdr:col>
      <xdr:colOff>1</xdr:colOff>
      <xdr:row>529</xdr:row>
      <xdr:rowOff>95249</xdr:rowOff>
    </xdr:to>
    <xdr:cxnSp macro="">
      <xdr:nvCxnSpPr>
        <xdr:cNvPr id="1230" name="직선 화살표 연결선 1229"/>
        <xdr:cNvCxnSpPr/>
      </xdr:nvCxnSpPr>
      <xdr:spPr>
        <a:xfrm>
          <a:off x="67818001" y="110947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528</xdr:row>
      <xdr:rowOff>38099</xdr:rowOff>
    </xdr:from>
    <xdr:to>
      <xdr:col>90</xdr:col>
      <xdr:colOff>125367</xdr:colOff>
      <xdr:row>528</xdr:row>
      <xdr:rowOff>152399</xdr:rowOff>
    </xdr:to>
    <xdr:sp macro="" textlink="">
      <xdr:nvSpPr>
        <xdr:cNvPr id="1231" name="226"/>
        <xdr:cNvSpPr/>
      </xdr:nvSpPr>
      <xdr:spPr>
        <a:xfrm>
          <a:off x="67118049" y="110680499"/>
          <a:ext cx="1587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528</xdr:row>
      <xdr:rowOff>95249</xdr:rowOff>
    </xdr:from>
    <xdr:to>
      <xdr:col>88</xdr:col>
      <xdr:colOff>62049</xdr:colOff>
      <xdr:row>528</xdr:row>
      <xdr:rowOff>95249</xdr:rowOff>
    </xdr:to>
    <xdr:cxnSp macro="">
      <xdr:nvCxnSpPr>
        <xdr:cNvPr id="1232" name="직선 화살표 연결선 1231"/>
        <xdr:cNvCxnSpPr/>
      </xdr:nvCxnSpPr>
      <xdr:spPr>
        <a:xfrm>
          <a:off x="67118049" y="110737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527</xdr:row>
      <xdr:rowOff>38099</xdr:rowOff>
    </xdr:from>
    <xdr:to>
      <xdr:col>88</xdr:col>
      <xdr:colOff>63319</xdr:colOff>
      <xdr:row>527</xdr:row>
      <xdr:rowOff>152399</xdr:rowOff>
    </xdr:to>
    <xdr:sp macro="" textlink="">
      <xdr:nvSpPr>
        <xdr:cNvPr id="1233" name="225"/>
        <xdr:cNvSpPr/>
      </xdr:nvSpPr>
      <xdr:spPr>
        <a:xfrm>
          <a:off x="66418098" y="1104709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527</xdr:row>
      <xdr:rowOff>95249</xdr:rowOff>
    </xdr:from>
    <xdr:to>
      <xdr:col>87</xdr:col>
      <xdr:colOff>124098</xdr:colOff>
      <xdr:row>527</xdr:row>
      <xdr:rowOff>95249</xdr:rowOff>
    </xdr:to>
    <xdr:cxnSp macro="">
      <xdr:nvCxnSpPr>
        <xdr:cNvPr id="1234" name="직선 화살표 연결선 1233"/>
        <xdr:cNvCxnSpPr/>
      </xdr:nvCxnSpPr>
      <xdr:spPr>
        <a:xfrm>
          <a:off x="66418098" y="110528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526</xdr:row>
      <xdr:rowOff>38099</xdr:rowOff>
    </xdr:from>
    <xdr:to>
      <xdr:col>87</xdr:col>
      <xdr:colOff>125368</xdr:colOff>
      <xdr:row>526</xdr:row>
      <xdr:rowOff>152399</xdr:rowOff>
    </xdr:to>
    <xdr:sp macro="" textlink="">
      <xdr:nvSpPr>
        <xdr:cNvPr id="1235" name="224"/>
        <xdr:cNvSpPr/>
      </xdr:nvSpPr>
      <xdr:spPr>
        <a:xfrm>
          <a:off x="66356049" y="11026139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526</xdr:row>
      <xdr:rowOff>95249</xdr:rowOff>
    </xdr:from>
    <xdr:to>
      <xdr:col>87</xdr:col>
      <xdr:colOff>62049</xdr:colOff>
      <xdr:row>526</xdr:row>
      <xdr:rowOff>95249</xdr:rowOff>
    </xdr:to>
    <xdr:cxnSp macro="">
      <xdr:nvCxnSpPr>
        <xdr:cNvPr id="1236" name="직선 화살표 연결선 1235"/>
        <xdr:cNvCxnSpPr/>
      </xdr:nvCxnSpPr>
      <xdr:spPr>
        <a:xfrm>
          <a:off x="66356049" y="110318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525</xdr:row>
      <xdr:rowOff>38099</xdr:rowOff>
    </xdr:from>
    <xdr:to>
      <xdr:col>87</xdr:col>
      <xdr:colOff>63319</xdr:colOff>
      <xdr:row>525</xdr:row>
      <xdr:rowOff>152399</xdr:rowOff>
    </xdr:to>
    <xdr:sp macro="" textlink="">
      <xdr:nvSpPr>
        <xdr:cNvPr id="1237" name="223"/>
        <xdr:cNvSpPr/>
      </xdr:nvSpPr>
      <xdr:spPr>
        <a:xfrm>
          <a:off x="66294000" y="1100518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0</xdr:colOff>
      <xdr:row>525</xdr:row>
      <xdr:rowOff>95249</xdr:rowOff>
    </xdr:from>
    <xdr:to>
      <xdr:col>87</xdr:col>
      <xdr:colOff>0</xdr:colOff>
      <xdr:row>525</xdr:row>
      <xdr:rowOff>95249</xdr:rowOff>
    </xdr:to>
    <xdr:cxnSp macro="">
      <xdr:nvCxnSpPr>
        <xdr:cNvPr id="1238" name="직선 화살표 연결선 1237"/>
        <xdr:cNvCxnSpPr/>
      </xdr:nvCxnSpPr>
      <xdr:spPr>
        <a:xfrm>
          <a:off x="66294000" y="110108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524</xdr:row>
      <xdr:rowOff>38099</xdr:rowOff>
    </xdr:from>
    <xdr:to>
      <xdr:col>87</xdr:col>
      <xdr:colOff>1270</xdr:colOff>
      <xdr:row>524</xdr:row>
      <xdr:rowOff>152399</xdr:rowOff>
    </xdr:to>
    <xdr:sp macro="" textlink="">
      <xdr:nvSpPr>
        <xdr:cNvPr id="1239" name="222"/>
        <xdr:cNvSpPr/>
      </xdr:nvSpPr>
      <xdr:spPr>
        <a:xfrm>
          <a:off x="65594049" y="1098422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524</xdr:row>
      <xdr:rowOff>95249</xdr:rowOff>
    </xdr:from>
    <xdr:to>
      <xdr:col>86</xdr:col>
      <xdr:colOff>62049</xdr:colOff>
      <xdr:row>524</xdr:row>
      <xdr:rowOff>95249</xdr:rowOff>
    </xdr:to>
    <xdr:cxnSp macro="">
      <xdr:nvCxnSpPr>
        <xdr:cNvPr id="1240" name="직선 화살표 연결선 1239"/>
        <xdr:cNvCxnSpPr/>
      </xdr:nvCxnSpPr>
      <xdr:spPr>
        <a:xfrm>
          <a:off x="65594049" y="109899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523</xdr:row>
      <xdr:rowOff>38099</xdr:rowOff>
    </xdr:from>
    <xdr:to>
      <xdr:col>87</xdr:col>
      <xdr:colOff>1270</xdr:colOff>
      <xdr:row>523</xdr:row>
      <xdr:rowOff>152399</xdr:rowOff>
    </xdr:to>
    <xdr:sp macro="" textlink="">
      <xdr:nvSpPr>
        <xdr:cNvPr id="1241" name="221"/>
        <xdr:cNvSpPr/>
      </xdr:nvSpPr>
      <xdr:spPr>
        <a:xfrm>
          <a:off x="65594049" y="1096327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523</xdr:row>
      <xdr:rowOff>95249</xdr:rowOff>
    </xdr:from>
    <xdr:to>
      <xdr:col>86</xdr:col>
      <xdr:colOff>62049</xdr:colOff>
      <xdr:row>523</xdr:row>
      <xdr:rowOff>95249</xdr:rowOff>
    </xdr:to>
    <xdr:cxnSp macro="">
      <xdr:nvCxnSpPr>
        <xdr:cNvPr id="1242" name="직선 화살표 연결선 1241"/>
        <xdr:cNvCxnSpPr/>
      </xdr:nvCxnSpPr>
      <xdr:spPr>
        <a:xfrm>
          <a:off x="65594049" y="109689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522</xdr:row>
      <xdr:rowOff>38099</xdr:rowOff>
    </xdr:from>
    <xdr:to>
      <xdr:col>88</xdr:col>
      <xdr:colOff>63319</xdr:colOff>
      <xdr:row>522</xdr:row>
      <xdr:rowOff>152399</xdr:rowOff>
    </xdr:to>
    <xdr:sp macro="" textlink="">
      <xdr:nvSpPr>
        <xdr:cNvPr id="1243" name="220"/>
        <xdr:cNvSpPr/>
      </xdr:nvSpPr>
      <xdr:spPr>
        <a:xfrm>
          <a:off x="65552682" y="109423199"/>
          <a:ext cx="15666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522</xdr:row>
      <xdr:rowOff>95249</xdr:rowOff>
    </xdr:from>
    <xdr:to>
      <xdr:col>86</xdr:col>
      <xdr:colOff>20682</xdr:colOff>
      <xdr:row>522</xdr:row>
      <xdr:rowOff>95249</xdr:rowOff>
    </xdr:to>
    <xdr:cxnSp macro="">
      <xdr:nvCxnSpPr>
        <xdr:cNvPr id="1244" name="직선 화살표 연결선 1243"/>
        <xdr:cNvCxnSpPr/>
      </xdr:nvCxnSpPr>
      <xdr:spPr>
        <a:xfrm>
          <a:off x="65552682" y="109480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41366</xdr:colOff>
      <xdr:row>521</xdr:row>
      <xdr:rowOff>38099</xdr:rowOff>
    </xdr:from>
    <xdr:to>
      <xdr:col>86</xdr:col>
      <xdr:colOff>104683</xdr:colOff>
      <xdr:row>521</xdr:row>
      <xdr:rowOff>152399</xdr:rowOff>
    </xdr:to>
    <xdr:sp macro="" textlink="">
      <xdr:nvSpPr>
        <xdr:cNvPr id="1245" name="219"/>
        <xdr:cNvSpPr/>
      </xdr:nvSpPr>
      <xdr:spPr>
        <a:xfrm>
          <a:off x="65573366" y="109213649"/>
          <a:ext cx="63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41366</xdr:colOff>
      <xdr:row>521</xdr:row>
      <xdr:rowOff>95249</xdr:rowOff>
    </xdr:from>
    <xdr:to>
      <xdr:col>86</xdr:col>
      <xdr:colOff>41366</xdr:colOff>
      <xdr:row>521</xdr:row>
      <xdr:rowOff>95249</xdr:rowOff>
    </xdr:to>
    <xdr:cxnSp macro="">
      <xdr:nvCxnSpPr>
        <xdr:cNvPr id="1246" name="직선 화살표 연결선 1245"/>
        <xdr:cNvCxnSpPr/>
      </xdr:nvCxnSpPr>
      <xdr:spPr>
        <a:xfrm>
          <a:off x="65573366" y="109270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41366</xdr:colOff>
      <xdr:row>520</xdr:row>
      <xdr:rowOff>38099</xdr:rowOff>
    </xdr:from>
    <xdr:to>
      <xdr:col>87</xdr:col>
      <xdr:colOff>21952</xdr:colOff>
      <xdr:row>520</xdr:row>
      <xdr:rowOff>152399</xdr:rowOff>
    </xdr:to>
    <xdr:sp macro="" textlink="">
      <xdr:nvSpPr>
        <xdr:cNvPr id="1247" name="218"/>
        <xdr:cNvSpPr/>
      </xdr:nvSpPr>
      <xdr:spPr>
        <a:xfrm>
          <a:off x="65573366" y="10900409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41366</xdr:colOff>
      <xdr:row>520</xdr:row>
      <xdr:rowOff>95249</xdr:rowOff>
    </xdr:from>
    <xdr:to>
      <xdr:col>86</xdr:col>
      <xdr:colOff>41366</xdr:colOff>
      <xdr:row>520</xdr:row>
      <xdr:rowOff>95249</xdr:rowOff>
    </xdr:to>
    <xdr:cxnSp macro="">
      <xdr:nvCxnSpPr>
        <xdr:cNvPr id="1248" name="직선 화살표 연결선 1247"/>
        <xdr:cNvCxnSpPr/>
      </xdr:nvCxnSpPr>
      <xdr:spPr>
        <a:xfrm>
          <a:off x="65573366" y="109061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519</xdr:row>
      <xdr:rowOff>38099</xdr:rowOff>
    </xdr:from>
    <xdr:to>
      <xdr:col>86</xdr:col>
      <xdr:colOff>63318</xdr:colOff>
      <xdr:row>519</xdr:row>
      <xdr:rowOff>152399</xdr:rowOff>
    </xdr:to>
    <xdr:sp macro="" textlink="">
      <xdr:nvSpPr>
        <xdr:cNvPr id="1249" name="217"/>
        <xdr:cNvSpPr/>
      </xdr:nvSpPr>
      <xdr:spPr>
        <a:xfrm>
          <a:off x="65552682" y="1087945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519</xdr:row>
      <xdr:rowOff>95249</xdr:rowOff>
    </xdr:from>
    <xdr:to>
      <xdr:col>86</xdr:col>
      <xdr:colOff>20682</xdr:colOff>
      <xdr:row>519</xdr:row>
      <xdr:rowOff>95249</xdr:rowOff>
    </xdr:to>
    <xdr:cxnSp macro="">
      <xdr:nvCxnSpPr>
        <xdr:cNvPr id="1250" name="직선 화살표 연결선 1249"/>
        <xdr:cNvCxnSpPr/>
      </xdr:nvCxnSpPr>
      <xdr:spPr>
        <a:xfrm>
          <a:off x="65552682" y="108851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518</xdr:row>
      <xdr:rowOff>38099</xdr:rowOff>
    </xdr:from>
    <xdr:to>
      <xdr:col>93</xdr:col>
      <xdr:colOff>21952</xdr:colOff>
      <xdr:row>518</xdr:row>
      <xdr:rowOff>152399</xdr:rowOff>
    </xdr:to>
    <xdr:sp macro="" textlink="">
      <xdr:nvSpPr>
        <xdr:cNvPr id="1251" name="216"/>
        <xdr:cNvSpPr/>
      </xdr:nvSpPr>
      <xdr:spPr>
        <a:xfrm>
          <a:off x="65532000" y="108584999"/>
          <a:ext cx="5355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518</xdr:row>
      <xdr:rowOff>95249</xdr:rowOff>
    </xdr:from>
    <xdr:to>
      <xdr:col>86</xdr:col>
      <xdr:colOff>0</xdr:colOff>
      <xdr:row>518</xdr:row>
      <xdr:rowOff>95249</xdr:rowOff>
    </xdr:to>
    <xdr:cxnSp macro="">
      <xdr:nvCxnSpPr>
        <xdr:cNvPr id="1252" name="직선 화살표 연결선 1251"/>
        <xdr:cNvCxnSpPr/>
      </xdr:nvCxnSpPr>
      <xdr:spPr>
        <a:xfrm>
          <a:off x="65532000" y="108642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517</xdr:row>
      <xdr:rowOff>38099</xdr:rowOff>
    </xdr:from>
    <xdr:to>
      <xdr:col>86</xdr:col>
      <xdr:colOff>84001</xdr:colOff>
      <xdr:row>517</xdr:row>
      <xdr:rowOff>152399</xdr:rowOff>
    </xdr:to>
    <xdr:sp macro="" textlink="">
      <xdr:nvSpPr>
        <xdr:cNvPr id="1253" name="215"/>
        <xdr:cNvSpPr/>
      </xdr:nvSpPr>
      <xdr:spPr>
        <a:xfrm>
          <a:off x="65552682" y="1083754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517</xdr:row>
      <xdr:rowOff>95249</xdr:rowOff>
    </xdr:from>
    <xdr:to>
      <xdr:col>86</xdr:col>
      <xdr:colOff>20682</xdr:colOff>
      <xdr:row>517</xdr:row>
      <xdr:rowOff>95249</xdr:rowOff>
    </xdr:to>
    <xdr:cxnSp macro="">
      <xdr:nvCxnSpPr>
        <xdr:cNvPr id="1254" name="직선 화살표 연결선 1253"/>
        <xdr:cNvCxnSpPr/>
      </xdr:nvCxnSpPr>
      <xdr:spPr>
        <a:xfrm>
          <a:off x="65552682" y="108432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516</xdr:row>
      <xdr:rowOff>38099</xdr:rowOff>
    </xdr:from>
    <xdr:to>
      <xdr:col>86</xdr:col>
      <xdr:colOff>21952</xdr:colOff>
      <xdr:row>516</xdr:row>
      <xdr:rowOff>152399</xdr:rowOff>
    </xdr:to>
    <xdr:sp macro="" textlink="">
      <xdr:nvSpPr>
        <xdr:cNvPr id="1255" name="214"/>
        <xdr:cNvSpPr/>
      </xdr:nvSpPr>
      <xdr:spPr>
        <a:xfrm>
          <a:off x="64873415" y="1081658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516</xdr:row>
      <xdr:rowOff>95249</xdr:rowOff>
    </xdr:from>
    <xdr:to>
      <xdr:col>85</xdr:col>
      <xdr:colOff>103415</xdr:colOff>
      <xdr:row>516</xdr:row>
      <xdr:rowOff>95249</xdr:rowOff>
    </xdr:to>
    <xdr:cxnSp macro="">
      <xdr:nvCxnSpPr>
        <xdr:cNvPr id="1256" name="직선 화살표 연결선 1255"/>
        <xdr:cNvCxnSpPr/>
      </xdr:nvCxnSpPr>
      <xdr:spPr>
        <a:xfrm>
          <a:off x="64873415" y="108223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515</xdr:row>
      <xdr:rowOff>38099</xdr:rowOff>
    </xdr:from>
    <xdr:to>
      <xdr:col>86</xdr:col>
      <xdr:colOff>21952</xdr:colOff>
      <xdr:row>515</xdr:row>
      <xdr:rowOff>152399</xdr:rowOff>
    </xdr:to>
    <xdr:sp macro="" textlink="">
      <xdr:nvSpPr>
        <xdr:cNvPr id="1257" name="213"/>
        <xdr:cNvSpPr/>
      </xdr:nvSpPr>
      <xdr:spPr>
        <a:xfrm>
          <a:off x="64873415" y="10795634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515</xdr:row>
      <xdr:rowOff>95249</xdr:rowOff>
    </xdr:from>
    <xdr:to>
      <xdr:col>85</xdr:col>
      <xdr:colOff>103415</xdr:colOff>
      <xdr:row>515</xdr:row>
      <xdr:rowOff>95249</xdr:rowOff>
    </xdr:to>
    <xdr:cxnSp macro="">
      <xdr:nvCxnSpPr>
        <xdr:cNvPr id="1258" name="직선 화살표 연결선 1257"/>
        <xdr:cNvCxnSpPr/>
      </xdr:nvCxnSpPr>
      <xdr:spPr>
        <a:xfrm>
          <a:off x="64873415" y="108013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514</xdr:row>
      <xdr:rowOff>38099</xdr:rowOff>
    </xdr:from>
    <xdr:to>
      <xdr:col>86</xdr:col>
      <xdr:colOff>21952</xdr:colOff>
      <xdr:row>514</xdr:row>
      <xdr:rowOff>152399</xdr:rowOff>
    </xdr:to>
    <xdr:sp macro="" textlink="">
      <xdr:nvSpPr>
        <xdr:cNvPr id="1259" name="212"/>
        <xdr:cNvSpPr/>
      </xdr:nvSpPr>
      <xdr:spPr>
        <a:xfrm>
          <a:off x="64873415" y="1077467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62048</xdr:colOff>
      <xdr:row>514</xdr:row>
      <xdr:rowOff>95249</xdr:rowOff>
    </xdr:from>
    <xdr:to>
      <xdr:col>89</xdr:col>
      <xdr:colOff>62048</xdr:colOff>
      <xdr:row>514</xdr:row>
      <xdr:rowOff>95249</xdr:rowOff>
    </xdr:to>
    <xdr:cxnSp macro="">
      <xdr:nvCxnSpPr>
        <xdr:cNvPr id="1260" name="직선 화살표 연결선 1259"/>
        <xdr:cNvCxnSpPr/>
      </xdr:nvCxnSpPr>
      <xdr:spPr>
        <a:xfrm>
          <a:off x="67880048" y="107803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513</xdr:row>
      <xdr:rowOff>38099</xdr:rowOff>
    </xdr:from>
    <xdr:to>
      <xdr:col>93</xdr:col>
      <xdr:colOff>84001</xdr:colOff>
      <xdr:row>513</xdr:row>
      <xdr:rowOff>152399</xdr:rowOff>
    </xdr:to>
    <xdr:sp macro="" textlink="">
      <xdr:nvSpPr>
        <xdr:cNvPr id="1261" name="211"/>
        <xdr:cNvSpPr/>
      </xdr:nvSpPr>
      <xdr:spPr>
        <a:xfrm>
          <a:off x="64873415" y="107537249"/>
          <a:ext cx="607658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62048</xdr:colOff>
      <xdr:row>513</xdr:row>
      <xdr:rowOff>95249</xdr:rowOff>
    </xdr:from>
    <xdr:to>
      <xdr:col>89</xdr:col>
      <xdr:colOff>62048</xdr:colOff>
      <xdr:row>513</xdr:row>
      <xdr:rowOff>95249</xdr:rowOff>
    </xdr:to>
    <xdr:cxnSp macro="">
      <xdr:nvCxnSpPr>
        <xdr:cNvPr id="1262" name="직선 화살표 연결선 1261"/>
        <xdr:cNvCxnSpPr/>
      </xdr:nvCxnSpPr>
      <xdr:spPr>
        <a:xfrm>
          <a:off x="67880048" y="107594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41366</xdr:colOff>
      <xdr:row>512</xdr:row>
      <xdr:rowOff>38099</xdr:rowOff>
    </xdr:from>
    <xdr:to>
      <xdr:col>94</xdr:col>
      <xdr:colOff>104684</xdr:colOff>
      <xdr:row>512</xdr:row>
      <xdr:rowOff>152399</xdr:rowOff>
    </xdr:to>
    <xdr:sp macro="" textlink="">
      <xdr:nvSpPr>
        <xdr:cNvPr id="1263" name="210"/>
        <xdr:cNvSpPr/>
      </xdr:nvSpPr>
      <xdr:spPr>
        <a:xfrm>
          <a:off x="71669366" y="10732769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41366</xdr:colOff>
      <xdr:row>512</xdr:row>
      <xdr:rowOff>95249</xdr:rowOff>
    </xdr:from>
    <xdr:to>
      <xdr:col>94</xdr:col>
      <xdr:colOff>41366</xdr:colOff>
      <xdr:row>512</xdr:row>
      <xdr:rowOff>95249</xdr:rowOff>
    </xdr:to>
    <xdr:cxnSp macro="">
      <xdr:nvCxnSpPr>
        <xdr:cNvPr id="1264" name="직선 화살표 연결선 1263"/>
        <xdr:cNvCxnSpPr/>
      </xdr:nvCxnSpPr>
      <xdr:spPr>
        <a:xfrm>
          <a:off x="71669366" y="107384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62049</xdr:colOff>
      <xdr:row>511</xdr:row>
      <xdr:rowOff>38099</xdr:rowOff>
    </xdr:from>
    <xdr:to>
      <xdr:col>94</xdr:col>
      <xdr:colOff>84002</xdr:colOff>
      <xdr:row>511</xdr:row>
      <xdr:rowOff>152399</xdr:rowOff>
    </xdr:to>
    <xdr:sp macro="" textlink="">
      <xdr:nvSpPr>
        <xdr:cNvPr id="1265" name="209"/>
        <xdr:cNvSpPr/>
      </xdr:nvSpPr>
      <xdr:spPr>
        <a:xfrm>
          <a:off x="70928049" y="107118149"/>
          <a:ext cx="783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62049</xdr:colOff>
      <xdr:row>511</xdr:row>
      <xdr:rowOff>95249</xdr:rowOff>
    </xdr:from>
    <xdr:to>
      <xdr:col>93</xdr:col>
      <xdr:colOff>62049</xdr:colOff>
      <xdr:row>511</xdr:row>
      <xdr:rowOff>95249</xdr:rowOff>
    </xdr:to>
    <xdr:cxnSp macro="">
      <xdr:nvCxnSpPr>
        <xdr:cNvPr id="1266" name="직선 화살표 연결선 1265"/>
        <xdr:cNvCxnSpPr/>
      </xdr:nvCxnSpPr>
      <xdr:spPr>
        <a:xfrm>
          <a:off x="70928049" y="107175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82732</xdr:colOff>
      <xdr:row>510</xdr:row>
      <xdr:rowOff>38099</xdr:rowOff>
    </xdr:from>
    <xdr:to>
      <xdr:col>94</xdr:col>
      <xdr:colOff>104684</xdr:colOff>
      <xdr:row>510</xdr:row>
      <xdr:rowOff>152399</xdr:rowOff>
    </xdr:to>
    <xdr:sp macro="" textlink="">
      <xdr:nvSpPr>
        <xdr:cNvPr id="1267" name="208"/>
        <xdr:cNvSpPr/>
      </xdr:nvSpPr>
      <xdr:spPr>
        <a:xfrm>
          <a:off x="70948732" y="106908599"/>
          <a:ext cx="78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82732</xdr:colOff>
      <xdr:row>510</xdr:row>
      <xdr:rowOff>95249</xdr:rowOff>
    </xdr:from>
    <xdr:to>
      <xdr:col>93</xdr:col>
      <xdr:colOff>82732</xdr:colOff>
      <xdr:row>510</xdr:row>
      <xdr:rowOff>95249</xdr:rowOff>
    </xdr:to>
    <xdr:cxnSp macro="">
      <xdr:nvCxnSpPr>
        <xdr:cNvPr id="1268" name="직선 화살표 연결선 1267"/>
        <xdr:cNvCxnSpPr/>
      </xdr:nvCxnSpPr>
      <xdr:spPr>
        <a:xfrm>
          <a:off x="70948732" y="106965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103414</xdr:colOff>
      <xdr:row>509</xdr:row>
      <xdr:rowOff>38099</xdr:rowOff>
    </xdr:from>
    <xdr:to>
      <xdr:col>94</xdr:col>
      <xdr:colOff>104684</xdr:colOff>
      <xdr:row>509</xdr:row>
      <xdr:rowOff>152399</xdr:rowOff>
    </xdr:to>
    <xdr:sp macro="" textlink="">
      <xdr:nvSpPr>
        <xdr:cNvPr id="1269" name="207"/>
        <xdr:cNvSpPr/>
      </xdr:nvSpPr>
      <xdr:spPr>
        <a:xfrm>
          <a:off x="70969414" y="106699049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103414</xdr:colOff>
      <xdr:row>509</xdr:row>
      <xdr:rowOff>95249</xdr:rowOff>
    </xdr:from>
    <xdr:to>
      <xdr:col>93</xdr:col>
      <xdr:colOff>103414</xdr:colOff>
      <xdr:row>509</xdr:row>
      <xdr:rowOff>95249</xdr:rowOff>
    </xdr:to>
    <xdr:cxnSp macro="">
      <xdr:nvCxnSpPr>
        <xdr:cNvPr id="1270" name="직선 화살표 연결선 1269"/>
        <xdr:cNvCxnSpPr/>
      </xdr:nvCxnSpPr>
      <xdr:spPr>
        <a:xfrm>
          <a:off x="70969414" y="106756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124098</xdr:colOff>
      <xdr:row>508</xdr:row>
      <xdr:rowOff>38099</xdr:rowOff>
    </xdr:from>
    <xdr:to>
      <xdr:col>93</xdr:col>
      <xdr:colOff>125366</xdr:colOff>
      <xdr:row>508</xdr:row>
      <xdr:rowOff>152399</xdr:rowOff>
    </xdr:to>
    <xdr:sp macro="" textlink="">
      <xdr:nvSpPr>
        <xdr:cNvPr id="1271" name="206"/>
        <xdr:cNvSpPr/>
      </xdr:nvSpPr>
      <xdr:spPr>
        <a:xfrm>
          <a:off x="70228098" y="106489499"/>
          <a:ext cx="763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124098</xdr:colOff>
      <xdr:row>508</xdr:row>
      <xdr:rowOff>95249</xdr:rowOff>
    </xdr:from>
    <xdr:to>
      <xdr:col>92</xdr:col>
      <xdr:colOff>124098</xdr:colOff>
      <xdr:row>508</xdr:row>
      <xdr:rowOff>95249</xdr:rowOff>
    </xdr:to>
    <xdr:cxnSp macro="">
      <xdr:nvCxnSpPr>
        <xdr:cNvPr id="1272" name="직선 화살표 연결선 1271"/>
        <xdr:cNvCxnSpPr/>
      </xdr:nvCxnSpPr>
      <xdr:spPr>
        <a:xfrm>
          <a:off x="70228098" y="106546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62049</xdr:colOff>
      <xdr:row>507</xdr:row>
      <xdr:rowOff>38099</xdr:rowOff>
    </xdr:from>
    <xdr:to>
      <xdr:col>94</xdr:col>
      <xdr:colOff>1270</xdr:colOff>
      <xdr:row>507</xdr:row>
      <xdr:rowOff>152399</xdr:rowOff>
    </xdr:to>
    <xdr:sp macro="" textlink="">
      <xdr:nvSpPr>
        <xdr:cNvPr id="1273" name="205"/>
        <xdr:cNvSpPr/>
      </xdr:nvSpPr>
      <xdr:spPr>
        <a:xfrm>
          <a:off x="70166049" y="106279949"/>
          <a:ext cx="1463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62049</xdr:colOff>
      <xdr:row>507</xdr:row>
      <xdr:rowOff>95249</xdr:rowOff>
    </xdr:from>
    <xdr:to>
      <xdr:col>92</xdr:col>
      <xdr:colOff>62049</xdr:colOff>
      <xdr:row>507</xdr:row>
      <xdr:rowOff>95249</xdr:rowOff>
    </xdr:to>
    <xdr:cxnSp macro="">
      <xdr:nvCxnSpPr>
        <xdr:cNvPr id="1274" name="직선 화살표 연결선 1273"/>
        <xdr:cNvCxnSpPr/>
      </xdr:nvCxnSpPr>
      <xdr:spPr>
        <a:xfrm>
          <a:off x="70166049" y="106337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41366</xdr:colOff>
      <xdr:row>506</xdr:row>
      <xdr:rowOff>38099</xdr:rowOff>
    </xdr:from>
    <xdr:to>
      <xdr:col>93</xdr:col>
      <xdr:colOff>1270</xdr:colOff>
      <xdr:row>506</xdr:row>
      <xdr:rowOff>152399</xdr:rowOff>
    </xdr:to>
    <xdr:sp macro="" textlink="">
      <xdr:nvSpPr>
        <xdr:cNvPr id="1275" name="204"/>
        <xdr:cNvSpPr/>
      </xdr:nvSpPr>
      <xdr:spPr>
        <a:xfrm>
          <a:off x="70145366" y="106070399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41366</xdr:colOff>
      <xdr:row>506</xdr:row>
      <xdr:rowOff>95249</xdr:rowOff>
    </xdr:from>
    <xdr:to>
      <xdr:col>92</xdr:col>
      <xdr:colOff>41366</xdr:colOff>
      <xdr:row>506</xdr:row>
      <xdr:rowOff>95249</xdr:rowOff>
    </xdr:to>
    <xdr:cxnSp macro="">
      <xdr:nvCxnSpPr>
        <xdr:cNvPr id="1276" name="직선 화살표 연결선 1275"/>
        <xdr:cNvCxnSpPr/>
      </xdr:nvCxnSpPr>
      <xdr:spPr>
        <a:xfrm>
          <a:off x="70145366" y="106127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103414</xdr:colOff>
      <xdr:row>505</xdr:row>
      <xdr:rowOff>38099</xdr:rowOff>
    </xdr:from>
    <xdr:to>
      <xdr:col>92</xdr:col>
      <xdr:colOff>42636</xdr:colOff>
      <xdr:row>505</xdr:row>
      <xdr:rowOff>152399</xdr:rowOff>
    </xdr:to>
    <xdr:sp macro="" textlink="">
      <xdr:nvSpPr>
        <xdr:cNvPr id="1277" name="203"/>
        <xdr:cNvSpPr/>
      </xdr:nvSpPr>
      <xdr:spPr>
        <a:xfrm>
          <a:off x="69445414" y="105860849"/>
          <a:ext cx="70122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103414</xdr:colOff>
      <xdr:row>505</xdr:row>
      <xdr:rowOff>95249</xdr:rowOff>
    </xdr:from>
    <xdr:to>
      <xdr:col>91</xdr:col>
      <xdr:colOff>103414</xdr:colOff>
      <xdr:row>505</xdr:row>
      <xdr:rowOff>95249</xdr:rowOff>
    </xdr:to>
    <xdr:cxnSp macro="">
      <xdr:nvCxnSpPr>
        <xdr:cNvPr id="1278" name="직선 화살표 연결선 1277"/>
        <xdr:cNvCxnSpPr/>
      </xdr:nvCxnSpPr>
      <xdr:spPr>
        <a:xfrm>
          <a:off x="69445414" y="105917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20682</xdr:colOff>
      <xdr:row>504</xdr:row>
      <xdr:rowOff>38099</xdr:rowOff>
    </xdr:from>
    <xdr:to>
      <xdr:col>91</xdr:col>
      <xdr:colOff>104683</xdr:colOff>
      <xdr:row>504</xdr:row>
      <xdr:rowOff>152399</xdr:rowOff>
    </xdr:to>
    <xdr:sp macro="" textlink="">
      <xdr:nvSpPr>
        <xdr:cNvPr id="1279" name="202"/>
        <xdr:cNvSpPr/>
      </xdr:nvSpPr>
      <xdr:spPr>
        <a:xfrm>
          <a:off x="69362682" y="10565129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20682</xdr:colOff>
      <xdr:row>504</xdr:row>
      <xdr:rowOff>95249</xdr:rowOff>
    </xdr:from>
    <xdr:to>
      <xdr:col>91</xdr:col>
      <xdr:colOff>20682</xdr:colOff>
      <xdr:row>504</xdr:row>
      <xdr:rowOff>95249</xdr:rowOff>
    </xdr:to>
    <xdr:cxnSp macro="">
      <xdr:nvCxnSpPr>
        <xdr:cNvPr id="1280" name="직선 화살표 연결선 1279"/>
        <xdr:cNvCxnSpPr/>
      </xdr:nvCxnSpPr>
      <xdr:spPr>
        <a:xfrm>
          <a:off x="69362682" y="105708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20683</xdr:colOff>
      <xdr:row>503</xdr:row>
      <xdr:rowOff>38099</xdr:rowOff>
    </xdr:from>
    <xdr:to>
      <xdr:col>91</xdr:col>
      <xdr:colOff>21952</xdr:colOff>
      <xdr:row>503</xdr:row>
      <xdr:rowOff>152399</xdr:rowOff>
    </xdr:to>
    <xdr:sp macro="" textlink="">
      <xdr:nvSpPr>
        <xdr:cNvPr id="1281" name="201"/>
        <xdr:cNvSpPr/>
      </xdr:nvSpPr>
      <xdr:spPr>
        <a:xfrm>
          <a:off x="67838683" y="105441749"/>
          <a:ext cx="1525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20683</xdr:colOff>
      <xdr:row>503</xdr:row>
      <xdr:rowOff>95249</xdr:rowOff>
    </xdr:from>
    <xdr:to>
      <xdr:col>89</xdr:col>
      <xdr:colOff>20683</xdr:colOff>
      <xdr:row>503</xdr:row>
      <xdr:rowOff>95249</xdr:rowOff>
    </xdr:to>
    <xdr:cxnSp macro="">
      <xdr:nvCxnSpPr>
        <xdr:cNvPr id="1282" name="직선 화살표 연결선 1281"/>
        <xdr:cNvCxnSpPr/>
      </xdr:nvCxnSpPr>
      <xdr:spPr>
        <a:xfrm>
          <a:off x="67838683" y="105498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502</xdr:row>
      <xdr:rowOff>38099</xdr:rowOff>
    </xdr:from>
    <xdr:to>
      <xdr:col>91</xdr:col>
      <xdr:colOff>1269</xdr:colOff>
      <xdr:row>502</xdr:row>
      <xdr:rowOff>152399</xdr:rowOff>
    </xdr:to>
    <xdr:sp macro="" textlink="">
      <xdr:nvSpPr>
        <xdr:cNvPr id="1283" name="200"/>
        <xdr:cNvSpPr/>
      </xdr:nvSpPr>
      <xdr:spPr>
        <a:xfrm>
          <a:off x="67818001" y="105232199"/>
          <a:ext cx="1525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502</xdr:row>
      <xdr:rowOff>95249</xdr:rowOff>
    </xdr:from>
    <xdr:to>
      <xdr:col>89</xdr:col>
      <xdr:colOff>1</xdr:colOff>
      <xdr:row>502</xdr:row>
      <xdr:rowOff>95249</xdr:rowOff>
    </xdr:to>
    <xdr:cxnSp macro="">
      <xdr:nvCxnSpPr>
        <xdr:cNvPr id="1284" name="직선 화살표 연결선 1283"/>
        <xdr:cNvCxnSpPr/>
      </xdr:nvCxnSpPr>
      <xdr:spPr>
        <a:xfrm>
          <a:off x="67818001" y="105289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501</xdr:row>
      <xdr:rowOff>38099</xdr:rowOff>
    </xdr:from>
    <xdr:to>
      <xdr:col>90</xdr:col>
      <xdr:colOff>125367</xdr:colOff>
      <xdr:row>501</xdr:row>
      <xdr:rowOff>152399</xdr:rowOff>
    </xdr:to>
    <xdr:sp macro="" textlink="">
      <xdr:nvSpPr>
        <xdr:cNvPr id="1285" name="199"/>
        <xdr:cNvSpPr/>
      </xdr:nvSpPr>
      <xdr:spPr>
        <a:xfrm>
          <a:off x="67118049" y="105022649"/>
          <a:ext cx="1587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501</xdr:row>
      <xdr:rowOff>95249</xdr:rowOff>
    </xdr:from>
    <xdr:to>
      <xdr:col>88</xdr:col>
      <xdr:colOff>62049</xdr:colOff>
      <xdr:row>501</xdr:row>
      <xdr:rowOff>95249</xdr:rowOff>
    </xdr:to>
    <xdr:cxnSp macro="">
      <xdr:nvCxnSpPr>
        <xdr:cNvPr id="1286" name="직선 화살표 연결선 1285"/>
        <xdr:cNvCxnSpPr/>
      </xdr:nvCxnSpPr>
      <xdr:spPr>
        <a:xfrm>
          <a:off x="67118049" y="105079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500</xdr:row>
      <xdr:rowOff>38099</xdr:rowOff>
    </xdr:from>
    <xdr:to>
      <xdr:col>88</xdr:col>
      <xdr:colOff>63319</xdr:colOff>
      <xdr:row>500</xdr:row>
      <xdr:rowOff>152399</xdr:rowOff>
    </xdr:to>
    <xdr:sp macro="" textlink="">
      <xdr:nvSpPr>
        <xdr:cNvPr id="1287" name="198"/>
        <xdr:cNvSpPr/>
      </xdr:nvSpPr>
      <xdr:spPr>
        <a:xfrm>
          <a:off x="66418098" y="1048130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500</xdr:row>
      <xdr:rowOff>95249</xdr:rowOff>
    </xdr:from>
    <xdr:to>
      <xdr:col>87</xdr:col>
      <xdr:colOff>124098</xdr:colOff>
      <xdr:row>500</xdr:row>
      <xdr:rowOff>95249</xdr:rowOff>
    </xdr:to>
    <xdr:cxnSp macro="">
      <xdr:nvCxnSpPr>
        <xdr:cNvPr id="1288" name="직선 화살표 연결선 1287"/>
        <xdr:cNvCxnSpPr/>
      </xdr:nvCxnSpPr>
      <xdr:spPr>
        <a:xfrm>
          <a:off x="66418098" y="104870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499</xdr:row>
      <xdr:rowOff>38099</xdr:rowOff>
    </xdr:from>
    <xdr:to>
      <xdr:col>87</xdr:col>
      <xdr:colOff>125368</xdr:colOff>
      <xdr:row>499</xdr:row>
      <xdr:rowOff>152399</xdr:rowOff>
    </xdr:to>
    <xdr:sp macro="" textlink="">
      <xdr:nvSpPr>
        <xdr:cNvPr id="1289" name="197"/>
        <xdr:cNvSpPr/>
      </xdr:nvSpPr>
      <xdr:spPr>
        <a:xfrm>
          <a:off x="66356049" y="1046035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499</xdr:row>
      <xdr:rowOff>95249</xdr:rowOff>
    </xdr:from>
    <xdr:to>
      <xdr:col>87</xdr:col>
      <xdr:colOff>62049</xdr:colOff>
      <xdr:row>499</xdr:row>
      <xdr:rowOff>95249</xdr:rowOff>
    </xdr:to>
    <xdr:cxnSp macro="">
      <xdr:nvCxnSpPr>
        <xdr:cNvPr id="1290" name="직선 화살표 연결선 1289"/>
        <xdr:cNvCxnSpPr/>
      </xdr:nvCxnSpPr>
      <xdr:spPr>
        <a:xfrm>
          <a:off x="66356049" y="104660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498</xdr:row>
      <xdr:rowOff>38099</xdr:rowOff>
    </xdr:from>
    <xdr:to>
      <xdr:col>87</xdr:col>
      <xdr:colOff>63319</xdr:colOff>
      <xdr:row>498</xdr:row>
      <xdr:rowOff>152399</xdr:rowOff>
    </xdr:to>
    <xdr:sp macro="" textlink="">
      <xdr:nvSpPr>
        <xdr:cNvPr id="1291" name="196"/>
        <xdr:cNvSpPr/>
      </xdr:nvSpPr>
      <xdr:spPr>
        <a:xfrm>
          <a:off x="66294000" y="10439399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0</xdr:colOff>
      <xdr:row>498</xdr:row>
      <xdr:rowOff>95249</xdr:rowOff>
    </xdr:from>
    <xdr:to>
      <xdr:col>87</xdr:col>
      <xdr:colOff>0</xdr:colOff>
      <xdr:row>498</xdr:row>
      <xdr:rowOff>95249</xdr:rowOff>
    </xdr:to>
    <xdr:cxnSp macro="">
      <xdr:nvCxnSpPr>
        <xdr:cNvPr id="1292" name="직선 화살표 연결선 1291"/>
        <xdr:cNvCxnSpPr/>
      </xdr:nvCxnSpPr>
      <xdr:spPr>
        <a:xfrm>
          <a:off x="66294000" y="104451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497</xdr:row>
      <xdr:rowOff>38099</xdr:rowOff>
    </xdr:from>
    <xdr:to>
      <xdr:col>87</xdr:col>
      <xdr:colOff>1270</xdr:colOff>
      <xdr:row>497</xdr:row>
      <xdr:rowOff>152399</xdr:rowOff>
    </xdr:to>
    <xdr:sp macro="" textlink="">
      <xdr:nvSpPr>
        <xdr:cNvPr id="1293" name="195"/>
        <xdr:cNvSpPr/>
      </xdr:nvSpPr>
      <xdr:spPr>
        <a:xfrm>
          <a:off x="65594049" y="1041844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497</xdr:row>
      <xdr:rowOff>95249</xdr:rowOff>
    </xdr:from>
    <xdr:to>
      <xdr:col>86</xdr:col>
      <xdr:colOff>62049</xdr:colOff>
      <xdr:row>497</xdr:row>
      <xdr:rowOff>95249</xdr:rowOff>
    </xdr:to>
    <xdr:cxnSp macro="">
      <xdr:nvCxnSpPr>
        <xdr:cNvPr id="1294" name="직선 화살표 연결선 1293"/>
        <xdr:cNvCxnSpPr/>
      </xdr:nvCxnSpPr>
      <xdr:spPr>
        <a:xfrm>
          <a:off x="65594049" y="104241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496</xdr:row>
      <xdr:rowOff>38099</xdr:rowOff>
    </xdr:from>
    <xdr:to>
      <xdr:col>88</xdr:col>
      <xdr:colOff>63319</xdr:colOff>
      <xdr:row>496</xdr:row>
      <xdr:rowOff>152399</xdr:rowOff>
    </xdr:to>
    <xdr:sp macro="" textlink="">
      <xdr:nvSpPr>
        <xdr:cNvPr id="1295" name="194"/>
        <xdr:cNvSpPr/>
      </xdr:nvSpPr>
      <xdr:spPr>
        <a:xfrm>
          <a:off x="65552682" y="103974899"/>
          <a:ext cx="15666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496</xdr:row>
      <xdr:rowOff>95249</xdr:rowOff>
    </xdr:from>
    <xdr:to>
      <xdr:col>86</xdr:col>
      <xdr:colOff>20682</xdr:colOff>
      <xdr:row>496</xdr:row>
      <xdr:rowOff>95249</xdr:rowOff>
    </xdr:to>
    <xdr:cxnSp macro="">
      <xdr:nvCxnSpPr>
        <xdr:cNvPr id="1296" name="직선 화살표 연결선 1295"/>
        <xdr:cNvCxnSpPr/>
      </xdr:nvCxnSpPr>
      <xdr:spPr>
        <a:xfrm>
          <a:off x="65552682" y="104032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144779</xdr:colOff>
      <xdr:row>495</xdr:row>
      <xdr:rowOff>38099</xdr:rowOff>
    </xdr:from>
    <xdr:to>
      <xdr:col>90</xdr:col>
      <xdr:colOff>63318</xdr:colOff>
      <xdr:row>495</xdr:row>
      <xdr:rowOff>152399</xdr:rowOff>
    </xdr:to>
    <xdr:sp macro="" textlink="">
      <xdr:nvSpPr>
        <xdr:cNvPr id="1297" name="193"/>
        <xdr:cNvSpPr/>
      </xdr:nvSpPr>
      <xdr:spPr>
        <a:xfrm>
          <a:off x="67962779" y="10376534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144779</xdr:colOff>
      <xdr:row>495</xdr:row>
      <xdr:rowOff>95249</xdr:rowOff>
    </xdr:from>
    <xdr:to>
      <xdr:col>89</xdr:col>
      <xdr:colOff>144779</xdr:colOff>
      <xdr:row>495</xdr:row>
      <xdr:rowOff>95249</xdr:rowOff>
    </xdr:to>
    <xdr:cxnSp macro="">
      <xdr:nvCxnSpPr>
        <xdr:cNvPr id="1298" name="직선 화살표 연결선 1297"/>
        <xdr:cNvCxnSpPr/>
      </xdr:nvCxnSpPr>
      <xdr:spPr>
        <a:xfrm>
          <a:off x="67962779" y="103822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494</xdr:row>
      <xdr:rowOff>38099</xdr:rowOff>
    </xdr:from>
    <xdr:to>
      <xdr:col>90</xdr:col>
      <xdr:colOff>1269</xdr:colOff>
      <xdr:row>494</xdr:row>
      <xdr:rowOff>152399</xdr:rowOff>
    </xdr:to>
    <xdr:sp macro="" textlink="">
      <xdr:nvSpPr>
        <xdr:cNvPr id="1299" name="192"/>
        <xdr:cNvSpPr/>
      </xdr:nvSpPr>
      <xdr:spPr>
        <a:xfrm>
          <a:off x="67900732" y="1035557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494</xdr:row>
      <xdr:rowOff>95249</xdr:rowOff>
    </xdr:from>
    <xdr:to>
      <xdr:col>89</xdr:col>
      <xdr:colOff>82732</xdr:colOff>
      <xdr:row>494</xdr:row>
      <xdr:rowOff>95249</xdr:rowOff>
    </xdr:to>
    <xdr:cxnSp macro="">
      <xdr:nvCxnSpPr>
        <xdr:cNvPr id="1300" name="직선 화살표 연결선 1299"/>
        <xdr:cNvCxnSpPr/>
      </xdr:nvCxnSpPr>
      <xdr:spPr>
        <a:xfrm>
          <a:off x="67900732" y="103612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41366</xdr:colOff>
      <xdr:row>493</xdr:row>
      <xdr:rowOff>38099</xdr:rowOff>
    </xdr:from>
    <xdr:to>
      <xdr:col>89</xdr:col>
      <xdr:colOff>84002</xdr:colOff>
      <xdr:row>493</xdr:row>
      <xdr:rowOff>152399</xdr:rowOff>
    </xdr:to>
    <xdr:sp macro="" textlink="">
      <xdr:nvSpPr>
        <xdr:cNvPr id="1301" name="191"/>
        <xdr:cNvSpPr/>
      </xdr:nvSpPr>
      <xdr:spPr>
        <a:xfrm>
          <a:off x="67859366" y="1033462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493</xdr:row>
      <xdr:rowOff>95249</xdr:rowOff>
    </xdr:from>
    <xdr:to>
      <xdr:col>89</xdr:col>
      <xdr:colOff>41366</xdr:colOff>
      <xdr:row>493</xdr:row>
      <xdr:rowOff>95249</xdr:rowOff>
    </xdr:to>
    <xdr:cxnSp macro="">
      <xdr:nvCxnSpPr>
        <xdr:cNvPr id="1302" name="직선 화살표 연결선 1301"/>
        <xdr:cNvCxnSpPr/>
      </xdr:nvCxnSpPr>
      <xdr:spPr>
        <a:xfrm>
          <a:off x="67859366" y="103403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492</xdr:row>
      <xdr:rowOff>38099</xdr:rowOff>
    </xdr:from>
    <xdr:to>
      <xdr:col>89</xdr:col>
      <xdr:colOff>63318</xdr:colOff>
      <xdr:row>492</xdr:row>
      <xdr:rowOff>152399</xdr:rowOff>
    </xdr:to>
    <xdr:sp macro="" textlink="">
      <xdr:nvSpPr>
        <xdr:cNvPr id="1303" name="190"/>
        <xdr:cNvSpPr/>
      </xdr:nvSpPr>
      <xdr:spPr>
        <a:xfrm>
          <a:off x="67818001" y="103136699"/>
          <a:ext cx="63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492</xdr:row>
      <xdr:rowOff>95249</xdr:rowOff>
    </xdr:from>
    <xdr:to>
      <xdr:col>89</xdr:col>
      <xdr:colOff>1</xdr:colOff>
      <xdr:row>492</xdr:row>
      <xdr:rowOff>95249</xdr:rowOff>
    </xdr:to>
    <xdr:cxnSp macro="">
      <xdr:nvCxnSpPr>
        <xdr:cNvPr id="1304" name="직선 화살표 연결선 1303"/>
        <xdr:cNvCxnSpPr/>
      </xdr:nvCxnSpPr>
      <xdr:spPr>
        <a:xfrm>
          <a:off x="67818001" y="103193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491</xdr:row>
      <xdr:rowOff>38099</xdr:rowOff>
    </xdr:from>
    <xdr:to>
      <xdr:col>89</xdr:col>
      <xdr:colOff>1270</xdr:colOff>
      <xdr:row>491</xdr:row>
      <xdr:rowOff>152399</xdr:rowOff>
    </xdr:to>
    <xdr:sp macro="" textlink="">
      <xdr:nvSpPr>
        <xdr:cNvPr id="1305" name="189"/>
        <xdr:cNvSpPr/>
      </xdr:nvSpPr>
      <xdr:spPr>
        <a:xfrm>
          <a:off x="67138732" y="10292714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491</xdr:row>
      <xdr:rowOff>95249</xdr:rowOff>
    </xdr:from>
    <xdr:to>
      <xdr:col>88</xdr:col>
      <xdr:colOff>82732</xdr:colOff>
      <xdr:row>491</xdr:row>
      <xdr:rowOff>95249</xdr:rowOff>
    </xdr:to>
    <xdr:cxnSp macro="">
      <xdr:nvCxnSpPr>
        <xdr:cNvPr id="1306" name="직선 화살표 연결선 1305"/>
        <xdr:cNvCxnSpPr/>
      </xdr:nvCxnSpPr>
      <xdr:spPr>
        <a:xfrm>
          <a:off x="67138732" y="102984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490</xdr:row>
      <xdr:rowOff>38099</xdr:rowOff>
    </xdr:from>
    <xdr:to>
      <xdr:col>88</xdr:col>
      <xdr:colOff>84001</xdr:colOff>
      <xdr:row>490</xdr:row>
      <xdr:rowOff>152399</xdr:rowOff>
    </xdr:to>
    <xdr:sp macro="" textlink="">
      <xdr:nvSpPr>
        <xdr:cNvPr id="1307" name="188"/>
        <xdr:cNvSpPr/>
      </xdr:nvSpPr>
      <xdr:spPr>
        <a:xfrm>
          <a:off x="67056000" y="10271759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490</xdr:row>
      <xdr:rowOff>95249</xdr:rowOff>
    </xdr:from>
    <xdr:to>
      <xdr:col>88</xdr:col>
      <xdr:colOff>0</xdr:colOff>
      <xdr:row>490</xdr:row>
      <xdr:rowOff>95249</xdr:rowOff>
    </xdr:to>
    <xdr:cxnSp macro="">
      <xdr:nvCxnSpPr>
        <xdr:cNvPr id="1308" name="직선 화살표 연결선 1307"/>
        <xdr:cNvCxnSpPr/>
      </xdr:nvCxnSpPr>
      <xdr:spPr>
        <a:xfrm>
          <a:off x="67056000" y="102774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489</xdr:row>
      <xdr:rowOff>38099</xdr:rowOff>
    </xdr:from>
    <xdr:to>
      <xdr:col>88</xdr:col>
      <xdr:colOff>63319</xdr:colOff>
      <xdr:row>489</xdr:row>
      <xdr:rowOff>152399</xdr:rowOff>
    </xdr:to>
    <xdr:sp macro="" textlink="">
      <xdr:nvSpPr>
        <xdr:cNvPr id="1309" name="187"/>
        <xdr:cNvSpPr/>
      </xdr:nvSpPr>
      <xdr:spPr>
        <a:xfrm>
          <a:off x="66418098" y="1025080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489</xdr:row>
      <xdr:rowOff>95249</xdr:rowOff>
    </xdr:from>
    <xdr:to>
      <xdr:col>87</xdr:col>
      <xdr:colOff>124098</xdr:colOff>
      <xdr:row>489</xdr:row>
      <xdr:rowOff>95249</xdr:rowOff>
    </xdr:to>
    <xdr:cxnSp macro="">
      <xdr:nvCxnSpPr>
        <xdr:cNvPr id="1310" name="직선 화살표 연결선 1309"/>
        <xdr:cNvCxnSpPr/>
      </xdr:nvCxnSpPr>
      <xdr:spPr>
        <a:xfrm>
          <a:off x="66418098" y="102565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488</xdr:row>
      <xdr:rowOff>38099</xdr:rowOff>
    </xdr:from>
    <xdr:to>
      <xdr:col>88</xdr:col>
      <xdr:colOff>1270</xdr:colOff>
      <xdr:row>488</xdr:row>
      <xdr:rowOff>152399</xdr:rowOff>
    </xdr:to>
    <xdr:sp macro="" textlink="">
      <xdr:nvSpPr>
        <xdr:cNvPr id="1311" name="186"/>
        <xdr:cNvSpPr/>
      </xdr:nvSpPr>
      <xdr:spPr>
        <a:xfrm>
          <a:off x="66397414" y="102298499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488</xdr:row>
      <xdr:rowOff>95249</xdr:rowOff>
    </xdr:from>
    <xdr:to>
      <xdr:col>87</xdr:col>
      <xdr:colOff>103414</xdr:colOff>
      <xdr:row>488</xdr:row>
      <xdr:rowOff>95249</xdr:rowOff>
    </xdr:to>
    <xdr:cxnSp macro="">
      <xdr:nvCxnSpPr>
        <xdr:cNvPr id="1312" name="직선 화살표 연결선 1311"/>
        <xdr:cNvCxnSpPr/>
      </xdr:nvCxnSpPr>
      <xdr:spPr>
        <a:xfrm>
          <a:off x="66397414" y="102355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487</xdr:row>
      <xdr:rowOff>38099</xdr:rowOff>
    </xdr:from>
    <xdr:to>
      <xdr:col>88</xdr:col>
      <xdr:colOff>21952</xdr:colOff>
      <xdr:row>487</xdr:row>
      <xdr:rowOff>152399</xdr:rowOff>
    </xdr:to>
    <xdr:sp macro="" textlink="">
      <xdr:nvSpPr>
        <xdr:cNvPr id="1313" name="185"/>
        <xdr:cNvSpPr/>
      </xdr:nvSpPr>
      <xdr:spPr>
        <a:xfrm>
          <a:off x="66376731" y="1020889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487</xdr:row>
      <xdr:rowOff>95249</xdr:rowOff>
    </xdr:from>
    <xdr:to>
      <xdr:col>87</xdr:col>
      <xdr:colOff>82731</xdr:colOff>
      <xdr:row>487</xdr:row>
      <xdr:rowOff>95249</xdr:rowOff>
    </xdr:to>
    <xdr:cxnSp macro="">
      <xdr:nvCxnSpPr>
        <xdr:cNvPr id="1314" name="직선 화살표 연결선 1313"/>
        <xdr:cNvCxnSpPr/>
      </xdr:nvCxnSpPr>
      <xdr:spPr>
        <a:xfrm>
          <a:off x="66376731" y="102146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486</xdr:row>
      <xdr:rowOff>38099</xdr:rowOff>
    </xdr:from>
    <xdr:to>
      <xdr:col>87</xdr:col>
      <xdr:colOff>125368</xdr:colOff>
      <xdr:row>486</xdr:row>
      <xdr:rowOff>152399</xdr:rowOff>
    </xdr:to>
    <xdr:sp macro="" textlink="">
      <xdr:nvSpPr>
        <xdr:cNvPr id="1315" name="184"/>
        <xdr:cNvSpPr/>
      </xdr:nvSpPr>
      <xdr:spPr>
        <a:xfrm>
          <a:off x="66356049" y="10187939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486</xdr:row>
      <xdr:rowOff>95249</xdr:rowOff>
    </xdr:from>
    <xdr:to>
      <xdr:col>87</xdr:col>
      <xdr:colOff>62049</xdr:colOff>
      <xdr:row>486</xdr:row>
      <xdr:rowOff>95249</xdr:rowOff>
    </xdr:to>
    <xdr:cxnSp macro="">
      <xdr:nvCxnSpPr>
        <xdr:cNvPr id="1316" name="직선 화살표 연결선 1315"/>
        <xdr:cNvCxnSpPr/>
      </xdr:nvCxnSpPr>
      <xdr:spPr>
        <a:xfrm>
          <a:off x="66356049" y="101936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485</xdr:row>
      <xdr:rowOff>38099</xdr:rowOff>
    </xdr:from>
    <xdr:to>
      <xdr:col>88</xdr:col>
      <xdr:colOff>42635</xdr:colOff>
      <xdr:row>485</xdr:row>
      <xdr:rowOff>152399</xdr:rowOff>
    </xdr:to>
    <xdr:sp macro="" textlink="">
      <xdr:nvSpPr>
        <xdr:cNvPr id="1317" name="183"/>
        <xdr:cNvSpPr/>
      </xdr:nvSpPr>
      <xdr:spPr>
        <a:xfrm>
          <a:off x="66356049" y="10166984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485</xdr:row>
      <xdr:rowOff>95249</xdr:rowOff>
    </xdr:from>
    <xdr:to>
      <xdr:col>87</xdr:col>
      <xdr:colOff>62049</xdr:colOff>
      <xdr:row>485</xdr:row>
      <xdr:rowOff>95249</xdr:rowOff>
    </xdr:to>
    <xdr:cxnSp macro="">
      <xdr:nvCxnSpPr>
        <xdr:cNvPr id="1318" name="직선 화살표 연결선 1317"/>
        <xdr:cNvCxnSpPr/>
      </xdr:nvCxnSpPr>
      <xdr:spPr>
        <a:xfrm>
          <a:off x="66356049" y="101726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484</xdr:row>
      <xdr:rowOff>38099</xdr:rowOff>
    </xdr:from>
    <xdr:to>
      <xdr:col>88</xdr:col>
      <xdr:colOff>21952</xdr:colOff>
      <xdr:row>484</xdr:row>
      <xdr:rowOff>152399</xdr:rowOff>
    </xdr:to>
    <xdr:sp macro="" textlink="">
      <xdr:nvSpPr>
        <xdr:cNvPr id="1319" name="182"/>
        <xdr:cNvSpPr/>
      </xdr:nvSpPr>
      <xdr:spPr>
        <a:xfrm>
          <a:off x="66335366" y="10146029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484</xdr:row>
      <xdr:rowOff>95249</xdr:rowOff>
    </xdr:from>
    <xdr:to>
      <xdr:col>87</xdr:col>
      <xdr:colOff>41366</xdr:colOff>
      <xdr:row>484</xdr:row>
      <xdr:rowOff>95249</xdr:rowOff>
    </xdr:to>
    <xdr:cxnSp macro="">
      <xdr:nvCxnSpPr>
        <xdr:cNvPr id="1320" name="직선 화살표 연결선 1319"/>
        <xdr:cNvCxnSpPr/>
      </xdr:nvCxnSpPr>
      <xdr:spPr>
        <a:xfrm>
          <a:off x="66335366" y="101517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124098</xdr:colOff>
      <xdr:row>483</xdr:row>
      <xdr:rowOff>38099</xdr:rowOff>
    </xdr:from>
    <xdr:to>
      <xdr:col>87</xdr:col>
      <xdr:colOff>42636</xdr:colOff>
      <xdr:row>483</xdr:row>
      <xdr:rowOff>152399</xdr:rowOff>
    </xdr:to>
    <xdr:sp macro="" textlink="">
      <xdr:nvSpPr>
        <xdr:cNvPr id="1321" name="181"/>
        <xdr:cNvSpPr/>
      </xdr:nvSpPr>
      <xdr:spPr>
        <a:xfrm>
          <a:off x="65656098" y="10125074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124098</xdr:colOff>
      <xdr:row>483</xdr:row>
      <xdr:rowOff>95249</xdr:rowOff>
    </xdr:from>
    <xdr:to>
      <xdr:col>86</xdr:col>
      <xdr:colOff>124098</xdr:colOff>
      <xdr:row>483</xdr:row>
      <xdr:rowOff>95249</xdr:rowOff>
    </xdr:to>
    <xdr:cxnSp macro="">
      <xdr:nvCxnSpPr>
        <xdr:cNvPr id="1322" name="직선 화살표 연결선 1321"/>
        <xdr:cNvCxnSpPr/>
      </xdr:nvCxnSpPr>
      <xdr:spPr>
        <a:xfrm>
          <a:off x="65656098" y="101307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82731</xdr:colOff>
      <xdr:row>482</xdr:row>
      <xdr:rowOff>38099</xdr:rowOff>
    </xdr:from>
    <xdr:to>
      <xdr:col>86</xdr:col>
      <xdr:colOff>125367</xdr:colOff>
      <xdr:row>482</xdr:row>
      <xdr:rowOff>152399</xdr:rowOff>
    </xdr:to>
    <xdr:sp macro="" textlink="">
      <xdr:nvSpPr>
        <xdr:cNvPr id="1323" name="180"/>
        <xdr:cNvSpPr/>
      </xdr:nvSpPr>
      <xdr:spPr>
        <a:xfrm>
          <a:off x="65614731" y="1010411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82731</xdr:colOff>
      <xdr:row>482</xdr:row>
      <xdr:rowOff>95249</xdr:rowOff>
    </xdr:from>
    <xdr:to>
      <xdr:col>86</xdr:col>
      <xdr:colOff>82731</xdr:colOff>
      <xdr:row>482</xdr:row>
      <xdr:rowOff>95249</xdr:rowOff>
    </xdr:to>
    <xdr:cxnSp macro="">
      <xdr:nvCxnSpPr>
        <xdr:cNvPr id="1324" name="직선 화살표 연결선 1323"/>
        <xdr:cNvCxnSpPr/>
      </xdr:nvCxnSpPr>
      <xdr:spPr>
        <a:xfrm>
          <a:off x="65614731" y="101098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481</xdr:row>
      <xdr:rowOff>38099</xdr:rowOff>
    </xdr:from>
    <xdr:to>
      <xdr:col>86</xdr:col>
      <xdr:colOff>125367</xdr:colOff>
      <xdr:row>481</xdr:row>
      <xdr:rowOff>152399</xdr:rowOff>
    </xdr:to>
    <xdr:sp macro="" textlink="">
      <xdr:nvSpPr>
        <xdr:cNvPr id="1325" name="179"/>
        <xdr:cNvSpPr/>
      </xdr:nvSpPr>
      <xdr:spPr>
        <a:xfrm>
          <a:off x="65594049" y="10083164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481</xdr:row>
      <xdr:rowOff>95249</xdr:rowOff>
    </xdr:from>
    <xdr:to>
      <xdr:col>86</xdr:col>
      <xdr:colOff>62049</xdr:colOff>
      <xdr:row>481</xdr:row>
      <xdr:rowOff>95249</xdr:rowOff>
    </xdr:to>
    <xdr:cxnSp macro="">
      <xdr:nvCxnSpPr>
        <xdr:cNvPr id="1326" name="직선 화살표 연결선 1325"/>
        <xdr:cNvCxnSpPr/>
      </xdr:nvCxnSpPr>
      <xdr:spPr>
        <a:xfrm>
          <a:off x="65594049" y="100888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480</xdr:row>
      <xdr:rowOff>38099</xdr:rowOff>
    </xdr:from>
    <xdr:to>
      <xdr:col>86</xdr:col>
      <xdr:colOff>63318</xdr:colOff>
      <xdr:row>480</xdr:row>
      <xdr:rowOff>152399</xdr:rowOff>
    </xdr:to>
    <xdr:sp macro="" textlink="">
      <xdr:nvSpPr>
        <xdr:cNvPr id="1327" name="178"/>
        <xdr:cNvSpPr/>
      </xdr:nvSpPr>
      <xdr:spPr>
        <a:xfrm>
          <a:off x="65552682" y="1006220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480</xdr:row>
      <xdr:rowOff>95249</xdr:rowOff>
    </xdr:from>
    <xdr:to>
      <xdr:col>86</xdr:col>
      <xdr:colOff>20682</xdr:colOff>
      <xdr:row>480</xdr:row>
      <xdr:rowOff>95249</xdr:rowOff>
    </xdr:to>
    <xdr:cxnSp macro="">
      <xdr:nvCxnSpPr>
        <xdr:cNvPr id="1328" name="직선 화살표 연결선 1327"/>
        <xdr:cNvCxnSpPr/>
      </xdr:nvCxnSpPr>
      <xdr:spPr>
        <a:xfrm>
          <a:off x="65552682" y="100679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479</xdr:row>
      <xdr:rowOff>38099</xdr:rowOff>
    </xdr:from>
    <xdr:to>
      <xdr:col>94</xdr:col>
      <xdr:colOff>104684</xdr:colOff>
      <xdr:row>479</xdr:row>
      <xdr:rowOff>152399</xdr:rowOff>
    </xdr:to>
    <xdr:sp macro="" textlink="">
      <xdr:nvSpPr>
        <xdr:cNvPr id="1329" name="177"/>
        <xdr:cNvSpPr/>
      </xdr:nvSpPr>
      <xdr:spPr>
        <a:xfrm>
          <a:off x="65532000" y="100412549"/>
          <a:ext cx="620068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479</xdr:row>
      <xdr:rowOff>95249</xdr:rowOff>
    </xdr:from>
    <xdr:to>
      <xdr:col>86</xdr:col>
      <xdr:colOff>0</xdr:colOff>
      <xdr:row>479</xdr:row>
      <xdr:rowOff>95249</xdr:rowOff>
    </xdr:to>
    <xdr:cxnSp macro="">
      <xdr:nvCxnSpPr>
        <xdr:cNvPr id="1330" name="직선 화살표 연결선 1329"/>
        <xdr:cNvCxnSpPr/>
      </xdr:nvCxnSpPr>
      <xdr:spPr>
        <a:xfrm>
          <a:off x="65532000" y="100469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478</xdr:row>
      <xdr:rowOff>38099</xdr:rowOff>
    </xdr:from>
    <xdr:to>
      <xdr:col>86</xdr:col>
      <xdr:colOff>84001</xdr:colOff>
      <xdr:row>478</xdr:row>
      <xdr:rowOff>152399</xdr:rowOff>
    </xdr:to>
    <xdr:sp macro="" textlink="">
      <xdr:nvSpPr>
        <xdr:cNvPr id="1331" name="176"/>
        <xdr:cNvSpPr/>
      </xdr:nvSpPr>
      <xdr:spPr>
        <a:xfrm>
          <a:off x="65552682" y="10020299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478</xdr:row>
      <xdr:rowOff>95249</xdr:rowOff>
    </xdr:from>
    <xdr:to>
      <xdr:col>86</xdr:col>
      <xdr:colOff>20682</xdr:colOff>
      <xdr:row>478</xdr:row>
      <xdr:rowOff>95249</xdr:rowOff>
    </xdr:to>
    <xdr:cxnSp macro="">
      <xdr:nvCxnSpPr>
        <xdr:cNvPr id="1332" name="직선 화살표 연결선 1331"/>
        <xdr:cNvCxnSpPr/>
      </xdr:nvCxnSpPr>
      <xdr:spPr>
        <a:xfrm>
          <a:off x="65552682" y="100260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477</xdr:row>
      <xdr:rowOff>38099</xdr:rowOff>
    </xdr:from>
    <xdr:to>
      <xdr:col>86</xdr:col>
      <xdr:colOff>21952</xdr:colOff>
      <xdr:row>477</xdr:row>
      <xdr:rowOff>152399</xdr:rowOff>
    </xdr:to>
    <xdr:sp macro="" textlink="">
      <xdr:nvSpPr>
        <xdr:cNvPr id="1333" name="175"/>
        <xdr:cNvSpPr/>
      </xdr:nvSpPr>
      <xdr:spPr>
        <a:xfrm>
          <a:off x="64873415" y="9999344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477</xdr:row>
      <xdr:rowOff>95249</xdr:rowOff>
    </xdr:from>
    <xdr:to>
      <xdr:col>85</xdr:col>
      <xdr:colOff>103415</xdr:colOff>
      <xdr:row>477</xdr:row>
      <xdr:rowOff>95249</xdr:rowOff>
    </xdr:to>
    <xdr:cxnSp macro="">
      <xdr:nvCxnSpPr>
        <xdr:cNvPr id="1334" name="직선 화살표 연결선 1333"/>
        <xdr:cNvCxnSpPr/>
      </xdr:nvCxnSpPr>
      <xdr:spPr>
        <a:xfrm>
          <a:off x="64873415" y="100050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476</xdr:row>
      <xdr:rowOff>38099</xdr:rowOff>
    </xdr:from>
    <xdr:to>
      <xdr:col>86</xdr:col>
      <xdr:colOff>21952</xdr:colOff>
      <xdr:row>476</xdr:row>
      <xdr:rowOff>152399</xdr:rowOff>
    </xdr:to>
    <xdr:sp macro="" textlink="">
      <xdr:nvSpPr>
        <xdr:cNvPr id="1335" name="174"/>
        <xdr:cNvSpPr/>
      </xdr:nvSpPr>
      <xdr:spPr>
        <a:xfrm>
          <a:off x="64873415" y="997838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476</xdr:row>
      <xdr:rowOff>95249</xdr:rowOff>
    </xdr:from>
    <xdr:to>
      <xdr:col>85</xdr:col>
      <xdr:colOff>103415</xdr:colOff>
      <xdr:row>476</xdr:row>
      <xdr:rowOff>95249</xdr:rowOff>
    </xdr:to>
    <xdr:cxnSp macro="">
      <xdr:nvCxnSpPr>
        <xdr:cNvPr id="1336" name="직선 화살표 연결선 1335"/>
        <xdr:cNvCxnSpPr/>
      </xdr:nvCxnSpPr>
      <xdr:spPr>
        <a:xfrm>
          <a:off x="64873415" y="99841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475</xdr:row>
      <xdr:rowOff>38099</xdr:rowOff>
    </xdr:from>
    <xdr:to>
      <xdr:col>86</xdr:col>
      <xdr:colOff>21952</xdr:colOff>
      <xdr:row>475</xdr:row>
      <xdr:rowOff>152399</xdr:rowOff>
    </xdr:to>
    <xdr:sp macro="" textlink="">
      <xdr:nvSpPr>
        <xdr:cNvPr id="1337" name="173"/>
        <xdr:cNvSpPr/>
      </xdr:nvSpPr>
      <xdr:spPr>
        <a:xfrm>
          <a:off x="64873415" y="9957434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475</xdr:row>
      <xdr:rowOff>95249</xdr:rowOff>
    </xdr:from>
    <xdr:to>
      <xdr:col>85</xdr:col>
      <xdr:colOff>103415</xdr:colOff>
      <xdr:row>475</xdr:row>
      <xdr:rowOff>95249</xdr:rowOff>
    </xdr:to>
    <xdr:cxnSp macro="">
      <xdr:nvCxnSpPr>
        <xdr:cNvPr id="1338" name="직선 화살표 연결선 1337"/>
        <xdr:cNvCxnSpPr/>
      </xdr:nvCxnSpPr>
      <xdr:spPr>
        <a:xfrm>
          <a:off x="64873415" y="99631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474</xdr:row>
      <xdr:rowOff>38099</xdr:rowOff>
    </xdr:from>
    <xdr:to>
      <xdr:col>94</xdr:col>
      <xdr:colOff>104684</xdr:colOff>
      <xdr:row>474</xdr:row>
      <xdr:rowOff>152399</xdr:rowOff>
    </xdr:to>
    <xdr:sp macro="" textlink="">
      <xdr:nvSpPr>
        <xdr:cNvPr id="1339" name="172"/>
        <xdr:cNvSpPr/>
      </xdr:nvSpPr>
      <xdr:spPr>
        <a:xfrm>
          <a:off x="64873415" y="99364799"/>
          <a:ext cx="685926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474</xdr:row>
      <xdr:rowOff>95249</xdr:rowOff>
    </xdr:from>
    <xdr:to>
      <xdr:col>85</xdr:col>
      <xdr:colOff>103415</xdr:colOff>
      <xdr:row>474</xdr:row>
      <xdr:rowOff>95249</xdr:rowOff>
    </xdr:to>
    <xdr:cxnSp macro="">
      <xdr:nvCxnSpPr>
        <xdr:cNvPr id="1340" name="직선 화살표 연결선 1339"/>
        <xdr:cNvCxnSpPr/>
      </xdr:nvCxnSpPr>
      <xdr:spPr>
        <a:xfrm>
          <a:off x="64873415" y="99421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82731</xdr:colOff>
      <xdr:row>473</xdr:row>
      <xdr:rowOff>38099</xdr:rowOff>
    </xdr:from>
    <xdr:to>
      <xdr:col>85</xdr:col>
      <xdr:colOff>125367</xdr:colOff>
      <xdr:row>473</xdr:row>
      <xdr:rowOff>152399</xdr:rowOff>
    </xdr:to>
    <xdr:sp macro="" textlink="">
      <xdr:nvSpPr>
        <xdr:cNvPr id="1341" name="171"/>
        <xdr:cNvSpPr/>
      </xdr:nvSpPr>
      <xdr:spPr>
        <a:xfrm>
          <a:off x="64852731" y="991552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82731</xdr:colOff>
      <xdr:row>473</xdr:row>
      <xdr:rowOff>95249</xdr:rowOff>
    </xdr:from>
    <xdr:to>
      <xdr:col>85</xdr:col>
      <xdr:colOff>82731</xdr:colOff>
      <xdr:row>473</xdr:row>
      <xdr:rowOff>95249</xdr:rowOff>
    </xdr:to>
    <xdr:cxnSp macro="">
      <xdr:nvCxnSpPr>
        <xdr:cNvPr id="1342" name="직선 화살표 연결선 1341"/>
        <xdr:cNvCxnSpPr/>
      </xdr:nvCxnSpPr>
      <xdr:spPr>
        <a:xfrm>
          <a:off x="64852731" y="99212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41366</xdr:colOff>
      <xdr:row>472</xdr:row>
      <xdr:rowOff>38099</xdr:rowOff>
    </xdr:from>
    <xdr:to>
      <xdr:col>94</xdr:col>
      <xdr:colOff>104684</xdr:colOff>
      <xdr:row>472</xdr:row>
      <xdr:rowOff>152399</xdr:rowOff>
    </xdr:to>
    <xdr:sp macro="" textlink="">
      <xdr:nvSpPr>
        <xdr:cNvPr id="1343" name="170"/>
        <xdr:cNvSpPr/>
      </xdr:nvSpPr>
      <xdr:spPr>
        <a:xfrm>
          <a:off x="71669366" y="9894569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41366</xdr:colOff>
      <xdr:row>472</xdr:row>
      <xdr:rowOff>95249</xdr:rowOff>
    </xdr:from>
    <xdr:to>
      <xdr:col>94</xdr:col>
      <xdr:colOff>41366</xdr:colOff>
      <xdr:row>472</xdr:row>
      <xdr:rowOff>95249</xdr:rowOff>
    </xdr:to>
    <xdr:cxnSp macro="">
      <xdr:nvCxnSpPr>
        <xdr:cNvPr id="1344" name="직선 화살표 연결선 1343"/>
        <xdr:cNvCxnSpPr/>
      </xdr:nvCxnSpPr>
      <xdr:spPr>
        <a:xfrm>
          <a:off x="71669366" y="99002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62049</xdr:colOff>
      <xdr:row>471</xdr:row>
      <xdr:rowOff>38099</xdr:rowOff>
    </xdr:from>
    <xdr:to>
      <xdr:col>94</xdr:col>
      <xdr:colOff>84002</xdr:colOff>
      <xdr:row>471</xdr:row>
      <xdr:rowOff>152399</xdr:rowOff>
    </xdr:to>
    <xdr:sp macro="" textlink="">
      <xdr:nvSpPr>
        <xdr:cNvPr id="1345" name="169"/>
        <xdr:cNvSpPr/>
      </xdr:nvSpPr>
      <xdr:spPr>
        <a:xfrm>
          <a:off x="70928049" y="98736149"/>
          <a:ext cx="783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62049</xdr:colOff>
      <xdr:row>471</xdr:row>
      <xdr:rowOff>95249</xdr:rowOff>
    </xdr:from>
    <xdr:to>
      <xdr:col>93</xdr:col>
      <xdr:colOff>62049</xdr:colOff>
      <xdr:row>471</xdr:row>
      <xdr:rowOff>95249</xdr:rowOff>
    </xdr:to>
    <xdr:cxnSp macro="">
      <xdr:nvCxnSpPr>
        <xdr:cNvPr id="1346" name="직선 화살표 연결선 1345"/>
        <xdr:cNvCxnSpPr/>
      </xdr:nvCxnSpPr>
      <xdr:spPr>
        <a:xfrm>
          <a:off x="70928049" y="98793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82732</xdr:colOff>
      <xdr:row>470</xdr:row>
      <xdr:rowOff>38099</xdr:rowOff>
    </xdr:from>
    <xdr:to>
      <xdr:col>94</xdr:col>
      <xdr:colOff>104684</xdr:colOff>
      <xdr:row>470</xdr:row>
      <xdr:rowOff>152399</xdr:rowOff>
    </xdr:to>
    <xdr:sp macro="" textlink="">
      <xdr:nvSpPr>
        <xdr:cNvPr id="1347" name="168"/>
        <xdr:cNvSpPr/>
      </xdr:nvSpPr>
      <xdr:spPr>
        <a:xfrm>
          <a:off x="70948732" y="98526599"/>
          <a:ext cx="78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82732</xdr:colOff>
      <xdr:row>470</xdr:row>
      <xdr:rowOff>95249</xdr:rowOff>
    </xdr:from>
    <xdr:to>
      <xdr:col>93</xdr:col>
      <xdr:colOff>82732</xdr:colOff>
      <xdr:row>470</xdr:row>
      <xdr:rowOff>95249</xdr:rowOff>
    </xdr:to>
    <xdr:cxnSp macro="">
      <xdr:nvCxnSpPr>
        <xdr:cNvPr id="1348" name="직선 화살표 연결선 1347"/>
        <xdr:cNvCxnSpPr/>
      </xdr:nvCxnSpPr>
      <xdr:spPr>
        <a:xfrm>
          <a:off x="70948732" y="98583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103414</xdr:colOff>
      <xdr:row>469</xdr:row>
      <xdr:rowOff>38099</xdr:rowOff>
    </xdr:from>
    <xdr:to>
      <xdr:col>94</xdr:col>
      <xdr:colOff>104684</xdr:colOff>
      <xdr:row>469</xdr:row>
      <xdr:rowOff>152399</xdr:rowOff>
    </xdr:to>
    <xdr:sp macro="" textlink="">
      <xdr:nvSpPr>
        <xdr:cNvPr id="1349" name="167"/>
        <xdr:cNvSpPr/>
      </xdr:nvSpPr>
      <xdr:spPr>
        <a:xfrm>
          <a:off x="70969414" y="98317049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103414</xdr:colOff>
      <xdr:row>469</xdr:row>
      <xdr:rowOff>95249</xdr:rowOff>
    </xdr:from>
    <xdr:to>
      <xdr:col>93</xdr:col>
      <xdr:colOff>103414</xdr:colOff>
      <xdr:row>469</xdr:row>
      <xdr:rowOff>95249</xdr:rowOff>
    </xdr:to>
    <xdr:cxnSp macro="">
      <xdr:nvCxnSpPr>
        <xdr:cNvPr id="1350" name="직선 화살표 연결선 1349"/>
        <xdr:cNvCxnSpPr/>
      </xdr:nvCxnSpPr>
      <xdr:spPr>
        <a:xfrm>
          <a:off x="70969414" y="98374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124098</xdr:colOff>
      <xdr:row>468</xdr:row>
      <xdr:rowOff>38099</xdr:rowOff>
    </xdr:from>
    <xdr:to>
      <xdr:col>93</xdr:col>
      <xdr:colOff>125366</xdr:colOff>
      <xdr:row>468</xdr:row>
      <xdr:rowOff>152399</xdr:rowOff>
    </xdr:to>
    <xdr:sp macro="" textlink="">
      <xdr:nvSpPr>
        <xdr:cNvPr id="1351" name="166"/>
        <xdr:cNvSpPr/>
      </xdr:nvSpPr>
      <xdr:spPr>
        <a:xfrm>
          <a:off x="70228098" y="98107499"/>
          <a:ext cx="763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124098</xdr:colOff>
      <xdr:row>468</xdr:row>
      <xdr:rowOff>95249</xdr:rowOff>
    </xdr:from>
    <xdr:to>
      <xdr:col>92</xdr:col>
      <xdr:colOff>124098</xdr:colOff>
      <xdr:row>468</xdr:row>
      <xdr:rowOff>95249</xdr:rowOff>
    </xdr:to>
    <xdr:cxnSp macro="">
      <xdr:nvCxnSpPr>
        <xdr:cNvPr id="1352" name="직선 화살표 연결선 1351"/>
        <xdr:cNvCxnSpPr/>
      </xdr:nvCxnSpPr>
      <xdr:spPr>
        <a:xfrm>
          <a:off x="70228098" y="98164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62049</xdr:colOff>
      <xdr:row>467</xdr:row>
      <xdr:rowOff>38099</xdr:rowOff>
    </xdr:from>
    <xdr:to>
      <xdr:col>94</xdr:col>
      <xdr:colOff>1270</xdr:colOff>
      <xdr:row>467</xdr:row>
      <xdr:rowOff>152399</xdr:rowOff>
    </xdr:to>
    <xdr:sp macro="" textlink="">
      <xdr:nvSpPr>
        <xdr:cNvPr id="1353" name="165"/>
        <xdr:cNvSpPr/>
      </xdr:nvSpPr>
      <xdr:spPr>
        <a:xfrm>
          <a:off x="70166049" y="97897949"/>
          <a:ext cx="1463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62049</xdr:colOff>
      <xdr:row>467</xdr:row>
      <xdr:rowOff>95249</xdr:rowOff>
    </xdr:from>
    <xdr:to>
      <xdr:col>92</xdr:col>
      <xdr:colOff>62049</xdr:colOff>
      <xdr:row>467</xdr:row>
      <xdr:rowOff>95249</xdr:rowOff>
    </xdr:to>
    <xdr:cxnSp macro="">
      <xdr:nvCxnSpPr>
        <xdr:cNvPr id="1354" name="직선 화살표 연결선 1353"/>
        <xdr:cNvCxnSpPr/>
      </xdr:nvCxnSpPr>
      <xdr:spPr>
        <a:xfrm>
          <a:off x="70166049" y="97955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41366</xdr:colOff>
      <xdr:row>466</xdr:row>
      <xdr:rowOff>38099</xdr:rowOff>
    </xdr:from>
    <xdr:to>
      <xdr:col>93</xdr:col>
      <xdr:colOff>1270</xdr:colOff>
      <xdr:row>466</xdr:row>
      <xdr:rowOff>152399</xdr:rowOff>
    </xdr:to>
    <xdr:sp macro="" textlink="">
      <xdr:nvSpPr>
        <xdr:cNvPr id="1355" name="164"/>
        <xdr:cNvSpPr/>
      </xdr:nvSpPr>
      <xdr:spPr>
        <a:xfrm>
          <a:off x="70145366" y="97688399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41366</xdr:colOff>
      <xdr:row>466</xdr:row>
      <xdr:rowOff>95249</xdr:rowOff>
    </xdr:from>
    <xdr:to>
      <xdr:col>92</xdr:col>
      <xdr:colOff>41366</xdr:colOff>
      <xdr:row>466</xdr:row>
      <xdr:rowOff>95249</xdr:rowOff>
    </xdr:to>
    <xdr:cxnSp macro="">
      <xdr:nvCxnSpPr>
        <xdr:cNvPr id="1356" name="직선 화살표 연결선 1355"/>
        <xdr:cNvCxnSpPr/>
      </xdr:nvCxnSpPr>
      <xdr:spPr>
        <a:xfrm>
          <a:off x="70145366" y="97745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103414</xdr:colOff>
      <xdr:row>465</xdr:row>
      <xdr:rowOff>38099</xdr:rowOff>
    </xdr:from>
    <xdr:to>
      <xdr:col>92</xdr:col>
      <xdr:colOff>42636</xdr:colOff>
      <xdr:row>465</xdr:row>
      <xdr:rowOff>152399</xdr:rowOff>
    </xdr:to>
    <xdr:sp macro="" textlink="">
      <xdr:nvSpPr>
        <xdr:cNvPr id="1357" name="163"/>
        <xdr:cNvSpPr/>
      </xdr:nvSpPr>
      <xdr:spPr>
        <a:xfrm>
          <a:off x="69445414" y="97478849"/>
          <a:ext cx="70122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103414</xdr:colOff>
      <xdr:row>465</xdr:row>
      <xdr:rowOff>95249</xdr:rowOff>
    </xdr:from>
    <xdr:to>
      <xdr:col>91</xdr:col>
      <xdr:colOff>103414</xdr:colOff>
      <xdr:row>465</xdr:row>
      <xdr:rowOff>95249</xdr:rowOff>
    </xdr:to>
    <xdr:cxnSp macro="">
      <xdr:nvCxnSpPr>
        <xdr:cNvPr id="1358" name="직선 화살표 연결선 1357"/>
        <xdr:cNvCxnSpPr/>
      </xdr:nvCxnSpPr>
      <xdr:spPr>
        <a:xfrm>
          <a:off x="69445414" y="97535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20682</xdr:colOff>
      <xdr:row>464</xdr:row>
      <xdr:rowOff>38099</xdr:rowOff>
    </xdr:from>
    <xdr:to>
      <xdr:col>91</xdr:col>
      <xdr:colOff>104683</xdr:colOff>
      <xdr:row>464</xdr:row>
      <xdr:rowOff>152399</xdr:rowOff>
    </xdr:to>
    <xdr:sp macro="" textlink="">
      <xdr:nvSpPr>
        <xdr:cNvPr id="1359" name="162"/>
        <xdr:cNvSpPr/>
      </xdr:nvSpPr>
      <xdr:spPr>
        <a:xfrm>
          <a:off x="69362682" y="9726929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20682</xdr:colOff>
      <xdr:row>464</xdr:row>
      <xdr:rowOff>95249</xdr:rowOff>
    </xdr:from>
    <xdr:to>
      <xdr:col>91</xdr:col>
      <xdr:colOff>20682</xdr:colOff>
      <xdr:row>464</xdr:row>
      <xdr:rowOff>95249</xdr:rowOff>
    </xdr:to>
    <xdr:cxnSp macro="">
      <xdr:nvCxnSpPr>
        <xdr:cNvPr id="1360" name="직선 화살표 연결선 1359"/>
        <xdr:cNvCxnSpPr/>
      </xdr:nvCxnSpPr>
      <xdr:spPr>
        <a:xfrm>
          <a:off x="69362682" y="97326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20683</xdr:colOff>
      <xdr:row>463</xdr:row>
      <xdr:rowOff>38099</xdr:rowOff>
    </xdr:from>
    <xdr:to>
      <xdr:col>91</xdr:col>
      <xdr:colOff>21952</xdr:colOff>
      <xdr:row>463</xdr:row>
      <xdr:rowOff>152399</xdr:rowOff>
    </xdr:to>
    <xdr:sp macro="" textlink="">
      <xdr:nvSpPr>
        <xdr:cNvPr id="1361" name="161"/>
        <xdr:cNvSpPr/>
      </xdr:nvSpPr>
      <xdr:spPr>
        <a:xfrm>
          <a:off x="67838683" y="97059749"/>
          <a:ext cx="1525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20683</xdr:colOff>
      <xdr:row>463</xdr:row>
      <xdr:rowOff>95249</xdr:rowOff>
    </xdr:from>
    <xdr:to>
      <xdr:col>89</xdr:col>
      <xdr:colOff>20683</xdr:colOff>
      <xdr:row>463</xdr:row>
      <xdr:rowOff>95249</xdr:rowOff>
    </xdr:to>
    <xdr:cxnSp macro="">
      <xdr:nvCxnSpPr>
        <xdr:cNvPr id="1362" name="직선 화살표 연결선 1361"/>
        <xdr:cNvCxnSpPr/>
      </xdr:nvCxnSpPr>
      <xdr:spPr>
        <a:xfrm>
          <a:off x="67838683" y="97116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462</xdr:row>
      <xdr:rowOff>38099</xdr:rowOff>
    </xdr:from>
    <xdr:to>
      <xdr:col>91</xdr:col>
      <xdr:colOff>1269</xdr:colOff>
      <xdr:row>462</xdr:row>
      <xdr:rowOff>152399</xdr:rowOff>
    </xdr:to>
    <xdr:sp macro="" textlink="">
      <xdr:nvSpPr>
        <xdr:cNvPr id="1363" name="160"/>
        <xdr:cNvSpPr/>
      </xdr:nvSpPr>
      <xdr:spPr>
        <a:xfrm>
          <a:off x="67818001" y="96850199"/>
          <a:ext cx="1525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462</xdr:row>
      <xdr:rowOff>95249</xdr:rowOff>
    </xdr:from>
    <xdr:to>
      <xdr:col>89</xdr:col>
      <xdr:colOff>1</xdr:colOff>
      <xdr:row>462</xdr:row>
      <xdr:rowOff>95249</xdr:rowOff>
    </xdr:to>
    <xdr:cxnSp macro="">
      <xdr:nvCxnSpPr>
        <xdr:cNvPr id="1364" name="직선 화살표 연결선 1363"/>
        <xdr:cNvCxnSpPr/>
      </xdr:nvCxnSpPr>
      <xdr:spPr>
        <a:xfrm>
          <a:off x="67818001" y="96907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461</xdr:row>
      <xdr:rowOff>38099</xdr:rowOff>
    </xdr:from>
    <xdr:to>
      <xdr:col>90</xdr:col>
      <xdr:colOff>125367</xdr:colOff>
      <xdr:row>461</xdr:row>
      <xdr:rowOff>152399</xdr:rowOff>
    </xdr:to>
    <xdr:sp macro="" textlink="">
      <xdr:nvSpPr>
        <xdr:cNvPr id="1365" name="159"/>
        <xdr:cNvSpPr/>
      </xdr:nvSpPr>
      <xdr:spPr>
        <a:xfrm>
          <a:off x="67118049" y="96640649"/>
          <a:ext cx="1587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461</xdr:row>
      <xdr:rowOff>95249</xdr:rowOff>
    </xdr:from>
    <xdr:to>
      <xdr:col>88</xdr:col>
      <xdr:colOff>62049</xdr:colOff>
      <xdr:row>461</xdr:row>
      <xdr:rowOff>95249</xdr:rowOff>
    </xdr:to>
    <xdr:cxnSp macro="">
      <xdr:nvCxnSpPr>
        <xdr:cNvPr id="1366" name="직선 화살표 연결선 1365"/>
        <xdr:cNvCxnSpPr/>
      </xdr:nvCxnSpPr>
      <xdr:spPr>
        <a:xfrm>
          <a:off x="67118049" y="96697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460</xdr:row>
      <xdr:rowOff>38099</xdr:rowOff>
    </xdr:from>
    <xdr:to>
      <xdr:col>88</xdr:col>
      <xdr:colOff>63319</xdr:colOff>
      <xdr:row>460</xdr:row>
      <xdr:rowOff>152399</xdr:rowOff>
    </xdr:to>
    <xdr:sp macro="" textlink="">
      <xdr:nvSpPr>
        <xdr:cNvPr id="1367" name="158"/>
        <xdr:cNvSpPr/>
      </xdr:nvSpPr>
      <xdr:spPr>
        <a:xfrm>
          <a:off x="66418098" y="9643109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460</xdr:row>
      <xdr:rowOff>95249</xdr:rowOff>
    </xdr:from>
    <xdr:to>
      <xdr:col>87</xdr:col>
      <xdr:colOff>124098</xdr:colOff>
      <xdr:row>460</xdr:row>
      <xdr:rowOff>95249</xdr:rowOff>
    </xdr:to>
    <xdr:cxnSp macro="">
      <xdr:nvCxnSpPr>
        <xdr:cNvPr id="1368" name="직선 화살표 연결선 1367"/>
        <xdr:cNvCxnSpPr/>
      </xdr:nvCxnSpPr>
      <xdr:spPr>
        <a:xfrm>
          <a:off x="66418098" y="96488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459</xdr:row>
      <xdr:rowOff>38099</xdr:rowOff>
    </xdr:from>
    <xdr:to>
      <xdr:col>87</xdr:col>
      <xdr:colOff>125368</xdr:colOff>
      <xdr:row>459</xdr:row>
      <xdr:rowOff>152399</xdr:rowOff>
    </xdr:to>
    <xdr:sp macro="" textlink="">
      <xdr:nvSpPr>
        <xdr:cNvPr id="1369" name="157"/>
        <xdr:cNvSpPr/>
      </xdr:nvSpPr>
      <xdr:spPr>
        <a:xfrm>
          <a:off x="66356049" y="9622154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459</xdr:row>
      <xdr:rowOff>95249</xdr:rowOff>
    </xdr:from>
    <xdr:to>
      <xdr:col>87</xdr:col>
      <xdr:colOff>62049</xdr:colOff>
      <xdr:row>459</xdr:row>
      <xdr:rowOff>95249</xdr:rowOff>
    </xdr:to>
    <xdr:cxnSp macro="">
      <xdr:nvCxnSpPr>
        <xdr:cNvPr id="1370" name="직선 화살표 연결선 1369"/>
        <xdr:cNvCxnSpPr/>
      </xdr:nvCxnSpPr>
      <xdr:spPr>
        <a:xfrm>
          <a:off x="66356049" y="96278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458</xdr:row>
      <xdr:rowOff>38099</xdr:rowOff>
    </xdr:from>
    <xdr:to>
      <xdr:col>87</xdr:col>
      <xdr:colOff>63319</xdr:colOff>
      <xdr:row>458</xdr:row>
      <xdr:rowOff>152399</xdr:rowOff>
    </xdr:to>
    <xdr:sp macro="" textlink="">
      <xdr:nvSpPr>
        <xdr:cNvPr id="1371" name="156"/>
        <xdr:cNvSpPr/>
      </xdr:nvSpPr>
      <xdr:spPr>
        <a:xfrm>
          <a:off x="66294000" y="9601199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0</xdr:colOff>
      <xdr:row>458</xdr:row>
      <xdr:rowOff>95249</xdr:rowOff>
    </xdr:from>
    <xdr:to>
      <xdr:col>87</xdr:col>
      <xdr:colOff>0</xdr:colOff>
      <xdr:row>458</xdr:row>
      <xdr:rowOff>95249</xdr:rowOff>
    </xdr:to>
    <xdr:cxnSp macro="">
      <xdr:nvCxnSpPr>
        <xdr:cNvPr id="1372" name="직선 화살표 연결선 1371"/>
        <xdr:cNvCxnSpPr/>
      </xdr:nvCxnSpPr>
      <xdr:spPr>
        <a:xfrm>
          <a:off x="66294000" y="96069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457</xdr:row>
      <xdr:rowOff>38099</xdr:rowOff>
    </xdr:from>
    <xdr:to>
      <xdr:col>87</xdr:col>
      <xdr:colOff>1270</xdr:colOff>
      <xdr:row>457</xdr:row>
      <xdr:rowOff>152399</xdr:rowOff>
    </xdr:to>
    <xdr:sp macro="" textlink="">
      <xdr:nvSpPr>
        <xdr:cNvPr id="1373" name="155"/>
        <xdr:cNvSpPr/>
      </xdr:nvSpPr>
      <xdr:spPr>
        <a:xfrm>
          <a:off x="65594049" y="958024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457</xdr:row>
      <xdr:rowOff>95249</xdr:rowOff>
    </xdr:from>
    <xdr:to>
      <xdr:col>86</xdr:col>
      <xdr:colOff>62049</xdr:colOff>
      <xdr:row>457</xdr:row>
      <xdr:rowOff>95249</xdr:rowOff>
    </xdr:to>
    <xdr:cxnSp macro="">
      <xdr:nvCxnSpPr>
        <xdr:cNvPr id="1374" name="직선 화살표 연결선 1373"/>
        <xdr:cNvCxnSpPr/>
      </xdr:nvCxnSpPr>
      <xdr:spPr>
        <a:xfrm>
          <a:off x="65594049" y="95859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456</xdr:row>
      <xdr:rowOff>38099</xdr:rowOff>
    </xdr:from>
    <xdr:to>
      <xdr:col>88</xdr:col>
      <xdr:colOff>63319</xdr:colOff>
      <xdr:row>456</xdr:row>
      <xdr:rowOff>152399</xdr:rowOff>
    </xdr:to>
    <xdr:sp macro="" textlink="">
      <xdr:nvSpPr>
        <xdr:cNvPr id="1375" name="154"/>
        <xdr:cNvSpPr/>
      </xdr:nvSpPr>
      <xdr:spPr>
        <a:xfrm>
          <a:off x="65552682" y="95592899"/>
          <a:ext cx="15666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456</xdr:row>
      <xdr:rowOff>95249</xdr:rowOff>
    </xdr:from>
    <xdr:to>
      <xdr:col>86</xdr:col>
      <xdr:colOff>20682</xdr:colOff>
      <xdr:row>456</xdr:row>
      <xdr:rowOff>95249</xdr:rowOff>
    </xdr:to>
    <xdr:cxnSp macro="">
      <xdr:nvCxnSpPr>
        <xdr:cNvPr id="1376" name="직선 화살표 연결선 1375"/>
        <xdr:cNvCxnSpPr/>
      </xdr:nvCxnSpPr>
      <xdr:spPr>
        <a:xfrm>
          <a:off x="65552682" y="95650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144779</xdr:colOff>
      <xdr:row>455</xdr:row>
      <xdr:rowOff>38099</xdr:rowOff>
    </xdr:from>
    <xdr:to>
      <xdr:col>90</xdr:col>
      <xdr:colOff>63318</xdr:colOff>
      <xdr:row>455</xdr:row>
      <xdr:rowOff>152399</xdr:rowOff>
    </xdr:to>
    <xdr:sp macro="" textlink="">
      <xdr:nvSpPr>
        <xdr:cNvPr id="1377" name="153"/>
        <xdr:cNvSpPr/>
      </xdr:nvSpPr>
      <xdr:spPr>
        <a:xfrm>
          <a:off x="67962779" y="95383349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144779</xdr:colOff>
      <xdr:row>455</xdr:row>
      <xdr:rowOff>95249</xdr:rowOff>
    </xdr:from>
    <xdr:to>
      <xdr:col>89</xdr:col>
      <xdr:colOff>144779</xdr:colOff>
      <xdr:row>455</xdr:row>
      <xdr:rowOff>95249</xdr:rowOff>
    </xdr:to>
    <xdr:cxnSp macro="">
      <xdr:nvCxnSpPr>
        <xdr:cNvPr id="1378" name="직선 화살표 연결선 1377"/>
        <xdr:cNvCxnSpPr/>
      </xdr:nvCxnSpPr>
      <xdr:spPr>
        <a:xfrm>
          <a:off x="67962779" y="954404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454</xdr:row>
      <xdr:rowOff>38099</xdr:rowOff>
    </xdr:from>
    <xdr:to>
      <xdr:col>90</xdr:col>
      <xdr:colOff>1269</xdr:colOff>
      <xdr:row>454</xdr:row>
      <xdr:rowOff>152399</xdr:rowOff>
    </xdr:to>
    <xdr:sp macro="" textlink="">
      <xdr:nvSpPr>
        <xdr:cNvPr id="1379" name="152"/>
        <xdr:cNvSpPr/>
      </xdr:nvSpPr>
      <xdr:spPr>
        <a:xfrm>
          <a:off x="67900732" y="951737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454</xdr:row>
      <xdr:rowOff>95249</xdr:rowOff>
    </xdr:from>
    <xdr:to>
      <xdr:col>89</xdr:col>
      <xdr:colOff>82732</xdr:colOff>
      <xdr:row>454</xdr:row>
      <xdr:rowOff>95249</xdr:rowOff>
    </xdr:to>
    <xdr:cxnSp macro="">
      <xdr:nvCxnSpPr>
        <xdr:cNvPr id="1380" name="직선 화살표 연결선 1379"/>
        <xdr:cNvCxnSpPr/>
      </xdr:nvCxnSpPr>
      <xdr:spPr>
        <a:xfrm>
          <a:off x="67900732" y="952309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41366</xdr:colOff>
      <xdr:row>453</xdr:row>
      <xdr:rowOff>38099</xdr:rowOff>
    </xdr:from>
    <xdr:to>
      <xdr:col>89</xdr:col>
      <xdr:colOff>84002</xdr:colOff>
      <xdr:row>453</xdr:row>
      <xdr:rowOff>152399</xdr:rowOff>
    </xdr:to>
    <xdr:sp macro="" textlink="">
      <xdr:nvSpPr>
        <xdr:cNvPr id="1381" name="151"/>
        <xdr:cNvSpPr/>
      </xdr:nvSpPr>
      <xdr:spPr>
        <a:xfrm>
          <a:off x="67859366" y="9496424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453</xdr:row>
      <xdr:rowOff>95249</xdr:rowOff>
    </xdr:from>
    <xdr:to>
      <xdr:col>89</xdr:col>
      <xdr:colOff>41366</xdr:colOff>
      <xdr:row>453</xdr:row>
      <xdr:rowOff>95249</xdr:rowOff>
    </xdr:to>
    <xdr:cxnSp macro="">
      <xdr:nvCxnSpPr>
        <xdr:cNvPr id="1382" name="직선 화살표 연결선 1381"/>
        <xdr:cNvCxnSpPr/>
      </xdr:nvCxnSpPr>
      <xdr:spPr>
        <a:xfrm>
          <a:off x="67859366" y="950213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452</xdr:row>
      <xdr:rowOff>38099</xdr:rowOff>
    </xdr:from>
    <xdr:to>
      <xdr:col>89</xdr:col>
      <xdr:colOff>63318</xdr:colOff>
      <xdr:row>452</xdr:row>
      <xdr:rowOff>152399</xdr:rowOff>
    </xdr:to>
    <xdr:sp macro="" textlink="">
      <xdr:nvSpPr>
        <xdr:cNvPr id="1383" name="150"/>
        <xdr:cNvSpPr/>
      </xdr:nvSpPr>
      <xdr:spPr>
        <a:xfrm>
          <a:off x="67818001" y="94754699"/>
          <a:ext cx="63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452</xdr:row>
      <xdr:rowOff>95249</xdr:rowOff>
    </xdr:from>
    <xdr:to>
      <xdr:col>89</xdr:col>
      <xdr:colOff>1</xdr:colOff>
      <xdr:row>452</xdr:row>
      <xdr:rowOff>95249</xdr:rowOff>
    </xdr:to>
    <xdr:cxnSp macro="">
      <xdr:nvCxnSpPr>
        <xdr:cNvPr id="1384" name="직선 화살표 연결선 1383"/>
        <xdr:cNvCxnSpPr/>
      </xdr:nvCxnSpPr>
      <xdr:spPr>
        <a:xfrm>
          <a:off x="67818001" y="948118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451</xdr:row>
      <xdr:rowOff>38099</xdr:rowOff>
    </xdr:from>
    <xdr:to>
      <xdr:col>89</xdr:col>
      <xdr:colOff>1270</xdr:colOff>
      <xdr:row>451</xdr:row>
      <xdr:rowOff>152399</xdr:rowOff>
    </xdr:to>
    <xdr:sp macro="" textlink="">
      <xdr:nvSpPr>
        <xdr:cNvPr id="1385" name="149"/>
        <xdr:cNvSpPr/>
      </xdr:nvSpPr>
      <xdr:spPr>
        <a:xfrm>
          <a:off x="67138732" y="9454514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451</xdr:row>
      <xdr:rowOff>95249</xdr:rowOff>
    </xdr:from>
    <xdr:to>
      <xdr:col>88</xdr:col>
      <xdr:colOff>82732</xdr:colOff>
      <xdr:row>451</xdr:row>
      <xdr:rowOff>95249</xdr:rowOff>
    </xdr:to>
    <xdr:cxnSp macro="">
      <xdr:nvCxnSpPr>
        <xdr:cNvPr id="1386" name="직선 화살표 연결선 1385"/>
        <xdr:cNvCxnSpPr/>
      </xdr:nvCxnSpPr>
      <xdr:spPr>
        <a:xfrm>
          <a:off x="67138732" y="946022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450</xdr:row>
      <xdr:rowOff>38099</xdr:rowOff>
    </xdr:from>
    <xdr:to>
      <xdr:col>88</xdr:col>
      <xdr:colOff>84001</xdr:colOff>
      <xdr:row>450</xdr:row>
      <xdr:rowOff>152399</xdr:rowOff>
    </xdr:to>
    <xdr:sp macro="" textlink="">
      <xdr:nvSpPr>
        <xdr:cNvPr id="1387" name="148"/>
        <xdr:cNvSpPr/>
      </xdr:nvSpPr>
      <xdr:spPr>
        <a:xfrm>
          <a:off x="67056000" y="94335599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450</xdr:row>
      <xdr:rowOff>95249</xdr:rowOff>
    </xdr:from>
    <xdr:to>
      <xdr:col>88</xdr:col>
      <xdr:colOff>0</xdr:colOff>
      <xdr:row>450</xdr:row>
      <xdr:rowOff>95249</xdr:rowOff>
    </xdr:to>
    <xdr:cxnSp macro="">
      <xdr:nvCxnSpPr>
        <xdr:cNvPr id="1388" name="직선 화살표 연결선 1387"/>
        <xdr:cNvCxnSpPr/>
      </xdr:nvCxnSpPr>
      <xdr:spPr>
        <a:xfrm>
          <a:off x="67056000" y="943927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449</xdr:row>
      <xdr:rowOff>38099</xdr:rowOff>
    </xdr:from>
    <xdr:to>
      <xdr:col>88</xdr:col>
      <xdr:colOff>63319</xdr:colOff>
      <xdr:row>449</xdr:row>
      <xdr:rowOff>152399</xdr:rowOff>
    </xdr:to>
    <xdr:sp macro="" textlink="">
      <xdr:nvSpPr>
        <xdr:cNvPr id="1389" name="147"/>
        <xdr:cNvSpPr/>
      </xdr:nvSpPr>
      <xdr:spPr>
        <a:xfrm>
          <a:off x="66418098" y="941260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449</xdr:row>
      <xdr:rowOff>95249</xdr:rowOff>
    </xdr:from>
    <xdr:to>
      <xdr:col>87</xdr:col>
      <xdr:colOff>124098</xdr:colOff>
      <xdr:row>449</xdr:row>
      <xdr:rowOff>95249</xdr:rowOff>
    </xdr:to>
    <xdr:cxnSp macro="">
      <xdr:nvCxnSpPr>
        <xdr:cNvPr id="1390" name="직선 화살표 연결선 1389"/>
        <xdr:cNvCxnSpPr/>
      </xdr:nvCxnSpPr>
      <xdr:spPr>
        <a:xfrm>
          <a:off x="66418098" y="941831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448</xdr:row>
      <xdr:rowOff>38099</xdr:rowOff>
    </xdr:from>
    <xdr:to>
      <xdr:col>88</xdr:col>
      <xdr:colOff>1270</xdr:colOff>
      <xdr:row>448</xdr:row>
      <xdr:rowOff>152399</xdr:rowOff>
    </xdr:to>
    <xdr:sp macro="" textlink="">
      <xdr:nvSpPr>
        <xdr:cNvPr id="1391" name="146"/>
        <xdr:cNvSpPr/>
      </xdr:nvSpPr>
      <xdr:spPr>
        <a:xfrm>
          <a:off x="66397414" y="93916499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448</xdr:row>
      <xdr:rowOff>95249</xdr:rowOff>
    </xdr:from>
    <xdr:to>
      <xdr:col>87</xdr:col>
      <xdr:colOff>103414</xdr:colOff>
      <xdr:row>448</xdr:row>
      <xdr:rowOff>95249</xdr:rowOff>
    </xdr:to>
    <xdr:cxnSp macro="">
      <xdr:nvCxnSpPr>
        <xdr:cNvPr id="1392" name="직선 화살표 연결선 1391"/>
        <xdr:cNvCxnSpPr/>
      </xdr:nvCxnSpPr>
      <xdr:spPr>
        <a:xfrm>
          <a:off x="66397414" y="939736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447</xdr:row>
      <xdr:rowOff>38099</xdr:rowOff>
    </xdr:from>
    <xdr:to>
      <xdr:col>88</xdr:col>
      <xdr:colOff>21952</xdr:colOff>
      <xdr:row>447</xdr:row>
      <xdr:rowOff>152399</xdr:rowOff>
    </xdr:to>
    <xdr:sp macro="" textlink="">
      <xdr:nvSpPr>
        <xdr:cNvPr id="1393" name="145"/>
        <xdr:cNvSpPr/>
      </xdr:nvSpPr>
      <xdr:spPr>
        <a:xfrm>
          <a:off x="66376731" y="93706949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447</xdr:row>
      <xdr:rowOff>95249</xdr:rowOff>
    </xdr:from>
    <xdr:to>
      <xdr:col>87</xdr:col>
      <xdr:colOff>82731</xdr:colOff>
      <xdr:row>447</xdr:row>
      <xdr:rowOff>95249</xdr:rowOff>
    </xdr:to>
    <xdr:cxnSp macro="">
      <xdr:nvCxnSpPr>
        <xdr:cNvPr id="1394" name="직선 화살표 연결선 1393"/>
        <xdr:cNvCxnSpPr/>
      </xdr:nvCxnSpPr>
      <xdr:spPr>
        <a:xfrm>
          <a:off x="66376731" y="937640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446</xdr:row>
      <xdr:rowOff>38099</xdr:rowOff>
    </xdr:from>
    <xdr:to>
      <xdr:col>87</xdr:col>
      <xdr:colOff>125368</xdr:colOff>
      <xdr:row>446</xdr:row>
      <xdr:rowOff>152399</xdr:rowOff>
    </xdr:to>
    <xdr:sp macro="" textlink="">
      <xdr:nvSpPr>
        <xdr:cNvPr id="1395" name="144"/>
        <xdr:cNvSpPr/>
      </xdr:nvSpPr>
      <xdr:spPr>
        <a:xfrm>
          <a:off x="66356049" y="9349739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446</xdr:row>
      <xdr:rowOff>95249</xdr:rowOff>
    </xdr:from>
    <xdr:to>
      <xdr:col>87</xdr:col>
      <xdr:colOff>62049</xdr:colOff>
      <xdr:row>446</xdr:row>
      <xdr:rowOff>95249</xdr:rowOff>
    </xdr:to>
    <xdr:cxnSp macro="">
      <xdr:nvCxnSpPr>
        <xdr:cNvPr id="1396" name="직선 화살표 연결선 1395"/>
        <xdr:cNvCxnSpPr/>
      </xdr:nvCxnSpPr>
      <xdr:spPr>
        <a:xfrm>
          <a:off x="66356049" y="935545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445</xdr:row>
      <xdr:rowOff>38099</xdr:rowOff>
    </xdr:from>
    <xdr:to>
      <xdr:col>88</xdr:col>
      <xdr:colOff>42635</xdr:colOff>
      <xdr:row>445</xdr:row>
      <xdr:rowOff>152399</xdr:rowOff>
    </xdr:to>
    <xdr:sp macro="" textlink="">
      <xdr:nvSpPr>
        <xdr:cNvPr id="1397" name="143"/>
        <xdr:cNvSpPr/>
      </xdr:nvSpPr>
      <xdr:spPr>
        <a:xfrm>
          <a:off x="66356049" y="9328784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445</xdr:row>
      <xdr:rowOff>95249</xdr:rowOff>
    </xdr:from>
    <xdr:to>
      <xdr:col>87</xdr:col>
      <xdr:colOff>62049</xdr:colOff>
      <xdr:row>445</xdr:row>
      <xdr:rowOff>95249</xdr:rowOff>
    </xdr:to>
    <xdr:cxnSp macro="">
      <xdr:nvCxnSpPr>
        <xdr:cNvPr id="1398" name="직선 화살표 연결선 1397"/>
        <xdr:cNvCxnSpPr/>
      </xdr:nvCxnSpPr>
      <xdr:spPr>
        <a:xfrm>
          <a:off x="66356049" y="933449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444</xdr:row>
      <xdr:rowOff>38099</xdr:rowOff>
    </xdr:from>
    <xdr:to>
      <xdr:col>88</xdr:col>
      <xdr:colOff>21952</xdr:colOff>
      <xdr:row>444</xdr:row>
      <xdr:rowOff>152399</xdr:rowOff>
    </xdr:to>
    <xdr:sp macro="" textlink="">
      <xdr:nvSpPr>
        <xdr:cNvPr id="1399" name="142"/>
        <xdr:cNvSpPr/>
      </xdr:nvSpPr>
      <xdr:spPr>
        <a:xfrm>
          <a:off x="66335366" y="93078299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444</xdr:row>
      <xdr:rowOff>95249</xdr:rowOff>
    </xdr:from>
    <xdr:to>
      <xdr:col>87</xdr:col>
      <xdr:colOff>41366</xdr:colOff>
      <xdr:row>444</xdr:row>
      <xdr:rowOff>95249</xdr:rowOff>
    </xdr:to>
    <xdr:cxnSp macro="">
      <xdr:nvCxnSpPr>
        <xdr:cNvPr id="1400" name="직선 화살표 연결선 1399"/>
        <xdr:cNvCxnSpPr/>
      </xdr:nvCxnSpPr>
      <xdr:spPr>
        <a:xfrm>
          <a:off x="66335366" y="931354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124098</xdr:colOff>
      <xdr:row>443</xdr:row>
      <xdr:rowOff>38099</xdr:rowOff>
    </xdr:from>
    <xdr:to>
      <xdr:col>87</xdr:col>
      <xdr:colOff>42636</xdr:colOff>
      <xdr:row>443</xdr:row>
      <xdr:rowOff>152399</xdr:rowOff>
    </xdr:to>
    <xdr:sp macro="" textlink="">
      <xdr:nvSpPr>
        <xdr:cNvPr id="1401" name="141"/>
        <xdr:cNvSpPr/>
      </xdr:nvSpPr>
      <xdr:spPr>
        <a:xfrm>
          <a:off x="65656098" y="92868749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124098</xdr:colOff>
      <xdr:row>443</xdr:row>
      <xdr:rowOff>95249</xdr:rowOff>
    </xdr:from>
    <xdr:to>
      <xdr:col>86</xdr:col>
      <xdr:colOff>124098</xdr:colOff>
      <xdr:row>443</xdr:row>
      <xdr:rowOff>95249</xdr:rowOff>
    </xdr:to>
    <xdr:cxnSp macro="">
      <xdr:nvCxnSpPr>
        <xdr:cNvPr id="1402" name="직선 화살표 연결선 1401"/>
        <xdr:cNvCxnSpPr/>
      </xdr:nvCxnSpPr>
      <xdr:spPr>
        <a:xfrm>
          <a:off x="65656098" y="929258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82731</xdr:colOff>
      <xdr:row>442</xdr:row>
      <xdr:rowOff>38099</xdr:rowOff>
    </xdr:from>
    <xdr:to>
      <xdr:col>86</xdr:col>
      <xdr:colOff>125367</xdr:colOff>
      <xdr:row>442</xdr:row>
      <xdr:rowOff>152399</xdr:rowOff>
    </xdr:to>
    <xdr:sp macro="" textlink="">
      <xdr:nvSpPr>
        <xdr:cNvPr id="1403" name="140"/>
        <xdr:cNvSpPr/>
      </xdr:nvSpPr>
      <xdr:spPr>
        <a:xfrm>
          <a:off x="65614731" y="926591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82731</xdr:colOff>
      <xdr:row>442</xdr:row>
      <xdr:rowOff>95249</xdr:rowOff>
    </xdr:from>
    <xdr:to>
      <xdr:col>86</xdr:col>
      <xdr:colOff>82731</xdr:colOff>
      <xdr:row>442</xdr:row>
      <xdr:rowOff>95249</xdr:rowOff>
    </xdr:to>
    <xdr:cxnSp macro="">
      <xdr:nvCxnSpPr>
        <xdr:cNvPr id="1404" name="직선 화살표 연결선 1403"/>
        <xdr:cNvCxnSpPr/>
      </xdr:nvCxnSpPr>
      <xdr:spPr>
        <a:xfrm>
          <a:off x="65614731" y="927163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441</xdr:row>
      <xdr:rowOff>38099</xdr:rowOff>
    </xdr:from>
    <xdr:to>
      <xdr:col>86</xdr:col>
      <xdr:colOff>125367</xdr:colOff>
      <xdr:row>441</xdr:row>
      <xdr:rowOff>152399</xdr:rowOff>
    </xdr:to>
    <xdr:sp macro="" textlink="">
      <xdr:nvSpPr>
        <xdr:cNvPr id="1405" name="139"/>
        <xdr:cNvSpPr/>
      </xdr:nvSpPr>
      <xdr:spPr>
        <a:xfrm>
          <a:off x="65594049" y="92449649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441</xdr:row>
      <xdr:rowOff>95249</xdr:rowOff>
    </xdr:from>
    <xdr:to>
      <xdr:col>86</xdr:col>
      <xdr:colOff>62049</xdr:colOff>
      <xdr:row>441</xdr:row>
      <xdr:rowOff>95249</xdr:rowOff>
    </xdr:to>
    <xdr:cxnSp macro="">
      <xdr:nvCxnSpPr>
        <xdr:cNvPr id="1406" name="직선 화살표 연결선 1405"/>
        <xdr:cNvCxnSpPr/>
      </xdr:nvCxnSpPr>
      <xdr:spPr>
        <a:xfrm>
          <a:off x="65594049" y="925067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440</xdr:row>
      <xdr:rowOff>38099</xdr:rowOff>
    </xdr:from>
    <xdr:to>
      <xdr:col>86</xdr:col>
      <xdr:colOff>63318</xdr:colOff>
      <xdr:row>440</xdr:row>
      <xdr:rowOff>152399</xdr:rowOff>
    </xdr:to>
    <xdr:sp macro="" textlink="">
      <xdr:nvSpPr>
        <xdr:cNvPr id="1407" name="138"/>
        <xdr:cNvSpPr/>
      </xdr:nvSpPr>
      <xdr:spPr>
        <a:xfrm>
          <a:off x="65552682" y="92240099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440</xdr:row>
      <xdr:rowOff>95249</xdr:rowOff>
    </xdr:from>
    <xdr:to>
      <xdr:col>86</xdr:col>
      <xdr:colOff>20682</xdr:colOff>
      <xdr:row>440</xdr:row>
      <xdr:rowOff>95249</xdr:rowOff>
    </xdr:to>
    <xdr:cxnSp macro="">
      <xdr:nvCxnSpPr>
        <xdr:cNvPr id="1408" name="직선 화살표 연결선 1407"/>
        <xdr:cNvCxnSpPr/>
      </xdr:nvCxnSpPr>
      <xdr:spPr>
        <a:xfrm>
          <a:off x="65552682" y="922972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439</xdr:row>
      <xdr:rowOff>38099</xdr:rowOff>
    </xdr:from>
    <xdr:to>
      <xdr:col>94</xdr:col>
      <xdr:colOff>104684</xdr:colOff>
      <xdr:row>439</xdr:row>
      <xdr:rowOff>152399</xdr:rowOff>
    </xdr:to>
    <xdr:sp macro="" textlink="">
      <xdr:nvSpPr>
        <xdr:cNvPr id="1409" name="137"/>
        <xdr:cNvSpPr/>
      </xdr:nvSpPr>
      <xdr:spPr>
        <a:xfrm>
          <a:off x="65532000" y="92030549"/>
          <a:ext cx="620068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439</xdr:row>
      <xdr:rowOff>95249</xdr:rowOff>
    </xdr:from>
    <xdr:to>
      <xdr:col>86</xdr:col>
      <xdr:colOff>0</xdr:colOff>
      <xdr:row>439</xdr:row>
      <xdr:rowOff>95249</xdr:rowOff>
    </xdr:to>
    <xdr:cxnSp macro="">
      <xdr:nvCxnSpPr>
        <xdr:cNvPr id="1410" name="직선 화살표 연결선 1409"/>
        <xdr:cNvCxnSpPr/>
      </xdr:nvCxnSpPr>
      <xdr:spPr>
        <a:xfrm>
          <a:off x="65532000" y="920876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438</xdr:row>
      <xdr:rowOff>38099</xdr:rowOff>
    </xdr:from>
    <xdr:to>
      <xdr:col>86</xdr:col>
      <xdr:colOff>84001</xdr:colOff>
      <xdr:row>438</xdr:row>
      <xdr:rowOff>152399</xdr:rowOff>
    </xdr:to>
    <xdr:sp macro="" textlink="">
      <xdr:nvSpPr>
        <xdr:cNvPr id="1411" name="136"/>
        <xdr:cNvSpPr/>
      </xdr:nvSpPr>
      <xdr:spPr>
        <a:xfrm>
          <a:off x="65552682" y="91820999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438</xdr:row>
      <xdr:rowOff>95249</xdr:rowOff>
    </xdr:from>
    <xdr:to>
      <xdr:col>86</xdr:col>
      <xdr:colOff>20682</xdr:colOff>
      <xdr:row>438</xdr:row>
      <xdr:rowOff>95249</xdr:rowOff>
    </xdr:to>
    <xdr:cxnSp macro="">
      <xdr:nvCxnSpPr>
        <xdr:cNvPr id="1412" name="직선 화살표 연결선 1411"/>
        <xdr:cNvCxnSpPr/>
      </xdr:nvCxnSpPr>
      <xdr:spPr>
        <a:xfrm>
          <a:off x="65552682" y="918781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437</xdr:row>
      <xdr:rowOff>38099</xdr:rowOff>
    </xdr:from>
    <xdr:to>
      <xdr:col>86</xdr:col>
      <xdr:colOff>21952</xdr:colOff>
      <xdr:row>437</xdr:row>
      <xdr:rowOff>152399</xdr:rowOff>
    </xdr:to>
    <xdr:sp macro="" textlink="">
      <xdr:nvSpPr>
        <xdr:cNvPr id="1413" name="135"/>
        <xdr:cNvSpPr/>
      </xdr:nvSpPr>
      <xdr:spPr>
        <a:xfrm>
          <a:off x="64873415" y="9161144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437</xdr:row>
      <xdr:rowOff>95249</xdr:rowOff>
    </xdr:from>
    <xdr:to>
      <xdr:col>85</xdr:col>
      <xdr:colOff>103415</xdr:colOff>
      <xdr:row>437</xdr:row>
      <xdr:rowOff>95249</xdr:rowOff>
    </xdr:to>
    <xdr:cxnSp macro="">
      <xdr:nvCxnSpPr>
        <xdr:cNvPr id="1414" name="직선 화살표 연결선 1413"/>
        <xdr:cNvCxnSpPr/>
      </xdr:nvCxnSpPr>
      <xdr:spPr>
        <a:xfrm>
          <a:off x="64873415" y="9166859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436</xdr:row>
      <xdr:rowOff>38099</xdr:rowOff>
    </xdr:from>
    <xdr:to>
      <xdr:col>86</xdr:col>
      <xdr:colOff>21952</xdr:colOff>
      <xdr:row>436</xdr:row>
      <xdr:rowOff>152399</xdr:rowOff>
    </xdr:to>
    <xdr:sp macro="" textlink="">
      <xdr:nvSpPr>
        <xdr:cNvPr id="1415" name="134"/>
        <xdr:cNvSpPr/>
      </xdr:nvSpPr>
      <xdr:spPr>
        <a:xfrm>
          <a:off x="64873415" y="91401899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436</xdr:row>
      <xdr:rowOff>95249</xdr:rowOff>
    </xdr:from>
    <xdr:to>
      <xdr:col>85</xdr:col>
      <xdr:colOff>103415</xdr:colOff>
      <xdr:row>436</xdr:row>
      <xdr:rowOff>95249</xdr:rowOff>
    </xdr:to>
    <xdr:cxnSp macro="">
      <xdr:nvCxnSpPr>
        <xdr:cNvPr id="1416" name="직선 화살표 연결선 1415"/>
        <xdr:cNvCxnSpPr/>
      </xdr:nvCxnSpPr>
      <xdr:spPr>
        <a:xfrm>
          <a:off x="64873415" y="91459049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435</xdr:row>
      <xdr:rowOff>38100</xdr:rowOff>
    </xdr:from>
    <xdr:to>
      <xdr:col>86</xdr:col>
      <xdr:colOff>21952</xdr:colOff>
      <xdr:row>435</xdr:row>
      <xdr:rowOff>152399</xdr:rowOff>
    </xdr:to>
    <xdr:sp macro="" textlink="">
      <xdr:nvSpPr>
        <xdr:cNvPr id="1417" name="133"/>
        <xdr:cNvSpPr/>
      </xdr:nvSpPr>
      <xdr:spPr>
        <a:xfrm>
          <a:off x="64873415" y="91192350"/>
          <a:ext cx="680537" cy="114299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435</xdr:row>
      <xdr:rowOff>95250</xdr:rowOff>
    </xdr:from>
    <xdr:to>
      <xdr:col>85</xdr:col>
      <xdr:colOff>103415</xdr:colOff>
      <xdr:row>435</xdr:row>
      <xdr:rowOff>95250</xdr:rowOff>
    </xdr:to>
    <xdr:cxnSp macro="">
      <xdr:nvCxnSpPr>
        <xdr:cNvPr id="1418" name="직선 화살표 연결선 1417"/>
        <xdr:cNvCxnSpPr/>
      </xdr:nvCxnSpPr>
      <xdr:spPr>
        <a:xfrm>
          <a:off x="64873415" y="912495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82731</xdr:colOff>
      <xdr:row>434</xdr:row>
      <xdr:rowOff>38100</xdr:rowOff>
    </xdr:from>
    <xdr:to>
      <xdr:col>94</xdr:col>
      <xdr:colOff>104684</xdr:colOff>
      <xdr:row>434</xdr:row>
      <xdr:rowOff>152400</xdr:rowOff>
    </xdr:to>
    <xdr:sp macro="" textlink="">
      <xdr:nvSpPr>
        <xdr:cNvPr id="1419" name="132"/>
        <xdr:cNvSpPr/>
      </xdr:nvSpPr>
      <xdr:spPr>
        <a:xfrm>
          <a:off x="64852731" y="90982800"/>
          <a:ext cx="687995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82731</xdr:colOff>
      <xdr:row>434</xdr:row>
      <xdr:rowOff>95250</xdr:rowOff>
    </xdr:from>
    <xdr:to>
      <xdr:col>85</xdr:col>
      <xdr:colOff>82731</xdr:colOff>
      <xdr:row>434</xdr:row>
      <xdr:rowOff>95250</xdr:rowOff>
    </xdr:to>
    <xdr:cxnSp macro="">
      <xdr:nvCxnSpPr>
        <xdr:cNvPr id="1420" name="직선 화살표 연결선 1419"/>
        <xdr:cNvCxnSpPr/>
      </xdr:nvCxnSpPr>
      <xdr:spPr>
        <a:xfrm>
          <a:off x="64852731" y="910399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124098</xdr:colOff>
      <xdr:row>433</xdr:row>
      <xdr:rowOff>38100</xdr:rowOff>
    </xdr:from>
    <xdr:to>
      <xdr:col>97</xdr:col>
      <xdr:colOff>42636</xdr:colOff>
      <xdr:row>433</xdr:row>
      <xdr:rowOff>152400</xdr:rowOff>
    </xdr:to>
    <xdr:sp macro="" textlink="">
      <xdr:nvSpPr>
        <xdr:cNvPr id="1421" name="131"/>
        <xdr:cNvSpPr/>
      </xdr:nvSpPr>
      <xdr:spPr>
        <a:xfrm>
          <a:off x="73276098" y="90773250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96</xdr:col>
      <xdr:colOff>124098</xdr:colOff>
      <xdr:row>433</xdr:row>
      <xdr:rowOff>95250</xdr:rowOff>
    </xdr:from>
    <xdr:to>
      <xdr:col>96</xdr:col>
      <xdr:colOff>124098</xdr:colOff>
      <xdr:row>433</xdr:row>
      <xdr:rowOff>95250</xdr:rowOff>
    </xdr:to>
    <xdr:cxnSp macro="">
      <xdr:nvCxnSpPr>
        <xdr:cNvPr id="1422" name="직선 화살표 연결선 1421"/>
        <xdr:cNvCxnSpPr/>
      </xdr:nvCxnSpPr>
      <xdr:spPr>
        <a:xfrm>
          <a:off x="73276098" y="908304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432</xdr:row>
      <xdr:rowOff>38100</xdr:rowOff>
    </xdr:from>
    <xdr:to>
      <xdr:col>97</xdr:col>
      <xdr:colOff>21952</xdr:colOff>
      <xdr:row>432</xdr:row>
      <xdr:rowOff>152400</xdr:rowOff>
    </xdr:to>
    <xdr:sp macro="" textlink="">
      <xdr:nvSpPr>
        <xdr:cNvPr id="1423" name="130"/>
        <xdr:cNvSpPr/>
      </xdr:nvSpPr>
      <xdr:spPr>
        <a:xfrm>
          <a:off x="73152000" y="90563700"/>
          <a:ext cx="78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96</xdr:col>
      <xdr:colOff>0</xdr:colOff>
      <xdr:row>432</xdr:row>
      <xdr:rowOff>95250</xdr:rowOff>
    </xdr:from>
    <xdr:to>
      <xdr:col>96</xdr:col>
      <xdr:colOff>0</xdr:colOff>
      <xdr:row>432</xdr:row>
      <xdr:rowOff>95250</xdr:rowOff>
    </xdr:to>
    <xdr:cxnSp macro="">
      <xdr:nvCxnSpPr>
        <xdr:cNvPr id="1424" name="직선 화살표 연결선 1423"/>
        <xdr:cNvCxnSpPr/>
      </xdr:nvCxnSpPr>
      <xdr:spPr>
        <a:xfrm>
          <a:off x="73152000" y="906208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124097</xdr:colOff>
      <xdr:row>431</xdr:row>
      <xdr:rowOff>38100</xdr:rowOff>
    </xdr:from>
    <xdr:to>
      <xdr:col>96</xdr:col>
      <xdr:colOff>42636</xdr:colOff>
      <xdr:row>431</xdr:row>
      <xdr:rowOff>152400</xdr:rowOff>
    </xdr:to>
    <xdr:sp macro="" textlink="">
      <xdr:nvSpPr>
        <xdr:cNvPr id="1425" name="129"/>
        <xdr:cNvSpPr/>
      </xdr:nvSpPr>
      <xdr:spPr>
        <a:xfrm>
          <a:off x="72514097" y="90354150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124097</xdr:colOff>
      <xdr:row>431</xdr:row>
      <xdr:rowOff>95250</xdr:rowOff>
    </xdr:from>
    <xdr:to>
      <xdr:col>95</xdr:col>
      <xdr:colOff>124097</xdr:colOff>
      <xdr:row>431</xdr:row>
      <xdr:rowOff>95250</xdr:rowOff>
    </xdr:to>
    <xdr:cxnSp macro="">
      <xdr:nvCxnSpPr>
        <xdr:cNvPr id="1426" name="직선 화살표 연결선 1425"/>
        <xdr:cNvCxnSpPr/>
      </xdr:nvCxnSpPr>
      <xdr:spPr>
        <a:xfrm>
          <a:off x="72514097" y="904113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103415</xdr:colOff>
      <xdr:row>430</xdr:row>
      <xdr:rowOff>38100</xdr:rowOff>
    </xdr:from>
    <xdr:to>
      <xdr:col>96</xdr:col>
      <xdr:colOff>21952</xdr:colOff>
      <xdr:row>430</xdr:row>
      <xdr:rowOff>152400</xdr:rowOff>
    </xdr:to>
    <xdr:sp macro="" textlink="">
      <xdr:nvSpPr>
        <xdr:cNvPr id="1427" name="128"/>
        <xdr:cNvSpPr/>
      </xdr:nvSpPr>
      <xdr:spPr>
        <a:xfrm>
          <a:off x="72493415" y="90144600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103415</xdr:colOff>
      <xdr:row>430</xdr:row>
      <xdr:rowOff>95250</xdr:rowOff>
    </xdr:from>
    <xdr:to>
      <xdr:col>95</xdr:col>
      <xdr:colOff>103415</xdr:colOff>
      <xdr:row>430</xdr:row>
      <xdr:rowOff>95250</xdr:rowOff>
    </xdr:to>
    <xdr:cxnSp macro="">
      <xdr:nvCxnSpPr>
        <xdr:cNvPr id="1428" name="직선 화살표 연결선 1427"/>
        <xdr:cNvCxnSpPr/>
      </xdr:nvCxnSpPr>
      <xdr:spPr>
        <a:xfrm>
          <a:off x="72493415" y="902017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82731</xdr:colOff>
      <xdr:row>429</xdr:row>
      <xdr:rowOff>38100</xdr:rowOff>
    </xdr:from>
    <xdr:to>
      <xdr:col>95</xdr:col>
      <xdr:colOff>125367</xdr:colOff>
      <xdr:row>429</xdr:row>
      <xdr:rowOff>152400</xdr:rowOff>
    </xdr:to>
    <xdr:sp macro="" textlink="">
      <xdr:nvSpPr>
        <xdr:cNvPr id="1429" name="127"/>
        <xdr:cNvSpPr/>
      </xdr:nvSpPr>
      <xdr:spPr>
        <a:xfrm>
          <a:off x="72472731" y="8993505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82731</xdr:colOff>
      <xdr:row>429</xdr:row>
      <xdr:rowOff>95250</xdr:rowOff>
    </xdr:from>
    <xdr:to>
      <xdr:col>95</xdr:col>
      <xdr:colOff>82731</xdr:colOff>
      <xdr:row>429</xdr:row>
      <xdr:rowOff>95250</xdr:rowOff>
    </xdr:to>
    <xdr:cxnSp macro="">
      <xdr:nvCxnSpPr>
        <xdr:cNvPr id="1430" name="직선 화살표 연결선 1429"/>
        <xdr:cNvCxnSpPr/>
      </xdr:nvCxnSpPr>
      <xdr:spPr>
        <a:xfrm>
          <a:off x="72472731" y="899922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62048</xdr:colOff>
      <xdr:row>428</xdr:row>
      <xdr:rowOff>38100</xdr:rowOff>
    </xdr:from>
    <xdr:to>
      <xdr:col>95</xdr:col>
      <xdr:colOff>125367</xdr:colOff>
      <xdr:row>428</xdr:row>
      <xdr:rowOff>152400</xdr:rowOff>
    </xdr:to>
    <xdr:sp macro="" textlink="">
      <xdr:nvSpPr>
        <xdr:cNvPr id="1431" name="126"/>
        <xdr:cNvSpPr/>
      </xdr:nvSpPr>
      <xdr:spPr>
        <a:xfrm>
          <a:off x="72452048" y="89725500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62048</xdr:colOff>
      <xdr:row>428</xdr:row>
      <xdr:rowOff>95250</xdr:rowOff>
    </xdr:from>
    <xdr:to>
      <xdr:col>95</xdr:col>
      <xdr:colOff>62048</xdr:colOff>
      <xdr:row>428</xdr:row>
      <xdr:rowOff>95250</xdr:rowOff>
    </xdr:to>
    <xdr:cxnSp macro="">
      <xdr:nvCxnSpPr>
        <xdr:cNvPr id="1432" name="직선 화살표 연결선 1431"/>
        <xdr:cNvCxnSpPr/>
      </xdr:nvCxnSpPr>
      <xdr:spPr>
        <a:xfrm>
          <a:off x="72452048" y="897826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62048</xdr:colOff>
      <xdr:row>427</xdr:row>
      <xdr:rowOff>38100</xdr:rowOff>
    </xdr:from>
    <xdr:to>
      <xdr:col>95</xdr:col>
      <xdr:colOff>104684</xdr:colOff>
      <xdr:row>427</xdr:row>
      <xdr:rowOff>152400</xdr:rowOff>
    </xdr:to>
    <xdr:sp macro="" textlink="">
      <xdr:nvSpPr>
        <xdr:cNvPr id="1433" name="125"/>
        <xdr:cNvSpPr/>
      </xdr:nvSpPr>
      <xdr:spPr>
        <a:xfrm>
          <a:off x="72452048" y="8951595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62048</xdr:colOff>
      <xdr:row>427</xdr:row>
      <xdr:rowOff>95250</xdr:rowOff>
    </xdr:from>
    <xdr:to>
      <xdr:col>95</xdr:col>
      <xdr:colOff>62048</xdr:colOff>
      <xdr:row>427</xdr:row>
      <xdr:rowOff>95250</xdr:rowOff>
    </xdr:to>
    <xdr:cxnSp macro="">
      <xdr:nvCxnSpPr>
        <xdr:cNvPr id="1434" name="직선 화살표 연결선 1433"/>
        <xdr:cNvCxnSpPr/>
      </xdr:nvCxnSpPr>
      <xdr:spPr>
        <a:xfrm>
          <a:off x="72452048" y="895731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144779</xdr:colOff>
      <xdr:row>426</xdr:row>
      <xdr:rowOff>38100</xdr:rowOff>
    </xdr:from>
    <xdr:to>
      <xdr:col>95</xdr:col>
      <xdr:colOff>84000</xdr:colOff>
      <xdr:row>426</xdr:row>
      <xdr:rowOff>152400</xdr:rowOff>
    </xdr:to>
    <xdr:sp macro="" textlink="">
      <xdr:nvSpPr>
        <xdr:cNvPr id="1435" name="124"/>
        <xdr:cNvSpPr/>
      </xdr:nvSpPr>
      <xdr:spPr>
        <a:xfrm>
          <a:off x="71772779" y="89306400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144779</xdr:colOff>
      <xdr:row>426</xdr:row>
      <xdr:rowOff>95250</xdr:rowOff>
    </xdr:from>
    <xdr:to>
      <xdr:col>94</xdr:col>
      <xdr:colOff>144779</xdr:colOff>
      <xdr:row>426</xdr:row>
      <xdr:rowOff>95250</xdr:rowOff>
    </xdr:to>
    <xdr:cxnSp macro="">
      <xdr:nvCxnSpPr>
        <xdr:cNvPr id="1436" name="직선 화살표 연결선 1435"/>
        <xdr:cNvCxnSpPr/>
      </xdr:nvCxnSpPr>
      <xdr:spPr>
        <a:xfrm>
          <a:off x="71772779" y="893635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124097</xdr:colOff>
      <xdr:row>425</xdr:row>
      <xdr:rowOff>38100</xdr:rowOff>
    </xdr:from>
    <xdr:to>
      <xdr:col>95</xdr:col>
      <xdr:colOff>21953</xdr:colOff>
      <xdr:row>425</xdr:row>
      <xdr:rowOff>152400</xdr:rowOff>
    </xdr:to>
    <xdr:sp macro="" textlink="">
      <xdr:nvSpPr>
        <xdr:cNvPr id="1437" name="123"/>
        <xdr:cNvSpPr/>
      </xdr:nvSpPr>
      <xdr:spPr>
        <a:xfrm>
          <a:off x="71752097" y="89096850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124097</xdr:colOff>
      <xdr:row>425</xdr:row>
      <xdr:rowOff>95250</xdr:rowOff>
    </xdr:from>
    <xdr:to>
      <xdr:col>94</xdr:col>
      <xdr:colOff>124097</xdr:colOff>
      <xdr:row>425</xdr:row>
      <xdr:rowOff>95250</xdr:rowOff>
    </xdr:to>
    <xdr:cxnSp macro="">
      <xdr:nvCxnSpPr>
        <xdr:cNvPr id="1438" name="직선 화살표 연결선 1437"/>
        <xdr:cNvCxnSpPr/>
      </xdr:nvCxnSpPr>
      <xdr:spPr>
        <a:xfrm>
          <a:off x="71752097" y="891540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82732</xdr:colOff>
      <xdr:row>424</xdr:row>
      <xdr:rowOff>38100</xdr:rowOff>
    </xdr:from>
    <xdr:to>
      <xdr:col>94</xdr:col>
      <xdr:colOff>125367</xdr:colOff>
      <xdr:row>424</xdr:row>
      <xdr:rowOff>152400</xdr:rowOff>
    </xdr:to>
    <xdr:sp macro="" textlink="">
      <xdr:nvSpPr>
        <xdr:cNvPr id="1439" name="122"/>
        <xdr:cNvSpPr/>
      </xdr:nvSpPr>
      <xdr:spPr>
        <a:xfrm>
          <a:off x="71710732" y="88887300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82732</xdr:colOff>
      <xdr:row>424</xdr:row>
      <xdr:rowOff>95250</xdr:rowOff>
    </xdr:from>
    <xdr:to>
      <xdr:col>94</xdr:col>
      <xdr:colOff>82732</xdr:colOff>
      <xdr:row>424</xdr:row>
      <xdr:rowOff>95250</xdr:rowOff>
    </xdr:to>
    <xdr:cxnSp macro="">
      <xdr:nvCxnSpPr>
        <xdr:cNvPr id="1440" name="직선 화살표 연결선 1439"/>
        <xdr:cNvCxnSpPr/>
      </xdr:nvCxnSpPr>
      <xdr:spPr>
        <a:xfrm>
          <a:off x="71710732" y="889444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103415</xdr:colOff>
      <xdr:row>423</xdr:row>
      <xdr:rowOff>38100</xdr:rowOff>
    </xdr:from>
    <xdr:to>
      <xdr:col>96</xdr:col>
      <xdr:colOff>125367</xdr:colOff>
      <xdr:row>423</xdr:row>
      <xdr:rowOff>152400</xdr:rowOff>
    </xdr:to>
    <xdr:sp macro="" textlink="">
      <xdr:nvSpPr>
        <xdr:cNvPr id="1441" name="121"/>
        <xdr:cNvSpPr/>
      </xdr:nvSpPr>
      <xdr:spPr>
        <a:xfrm>
          <a:off x="72493415" y="88677750"/>
          <a:ext cx="783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103415</xdr:colOff>
      <xdr:row>423</xdr:row>
      <xdr:rowOff>95250</xdr:rowOff>
    </xdr:from>
    <xdr:to>
      <xdr:col>95</xdr:col>
      <xdr:colOff>103415</xdr:colOff>
      <xdr:row>423</xdr:row>
      <xdr:rowOff>95250</xdr:rowOff>
    </xdr:to>
    <xdr:cxnSp macro="">
      <xdr:nvCxnSpPr>
        <xdr:cNvPr id="1442" name="직선 화살표 연결선 1441"/>
        <xdr:cNvCxnSpPr/>
      </xdr:nvCxnSpPr>
      <xdr:spPr>
        <a:xfrm>
          <a:off x="72493415" y="887349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124097</xdr:colOff>
      <xdr:row>422</xdr:row>
      <xdr:rowOff>38100</xdr:rowOff>
    </xdr:from>
    <xdr:to>
      <xdr:col>96</xdr:col>
      <xdr:colOff>125367</xdr:colOff>
      <xdr:row>422</xdr:row>
      <xdr:rowOff>152400</xdr:rowOff>
    </xdr:to>
    <xdr:sp macro="" textlink="">
      <xdr:nvSpPr>
        <xdr:cNvPr id="1443" name="120"/>
        <xdr:cNvSpPr/>
      </xdr:nvSpPr>
      <xdr:spPr>
        <a:xfrm>
          <a:off x="72514097" y="88468200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124097</xdr:colOff>
      <xdr:row>422</xdr:row>
      <xdr:rowOff>95250</xdr:rowOff>
    </xdr:from>
    <xdr:to>
      <xdr:col>95</xdr:col>
      <xdr:colOff>124097</xdr:colOff>
      <xdr:row>422</xdr:row>
      <xdr:rowOff>95250</xdr:rowOff>
    </xdr:to>
    <xdr:cxnSp macro="">
      <xdr:nvCxnSpPr>
        <xdr:cNvPr id="1444" name="직선 화살표 연결선 1443"/>
        <xdr:cNvCxnSpPr/>
      </xdr:nvCxnSpPr>
      <xdr:spPr>
        <a:xfrm>
          <a:off x="72514097" y="885253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144779</xdr:colOff>
      <xdr:row>421</xdr:row>
      <xdr:rowOff>38100</xdr:rowOff>
    </xdr:from>
    <xdr:to>
      <xdr:col>96</xdr:col>
      <xdr:colOff>1269</xdr:colOff>
      <xdr:row>421</xdr:row>
      <xdr:rowOff>152400</xdr:rowOff>
    </xdr:to>
    <xdr:sp macro="" textlink="">
      <xdr:nvSpPr>
        <xdr:cNvPr id="1445" name="119"/>
        <xdr:cNvSpPr/>
      </xdr:nvSpPr>
      <xdr:spPr>
        <a:xfrm>
          <a:off x="71772779" y="88258650"/>
          <a:ext cx="13804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144779</xdr:colOff>
      <xdr:row>421</xdr:row>
      <xdr:rowOff>95250</xdr:rowOff>
    </xdr:from>
    <xdr:to>
      <xdr:col>94</xdr:col>
      <xdr:colOff>144779</xdr:colOff>
      <xdr:row>421</xdr:row>
      <xdr:rowOff>95250</xdr:rowOff>
    </xdr:to>
    <xdr:cxnSp macro="">
      <xdr:nvCxnSpPr>
        <xdr:cNvPr id="1446" name="직선 화살표 연결선 1445"/>
        <xdr:cNvCxnSpPr/>
      </xdr:nvCxnSpPr>
      <xdr:spPr>
        <a:xfrm>
          <a:off x="71772779" y="883158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82732</xdr:colOff>
      <xdr:row>420</xdr:row>
      <xdr:rowOff>38100</xdr:rowOff>
    </xdr:from>
    <xdr:to>
      <xdr:col>96</xdr:col>
      <xdr:colOff>21952</xdr:colOff>
      <xdr:row>420</xdr:row>
      <xdr:rowOff>152400</xdr:rowOff>
    </xdr:to>
    <xdr:sp macro="" textlink="">
      <xdr:nvSpPr>
        <xdr:cNvPr id="1447" name="118"/>
        <xdr:cNvSpPr/>
      </xdr:nvSpPr>
      <xdr:spPr>
        <a:xfrm>
          <a:off x="71710732" y="88049100"/>
          <a:ext cx="146322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82732</xdr:colOff>
      <xdr:row>420</xdr:row>
      <xdr:rowOff>95250</xdr:rowOff>
    </xdr:from>
    <xdr:to>
      <xdr:col>94</xdr:col>
      <xdr:colOff>82732</xdr:colOff>
      <xdr:row>420</xdr:row>
      <xdr:rowOff>95250</xdr:rowOff>
    </xdr:to>
    <xdr:cxnSp macro="">
      <xdr:nvCxnSpPr>
        <xdr:cNvPr id="1448" name="직선 화살표 연결선 1447"/>
        <xdr:cNvCxnSpPr/>
      </xdr:nvCxnSpPr>
      <xdr:spPr>
        <a:xfrm>
          <a:off x="71710732" y="881062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41366</xdr:colOff>
      <xdr:row>419</xdr:row>
      <xdr:rowOff>38100</xdr:rowOff>
    </xdr:from>
    <xdr:to>
      <xdr:col>94</xdr:col>
      <xdr:colOff>84002</xdr:colOff>
      <xdr:row>419</xdr:row>
      <xdr:rowOff>152400</xdr:rowOff>
    </xdr:to>
    <xdr:sp macro="" textlink="">
      <xdr:nvSpPr>
        <xdr:cNvPr id="1449" name="117"/>
        <xdr:cNvSpPr/>
      </xdr:nvSpPr>
      <xdr:spPr>
        <a:xfrm>
          <a:off x="71669366" y="8783955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41366</xdr:colOff>
      <xdr:row>419</xdr:row>
      <xdr:rowOff>95250</xdr:rowOff>
    </xdr:from>
    <xdr:to>
      <xdr:col>94</xdr:col>
      <xdr:colOff>41366</xdr:colOff>
      <xdr:row>419</xdr:row>
      <xdr:rowOff>95250</xdr:rowOff>
    </xdr:to>
    <xdr:cxnSp macro="">
      <xdr:nvCxnSpPr>
        <xdr:cNvPr id="1450" name="직선 화살표 연결선 1449"/>
        <xdr:cNvCxnSpPr/>
      </xdr:nvCxnSpPr>
      <xdr:spPr>
        <a:xfrm>
          <a:off x="71669366" y="878967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</xdr:colOff>
      <xdr:row>418</xdr:row>
      <xdr:rowOff>38100</xdr:rowOff>
    </xdr:from>
    <xdr:to>
      <xdr:col>94</xdr:col>
      <xdr:colOff>42635</xdr:colOff>
      <xdr:row>418</xdr:row>
      <xdr:rowOff>152400</xdr:rowOff>
    </xdr:to>
    <xdr:sp macro="" textlink="">
      <xdr:nvSpPr>
        <xdr:cNvPr id="1451" name="116"/>
        <xdr:cNvSpPr/>
      </xdr:nvSpPr>
      <xdr:spPr>
        <a:xfrm>
          <a:off x="71628001" y="87630000"/>
          <a:ext cx="426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1</xdr:colOff>
      <xdr:row>418</xdr:row>
      <xdr:rowOff>95250</xdr:rowOff>
    </xdr:from>
    <xdr:to>
      <xdr:col>94</xdr:col>
      <xdr:colOff>1</xdr:colOff>
      <xdr:row>418</xdr:row>
      <xdr:rowOff>95250</xdr:rowOff>
    </xdr:to>
    <xdr:cxnSp macro="">
      <xdr:nvCxnSpPr>
        <xdr:cNvPr id="1452" name="직선 화살표 연결선 1451"/>
        <xdr:cNvCxnSpPr/>
      </xdr:nvCxnSpPr>
      <xdr:spPr>
        <a:xfrm>
          <a:off x="71628001" y="876871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62049</xdr:colOff>
      <xdr:row>417</xdr:row>
      <xdr:rowOff>38100</xdr:rowOff>
    </xdr:from>
    <xdr:to>
      <xdr:col>94</xdr:col>
      <xdr:colOff>1270</xdr:colOff>
      <xdr:row>417</xdr:row>
      <xdr:rowOff>152400</xdr:rowOff>
    </xdr:to>
    <xdr:sp macro="" textlink="">
      <xdr:nvSpPr>
        <xdr:cNvPr id="1453" name="115"/>
        <xdr:cNvSpPr/>
      </xdr:nvSpPr>
      <xdr:spPr>
        <a:xfrm>
          <a:off x="70928049" y="87420450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62049</xdr:colOff>
      <xdr:row>417</xdr:row>
      <xdr:rowOff>95250</xdr:rowOff>
    </xdr:from>
    <xdr:to>
      <xdr:col>93</xdr:col>
      <xdr:colOff>62049</xdr:colOff>
      <xdr:row>417</xdr:row>
      <xdr:rowOff>95250</xdr:rowOff>
    </xdr:to>
    <xdr:cxnSp macro="">
      <xdr:nvCxnSpPr>
        <xdr:cNvPr id="1454" name="직선 화살표 연결선 1453"/>
        <xdr:cNvCxnSpPr/>
      </xdr:nvCxnSpPr>
      <xdr:spPr>
        <a:xfrm>
          <a:off x="70928049" y="874776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20683</xdr:colOff>
      <xdr:row>416</xdr:row>
      <xdr:rowOff>38100</xdr:rowOff>
    </xdr:from>
    <xdr:to>
      <xdr:col>93</xdr:col>
      <xdr:colOff>63319</xdr:colOff>
      <xdr:row>416</xdr:row>
      <xdr:rowOff>152400</xdr:rowOff>
    </xdr:to>
    <xdr:sp macro="" textlink="">
      <xdr:nvSpPr>
        <xdr:cNvPr id="1455" name="114"/>
        <xdr:cNvSpPr/>
      </xdr:nvSpPr>
      <xdr:spPr>
        <a:xfrm>
          <a:off x="70886683" y="8721090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20683</xdr:colOff>
      <xdr:row>416</xdr:row>
      <xdr:rowOff>95250</xdr:rowOff>
    </xdr:from>
    <xdr:to>
      <xdr:col>93</xdr:col>
      <xdr:colOff>20683</xdr:colOff>
      <xdr:row>416</xdr:row>
      <xdr:rowOff>95250</xdr:rowOff>
    </xdr:to>
    <xdr:cxnSp macro="">
      <xdr:nvCxnSpPr>
        <xdr:cNvPr id="1456" name="직선 화살표 연결선 1455"/>
        <xdr:cNvCxnSpPr/>
      </xdr:nvCxnSpPr>
      <xdr:spPr>
        <a:xfrm>
          <a:off x="70886683" y="872680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41366</xdr:colOff>
      <xdr:row>415</xdr:row>
      <xdr:rowOff>38100</xdr:rowOff>
    </xdr:from>
    <xdr:to>
      <xdr:col>82</xdr:col>
      <xdr:colOff>104684</xdr:colOff>
      <xdr:row>415</xdr:row>
      <xdr:rowOff>152400</xdr:rowOff>
    </xdr:to>
    <xdr:sp macro="" textlink="">
      <xdr:nvSpPr>
        <xdr:cNvPr id="1457" name="113"/>
        <xdr:cNvSpPr/>
      </xdr:nvSpPr>
      <xdr:spPr>
        <a:xfrm>
          <a:off x="62525366" y="87001350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41366</xdr:colOff>
      <xdr:row>415</xdr:row>
      <xdr:rowOff>95250</xdr:rowOff>
    </xdr:from>
    <xdr:to>
      <xdr:col>82</xdr:col>
      <xdr:colOff>41366</xdr:colOff>
      <xdr:row>415</xdr:row>
      <xdr:rowOff>95250</xdr:rowOff>
    </xdr:to>
    <xdr:cxnSp macro="">
      <xdr:nvCxnSpPr>
        <xdr:cNvPr id="1458" name="직선 화살표 연결선 1457"/>
        <xdr:cNvCxnSpPr/>
      </xdr:nvCxnSpPr>
      <xdr:spPr>
        <a:xfrm>
          <a:off x="62525366" y="870585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20683</xdr:colOff>
      <xdr:row>414</xdr:row>
      <xdr:rowOff>38100</xdr:rowOff>
    </xdr:from>
    <xdr:to>
      <xdr:col>93</xdr:col>
      <xdr:colOff>104684</xdr:colOff>
      <xdr:row>414</xdr:row>
      <xdr:rowOff>152400</xdr:rowOff>
    </xdr:to>
    <xdr:sp macro="" textlink="">
      <xdr:nvSpPr>
        <xdr:cNvPr id="1459" name="112"/>
        <xdr:cNvSpPr/>
      </xdr:nvSpPr>
      <xdr:spPr>
        <a:xfrm>
          <a:off x="70886683" y="86791800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20683</xdr:colOff>
      <xdr:row>414</xdr:row>
      <xdr:rowOff>95250</xdr:rowOff>
    </xdr:from>
    <xdr:to>
      <xdr:col>93</xdr:col>
      <xdr:colOff>20683</xdr:colOff>
      <xdr:row>414</xdr:row>
      <xdr:rowOff>95250</xdr:rowOff>
    </xdr:to>
    <xdr:cxnSp macro="">
      <xdr:nvCxnSpPr>
        <xdr:cNvPr id="1460" name="직선 화살표 연결선 1459"/>
        <xdr:cNvCxnSpPr/>
      </xdr:nvCxnSpPr>
      <xdr:spPr>
        <a:xfrm>
          <a:off x="70886683" y="868489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413</xdr:row>
      <xdr:rowOff>38100</xdr:rowOff>
    </xdr:from>
    <xdr:to>
      <xdr:col>93</xdr:col>
      <xdr:colOff>42635</xdr:colOff>
      <xdr:row>413</xdr:row>
      <xdr:rowOff>152400</xdr:rowOff>
    </xdr:to>
    <xdr:sp macro="" textlink="">
      <xdr:nvSpPr>
        <xdr:cNvPr id="1461" name="111"/>
        <xdr:cNvSpPr/>
      </xdr:nvSpPr>
      <xdr:spPr>
        <a:xfrm>
          <a:off x="70866000" y="86582250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0</xdr:colOff>
      <xdr:row>413</xdr:row>
      <xdr:rowOff>95250</xdr:rowOff>
    </xdr:from>
    <xdr:to>
      <xdr:col>93</xdr:col>
      <xdr:colOff>0</xdr:colOff>
      <xdr:row>413</xdr:row>
      <xdr:rowOff>95250</xdr:rowOff>
    </xdr:to>
    <xdr:cxnSp macro="">
      <xdr:nvCxnSpPr>
        <xdr:cNvPr id="1462" name="직선 화살표 연결선 1461"/>
        <xdr:cNvCxnSpPr/>
      </xdr:nvCxnSpPr>
      <xdr:spPr>
        <a:xfrm>
          <a:off x="70866000" y="866394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41366</xdr:colOff>
      <xdr:row>412</xdr:row>
      <xdr:rowOff>38100</xdr:rowOff>
    </xdr:from>
    <xdr:to>
      <xdr:col>93</xdr:col>
      <xdr:colOff>1270</xdr:colOff>
      <xdr:row>412</xdr:row>
      <xdr:rowOff>152400</xdr:rowOff>
    </xdr:to>
    <xdr:sp macro="" textlink="">
      <xdr:nvSpPr>
        <xdr:cNvPr id="1463" name="110"/>
        <xdr:cNvSpPr/>
      </xdr:nvSpPr>
      <xdr:spPr>
        <a:xfrm>
          <a:off x="70145366" y="86372700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41366</xdr:colOff>
      <xdr:row>412</xdr:row>
      <xdr:rowOff>95250</xdr:rowOff>
    </xdr:from>
    <xdr:to>
      <xdr:col>92</xdr:col>
      <xdr:colOff>41366</xdr:colOff>
      <xdr:row>412</xdr:row>
      <xdr:rowOff>95250</xdr:rowOff>
    </xdr:to>
    <xdr:cxnSp macro="">
      <xdr:nvCxnSpPr>
        <xdr:cNvPr id="1464" name="직선 화살표 연결선 1463"/>
        <xdr:cNvCxnSpPr/>
      </xdr:nvCxnSpPr>
      <xdr:spPr>
        <a:xfrm>
          <a:off x="70145366" y="864298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103414</xdr:colOff>
      <xdr:row>411</xdr:row>
      <xdr:rowOff>38100</xdr:rowOff>
    </xdr:from>
    <xdr:to>
      <xdr:col>92</xdr:col>
      <xdr:colOff>42636</xdr:colOff>
      <xdr:row>411</xdr:row>
      <xdr:rowOff>152400</xdr:rowOff>
    </xdr:to>
    <xdr:sp macro="" textlink="">
      <xdr:nvSpPr>
        <xdr:cNvPr id="1465" name="109"/>
        <xdr:cNvSpPr/>
      </xdr:nvSpPr>
      <xdr:spPr>
        <a:xfrm>
          <a:off x="69445414" y="86163150"/>
          <a:ext cx="70122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103414</xdr:colOff>
      <xdr:row>411</xdr:row>
      <xdr:rowOff>95250</xdr:rowOff>
    </xdr:from>
    <xdr:to>
      <xdr:col>91</xdr:col>
      <xdr:colOff>103414</xdr:colOff>
      <xdr:row>411</xdr:row>
      <xdr:rowOff>95250</xdr:rowOff>
    </xdr:to>
    <xdr:cxnSp macro="">
      <xdr:nvCxnSpPr>
        <xdr:cNvPr id="1466" name="직선 화살표 연결선 1465"/>
        <xdr:cNvCxnSpPr/>
      </xdr:nvCxnSpPr>
      <xdr:spPr>
        <a:xfrm>
          <a:off x="69445414" y="862203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20682</xdr:colOff>
      <xdr:row>410</xdr:row>
      <xdr:rowOff>38100</xdr:rowOff>
    </xdr:from>
    <xdr:to>
      <xdr:col>91</xdr:col>
      <xdr:colOff>104683</xdr:colOff>
      <xdr:row>410</xdr:row>
      <xdr:rowOff>152400</xdr:rowOff>
    </xdr:to>
    <xdr:sp macro="" textlink="">
      <xdr:nvSpPr>
        <xdr:cNvPr id="1467" name="108"/>
        <xdr:cNvSpPr/>
      </xdr:nvSpPr>
      <xdr:spPr>
        <a:xfrm>
          <a:off x="69362682" y="85953600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20682</xdr:colOff>
      <xdr:row>410</xdr:row>
      <xdr:rowOff>95250</xdr:rowOff>
    </xdr:from>
    <xdr:to>
      <xdr:col>91</xdr:col>
      <xdr:colOff>20682</xdr:colOff>
      <xdr:row>410</xdr:row>
      <xdr:rowOff>95250</xdr:rowOff>
    </xdr:to>
    <xdr:cxnSp macro="">
      <xdr:nvCxnSpPr>
        <xdr:cNvPr id="1468" name="직선 화살표 연결선 1467"/>
        <xdr:cNvCxnSpPr/>
      </xdr:nvCxnSpPr>
      <xdr:spPr>
        <a:xfrm>
          <a:off x="69362682" y="860107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20683</xdr:colOff>
      <xdr:row>409</xdr:row>
      <xdr:rowOff>38100</xdr:rowOff>
    </xdr:from>
    <xdr:to>
      <xdr:col>91</xdr:col>
      <xdr:colOff>21952</xdr:colOff>
      <xdr:row>409</xdr:row>
      <xdr:rowOff>152400</xdr:rowOff>
    </xdr:to>
    <xdr:sp macro="" textlink="">
      <xdr:nvSpPr>
        <xdr:cNvPr id="1469" name="107"/>
        <xdr:cNvSpPr/>
      </xdr:nvSpPr>
      <xdr:spPr>
        <a:xfrm>
          <a:off x="67838683" y="85744050"/>
          <a:ext cx="152526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20683</xdr:colOff>
      <xdr:row>409</xdr:row>
      <xdr:rowOff>95250</xdr:rowOff>
    </xdr:from>
    <xdr:to>
      <xdr:col>89</xdr:col>
      <xdr:colOff>20683</xdr:colOff>
      <xdr:row>409</xdr:row>
      <xdr:rowOff>95250</xdr:rowOff>
    </xdr:to>
    <xdr:cxnSp macro="">
      <xdr:nvCxnSpPr>
        <xdr:cNvPr id="1470" name="직선 화살표 연결선 1469"/>
        <xdr:cNvCxnSpPr/>
      </xdr:nvCxnSpPr>
      <xdr:spPr>
        <a:xfrm>
          <a:off x="67838683" y="858012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</xdr:colOff>
      <xdr:row>408</xdr:row>
      <xdr:rowOff>38100</xdr:rowOff>
    </xdr:from>
    <xdr:to>
      <xdr:col>91</xdr:col>
      <xdr:colOff>1269</xdr:colOff>
      <xdr:row>408</xdr:row>
      <xdr:rowOff>152400</xdr:rowOff>
    </xdr:to>
    <xdr:sp macro="" textlink="">
      <xdr:nvSpPr>
        <xdr:cNvPr id="1471" name="106"/>
        <xdr:cNvSpPr/>
      </xdr:nvSpPr>
      <xdr:spPr>
        <a:xfrm>
          <a:off x="67818001" y="85534500"/>
          <a:ext cx="1525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</xdr:colOff>
      <xdr:row>408</xdr:row>
      <xdr:rowOff>95250</xdr:rowOff>
    </xdr:from>
    <xdr:to>
      <xdr:col>89</xdr:col>
      <xdr:colOff>1</xdr:colOff>
      <xdr:row>408</xdr:row>
      <xdr:rowOff>95250</xdr:rowOff>
    </xdr:to>
    <xdr:cxnSp macro="">
      <xdr:nvCxnSpPr>
        <xdr:cNvPr id="1472" name="직선 화살표 연결선 1471"/>
        <xdr:cNvCxnSpPr/>
      </xdr:nvCxnSpPr>
      <xdr:spPr>
        <a:xfrm>
          <a:off x="67818001" y="855916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407</xdr:row>
      <xdr:rowOff>38100</xdr:rowOff>
    </xdr:from>
    <xdr:to>
      <xdr:col>90</xdr:col>
      <xdr:colOff>125367</xdr:colOff>
      <xdr:row>407</xdr:row>
      <xdr:rowOff>152400</xdr:rowOff>
    </xdr:to>
    <xdr:sp macro="" textlink="">
      <xdr:nvSpPr>
        <xdr:cNvPr id="1473" name="105"/>
        <xdr:cNvSpPr/>
      </xdr:nvSpPr>
      <xdr:spPr>
        <a:xfrm>
          <a:off x="67118049" y="85324950"/>
          <a:ext cx="1587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407</xdr:row>
      <xdr:rowOff>95250</xdr:rowOff>
    </xdr:from>
    <xdr:to>
      <xdr:col>88</xdr:col>
      <xdr:colOff>62049</xdr:colOff>
      <xdr:row>407</xdr:row>
      <xdr:rowOff>95250</xdr:rowOff>
    </xdr:to>
    <xdr:cxnSp macro="">
      <xdr:nvCxnSpPr>
        <xdr:cNvPr id="1474" name="직선 화살표 연결선 1473"/>
        <xdr:cNvCxnSpPr/>
      </xdr:nvCxnSpPr>
      <xdr:spPr>
        <a:xfrm>
          <a:off x="67118049" y="853821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124098</xdr:colOff>
      <xdr:row>406</xdr:row>
      <xdr:rowOff>38100</xdr:rowOff>
    </xdr:from>
    <xdr:to>
      <xdr:col>88</xdr:col>
      <xdr:colOff>63319</xdr:colOff>
      <xdr:row>406</xdr:row>
      <xdr:rowOff>152400</xdr:rowOff>
    </xdr:to>
    <xdr:sp macro="" textlink="">
      <xdr:nvSpPr>
        <xdr:cNvPr id="1475" name="104"/>
        <xdr:cNvSpPr/>
      </xdr:nvSpPr>
      <xdr:spPr>
        <a:xfrm>
          <a:off x="66418098" y="85115400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124098</xdr:colOff>
      <xdr:row>406</xdr:row>
      <xdr:rowOff>95250</xdr:rowOff>
    </xdr:from>
    <xdr:to>
      <xdr:col>87</xdr:col>
      <xdr:colOff>124098</xdr:colOff>
      <xdr:row>406</xdr:row>
      <xdr:rowOff>95250</xdr:rowOff>
    </xdr:to>
    <xdr:cxnSp macro="">
      <xdr:nvCxnSpPr>
        <xdr:cNvPr id="1476" name="직선 화살표 연결선 1475"/>
        <xdr:cNvCxnSpPr/>
      </xdr:nvCxnSpPr>
      <xdr:spPr>
        <a:xfrm>
          <a:off x="66418098" y="851725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405</xdr:row>
      <xdr:rowOff>38100</xdr:rowOff>
    </xdr:from>
    <xdr:to>
      <xdr:col>87</xdr:col>
      <xdr:colOff>125368</xdr:colOff>
      <xdr:row>405</xdr:row>
      <xdr:rowOff>152400</xdr:rowOff>
    </xdr:to>
    <xdr:sp macro="" textlink="">
      <xdr:nvSpPr>
        <xdr:cNvPr id="1477" name="103"/>
        <xdr:cNvSpPr/>
      </xdr:nvSpPr>
      <xdr:spPr>
        <a:xfrm>
          <a:off x="66356049" y="84905850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405</xdr:row>
      <xdr:rowOff>95250</xdr:rowOff>
    </xdr:from>
    <xdr:to>
      <xdr:col>87</xdr:col>
      <xdr:colOff>62049</xdr:colOff>
      <xdr:row>405</xdr:row>
      <xdr:rowOff>95250</xdr:rowOff>
    </xdr:to>
    <xdr:cxnSp macro="">
      <xdr:nvCxnSpPr>
        <xdr:cNvPr id="1478" name="직선 화살표 연결선 1477"/>
        <xdr:cNvCxnSpPr/>
      </xdr:nvCxnSpPr>
      <xdr:spPr>
        <a:xfrm>
          <a:off x="66356049" y="849630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404</xdr:row>
      <xdr:rowOff>38100</xdr:rowOff>
    </xdr:from>
    <xdr:to>
      <xdr:col>87</xdr:col>
      <xdr:colOff>63319</xdr:colOff>
      <xdr:row>404</xdr:row>
      <xdr:rowOff>152400</xdr:rowOff>
    </xdr:to>
    <xdr:sp macro="" textlink="">
      <xdr:nvSpPr>
        <xdr:cNvPr id="1479" name="102"/>
        <xdr:cNvSpPr/>
      </xdr:nvSpPr>
      <xdr:spPr>
        <a:xfrm>
          <a:off x="66294000" y="84696300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0</xdr:colOff>
      <xdr:row>404</xdr:row>
      <xdr:rowOff>95250</xdr:rowOff>
    </xdr:from>
    <xdr:to>
      <xdr:col>87</xdr:col>
      <xdr:colOff>0</xdr:colOff>
      <xdr:row>404</xdr:row>
      <xdr:rowOff>95250</xdr:rowOff>
    </xdr:to>
    <xdr:cxnSp macro="">
      <xdr:nvCxnSpPr>
        <xdr:cNvPr id="1480" name="직선 화살표 연결선 1479"/>
        <xdr:cNvCxnSpPr/>
      </xdr:nvCxnSpPr>
      <xdr:spPr>
        <a:xfrm>
          <a:off x="66294000" y="847534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403</xdr:row>
      <xdr:rowOff>38100</xdr:rowOff>
    </xdr:from>
    <xdr:to>
      <xdr:col>87</xdr:col>
      <xdr:colOff>1270</xdr:colOff>
      <xdr:row>403</xdr:row>
      <xdr:rowOff>152400</xdr:rowOff>
    </xdr:to>
    <xdr:sp macro="" textlink="">
      <xdr:nvSpPr>
        <xdr:cNvPr id="1481" name="101"/>
        <xdr:cNvSpPr/>
      </xdr:nvSpPr>
      <xdr:spPr>
        <a:xfrm>
          <a:off x="65594049" y="84486750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403</xdr:row>
      <xdr:rowOff>95250</xdr:rowOff>
    </xdr:from>
    <xdr:to>
      <xdr:col>86</xdr:col>
      <xdr:colOff>62049</xdr:colOff>
      <xdr:row>403</xdr:row>
      <xdr:rowOff>95250</xdr:rowOff>
    </xdr:to>
    <xdr:cxnSp macro="">
      <xdr:nvCxnSpPr>
        <xdr:cNvPr id="1482" name="직선 화살표 연결선 1481"/>
        <xdr:cNvCxnSpPr/>
      </xdr:nvCxnSpPr>
      <xdr:spPr>
        <a:xfrm>
          <a:off x="65594049" y="845439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402</xdr:row>
      <xdr:rowOff>38100</xdr:rowOff>
    </xdr:from>
    <xdr:to>
      <xdr:col>88</xdr:col>
      <xdr:colOff>63319</xdr:colOff>
      <xdr:row>402</xdr:row>
      <xdr:rowOff>152400</xdr:rowOff>
    </xdr:to>
    <xdr:sp macro="" textlink="">
      <xdr:nvSpPr>
        <xdr:cNvPr id="1483" name="100"/>
        <xdr:cNvSpPr/>
      </xdr:nvSpPr>
      <xdr:spPr>
        <a:xfrm>
          <a:off x="65552682" y="84277200"/>
          <a:ext cx="15666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402</xdr:row>
      <xdr:rowOff>95250</xdr:rowOff>
    </xdr:from>
    <xdr:to>
      <xdr:col>86</xdr:col>
      <xdr:colOff>20682</xdr:colOff>
      <xdr:row>402</xdr:row>
      <xdr:rowOff>95250</xdr:rowOff>
    </xdr:to>
    <xdr:cxnSp macro="">
      <xdr:nvCxnSpPr>
        <xdr:cNvPr id="1484" name="직선 화살표 연결선 1483"/>
        <xdr:cNvCxnSpPr/>
      </xdr:nvCxnSpPr>
      <xdr:spPr>
        <a:xfrm>
          <a:off x="65552682" y="843343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103415</xdr:colOff>
      <xdr:row>401</xdr:row>
      <xdr:rowOff>38100</xdr:rowOff>
    </xdr:from>
    <xdr:to>
      <xdr:col>91</xdr:col>
      <xdr:colOff>21952</xdr:colOff>
      <xdr:row>401</xdr:row>
      <xdr:rowOff>152400</xdr:rowOff>
    </xdr:to>
    <xdr:sp macro="" textlink="">
      <xdr:nvSpPr>
        <xdr:cNvPr id="1485" name="99"/>
        <xdr:cNvSpPr/>
      </xdr:nvSpPr>
      <xdr:spPr>
        <a:xfrm>
          <a:off x="68683415" y="84067650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103415</xdr:colOff>
      <xdr:row>401</xdr:row>
      <xdr:rowOff>95250</xdr:rowOff>
    </xdr:from>
    <xdr:to>
      <xdr:col>90</xdr:col>
      <xdr:colOff>103415</xdr:colOff>
      <xdr:row>401</xdr:row>
      <xdr:rowOff>95250</xdr:rowOff>
    </xdr:to>
    <xdr:cxnSp macro="">
      <xdr:nvCxnSpPr>
        <xdr:cNvPr id="1486" name="직선 화살표 연결선 1485"/>
        <xdr:cNvCxnSpPr/>
      </xdr:nvCxnSpPr>
      <xdr:spPr>
        <a:xfrm>
          <a:off x="68683415" y="841248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41366</xdr:colOff>
      <xdr:row>400</xdr:row>
      <xdr:rowOff>38100</xdr:rowOff>
    </xdr:from>
    <xdr:to>
      <xdr:col>90</xdr:col>
      <xdr:colOff>104684</xdr:colOff>
      <xdr:row>400</xdr:row>
      <xdr:rowOff>152400</xdr:rowOff>
    </xdr:to>
    <xdr:sp macro="" textlink="">
      <xdr:nvSpPr>
        <xdr:cNvPr id="1487" name="98"/>
        <xdr:cNvSpPr/>
      </xdr:nvSpPr>
      <xdr:spPr>
        <a:xfrm>
          <a:off x="68621366" y="83858100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41366</xdr:colOff>
      <xdr:row>400</xdr:row>
      <xdr:rowOff>95250</xdr:rowOff>
    </xdr:from>
    <xdr:to>
      <xdr:col>90</xdr:col>
      <xdr:colOff>41366</xdr:colOff>
      <xdr:row>400</xdr:row>
      <xdr:rowOff>95250</xdr:rowOff>
    </xdr:to>
    <xdr:cxnSp macro="">
      <xdr:nvCxnSpPr>
        <xdr:cNvPr id="1488" name="직선 화살표 연결선 1487"/>
        <xdr:cNvCxnSpPr/>
      </xdr:nvCxnSpPr>
      <xdr:spPr>
        <a:xfrm>
          <a:off x="68621366" y="839152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144779</xdr:colOff>
      <xdr:row>399</xdr:row>
      <xdr:rowOff>38100</xdr:rowOff>
    </xdr:from>
    <xdr:to>
      <xdr:col>90</xdr:col>
      <xdr:colOff>42636</xdr:colOff>
      <xdr:row>399</xdr:row>
      <xdr:rowOff>152400</xdr:rowOff>
    </xdr:to>
    <xdr:sp macro="" textlink="">
      <xdr:nvSpPr>
        <xdr:cNvPr id="1489" name="97"/>
        <xdr:cNvSpPr/>
      </xdr:nvSpPr>
      <xdr:spPr>
        <a:xfrm>
          <a:off x="67962779" y="83648550"/>
          <a:ext cx="6598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144779</xdr:colOff>
      <xdr:row>399</xdr:row>
      <xdr:rowOff>95250</xdr:rowOff>
    </xdr:from>
    <xdr:to>
      <xdr:col>89</xdr:col>
      <xdr:colOff>144779</xdr:colOff>
      <xdr:row>399</xdr:row>
      <xdr:rowOff>95250</xdr:rowOff>
    </xdr:to>
    <xdr:cxnSp macro="">
      <xdr:nvCxnSpPr>
        <xdr:cNvPr id="1490" name="직선 화살표 연결선 1489"/>
        <xdr:cNvCxnSpPr/>
      </xdr:nvCxnSpPr>
      <xdr:spPr>
        <a:xfrm>
          <a:off x="67962779" y="837057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103414</xdr:colOff>
      <xdr:row>398</xdr:row>
      <xdr:rowOff>38100</xdr:rowOff>
    </xdr:from>
    <xdr:to>
      <xdr:col>90</xdr:col>
      <xdr:colOff>21953</xdr:colOff>
      <xdr:row>398</xdr:row>
      <xdr:rowOff>152400</xdr:rowOff>
    </xdr:to>
    <xdr:sp macro="" textlink="">
      <xdr:nvSpPr>
        <xdr:cNvPr id="1491" name="96"/>
        <xdr:cNvSpPr/>
      </xdr:nvSpPr>
      <xdr:spPr>
        <a:xfrm>
          <a:off x="67921414" y="83439000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103414</xdr:colOff>
      <xdr:row>398</xdr:row>
      <xdr:rowOff>95250</xdr:rowOff>
    </xdr:from>
    <xdr:to>
      <xdr:col>89</xdr:col>
      <xdr:colOff>103414</xdr:colOff>
      <xdr:row>398</xdr:row>
      <xdr:rowOff>95250</xdr:rowOff>
    </xdr:to>
    <xdr:cxnSp macro="">
      <xdr:nvCxnSpPr>
        <xdr:cNvPr id="1492" name="직선 화살표 연결선 1491"/>
        <xdr:cNvCxnSpPr/>
      </xdr:nvCxnSpPr>
      <xdr:spPr>
        <a:xfrm>
          <a:off x="67921414" y="834961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41366</xdr:colOff>
      <xdr:row>397</xdr:row>
      <xdr:rowOff>38100</xdr:rowOff>
    </xdr:from>
    <xdr:to>
      <xdr:col>89</xdr:col>
      <xdr:colOff>104684</xdr:colOff>
      <xdr:row>397</xdr:row>
      <xdr:rowOff>152400</xdr:rowOff>
    </xdr:to>
    <xdr:sp macro="" textlink="">
      <xdr:nvSpPr>
        <xdr:cNvPr id="1493" name="95"/>
        <xdr:cNvSpPr/>
      </xdr:nvSpPr>
      <xdr:spPr>
        <a:xfrm>
          <a:off x="67859366" y="83229450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41366</xdr:colOff>
      <xdr:row>397</xdr:row>
      <xdr:rowOff>95250</xdr:rowOff>
    </xdr:from>
    <xdr:to>
      <xdr:col>89</xdr:col>
      <xdr:colOff>41366</xdr:colOff>
      <xdr:row>397</xdr:row>
      <xdr:rowOff>95250</xdr:rowOff>
    </xdr:to>
    <xdr:cxnSp macro="">
      <xdr:nvCxnSpPr>
        <xdr:cNvPr id="1494" name="직선 화살표 연결선 1493"/>
        <xdr:cNvCxnSpPr/>
      </xdr:nvCxnSpPr>
      <xdr:spPr>
        <a:xfrm>
          <a:off x="67859366" y="832866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103414</xdr:colOff>
      <xdr:row>396</xdr:row>
      <xdr:rowOff>38100</xdr:rowOff>
    </xdr:from>
    <xdr:to>
      <xdr:col>89</xdr:col>
      <xdr:colOff>42635</xdr:colOff>
      <xdr:row>396</xdr:row>
      <xdr:rowOff>152400</xdr:rowOff>
    </xdr:to>
    <xdr:sp macro="" textlink="">
      <xdr:nvSpPr>
        <xdr:cNvPr id="1495" name="94"/>
        <xdr:cNvSpPr/>
      </xdr:nvSpPr>
      <xdr:spPr>
        <a:xfrm>
          <a:off x="67159414" y="83019900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103414</xdr:colOff>
      <xdr:row>396</xdr:row>
      <xdr:rowOff>95250</xdr:rowOff>
    </xdr:from>
    <xdr:to>
      <xdr:col>88</xdr:col>
      <xdr:colOff>103414</xdr:colOff>
      <xdr:row>396</xdr:row>
      <xdr:rowOff>95250</xdr:rowOff>
    </xdr:to>
    <xdr:cxnSp macro="">
      <xdr:nvCxnSpPr>
        <xdr:cNvPr id="1496" name="직선 화살표 연결선 1495"/>
        <xdr:cNvCxnSpPr/>
      </xdr:nvCxnSpPr>
      <xdr:spPr>
        <a:xfrm>
          <a:off x="67159414" y="830770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82732</xdr:colOff>
      <xdr:row>395</xdr:row>
      <xdr:rowOff>38100</xdr:rowOff>
    </xdr:from>
    <xdr:to>
      <xdr:col>89</xdr:col>
      <xdr:colOff>21953</xdr:colOff>
      <xdr:row>395</xdr:row>
      <xdr:rowOff>152400</xdr:rowOff>
    </xdr:to>
    <xdr:sp macro="" textlink="">
      <xdr:nvSpPr>
        <xdr:cNvPr id="1497" name="93"/>
        <xdr:cNvSpPr/>
      </xdr:nvSpPr>
      <xdr:spPr>
        <a:xfrm>
          <a:off x="67138732" y="82810350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82732</xdr:colOff>
      <xdr:row>395</xdr:row>
      <xdr:rowOff>95250</xdr:rowOff>
    </xdr:from>
    <xdr:to>
      <xdr:col>88</xdr:col>
      <xdr:colOff>82732</xdr:colOff>
      <xdr:row>395</xdr:row>
      <xdr:rowOff>95250</xdr:rowOff>
    </xdr:to>
    <xdr:cxnSp macro="">
      <xdr:nvCxnSpPr>
        <xdr:cNvPr id="1498" name="직선 화살표 연결선 1497"/>
        <xdr:cNvCxnSpPr/>
      </xdr:nvCxnSpPr>
      <xdr:spPr>
        <a:xfrm>
          <a:off x="67138732" y="828675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394</xdr:row>
      <xdr:rowOff>38100</xdr:rowOff>
    </xdr:from>
    <xdr:to>
      <xdr:col>88</xdr:col>
      <xdr:colOff>104684</xdr:colOff>
      <xdr:row>394</xdr:row>
      <xdr:rowOff>152400</xdr:rowOff>
    </xdr:to>
    <xdr:sp macro="" textlink="">
      <xdr:nvSpPr>
        <xdr:cNvPr id="1499" name="92"/>
        <xdr:cNvSpPr/>
      </xdr:nvSpPr>
      <xdr:spPr>
        <a:xfrm>
          <a:off x="67118049" y="82600800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394</xdr:row>
      <xdr:rowOff>95250</xdr:rowOff>
    </xdr:from>
    <xdr:to>
      <xdr:col>88</xdr:col>
      <xdr:colOff>62049</xdr:colOff>
      <xdr:row>394</xdr:row>
      <xdr:rowOff>95250</xdr:rowOff>
    </xdr:to>
    <xdr:cxnSp macro="">
      <xdr:nvCxnSpPr>
        <xdr:cNvPr id="1500" name="직선 화살표 연결선 1499"/>
        <xdr:cNvCxnSpPr/>
      </xdr:nvCxnSpPr>
      <xdr:spPr>
        <a:xfrm>
          <a:off x="67118049" y="826579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41365</xdr:colOff>
      <xdr:row>393</xdr:row>
      <xdr:rowOff>38100</xdr:rowOff>
    </xdr:from>
    <xdr:to>
      <xdr:col>88</xdr:col>
      <xdr:colOff>125366</xdr:colOff>
      <xdr:row>393</xdr:row>
      <xdr:rowOff>152400</xdr:rowOff>
    </xdr:to>
    <xdr:sp macro="" textlink="">
      <xdr:nvSpPr>
        <xdr:cNvPr id="1501" name="91"/>
        <xdr:cNvSpPr/>
      </xdr:nvSpPr>
      <xdr:spPr>
        <a:xfrm>
          <a:off x="67097365" y="82391250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41365</xdr:colOff>
      <xdr:row>393</xdr:row>
      <xdr:rowOff>95250</xdr:rowOff>
    </xdr:from>
    <xdr:to>
      <xdr:col>88</xdr:col>
      <xdr:colOff>41365</xdr:colOff>
      <xdr:row>393</xdr:row>
      <xdr:rowOff>95250</xdr:rowOff>
    </xdr:to>
    <xdr:cxnSp macro="">
      <xdr:nvCxnSpPr>
        <xdr:cNvPr id="1502" name="직선 화살표 연결선 1501"/>
        <xdr:cNvCxnSpPr/>
      </xdr:nvCxnSpPr>
      <xdr:spPr>
        <a:xfrm>
          <a:off x="67097365" y="824484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20683</xdr:colOff>
      <xdr:row>392</xdr:row>
      <xdr:rowOff>38100</xdr:rowOff>
    </xdr:from>
    <xdr:to>
      <xdr:col>88</xdr:col>
      <xdr:colOff>84001</xdr:colOff>
      <xdr:row>392</xdr:row>
      <xdr:rowOff>152400</xdr:rowOff>
    </xdr:to>
    <xdr:sp macro="" textlink="">
      <xdr:nvSpPr>
        <xdr:cNvPr id="1503" name="90"/>
        <xdr:cNvSpPr/>
      </xdr:nvSpPr>
      <xdr:spPr>
        <a:xfrm>
          <a:off x="67076683" y="82181700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20683</xdr:colOff>
      <xdr:row>392</xdr:row>
      <xdr:rowOff>95250</xdr:rowOff>
    </xdr:from>
    <xdr:to>
      <xdr:col>88</xdr:col>
      <xdr:colOff>20683</xdr:colOff>
      <xdr:row>392</xdr:row>
      <xdr:rowOff>95250</xdr:rowOff>
    </xdr:to>
    <xdr:cxnSp macro="">
      <xdr:nvCxnSpPr>
        <xdr:cNvPr id="1504" name="직선 화살표 연결선 1503"/>
        <xdr:cNvCxnSpPr/>
      </xdr:nvCxnSpPr>
      <xdr:spPr>
        <a:xfrm>
          <a:off x="67076683" y="822388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20683</xdr:colOff>
      <xdr:row>391</xdr:row>
      <xdr:rowOff>38100</xdr:rowOff>
    </xdr:from>
    <xdr:to>
      <xdr:col>89</xdr:col>
      <xdr:colOff>1270</xdr:colOff>
      <xdr:row>391</xdr:row>
      <xdr:rowOff>152400</xdr:rowOff>
    </xdr:to>
    <xdr:sp macro="" textlink="">
      <xdr:nvSpPr>
        <xdr:cNvPr id="1505" name="89"/>
        <xdr:cNvSpPr/>
      </xdr:nvSpPr>
      <xdr:spPr>
        <a:xfrm>
          <a:off x="67076683" y="81972150"/>
          <a:ext cx="7425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20683</xdr:colOff>
      <xdr:row>391</xdr:row>
      <xdr:rowOff>95250</xdr:rowOff>
    </xdr:from>
    <xdr:to>
      <xdr:col>88</xdr:col>
      <xdr:colOff>20683</xdr:colOff>
      <xdr:row>391</xdr:row>
      <xdr:rowOff>95250</xdr:rowOff>
    </xdr:to>
    <xdr:cxnSp macro="">
      <xdr:nvCxnSpPr>
        <xdr:cNvPr id="1506" name="직선 화살표 연결선 1505"/>
        <xdr:cNvCxnSpPr/>
      </xdr:nvCxnSpPr>
      <xdr:spPr>
        <a:xfrm>
          <a:off x="67076683" y="820293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390</xdr:row>
      <xdr:rowOff>38100</xdr:rowOff>
    </xdr:from>
    <xdr:to>
      <xdr:col>88</xdr:col>
      <xdr:colOff>125366</xdr:colOff>
      <xdr:row>390</xdr:row>
      <xdr:rowOff>152400</xdr:rowOff>
    </xdr:to>
    <xdr:sp macro="" textlink="">
      <xdr:nvSpPr>
        <xdr:cNvPr id="1507" name="88"/>
        <xdr:cNvSpPr/>
      </xdr:nvSpPr>
      <xdr:spPr>
        <a:xfrm>
          <a:off x="67056000" y="81762600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390</xdr:row>
      <xdr:rowOff>95250</xdr:rowOff>
    </xdr:from>
    <xdr:to>
      <xdr:col>88</xdr:col>
      <xdr:colOff>0</xdr:colOff>
      <xdr:row>390</xdr:row>
      <xdr:rowOff>95250</xdr:rowOff>
    </xdr:to>
    <xdr:cxnSp macro="">
      <xdr:nvCxnSpPr>
        <xdr:cNvPr id="1508" name="직선 화살표 연결선 1507"/>
        <xdr:cNvCxnSpPr/>
      </xdr:nvCxnSpPr>
      <xdr:spPr>
        <a:xfrm>
          <a:off x="67056000" y="818197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82731</xdr:colOff>
      <xdr:row>389</xdr:row>
      <xdr:rowOff>38100</xdr:rowOff>
    </xdr:from>
    <xdr:to>
      <xdr:col>88</xdr:col>
      <xdr:colOff>1270</xdr:colOff>
      <xdr:row>389</xdr:row>
      <xdr:rowOff>152400</xdr:rowOff>
    </xdr:to>
    <xdr:sp macro="" textlink="">
      <xdr:nvSpPr>
        <xdr:cNvPr id="1509" name="87"/>
        <xdr:cNvSpPr/>
      </xdr:nvSpPr>
      <xdr:spPr>
        <a:xfrm>
          <a:off x="66376731" y="81553050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82731</xdr:colOff>
      <xdr:row>389</xdr:row>
      <xdr:rowOff>95250</xdr:rowOff>
    </xdr:from>
    <xdr:to>
      <xdr:col>87</xdr:col>
      <xdr:colOff>82731</xdr:colOff>
      <xdr:row>389</xdr:row>
      <xdr:rowOff>95250</xdr:rowOff>
    </xdr:to>
    <xdr:cxnSp macro="">
      <xdr:nvCxnSpPr>
        <xdr:cNvPr id="1510" name="직선 화살표 연결선 1509"/>
        <xdr:cNvCxnSpPr/>
      </xdr:nvCxnSpPr>
      <xdr:spPr>
        <a:xfrm>
          <a:off x="66376731" y="816102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41366</xdr:colOff>
      <xdr:row>388</xdr:row>
      <xdr:rowOff>38100</xdr:rowOff>
    </xdr:from>
    <xdr:to>
      <xdr:col>87</xdr:col>
      <xdr:colOff>84001</xdr:colOff>
      <xdr:row>388</xdr:row>
      <xdr:rowOff>152400</xdr:rowOff>
    </xdr:to>
    <xdr:sp macro="" textlink="">
      <xdr:nvSpPr>
        <xdr:cNvPr id="1511" name="86"/>
        <xdr:cNvSpPr/>
      </xdr:nvSpPr>
      <xdr:spPr>
        <a:xfrm>
          <a:off x="66335366" y="81343500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41366</xdr:colOff>
      <xdr:row>388</xdr:row>
      <xdr:rowOff>95250</xdr:rowOff>
    </xdr:from>
    <xdr:to>
      <xdr:col>87</xdr:col>
      <xdr:colOff>41366</xdr:colOff>
      <xdr:row>388</xdr:row>
      <xdr:rowOff>95250</xdr:rowOff>
    </xdr:to>
    <xdr:cxnSp macro="">
      <xdr:nvCxnSpPr>
        <xdr:cNvPr id="1512" name="직선 화살표 연결선 1511"/>
        <xdr:cNvCxnSpPr/>
      </xdr:nvCxnSpPr>
      <xdr:spPr>
        <a:xfrm>
          <a:off x="66335366" y="814006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124098</xdr:colOff>
      <xdr:row>387</xdr:row>
      <xdr:rowOff>38100</xdr:rowOff>
    </xdr:from>
    <xdr:to>
      <xdr:col>87</xdr:col>
      <xdr:colOff>42636</xdr:colOff>
      <xdr:row>387</xdr:row>
      <xdr:rowOff>152400</xdr:rowOff>
    </xdr:to>
    <xdr:sp macro="" textlink="">
      <xdr:nvSpPr>
        <xdr:cNvPr id="1513" name="85"/>
        <xdr:cNvSpPr/>
      </xdr:nvSpPr>
      <xdr:spPr>
        <a:xfrm>
          <a:off x="65656098" y="81133950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124098</xdr:colOff>
      <xdr:row>387</xdr:row>
      <xdr:rowOff>95250</xdr:rowOff>
    </xdr:from>
    <xdr:to>
      <xdr:col>86</xdr:col>
      <xdr:colOff>124098</xdr:colOff>
      <xdr:row>387</xdr:row>
      <xdr:rowOff>95250</xdr:rowOff>
    </xdr:to>
    <xdr:cxnSp macro="">
      <xdr:nvCxnSpPr>
        <xdr:cNvPr id="1514" name="직선 화살표 연결선 1513"/>
        <xdr:cNvCxnSpPr/>
      </xdr:nvCxnSpPr>
      <xdr:spPr>
        <a:xfrm>
          <a:off x="65656098" y="811911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386</xdr:row>
      <xdr:rowOff>38100</xdr:rowOff>
    </xdr:from>
    <xdr:to>
      <xdr:col>86</xdr:col>
      <xdr:colOff>125367</xdr:colOff>
      <xdr:row>386</xdr:row>
      <xdr:rowOff>152400</xdr:rowOff>
    </xdr:to>
    <xdr:sp macro="" textlink="">
      <xdr:nvSpPr>
        <xdr:cNvPr id="1515" name="84"/>
        <xdr:cNvSpPr/>
      </xdr:nvSpPr>
      <xdr:spPr>
        <a:xfrm>
          <a:off x="65594049" y="80924400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386</xdr:row>
      <xdr:rowOff>95250</xdr:rowOff>
    </xdr:from>
    <xdr:to>
      <xdr:col>86</xdr:col>
      <xdr:colOff>62049</xdr:colOff>
      <xdr:row>386</xdr:row>
      <xdr:rowOff>95250</xdr:rowOff>
    </xdr:to>
    <xdr:cxnSp macro="">
      <xdr:nvCxnSpPr>
        <xdr:cNvPr id="1516" name="직선 화살표 연결선 1515"/>
        <xdr:cNvCxnSpPr/>
      </xdr:nvCxnSpPr>
      <xdr:spPr>
        <a:xfrm>
          <a:off x="65594049" y="809815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385</xdr:row>
      <xdr:rowOff>38100</xdr:rowOff>
    </xdr:from>
    <xdr:to>
      <xdr:col>86</xdr:col>
      <xdr:colOff>63318</xdr:colOff>
      <xdr:row>385</xdr:row>
      <xdr:rowOff>152400</xdr:rowOff>
    </xdr:to>
    <xdr:sp macro="" textlink="">
      <xdr:nvSpPr>
        <xdr:cNvPr id="1517" name="83"/>
        <xdr:cNvSpPr/>
      </xdr:nvSpPr>
      <xdr:spPr>
        <a:xfrm>
          <a:off x="65552682" y="8071485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385</xdr:row>
      <xdr:rowOff>95250</xdr:rowOff>
    </xdr:from>
    <xdr:to>
      <xdr:col>86</xdr:col>
      <xdr:colOff>20682</xdr:colOff>
      <xdr:row>385</xdr:row>
      <xdr:rowOff>95250</xdr:rowOff>
    </xdr:to>
    <xdr:cxnSp macro="">
      <xdr:nvCxnSpPr>
        <xdr:cNvPr id="1518" name="직선 화살표 연결선 1517"/>
        <xdr:cNvCxnSpPr/>
      </xdr:nvCxnSpPr>
      <xdr:spPr>
        <a:xfrm>
          <a:off x="65552682" y="807720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384</xdr:row>
      <xdr:rowOff>38100</xdr:rowOff>
    </xdr:from>
    <xdr:to>
      <xdr:col>97</xdr:col>
      <xdr:colOff>42636</xdr:colOff>
      <xdr:row>384</xdr:row>
      <xdr:rowOff>152400</xdr:rowOff>
    </xdr:to>
    <xdr:sp macro="" textlink="">
      <xdr:nvSpPr>
        <xdr:cNvPr id="1519" name="82"/>
        <xdr:cNvSpPr/>
      </xdr:nvSpPr>
      <xdr:spPr>
        <a:xfrm>
          <a:off x="65532000" y="80505300"/>
          <a:ext cx="8424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0</xdr:colOff>
      <xdr:row>384</xdr:row>
      <xdr:rowOff>95250</xdr:rowOff>
    </xdr:from>
    <xdr:to>
      <xdr:col>86</xdr:col>
      <xdr:colOff>0</xdr:colOff>
      <xdr:row>384</xdr:row>
      <xdr:rowOff>95250</xdr:rowOff>
    </xdr:to>
    <xdr:cxnSp macro="">
      <xdr:nvCxnSpPr>
        <xdr:cNvPr id="1520" name="직선 화살표 연결선 1519"/>
        <xdr:cNvCxnSpPr/>
      </xdr:nvCxnSpPr>
      <xdr:spPr>
        <a:xfrm>
          <a:off x="65532000" y="805624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20682</xdr:colOff>
      <xdr:row>383</xdr:row>
      <xdr:rowOff>38100</xdr:rowOff>
    </xdr:from>
    <xdr:to>
      <xdr:col>86</xdr:col>
      <xdr:colOff>84001</xdr:colOff>
      <xdr:row>383</xdr:row>
      <xdr:rowOff>152400</xdr:rowOff>
    </xdr:to>
    <xdr:sp macro="" textlink="">
      <xdr:nvSpPr>
        <xdr:cNvPr id="1521" name="81"/>
        <xdr:cNvSpPr/>
      </xdr:nvSpPr>
      <xdr:spPr>
        <a:xfrm>
          <a:off x="65552682" y="80295750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20682</xdr:colOff>
      <xdr:row>383</xdr:row>
      <xdr:rowOff>95250</xdr:rowOff>
    </xdr:from>
    <xdr:to>
      <xdr:col>86</xdr:col>
      <xdr:colOff>20682</xdr:colOff>
      <xdr:row>383</xdr:row>
      <xdr:rowOff>95250</xdr:rowOff>
    </xdr:to>
    <xdr:cxnSp macro="">
      <xdr:nvCxnSpPr>
        <xdr:cNvPr id="1522" name="직선 화살표 연결선 1521"/>
        <xdr:cNvCxnSpPr/>
      </xdr:nvCxnSpPr>
      <xdr:spPr>
        <a:xfrm>
          <a:off x="65552682" y="803529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382</xdr:row>
      <xdr:rowOff>38100</xdr:rowOff>
    </xdr:from>
    <xdr:to>
      <xdr:col>86</xdr:col>
      <xdr:colOff>21952</xdr:colOff>
      <xdr:row>382</xdr:row>
      <xdr:rowOff>152400</xdr:rowOff>
    </xdr:to>
    <xdr:sp macro="" textlink="">
      <xdr:nvSpPr>
        <xdr:cNvPr id="1523" name="80"/>
        <xdr:cNvSpPr/>
      </xdr:nvSpPr>
      <xdr:spPr>
        <a:xfrm>
          <a:off x="64873415" y="80086200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382</xdr:row>
      <xdr:rowOff>95250</xdr:rowOff>
    </xdr:from>
    <xdr:to>
      <xdr:col>85</xdr:col>
      <xdr:colOff>103415</xdr:colOff>
      <xdr:row>382</xdr:row>
      <xdr:rowOff>95250</xdr:rowOff>
    </xdr:to>
    <xdr:cxnSp macro="">
      <xdr:nvCxnSpPr>
        <xdr:cNvPr id="1524" name="직선 화살표 연결선 1523"/>
        <xdr:cNvCxnSpPr/>
      </xdr:nvCxnSpPr>
      <xdr:spPr>
        <a:xfrm>
          <a:off x="64873415" y="801433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381</xdr:row>
      <xdr:rowOff>38100</xdr:rowOff>
    </xdr:from>
    <xdr:to>
      <xdr:col>86</xdr:col>
      <xdr:colOff>21952</xdr:colOff>
      <xdr:row>381</xdr:row>
      <xdr:rowOff>152400</xdr:rowOff>
    </xdr:to>
    <xdr:sp macro="" textlink="">
      <xdr:nvSpPr>
        <xdr:cNvPr id="1525" name="79"/>
        <xdr:cNvSpPr/>
      </xdr:nvSpPr>
      <xdr:spPr>
        <a:xfrm>
          <a:off x="64873415" y="79876650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103415</xdr:colOff>
      <xdr:row>381</xdr:row>
      <xdr:rowOff>95250</xdr:rowOff>
    </xdr:from>
    <xdr:to>
      <xdr:col>85</xdr:col>
      <xdr:colOff>103415</xdr:colOff>
      <xdr:row>381</xdr:row>
      <xdr:rowOff>95250</xdr:rowOff>
    </xdr:to>
    <xdr:cxnSp macro="">
      <xdr:nvCxnSpPr>
        <xdr:cNvPr id="1526" name="직선 화살표 연결선 1525"/>
        <xdr:cNvCxnSpPr/>
      </xdr:nvCxnSpPr>
      <xdr:spPr>
        <a:xfrm>
          <a:off x="64873415" y="799338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103415</xdr:colOff>
      <xdr:row>380</xdr:row>
      <xdr:rowOff>38100</xdr:rowOff>
    </xdr:from>
    <xdr:to>
      <xdr:col>86</xdr:col>
      <xdr:colOff>21952</xdr:colOff>
      <xdr:row>380</xdr:row>
      <xdr:rowOff>152400</xdr:rowOff>
    </xdr:to>
    <xdr:sp macro="" textlink="">
      <xdr:nvSpPr>
        <xdr:cNvPr id="1527" name="78"/>
        <xdr:cNvSpPr/>
      </xdr:nvSpPr>
      <xdr:spPr>
        <a:xfrm>
          <a:off x="64873415" y="79667100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62048</xdr:colOff>
      <xdr:row>380</xdr:row>
      <xdr:rowOff>95250</xdr:rowOff>
    </xdr:from>
    <xdr:to>
      <xdr:col>89</xdr:col>
      <xdr:colOff>62048</xdr:colOff>
      <xdr:row>380</xdr:row>
      <xdr:rowOff>95250</xdr:rowOff>
    </xdr:to>
    <xdr:cxnSp macro="">
      <xdr:nvCxnSpPr>
        <xdr:cNvPr id="1528" name="직선 화살표 연결선 1527"/>
        <xdr:cNvCxnSpPr/>
      </xdr:nvCxnSpPr>
      <xdr:spPr>
        <a:xfrm>
          <a:off x="67880048" y="797242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41366</xdr:colOff>
      <xdr:row>379</xdr:row>
      <xdr:rowOff>38100</xdr:rowOff>
    </xdr:from>
    <xdr:to>
      <xdr:col>97</xdr:col>
      <xdr:colOff>42636</xdr:colOff>
      <xdr:row>379</xdr:row>
      <xdr:rowOff>152400</xdr:rowOff>
    </xdr:to>
    <xdr:sp macro="" textlink="">
      <xdr:nvSpPr>
        <xdr:cNvPr id="1529" name="77"/>
        <xdr:cNvSpPr/>
      </xdr:nvSpPr>
      <xdr:spPr>
        <a:xfrm>
          <a:off x="62525366" y="79457550"/>
          <a:ext cx="1143127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62048</xdr:colOff>
      <xdr:row>379</xdr:row>
      <xdr:rowOff>95250</xdr:rowOff>
    </xdr:from>
    <xdr:to>
      <xdr:col>89</xdr:col>
      <xdr:colOff>62048</xdr:colOff>
      <xdr:row>379</xdr:row>
      <xdr:rowOff>95250</xdr:rowOff>
    </xdr:to>
    <xdr:cxnSp macro="">
      <xdr:nvCxnSpPr>
        <xdr:cNvPr id="1530" name="직선 화살표 연결선 1529"/>
        <xdr:cNvCxnSpPr/>
      </xdr:nvCxnSpPr>
      <xdr:spPr>
        <a:xfrm>
          <a:off x="67880048" y="795147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124098</xdr:colOff>
      <xdr:row>378</xdr:row>
      <xdr:rowOff>38100</xdr:rowOff>
    </xdr:from>
    <xdr:to>
      <xdr:col>83</xdr:col>
      <xdr:colOff>1270</xdr:colOff>
      <xdr:row>378</xdr:row>
      <xdr:rowOff>152400</xdr:rowOff>
    </xdr:to>
    <xdr:sp macro="" textlink="">
      <xdr:nvSpPr>
        <xdr:cNvPr id="1531" name="76"/>
        <xdr:cNvSpPr/>
      </xdr:nvSpPr>
      <xdr:spPr>
        <a:xfrm>
          <a:off x="62608098" y="79248000"/>
          <a:ext cx="6391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124098</xdr:colOff>
      <xdr:row>378</xdr:row>
      <xdr:rowOff>95250</xdr:rowOff>
    </xdr:from>
    <xdr:to>
      <xdr:col>82</xdr:col>
      <xdr:colOff>124098</xdr:colOff>
      <xdr:row>378</xdr:row>
      <xdr:rowOff>95250</xdr:rowOff>
    </xdr:to>
    <xdr:cxnSp macro="">
      <xdr:nvCxnSpPr>
        <xdr:cNvPr id="1532" name="직선 화살표 연결선 1531"/>
        <xdr:cNvCxnSpPr/>
      </xdr:nvCxnSpPr>
      <xdr:spPr>
        <a:xfrm>
          <a:off x="62608098" y="793051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41366</xdr:colOff>
      <xdr:row>377</xdr:row>
      <xdr:rowOff>38100</xdr:rowOff>
    </xdr:from>
    <xdr:to>
      <xdr:col>92</xdr:col>
      <xdr:colOff>84001</xdr:colOff>
      <xdr:row>377</xdr:row>
      <xdr:rowOff>152400</xdr:rowOff>
    </xdr:to>
    <xdr:sp macro="" textlink="">
      <xdr:nvSpPr>
        <xdr:cNvPr id="1533" name="75"/>
        <xdr:cNvSpPr/>
      </xdr:nvSpPr>
      <xdr:spPr>
        <a:xfrm>
          <a:off x="70145366" y="79038450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41366</xdr:colOff>
      <xdr:row>377</xdr:row>
      <xdr:rowOff>95250</xdr:rowOff>
    </xdr:from>
    <xdr:to>
      <xdr:col>92</xdr:col>
      <xdr:colOff>41366</xdr:colOff>
      <xdr:row>377</xdr:row>
      <xdr:rowOff>95250</xdr:rowOff>
    </xdr:to>
    <xdr:cxnSp macro="">
      <xdr:nvCxnSpPr>
        <xdr:cNvPr id="1534" name="직선 화살표 연결선 1533"/>
        <xdr:cNvCxnSpPr/>
      </xdr:nvCxnSpPr>
      <xdr:spPr>
        <a:xfrm>
          <a:off x="70145366" y="790956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376</xdr:row>
      <xdr:rowOff>38100</xdr:rowOff>
    </xdr:from>
    <xdr:to>
      <xdr:col>92</xdr:col>
      <xdr:colOff>63319</xdr:colOff>
      <xdr:row>376</xdr:row>
      <xdr:rowOff>152400</xdr:rowOff>
    </xdr:to>
    <xdr:sp macro="" textlink="">
      <xdr:nvSpPr>
        <xdr:cNvPr id="1535" name="74"/>
        <xdr:cNvSpPr/>
      </xdr:nvSpPr>
      <xdr:spPr>
        <a:xfrm>
          <a:off x="70104000" y="78828900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0</xdr:colOff>
      <xdr:row>376</xdr:row>
      <xdr:rowOff>95250</xdr:rowOff>
    </xdr:from>
    <xdr:to>
      <xdr:col>92</xdr:col>
      <xdr:colOff>0</xdr:colOff>
      <xdr:row>376</xdr:row>
      <xdr:rowOff>95250</xdr:rowOff>
    </xdr:to>
    <xdr:cxnSp macro="">
      <xdr:nvCxnSpPr>
        <xdr:cNvPr id="1536" name="직선 화살표 연결선 1535"/>
        <xdr:cNvCxnSpPr/>
      </xdr:nvCxnSpPr>
      <xdr:spPr>
        <a:xfrm>
          <a:off x="70104000" y="788860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103414</xdr:colOff>
      <xdr:row>375</xdr:row>
      <xdr:rowOff>38100</xdr:rowOff>
    </xdr:from>
    <xdr:to>
      <xdr:col>92</xdr:col>
      <xdr:colOff>21952</xdr:colOff>
      <xdr:row>375</xdr:row>
      <xdr:rowOff>152400</xdr:rowOff>
    </xdr:to>
    <xdr:sp macro="" textlink="">
      <xdr:nvSpPr>
        <xdr:cNvPr id="1537" name="73"/>
        <xdr:cNvSpPr/>
      </xdr:nvSpPr>
      <xdr:spPr>
        <a:xfrm>
          <a:off x="69445414" y="78619350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103414</xdr:colOff>
      <xdr:row>375</xdr:row>
      <xdr:rowOff>95250</xdr:rowOff>
    </xdr:from>
    <xdr:to>
      <xdr:col>91</xdr:col>
      <xdr:colOff>103414</xdr:colOff>
      <xdr:row>375</xdr:row>
      <xdr:rowOff>95250</xdr:rowOff>
    </xdr:to>
    <xdr:cxnSp macro="">
      <xdr:nvCxnSpPr>
        <xdr:cNvPr id="1538" name="직선 화살표 연결선 1537"/>
        <xdr:cNvCxnSpPr/>
      </xdr:nvCxnSpPr>
      <xdr:spPr>
        <a:xfrm>
          <a:off x="69445414" y="786765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41366</xdr:colOff>
      <xdr:row>374</xdr:row>
      <xdr:rowOff>38100</xdr:rowOff>
    </xdr:from>
    <xdr:to>
      <xdr:col>91</xdr:col>
      <xdr:colOff>104683</xdr:colOff>
      <xdr:row>374</xdr:row>
      <xdr:rowOff>152400</xdr:rowOff>
    </xdr:to>
    <xdr:sp macro="" textlink="">
      <xdr:nvSpPr>
        <xdr:cNvPr id="1539" name="72"/>
        <xdr:cNvSpPr/>
      </xdr:nvSpPr>
      <xdr:spPr>
        <a:xfrm>
          <a:off x="69383366" y="78409800"/>
          <a:ext cx="63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41366</xdr:colOff>
      <xdr:row>374</xdr:row>
      <xdr:rowOff>95250</xdr:rowOff>
    </xdr:from>
    <xdr:to>
      <xdr:col>91</xdr:col>
      <xdr:colOff>41366</xdr:colOff>
      <xdr:row>374</xdr:row>
      <xdr:rowOff>95250</xdr:rowOff>
    </xdr:to>
    <xdr:cxnSp macro="">
      <xdr:nvCxnSpPr>
        <xdr:cNvPr id="1540" name="직선 화살표 연결선 1539"/>
        <xdr:cNvCxnSpPr/>
      </xdr:nvCxnSpPr>
      <xdr:spPr>
        <a:xfrm>
          <a:off x="69383366" y="784669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82731</xdr:colOff>
      <xdr:row>373</xdr:row>
      <xdr:rowOff>38100</xdr:rowOff>
    </xdr:from>
    <xdr:to>
      <xdr:col>91</xdr:col>
      <xdr:colOff>42636</xdr:colOff>
      <xdr:row>373</xdr:row>
      <xdr:rowOff>152400</xdr:rowOff>
    </xdr:to>
    <xdr:sp macro="" textlink="">
      <xdr:nvSpPr>
        <xdr:cNvPr id="1541" name="71"/>
        <xdr:cNvSpPr/>
      </xdr:nvSpPr>
      <xdr:spPr>
        <a:xfrm>
          <a:off x="68662731" y="78200250"/>
          <a:ext cx="7219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82731</xdr:colOff>
      <xdr:row>373</xdr:row>
      <xdr:rowOff>95250</xdr:rowOff>
    </xdr:from>
    <xdr:to>
      <xdr:col>90</xdr:col>
      <xdr:colOff>82731</xdr:colOff>
      <xdr:row>373</xdr:row>
      <xdr:rowOff>95250</xdr:rowOff>
    </xdr:to>
    <xdr:cxnSp macro="">
      <xdr:nvCxnSpPr>
        <xdr:cNvPr id="1542" name="직선 화살표 연결선 1541"/>
        <xdr:cNvCxnSpPr/>
      </xdr:nvCxnSpPr>
      <xdr:spPr>
        <a:xfrm>
          <a:off x="68662731" y="782574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41366</xdr:colOff>
      <xdr:row>372</xdr:row>
      <xdr:rowOff>38100</xdr:rowOff>
    </xdr:from>
    <xdr:to>
      <xdr:col>91</xdr:col>
      <xdr:colOff>1269</xdr:colOff>
      <xdr:row>372</xdr:row>
      <xdr:rowOff>152400</xdr:rowOff>
    </xdr:to>
    <xdr:sp macro="" textlink="">
      <xdr:nvSpPr>
        <xdr:cNvPr id="1543" name="70"/>
        <xdr:cNvSpPr/>
      </xdr:nvSpPr>
      <xdr:spPr>
        <a:xfrm>
          <a:off x="68621366" y="77990700"/>
          <a:ext cx="7219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41366</xdr:colOff>
      <xdr:row>372</xdr:row>
      <xdr:rowOff>95250</xdr:rowOff>
    </xdr:from>
    <xdr:to>
      <xdr:col>90</xdr:col>
      <xdr:colOff>41366</xdr:colOff>
      <xdr:row>372</xdr:row>
      <xdr:rowOff>95250</xdr:rowOff>
    </xdr:to>
    <xdr:cxnSp macro="">
      <xdr:nvCxnSpPr>
        <xdr:cNvPr id="1544" name="직선 화살표 연결선 1543"/>
        <xdr:cNvCxnSpPr/>
      </xdr:nvCxnSpPr>
      <xdr:spPr>
        <a:xfrm>
          <a:off x="68621366" y="780478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82731</xdr:colOff>
      <xdr:row>371</xdr:row>
      <xdr:rowOff>38100</xdr:rowOff>
    </xdr:from>
    <xdr:to>
      <xdr:col>92</xdr:col>
      <xdr:colOff>1270</xdr:colOff>
      <xdr:row>371</xdr:row>
      <xdr:rowOff>152400</xdr:rowOff>
    </xdr:to>
    <xdr:sp macro="" textlink="">
      <xdr:nvSpPr>
        <xdr:cNvPr id="1545" name="69"/>
        <xdr:cNvSpPr/>
      </xdr:nvSpPr>
      <xdr:spPr>
        <a:xfrm>
          <a:off x="69424731" y="77781150"/>
          <a:ext cx="6805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82731</xdr:colOff>
      <xdr:row>371</xdr:row>
      <xdr:rowOff>95250</xdr:rowOff>
    </xdr:from>
    <xdr:to>
      <xdr:col>91</xdr:col>
      <xdr:colOff>82731</xdr:colOff>
      <xdr:row>371</xdr:row>
      <xdr:rowOff>95250</xdr:rowOff>
    </xdr:to>
    <xdr:cxnSp macro="">
      <xdr:nvCxnSpPr>
        <xdr:cNvPr id="1546" name="직선 화살표 연결선 1545"/>
        <xdr:cNvCxnSpPr/>
      </xdr:nvCxnSpPr>
      <xdr:spPr>
        <a:xfrm>
          <a:off x="69424731" y="778383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103415</xdr:colOff>
      <xdr:row>370</xdr:row>
      <xdr:rowOff>38100</xdr:rowOff>
    </xdr:from>
    <xdr:to>
      <xdr:col>91</xdr:col>
      <xdr:colOff>84001</xdr:colOff>
      <xdr:row>370</xdr:row>
      <xdr:rowOff>152400</xdr:rowOff>
    </xdr:to>
    <xdr:sp macro="" textlink="">
      <xdr:nvSpPr>
        <xdr:cNvPr id="1547" name="68"/>
        <xdr:cNvSpPr/>
      </xdr:nvSpPr>
      <xdr:spPr>
        <a:xfrm>
          <a:off x="68683415" y="77571600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103415</xdr:colOff>
      <xdr:row>370</xdr:row>
      <xdr:rowOff>95250</xdr:rowOff>
    </xdr:from>
    <xdr:to>
      <xdr:col>90</xdr:col>
      <xdr:colOff>103415</xdr:colOff>
      <xdr:row>370</xdr:row>
      <xdr:rowOff>95250</xdr:rowOff>
    </xdr:to>
    <xdr:cxnSp macro="">
      <xdr:nvCxnSpPr>
        <xdr:cNvPr id="1548" name="직선 화살표 연결선 1547"/>
        <xdr:cNvCxnSpPr/>
      </xdr:nvCxnSpPr>
      <xdr:spPr>
        <a:xfrm>
          <a:off x="68683415" y="776287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103415</xdr:colOff>
      <xdr:row>369</xdr:row>
      <xdr:rowOff>38100</xdr:rowOff>
    </xdr:from>
    <xdr:to>
      <xdr:col>91</xdr:col>
      <xdr:colOff>84001</xdr:colOff>
      <xdr:row>369</xdr:row>
      <xdr:rowOff>152400</xdr:rowOff>
    </xdr:to>
    <xdr:sp macro="" textlink="">
      <xdr:nvSpPr>
        <xdr:cNvPr id="1549" name="67"/>
        <xdr:cNvSpPr/>
      </xdr:nvSpPr>
      <xdr:spPr>
        <a:xfrm>
          <a:off x="68683415" y="77362050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103415</xdr:colOff>
      <xdr:row>369</xdr:row>
      <xdr:rowOff>95250</xdr:rowOff>
    </xdr:from>
    <xdr:to>
      <xdr:col>90</xdr:col>
      <xdr:colOff>103415</xdr:colOff>
      <xdr:row>369</xdr:row>
      <xdr:rowOff>95250</xdr:rowOff>
    </xdr:to>
    <xdr:cxnSp macro="">
      <xdr:nvCxnSpPr>
        <xdr:cNvPr id="1550" name="직선 화살표 연결선 1549"/>
        <xdr:cNvCxnSpPr/>
      </xdr:nvCxnSpPr>
      <xdr:spPr>
        <a:xfrm>
          <a:off x="68683415" y="774192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103415</xdr:colOff>
      <xdr:row>368</xdr:row>
      <xdr:rowOff>38100</xdr:rowOff>
    </xdr:from>
    <xdr:to>
      <xdr:col>91</xdr:col>
      <xdr:colOff>84001</xdr:colOff>
      <xdr:row>368</xdr:row>
      <xdr:rowOff>152400</xdr:rowOff>
    </xdr:to>
    <xdr:sp macro="" textlink="">
      <xdr:nvSpPr>
        <xdr:cNvPr id="1551" name="66"/>
        <xdr:cNvSpPr/>
      </xdr:nvSpPr>
      <xdr:spPr>
        <a:xfrm>
          <a:off x="68683415" y="77152500"/>
          <a:ext cx="742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103415</xdr:colOff>
      <xdr:row>368</xdr:row>
      <xdr:rowOff>95250</xdr:rowOff>
    </xdr:from>
    <xdr:to>
      <xdr:col>90</xdr:col>
      <xdr:colOff>103415</xdr:colOff>
      <xdr:row>368</xdr:row>
      <xdr:rowOff>95250</xdr:rowOff>
    </xdr:to>
    <xdr:cxnSp macro="">
      <xdr:nvCxnSpPr>
        <xdr:cNvPr id="1552" name="직선 화살표 연결선 1551"/>
        <xdr:cNvCxnSpPr/>
      </xdr:nvCxnSpPr>
      <xdr:spPr>
        <a:xfrm>
          <a:off x="68683415" y="772096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82731</xdr:colOff>
      <xdr:row>367</xdr:row>
      <xdr:rowOff>38100</xdr:rowOff>
    </xdr:from>
    <xdr:to>
      <xdr:col>91</xdr:col>
      <xdr:colOff>84001</xdr:colOff>
      <xdr:row>367</xdr:row>
      <xdr:rowOff>152400</xdr:rowOff>
    </xdr:to>
    <xdr:sp macro="" textlink="">
      <xdr:nvSpPr>
        <xdr:cNvPr id="1553" name="65"/>
        <xdr:cNvSpPr/>
      </xdr:nvSpPr>
      <xdr:spPr>
        <a:xfrm>
          <a:off x="68662731" y="76942950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82731</xdr:colOff>
      <xdr:row>367</xdr:row>
      <xdr:rowOff>95250</xdr:rowOff>
    </xdr:from>
    <xdr:to>
      <xdr:col>90</xdr:col>
      <xdr:colOff>82731</xdr:colOff>
      <xdr:row>367</xdr:row>
      <xdr:rowOff>95250</xdr:rowOff>
    </xdr:to>
    <xdr:cxnSp macro="">
      <xdr:nvCxnSpPr>
        <xdr:cNvPr id="1554" name="직선 화살표 연결선 1553"/>
        <xdr:cNvCxnSpPr/>
      </xdr:nvCxnSpPr>
      <xdr:spPr>
        <a:xfrm>
          <a:off x="68662731" y="770001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366</xdr:row>
      <xdr:rowOff>38100</xdr:rowOff>
    </xdr:from>
    <xdr:to>
      <xdr:col>91</xdr:col>
      <xdr:colOff>63318</xdr:colOff>
      <xdr:row>366</xdr:row>
      <xdr:rowOff>152400</xdr:rowOff>
    </xdr:to>
    <xdr:sp macro="" textlink="">
      <xdr:nvSpPr>
        <xdr:cNvPr id="1555" name="64"/>
        <xdr:cNvSpPr/>
      </xdr:nvSpPr>
      <xdr:spPr>
        <a:xfrm>
          <a:off x="68642048" y="76733400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366</xdr:row>
      <xdr:rowOff>95250</xdr:rowOff>
    </xdr:from>
    <xdr:to>
      <xdr:col>90</xdr:col>
      <xdr:colOff>62048</xdr:colOff>
      <xdr:row>366</xdr:row>
      <xdr:rowOff>95250</xdr:rowOff>
    </xdr:to>
    <xdr:cxnSp macro="">
      <xdr:nvCxnSpPr>
        <xdr:cNvPr id="1556" name="직선 화살표 연결선 1555"/>
        <xdr:cNvCxnSpPr/>
      </xdr:nvCxnSpPr>
      <xdr:spPr>
        <a:xfrm>
          <a:off x="68642048" y="767905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41366</xdr:colOff>
      <xdr:row>365</xdr:row>
      <xdr:rowOff>38100</xdr:rowOff>
    </xdr:from>
    <xdr:to>
      <xdr:col>90</xdr:col>
      <xdr:colOff>63318</xdr:colOff>
      <xdr:row>365</xdr:row>
      <xdr:rowOff>152400</xdr:rowOff>
    </xdr:to>
    <xdr:sp macro="" textlink="">
      <xdr:nvSpPr>
        <xdr:cNvPr id="1557" name="63"/>
        <xdr:cNvSpPr/>
      </xdr:nvSpPr>
      <xdr:spPr>
        <a:xfrm>
          <a:off x="68621366" y="76523850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41366</xdr:colOff>
      <xdr:row>365</xdr:row>
      <xdr:rowOff>95250</xdr:rowOff>
    </xdr:from>
    <xdr:to>
      <xdr:col>90</xdr:col>
      <xdr:colOff>41366</xdr:colOff>
      <xdr:row>365</xdr:row>
      <xdr:rowOff>95250</xdr:rowOff>
    </xdr:to>
    <xdr:cxnSp macro="">
      <xdr:nvCxnSpPr>
        <xdr:cNvPr id="1558" name="직선 화살표 연결선 1557"/>
        <xdr:cNvCxnSpPr/>
      </xdr:nvCxnSpPr>
      <xdr:spPr>
        <a:xfrm>
          <a:off x="68621366" y="765810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144779</xdr:colOff>
      <xdr:row>364</xdr:row>
      <xdr:rowOff>38100</xdr:rowOff>
    </xdr:from>
    <xdr:to>
      <xdr:col>90</xdr:col>
      <xdr:colOff>125367</xdr:colOff>
      <xdr:row>364</xdr:row>
      <xdr:rowOff>152400</xdr:rowOff>
    </xdr:to>
    <xdr:sp macro="" textlink="">
      <xdr:nvSpPr>
        <xdr:cNvPr id="1559" name="62"/>
        <xdr:cNvSpPr/>
      </xdr:nvSpPr>
      <xdr:spPr>
        <a:xfrm>
          <a:off x="67962779" y="76314300"/>
          <a:ext cx="74258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144779</xdr:colOff>
      <xdr:row>364</xdr:row>
      <xdr:rowOff>95250</xdr:rowOff>
    </xdr:from>
    <xdr:to>
      <xdr:col>89</xdr:col>
      <xdr:colOff>144779</xdr:colOff>
      <xdr:row>364</xdr:row>
      <xdr:rowOff>95250</xdr:rowOff>
    </xdr:to>
    <xdr:cxnSp macro="">
      <xdr:nvCxnSpPr>
        <xdr:cNvPr id="1560" name="직선 화살표 연결선 1559"/>
        <xdr:cNvCxnSpPr/>
      </xdr:nvCxnSpPr>
      <xdr:spPr>
        <a:xfrm>
          <a:off x="67962779" y="763714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363</xdr:row>
      <xdr:rowOff>38100</xdr:rowOff>
    </xdr:from>
    <xdr:to>
      <xdr:col>90</xdr:col>
      <xdr:colOff>1269</xdr:colOff>
      <xdr:row>363</xdr:row>
      <xdr:rowOff>152400</xdr:rowOff>
    </xdr:to>
    <xdr:sp macro="" textlink="">
      <xdr:nvSpPr>
        <xdr:cNvPr id="1561" name="61"/>
        <xdr:cNvSpPr/>
      </xdr:nvSpPr>
      <xdr:spPr>
        <a:xfrm>
          <a:off x="67900732" y="76104750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363</xdr:row>
      <xdr:rowOff>95250</xdr:rowOff>
    </xdr:from>
    <xdr:to>
      <xdr:col>89</xdr:col>
      <xdr:colOff>82732</xdr:colOff>
      <xdr:row>363</xdr:row>
      <xdr:rowOff>95250</xdr:rowOff>
    </xdr:to>
    <xdr:cxnSp macro="">
      <xdr:nvCxnSpPr>
        <xdr:cNvPr id="1562" name="직선 화살표 연결선 1561"/>
        <xdr:cNvCxnSpPr/>
      </xdr:nvCxnSpPr>
      <xdr:spPr>
        <a:xfrm>
          <a:off x="67900732" y="761619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124097</xdr:colOff>
      <xdr:row>362</xdr:row>
      <xdr:rowOff>38100</xdr:rowOff>
    </xdr:from>
    <xdr:to>
      <xdr:col>89</xdr:col>
      <xdr:colOff>84002</xdr:colOff>
      <xdr:row>362</xdr:row>
      <xdr:rowOff>152400</xdr:rowOff>
    </xdr:to>
    <xdr:sp macro="" textlink="">
      <xdr:nvSpPr>
        <xdr:cNvPr id="1563" name="60"/>
        <xdr:cNvSpPr/>
      </xdr:nvSpPr>
      <xdr:spPr>
        <a:xfrm>
          <a:off x="67180097" y="75895200"/>
          <a:ext cx="7219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124097</xdr:colOff>
      <xdr:row>362</xdr:row>
      <xdr:rowOff>95250</xdr:rowOff>
    </xdr:from>
    <xdr:to>
      <xdr:col>88</xdr:col>
      <xdr:colOff>124097</xdr:colOff>
      <xdr:row>362</xdr:row>
      <xdr:rowOff>95250</xdr:rowOff>
    </xdr:to>
    <xdr:cxnSp macro="">
      <xdr:nvCxnSpPr>
        <xdr:cNvPr id="1564" name="직선 화살표 연결선 1563"/>
        <xdr:cNvCxnSpPr/>
      </xdr:nvCxnSpPr>
      <xdr:spPr>
        <a:xfrm>
          <a:off x="67180097" y="759523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361</xdr:row>
      <xdr:rowOff>38100</xdr:rowOff>
    </xdr:from>
    <xdr:to>
      <xdr:col>89</xdr:col>
      <xdr:colOff>84002</xdr:colOff>
      <xdr:row>361</xdr:row>
      <xdr:rowOff>152400</xdr:rowOff>
    </xdr:to>
    <xdr:sp macro="" textlink="">
      <xdr:nvSpPr>
        <xdr:cNvPr id="1565" name="59"/>
        <xdr:cNvSpPr/>
      </xdr:nvSpPr>
      <xdr:spPr>
        <a:xfrm>
          <a:off x="66356049" y="75685650"/>
          <a:ext cx="1545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361</xdr:row>
      <xdr:rowOff>95250</xdr:rowOff>
    </xdr:from>
    <xdr:to>
      <xdr:col>87</xdr:col>
      <xdr:colOff>62049</xdr:colOff>
      <xdr:row>361</xdr:row>
      <xdr:rowOff>95250</xdr:rowOff>
    </xdr:to>
    <xdr:cxnSp macro="">
      <xdr:nvCxnSpPr>
        <xdr:cNvPr id="1566" name="직선 화살표 연결선 1565"/>
        <xdr:cNvCxnSpPr/>
      </xdr:nvCxnSpPr>
      <xdr:spPr>
        <a:xfrm>
          <a:off x="66356049" y="757428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20682</xdr:colOff>
      <xdr:row>360</xdr:row>
      <xdr:rowOff>38100</xdr:rowOff>
    </xdr:from>
    <xdr:to>
      <xdr:col>87</xdr:col>
      <xdr:colOff>63319</xdr:colOff>
      <xdr:row>360</xdr:row>
      <xdr:rowOff>152400</xdr:rowOff>
    </xdr:to>
    <xdr:sp macro="" textlink="">
      <xdr:nvSpPr>
        <xdr:cNvPr id="1567" name="58"/>
        <xdr:cNvSpPr/>
      </xdr:nvSpPr>
      <xdr:spPr>
        <a:xfrm>
          <a:off x="66314682" y="75476100"/>
          <a:ext cx="426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20682</xdr:colOff>
      <xdr:row>360</xdr:row>
      <xdr:rowOff>95250</xdr:rowOff>
    </xdr:from>
    <xdr:to>
      <xdr:col>87</xdr:col>
      <xdr:colOff>20682</xdr:colOff>
      <xdr:row>360</xdr:row>
      <xdr:rowOff>95250</xdr:rowOff>
    </xdr:to>
    <xdr:cxnSp macro="">
      <xdr:nvCxnSpPr>
        <xdr:cNvPr id="1568" name="직선 화살표 연결선 1567"/>
        <xdr:cNvCxnSpPr/>
      </xdr:nvCxnSpPr>
      <xdr:spPr>
        <a:xfrm>
          <a:off x="66314682" y="755332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359</xdr:row>
      <xdr:rowOff>38100</xdr:rowOff>
    </xdr:from>
    <xdr:to>
      <xdr:col>87</xdr:col>
      <xdr:colOff>42636</xdr:colOff>
      <xdr:row>359</xdr:row>
      <xdr:rowOff>152400</xdr:rowOff>
    </xdr:to>
    <xdr:sp macro="" textlink="">
      <xdr:nvSpPr>
        <xdr:cNvPr id="1569" name="57"/>
        <xdr:cNvSpPr/>
      </xdr:nvSpPr>
      <xdr:spPr>
        <a:xfrm>
          <a:off x="66294000" y="7526655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0</xdr:colOff>
      <xdr:row>359</xdr:row>
      <xdr:rowOff>95250</xdr:rowOff>
    </xdr:from>
    <xdr:to>
      <xdr:col>87</xdr:col>
      <xdr:colOff>0</xdr:colOff>
      <xdr:row>359</xdr:row>
      <xdr:rowOff>95250</xdr:rowOff>
    </xdr:to>
    <xdr:cxnSp macro="">
      <xdr:nvCxnSpPr>
        <xdr:cNvPr id="1570" name="직선 화살표 연결선 1569"/>
        <xdr:cNvCxnSpPr/>
      </xdr:nvCxnSpPr>
      <xdr:spPr>
        <a:xfrm>
          <a:off x="66294000" y="753237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358</xdr:row>
      <xdr:rowOff>38100</xdr:rowOff>
    </xdr:from>
    <xdr:to>
      <xdr:col>88</xdr:col>
      <xdr:colOff>63319</xdr:colOff>
      <xdr:row>358</xdr:row>
      <xdr:rowOff>152400</xdr:rowOff>
    </xdr:to>
    <xdr:sp macro="" textlink="">
      <xdr:nvSpPr>
        <xdr:cNvPr id="1571" name="56"/>
        <xdr:cNvSpPr/>
      </xdr:nvSpPr>
      <xdr:spPr>
        <a:xfrm>
          <a:off x="67056000" y="75057000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358</xdr:row>
      <xdr:rowOff>95250</xdr:rowOff>
    </xdr:from>
    <xdr:to>
      <xdr:col>88</xdr:col>
      <xdr:colOff>0</xdr:colOff>
      <xdr:row>358</xdr:row>
      <xdr:rowOff>95250</xdr:rowOff>
    </xdr:to>
    <xdr:cxnSp macro="">
      <xdr:nvCxnSpPr>
        <xdr:cNvPr id="1572" name="직선 화살표 연결선 1571"/>
        <xdr:cNvCxnSpPr/>
      </xdr:nvCxnSpPr>
      <xdr:spPr>
        <a:xfrm>
          <a:off x="67056000" y="751141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357</xdr:row>
      <xdr:rowOff>38100</xdr:rowOff>
    </xdr:from>
    <xdr:to>
      <xdr:col>88</xdr:col>
      <xdr:colOff>42635</xdr:colOff>
      <xdr:row>357</xdr:row>
      <xdr:rowOff>152400</xdr:rowOff>
    </xdr:to>
    <xdr:sp macro="" textlink="">
      <xdr:nvSpPr>
        <xdr:cNvPr id="1573" name="55"/>
        <xdr:cNvSpPr/>
      </xdr:nvSpPr>
      <xdr:spPr>
        <a:xfrm>
          <a:off x="66397414" y="74847450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357</xdr:row>
      <xdr:rowOff>95250</xdr:rowOff>
    </xdr:from>
    <xdr:to>
      <xdr:col>87</xdr:col>
      <xdr:colOff>103414</xdr:colOff>
      <xdr:row>357</xdr:row>
      <xdr:rowOff>95250</xdr:rowOff>
    </xdr:to>
    <xdr:cxnSp macro="">
      <xdr:nvCxnSpPr>
        <xdr:cNvPr id="1574" name="직선 화살표 연결선 1573"/>
        <xdr:cNvCxnSpPr/>
      </xdr:nvCxnSpPr>
      <xdr:spPr>
        <a:xfrm>
          <a:off x="66397414" y="749046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356</xdr:row>
      <xdr:rowOff>38100</xdr:rowOff>
    </xdr:from>
    <xdr:to>
      <xdr:col>88</xdr:col>
      <xdr:colOff>1270</xdr:colOff>
      <xdr:row>356</xdr:row>
      <xdr:rowOff>152400</xdr:rowOff>
    </xdr:to>
    <xdr:sp macro="" textlink="">
      <xdr:nvSpPr>
        <xdr:cNvPr id="1575" name="54"/>
        <xdr:cNvSpPr/>
      </xdr:nvSpPr>
      <xdr:spPr>
        <a:xfrm>
          <a:off x="66356049" y="74637900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356</xdr:row>
      <xdr:rowOff>95250</xdr:rowOff>
    </xdr:from>
    <xdr:to>
      <xdr:col>87</xdr:col>
      <xdr:colOff>62049</xdr:colOff>
      <xdr:row>356</xdr:row>
      <xdr:rowOff>95250</xdr:rowOff>
    </xdr:to>
    <xdr:cxnSp macro="">
      <xdr:nvCxnSpPr>
        <xdr:cNvPr id="1576" name="직선 화살표 연결선 1575"/>
        <xdr:cNvCxnSpPr/>
      </xdr:nvCxnSpPr>
      <xdr:spPr>
        <a:xfrm>
          <a:off x="66356049" y="746950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20682</xdr:colOff>
      <xdr:row>355</xdr:row>
      <xdr:rowOff>38100</xdr:rowOff>
    </xdr:from>
    <xdr:to>
      <xdr:col>88</xdr:col>
      <xdr:colOff>1270</xdr:colOff>
      <xdr:row>355</xdr:row>
      <xdr:rowOff>152400</xdr:rowOff>
    </xdr:to>
    <xdr:sp macro="" textlink="">
      <xdr:nvSpPr>
        <xdr:cNvPr id="1577" name="53"/>
        <xdr:cNvSpPr/>
      </xdr:nvSpPr>
      <xdr:spPr>
        <a:xfrm>
          <a:off x="66314682" y="74428350"/>
          <a:ext cx="74258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20682</xdr:colOff>
      <xdr:row>355</xdr:row>
      <xdr:rowOff>95250</xdr:rowOff>
    </xdr:from>
    <xdr:to>
      <xdr:col>87</xdr:col>
      <xdr:colOff>20682</xdr:colOff>
      <xdr:row>355</xdr:row>
      <xdr:rowOff>95250</xdr:rowOff>
    </xdr:to>
    <xdr:cxnSp macro="">
      <xdr:nvCxnSpPr>
        <xdr:cNvPr id="1578" name="직선 화살표 연결선 1577"/>
        <xdr:cNvCxnSpPr/>
      </xdr:nvCxnSpPr>
      <xdr:spPr>
        <a:xfrm>
          <a:off x="66314682" y="744855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20682</xdr:colOff>
      <xdr:row>354</xdr:row>
      <xdr:rowOff>38100</xdr:rowOff>
    </xdr:from>
    <xdr:to>
      <xdr:col>87</xdr:col>
      <xdr:colOff>63319</xdr:colOff>
      <xdr:row>354</xdr:row>
      <xdr:rowOff>152400</xdr:rowOff>
    </xdr:to>
    <xdr:sp macro="" textlink="">
      <xdr:nvSpPr>
        <xdr:cNvPr id="1579" name="52"/>
        <xdr:cNvSpPr/>
      </xdr:nvSpPr>
      <xdr:spPr>
        <a:xfrm>
          <a:off x="66314682" y="74218800"/>
          <a:ext cx="426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20682</xdr:colOff>
      <xdr:row>354</xdr:row>
      <xdr:rowOff>95250</xdr:rowOff>
    </xdr:from>
    <xdr:to>
      <xdr:col>87</xdr:col>
      <xdr:colOff>20682</xdr:colOff>
      <xdr:row>354</xdr:row>
      <xdr:rowOff>95250</xdr:rowOff>
    </xdr:to>
    <xdr:cxnSp macro="">
      <xdr:nvCxnSpPr>
        <xdr:cNvPr id="1580" name="직선 화살표 연결선 1579"/>
        <xdr:cNvCxnSpPr/>
      </xdr:nvCxnSpPr>
      <xdr:spPr>
        <a:xfrm>
          <a:off x="66314682" y="742759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353</xdr:row>
      <xdr:rowOff>38100</xdr:rowOff>
    </xdr:from>
    <xdr:to>
      <xdr:col>87</xdr:col>
      <xdr:colOff>63319</xdr:colOff>
      <xdr:row>353</xdr:row>
      <xdr:rowOff>152400</xdr:rowOff>
    </xdr:to>
    <xdr:sp macro="" textlink="">
      <xdr:nvSpPr>
        <xdr:cNvPr id="1581" name="51"/>
        <xdr:cNvSpPr/>
      </xdr:nvSpPr>
      <xdr:spPr>
        <a:xfrm>
          <a:off x="66294000" y="74009250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0</xdr:colOff>
      <xdr:row>353</xdr:row>
      <xdr:rowOff>95250</xdr:rowOff>
    </xdr:from>
    <xdr:to>
      <xdr:col>87</xdr:col>
      <xdr:colOff>0</xdr:colOff>
      <xdr:row>353</xdr:row>
      <xdr:rowOff>95250</xdr:rowOff>
    </xdr:to>
    <xdr:cxnSp macro="">
      <xdr:nvCxnSpPr>
        <xdr:cNvPr id="1582" name="직선 화살표 연결선 1581"/>
        <xdr:cNvCxnSpPr/>
      </xdr:nvCxnSpPr>
      <xdr:spPr>
        <a:xfrm>
          <a:off x="66294000" y="740664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103414</xdr:colOff>
      <xdr:row>352</xdr:row>
      <xdr:rowOff>38100</xdr:rowOff>
    </xdr:from>
    <xdr:to>
      <xdr:col>87</xdr:col>
      <xdr:colOff>1270</xdr:colOff>
      <xdr:row>352</xdr:row>
      <xdr:rowOff>152400</xdr:rowOff>
    </xdr:to>
    <xdr:sp macro="" textlink="">
      <xdr:nvSpPr>
        <xdr:cNvPr id="1583" name="50"/>
        <xdr:cNvSpPr/>
      </xdr:nvSpPr>
      <xdr:spPr>
        <a:xfrm>
          <a:off x="65635414" y="73799700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103414</xdr:colOff>
      <xdr:row>352</xdr:row>
      <xdr:rowOff>95250</xdr:rowOff>
    </xdr:from>
    <xdr:to>
      <xdr:col>86</xdr:col>
      <xdr:colOff>103414</xdr:colOff>
      <xdr:row>352</xdr:row>
      <xdr:rowOff>95250</xdr:rowOff>
    </xdr:to>
    <xdr:cxnSp macro="">
      <xdr:nvCxnSpPr>
        <xdr:cNvPr id="1584" name="직선 화살표 연결선 1583"/>
        <xdr:cNvCxnSpPr/>
      </xdr:nvCxnSpPr>
      <xdr:spPr>
        <a:xfrm>
          <a:off x="65635414" y="738568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351</xdr:row>
      <xdr:rowOff>38100</xdr:rowOff>
    </xdr:from>
    <xdr:to>
      <xdr:col>86</xdr:col>
      <xdr:colOff>104683</xdr:colOff>
      <xdr:row>351</xdr:row>
      <xdr:rowOff>152400</xdr:rowOff>
    </xdr:to>
    <xdr:sp macro="" textlink="">
      <xdr:nvSpPr>
        <xdr:cNvPr id="1585" name="49"/>
        <xdr:cNvSpPr/>
      </xdr:nvSpPr>
      <xdr:spPr>
        <a:xfrm>
          <a:off x="65594049" y="73590150"/>
          <a:ext cx="426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351</xdr:row>
      <xdr:rowOff>95250</xdr:rowOff>
    </xdr:from>
    <xdr:to>
      <xdr:col>86</xdr:col>
      <xdr:colOff>62049</xdr:colOff>
      <xdr:row>351</xdr:row>
      <xdr:rowOff>95250</xdr:rowOff>
    </xdr:to>
    <xdr:cxnSp macro="">
      <xdr:nvCxnSpPr>
        <xdr:cNvPr id="1586" name="직선 화살표 연결선 1585"/>
        <xdr:cNvCxnSpPr/>
      </xdr:nvCxnSpPr>
      <xdr:spPr>
        <a:xfrm>
          <a:off x="65594049" y="736473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124097</xdr:colOff>
      <xdr:row>350</xdr:row>
      <xdr:rowOff>38100</xdr:rowOff>
    </xdr:from>
    <xdr:to>
      <xdr:col>86</xdr:col>
      <xdr:colOff>84001</xdr:colOff>
      <xdr:row>350</xdr:row>
      <xdr:rowOff>152400</xdr:rowOff>
    </xdr:to>
    <xdr:sp macro="" textlink="">
      <xdr:nvSpPr>
        <xdr:cNvPr id="1587" name="48"/>
        <xdr:cNvSpPr/>
      </xdr:nvSpPr>
      <xdr:spPr>
        <a:xfrm>
          <a:off x="64894097" y="73380600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124097</xdr:colOff>
      <xdr:row>350</xdr:row>
      <xdr:rowOff>95250</xdr:rowOff>
    </xdr:from>
    <xdr:to>
      <xdr:col>85</xdr:col>
      <xdr:colOff>124097</xdr:colOff>
      <xdr:row>350</xdr:row>
      <xdr:rowOff>95250</xdr:rowOff>
    </xdr:to>
    <xdr:cxnSp macro="">
      <xdr:nvCxnSpPr>
        <xdr:cNvPr id="1588" name="직선 화살표 연결선 1587"/>
        <xdr:cNvCxnSpPr/>
      </xdr:nvCxnSpPr>
      <xdr:spPr>
        <a:xfrm>
          <a:off x="64894097" y="734377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82731</xdr:colOff>
      <xdr:row>349</xdr:row>
      <xdr:rowOff>38100</xdr:rowOff>
    </xdr:from>
    <xdr:to>
      <xdr:col>85</xdr:col>
      <xdr:colOff>125367</xdr:colOff>
      <xdr:row>349</xdr:row>
      <xdr:rowOff>152400</xdr:rowOff>
    </xdr:to>
    <xdr:sp macro="" textlink="">
      <xdr:nvSpPr>
        <xdr:cNvPr id="1589" name="47"/>
        <xdr:cNvSpPr/>
      </xdr:nvSpPr>
      <xdr:spPr>
        <a:xfrm>
          <a:off x="64852731" y="7317105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82731</xdr:colOff>
      <xdr:row>349</xdr:row>
      <xdr:rowOff>95250</xdr:rowOff>
    </xdr:from>
    <xdr:to>
      <xdr:col>85</xdr:col>
      <xdr:colOff>82731</xdr:colOff>
      <xdr:row>349</xdr:row>
      <xdr:rowOff>95250</xdr:rowOff>
    </xdr:to>
    <xdr:cxnSp macro="">
      <xdr:nvCxnSpPr>
        <xdr:cNvPr id="1590" name="직선 화살표 연결선 1589"/>
        <xdr:cNvCxnSpPr/>
      </xdr:nvCxnSpPr>
      <xdr:spPr>
        <a:xfrm>
          <a:off x="64852731" y="732282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124097</xdr:colOff>
      <xdr:row>348</xdr:row>
      <xdr:rowOff>38100</xdr:rowOff>
    </xdr:from>
    <xdr:to>
      <xdr:col>96</xdr:col>
      <xdr:colOff>1269</xdr:colOff>
      <xdr:row>348</xdr:row>
      <xdr:rowOff>152400</xdr:rowOff>
    </xdr:to>
    <xdr:sp macro="" textlink="">
      <xdr:nvSpPr>
        <xdr:cNvPr id="1591" name="46"/>
        <xdr:cNvSpPr/>
      </xdr:nvSpPr>
      <xdr:spPr>
        <a:xfrm>
          <a:off x="64894097" y="72961500"/>
          <a:ext cx="82591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124097</xdr:colOff>
      <xdr:row>348</xdr:row>
      <xdr:rowOff>95250</xdr:rowOff>
    </xdr:from>
    <xdr:to>
      <xdr:col>85</xdr:col>
      <xdr:colOff>124097</xdr:colOff>
      <xdr:row>348</xdr:row>
      <xdr:rowOff>95250</xdr:rowOff>
    </xdr:to>
    <xdr:cxnSp macro="">
      <xdr:nvCxnSpPr>
        <xdr:cNvPr id="1592" name="직선 화살표 연결선 1591"/>
        <xdr:cNvCxnSpPr/>
      </xdr:nvCxnSpPr>
      <xdr:spPr>
        <a:xfrm>
          <a:off x="64894097" y="730186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62048</xdr:colOff>
      <xdr:row>347</xdr:row>
      <xdr:rowOff>38100</xdr:rowOff>
    </xdr:from>
    <xdr:to>
      <xdr:col>85</xdr:col>
      <xdr:colOff>104684</xdr:colOff>
      <xdr:row>347</xdr:row>
      <xdr:rowOff>152400</xdr:rowOff>
    </xdr:to>
    <xdr:sp macro="" textlink="">
      <xdr:nvSpPr>
        <xdr:cNvPr id="1593" name="45"/>
        <xdr:cNvSpPr/>
      </xdr:nvSpPr>
      <xdr:spPr>
        <a:xfrm>
          <a:off x="64832048" y="7275195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62048</xdr:colOff>
      <xdr:row>347</xdr:row>
      <xdr:rowOff>95250</xdr:rowOff>
    </xdr:from>
    <xdr:to>
      <xdr:col>85</xdr:col>
      <xdr:colOff>62048</xdr:colOff>
      <xdr:row>347</xdr:row>
      <xdr:rowOff>95250</xdr:rowOff>
    </xdr:to>
    <xdr:cxnSp macro="">
      <xdr:nvCxnSpPr>
        <xdr:cNvPr id="1594" name="직선 화살표 연결선 1593"/>
        <xdr:cNvCxnSpPr/>
      </xdr:nvCxnSpPr>
      <xdr:spPr>
        <a:xfrm>
          <a:off x="64832048" y="728091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20683</xdr:colOff>
      <xdr:row>346</xdr:row>
      <xdr:rowOff>38100</xdr:rowOff>
    </xdr:from>
    <xdr:to>
      <xdr:col>85</xdr:col>
      <xdr:colOff>63318</xdr:colOff>
      <xdr:row>346</xdr:row>
      <xdr:rowOff>152400</xdr:rowOff>
    </xdr:to>
    <xdr:sp macro="" textlink="">
      <xdr:nvSpPr>
        <xdr:cNvPr id="1595" name="44"/>
        <xdr:cNvSpPr/>
      </xdr:nvSpPr>
      <xdr:spPr>
        <a:xfrm>
          <a:off x="64790683" y="72542400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20683</xdr:colOff>
      <xdr:row>346</xdr:row>
      <xdr:rowOff>95250</xdr:rowOff>
    </xdr:from>
    <xdr:to>
      <xdr:col>85</xdr:col>
      <xdr:colOff>20683</xdr:colOff>
      <xdr:row>346</xdr:row>
      <xdr:rowOff>95250</xdr:rowOff>
    </xdr:to>
    <xdr:cxnSp macro="">
      <xdr:nvCxnSpPr>
        <xdr:cNvPr id="1596" name="직선 화살표 연결선 1595"/>
        <xdr:cNvCxnSpPr/>
      </xdr:nvCxnSpPr>
      <xdr:spPr>
        <a:xfrm>
          <a:off x="64790683" y="725995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144779</xdr:colOff>
      <xdr:row>345</xdr:row>
      <xdr:rowOff>38100</xdr:rowOff>
    </xdr:from>
    <xdr:to>
      <xdr:col>85</xdr:col>
      <xdr:colOff>42636</xdr:colOff>
      <xdr:row>345</xdr:row>
      <xdr:rowOff>152400</xdr:rowOff>
    </xdr:to>
    <xdr:sp macro="" textlink="">
      <xdr:nvSpPr>
        <xdr:cNvPr id="1597" name="43"/>
        <xdr:cNvSpPr/>
      </xdr:nvSpPr>
      <xdr:spPr>
        <a:xfrm>
          <a:off x="64152779" y="72332850"/>
          <a:ext cx="6598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144779</xdr:colOff>
      <xdr:row>345</xdr:row>
      <xdr:rowOff>95250</xdr:rowOff>
    </xdr:from>
    <xdr:to>
      <xdr:col>84</xdr:col>
      <xdr:colOff>144779</xdr:colOff>
      <xdr:row>345</xdr:row>
      <xdr:rowOff>95250</xdr:rowOff>
    </xdr:to>
    <xdr:cxnSp macro="">
      <xdr:nvCxnSpPr>
        <xdr:cNvPr id="1598" name="직선 화살표 연결선 1597"/>
        <xdr:cNvCxnSpPr/>
      </xdr:nvCxnSpPr>
      <xdr:spPr>
        <a:xfrm>
          <a:off x="64152779" y="723900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124097</xdr:colOff>
      <xdr:row>344</xdr:row>
      <xdr:rowOff>38100</xdr:rowOff>
    </xdr:from>
    <xdr:to>
      <xdr:col>85</xdr:col>
      <xdr:colOff>21953</xdr:colOff>
      <xdr:row>344</xdr:row>
      <xdr:rowOff>152400</xdr:rowOff>
    </xdr:to>
    <xdr:sp macro="" textlink="">
      <xdr:nvSpPr>
        <xdr:cNvPr id="1599" name="42"/>
        <xdr:cNvSpPr/>
      </xdr:nvSpPr>
      <xdr:spPr>
        <a:xfrm>
          <a:off x="64132097" y="72123300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124097</xdr:colOff>
      <xdr:row>344</xdr:row>
      <xdr:rowOff>95250</xdr:rowOff>
    </xdr:from>
    <xdr:to>
      <xdr:col>84</xdr:col>
      <xdr:colOff>124097</xdr:colOff>
      <xdr:row>344</xdr:row>
      <xdr:rowOff>95250</xdr:rowOff>
    </xdr:to>
    <xdr:cxnSp macro="">
      <xdr:nvCxnSpPr>
        <xdr:cNvPr id="1600" name="직선 화살표 연결선 1599"/>
        <xdr:cNvCxnSpPr/>
      </xdr:nvCxnSpPr>
      <xdr:spPr>
        <a:xfrm>
          <a:off x="64132097" y="721804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124098</xdr:colOff>
      <xdr:row>343</xdr:row>
      <xdr:rowOff>38100</xdr:rowOff>
    </xdr:from>
    <xdr:to>
      <xdr:col>96</xdr:col>
      <xdr:colOff>1269</xdr:colOff>
      <xdr:row>343</xdr:row>
      <xdr:rowOff>152400</xdr:rowOff>
    </xdr:to>
    <xdr:sp macro="" textlink="">
      <xdr:nvSpPr>
        <xdr:cNvPr id="1601" name="41"/>
        <xdr:cNvSpPr/>
      </xdr:nvSpPr>
      <xdr:spPr>
        <a:xfrm>
          <a:off x="62608098" y="71913750"/>
          <a:ext cx="105451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124098</xdr:colOff>
      <xdr:row>343</xdr:row>
      <xdr:rowOff>95250</xdr:rowOff>
    </xdr:from>
    <xdr:to>
      <xdr:col>82</xdr:col>
      <xdr:colOff>124098</xdr:colOff>
      <xdr:row>343</xdr:row>
      <xdr:rowOff>95250</xdr:rowOff>
    </xdr:to>
    <xdr:cxnSp macro="">
      <xdr:nvCxnSpPr>
        <xdr:cNvPr id="1602" name="직선 화살표 연결선 1601"/>
        <xdr:cNvCxnSpPr/>
      </xdr:nvCxnSpPr>
      <xdr:spPr>
        <a:xfrm>
          <a:off x="62608098" y="719709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20683</xdr:colOff>
      <xdr:row>342</xdr:row>
      <xdr:rowOff>38100</xdr:rowOff>
    </xdr:from>
    <xdr:to>
      <xdr:col>93</xdr:col>
      <xdr:colOff>63319</xdr:colOff>
      <xdr:row>342</xdr:row>
      <xdr:rowOff>152400</xdr:rowOff>
    </xdr:to>
    <xdr:sp macro="" textlink="">
      <xdr:nvSpPr>
        <xdr:cNvPr id="1603" name="40"/>
        <xdr:cNvSpPr/>
      </xdr:nvSpPr>
      <xdr:spPr>
        <a:xfrm>
          <a:off x="70886683" y="7170420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20683</xdr:colOff>
      <xdr:row>342</xdr:row>
      <xdr:rowOff>95250</xdr:rowOff>
    </xdr:from>
    <xdr:to>
      <xdr:col>93</xdr:col>
      <xdr:colOff>20683</xdr:colOff>
      <xdr:row>342</xdr:row>
      <xdr:rowOff>95250</xdr:rowOff>
    </xdr:to>
    <xdr:cxnSp macro="">
      <xdr:nvCxnSpPr>
        <xdr:cNvPr id="1604" name="직선 화살표 연결선 1603"/>
        <xdr:cNvCxnSpPr/>
      </xdr:nvCxnSpPr>
      <xdr:spPr>
        <a:xfrm>
          <a:off x="70886683" y="717613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341</xdr:row>
      <xdr:rowOff>38100</xdr:rowOff>
    </xdr:from>
    <xdr:to>
      <xdr:col>93</xdr:col>
      <xdr:colOff>42635</xdr:colOff>
      <xdr:row>341</xdr:row>
      <xdr:rowOff>152400</xdr:rowOff>
    </xdr:to>
    <xdr:sp macro="" textlink="">
      <xdr:nvSpPr>
        <xdr:cNvPr id="1605" name="39"/>
        <xdr:cNvSpPr/>
      </xdr:nvSpPr>
      <xdr:spPr>
        <a:xfrm>
          <a:off x="70866000" y="71494650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0</xdr:colOff>
      <xdr:row>341</xdr:row>
      <xdr:rowOff>95250</xdr:rowOff>
    </xdr:from>
    <xdr:to>
      <xdr:col>93</xdr:col>
      <xdr:colOff>0</xdr:colOff>
      <xdr:row>341</xdr:row>
      <xdr:rowOff>95250</xdr:rowOff>
    </xdr:to>
    <xdr:cxnSp macro="">
      <xdr:nvCxnSpPr>
        <xdr:cNvPr id="1606" name="직선 화살표 연결선 1605"/>
        <xdr:cNvCxnSpPr/>
      </xdr:nvCxnSpPr>
      <xdr:spPr>
        <a:xfrm>
          <a:off x="70866000" y="715518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103414</xdr:colOff>
      <xdr:row>340</xdr:row>
      <xdr:rowOff>38100</xdr:rowOff>
    </xdr:from>
    <xdr:to>
      <xdr:col>93</xdr:col>
      <xdr:colOff>21952</xdr:colOff>
      <xdr:row>340</xdr:row>
      <xdr:rowOff>152400</xdr:rowOff>
    </xdr:to>
    <xdr:sp macro="" textlink="">
      <xdr:nvSpPr>
        <xdr:cNvPr id="1607" name="38"/>
        <xdr:cNvSpPr/>
      </xdr:nvSpPr>
      <xdr:spPr>
        <a:xfrm>
          <a:off x="70207414" y="71285100"/>
          <a:ext cx="6805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103414</xdr:colOff>
      <xdr:row>340</xdr:row>
      <xdr:rowOff>95250</xdr:rowOff>
    </xdr:from>
    <xdr:to>
      <xdr:col>92</xdr:col>
      <xdr:colOff>103414</xdr:colOff>
      <xdr:row>340</xdr:row>
      <xdr:rowOff>95250</xdr:rowOff>
    </xdr:to>
    <xdr:cxnSp macro="">
      <xdr:nvCxnSpPr>
        <xdr:cNvPr id="1608" name="직선 화살표 연결선 1607"/>
        <xdr:cNvCxnSpPr/>
      </xdr:nvCxnSpPr>
      <xdr:spPr>
        <a:xfrm>
          <a:off x="70207414" y="713422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62049</xdr:colOff>
      <xdr:row>339</xdr:row>
      <xdr:rowOff>38100</xdr:rowOff>
    </xdr:from>
    <xdr:to>
      <xdr:col>92</xdr:col>
      <xdr:colOff>125368</xdr:colOff>
      <xdr:row>339</xdr:row>
      <xdr:rowOff>152400</xdr:rowOff>
    </xdr:to>
    <xdr:sp macro="" textlink="">
      <xdr:nvSpPr>
        <xdr:cNvPr id="1609" name="37"/>
        <xdr:cNvSpPr/>
      </xdr:nvSpPr>
      <xdr:spPr>
        <a:xfrm>
          <a:off x="70166049" y="71075550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62049</xdr:colOff>
      <xdr:row>339</xdr:row>
      <xdr:rowOff>95250</xdr:rowOff>
    </xdr:from>
    <xdr:to>
      <xdr:col>92</xdr:col>
      <xdr:colOff>62049</xdr:colOff>
      <xdr:row>339</xdr:row>
      <xdr:rowOff>95250</xdr:rowOff>
    </xdr:to>
    <xdr:cxnSp macro="">
      <xdr:nvCxnSpPr>
        <xdr:cNvPr id="1610" name="직선 화살표 연결선 1609"/>
        <xdr:cNvCxnSpPr/>
      </xdr:nvCxnSpPr>
      <xdr:spPr>
        <a:xfrm>
          <a:off x="70166049" y="711327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338</xdr:row>
      <xdr:rowOff>38100</xdr:rowOff>
    </xdr:from>
    <xdr:to>
      <xdr:col>92</xdr:col>
      <xdr:colOff>63319</xdr:colOff>
      <xdr:row>338</xdr:row>
      <xdr:rowOff>152400</xdr:rowOff>
    </xdr:to>
    <xdr:sp macro="" textlink="">
      <xdr:nvSpPr>
        <xdr:cNvPr id="1611" name="36"/>
        <xdr:cNvSpPr/>
      </xdr:nvSpPr>
      <xdr:spPr>
        <a:xfrm>
          <a:off x="70104000" y="70866000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0</xdr:colOff>
      <xdr:row>338</xdr:row>
      <xdr:rowOff>95250</xdr:rowOff>
    </xdr:from>
    <xdr:to>
      <xdr:col>92</xdr:col>
      <xdr:colOff>0</xdr:colOff>
      <xdr:row>338</xdr:row>
      <xdr:rowOff>95250</xdr:rowOff>
    </xdr:to>
    <xdr:cxnSp macro="">
      <xdr:nvCxnSpPr>
        <xdr:cNvPr id="1612" name="직선 화살표 연결선 1611"/>
        <xdr:cNvCxnSpPr/>
      </xdr:nvCxnSpPr>
      <xdr:spPr>
        <a:xfrm>
          <a:off x="70104000" y="709231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41366</xdr:colOff>
      <xdr:row>337</xdr:row>
      <xdr:rowOff>38100</xdr:rowOff>
    </xdr:from>
    <xdr:to>
      <xdr:col>92</xdr:col>
      <xdr:colOff>1270</xdr:colOff>
      <xdr:row>337</xdr:row>
      <xdr:rowOff>152400</xdr:rowOff>
    </xdr:to>
    <xdr:sp macro="" textlink="">
      <xdr:nvSpPr>
        <xdr:cNvPr id="1613" name="35"/>
        <xdr:cNvSpPr/>
      </xdr:nvSpPr>
      <xdr:spPr>
        <a:xfrm>
          <a:off x="69383366" y="70656450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41366</xdr:colOff>
      <xdr:row>337</xdr:row>
      <xdr:rowOff>95250</xdr:rowOff>
    </xdr:from>
    <xdr:to>
      <xdr:col>91</xdr:col>
      <xdr:colOff>41366</xdr:colOff>
      <xdr:row>337</xdr:row>
      <xdr:rowOff>95250</xdr:rowOff>
    </xdr:to>
    <xdr:cxnSp macro="">
      <xdr:nvCxnSpPr>
        <xdr:cNvPr id="1614" name="직선 화살표 연결선 1613"/>
        <xdr:cNvCxnSpPr/>
      </xdr:nvCxnSpPr>
      <xdr:spPr>
        <a:xfrm>
          <a:off x="69383366" y="707136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336</xdr:row>
      <xdr:rowOff>38100</xdr:rowOff>
    </xdr:from>
    <xdr:to>
      <xdr:col>91</xdr:col>
      <xdr:colOff>104683</xdr:colOff>
      <xdr:row>336</xdr:row>
      <xdr:rowOff>152400</xdr:rowOff>
    </xdr:to>
    <xdr:sp macro="" textlink="">
      <xdr:nvSpPr>
        <xdr:cNvPr id="1615" name="34"/>
        <xdr:cNvSpPr/>
      </xdr:nvSpPr>
      <xdr:spPr>
        <a:xfrm>
          <a:off x="69342000" y="70446900"/>
          <a:ext cx="1046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0</xdr:colOff>
      <xdr:row>336</xdr:row>
      <xdr:rowOff>95250</xdr:rowOff>
    </xdr:from>
    <xdr:to>
      <xdr:col>91</xdr:col>
      <xdr:colOff>0</xdr:colOff>
      <xdr:row>336</xdr:row>
      <xdr:rowOff>95250</xdr:rowOff>
    </xdr:to>
    <xdr:cxnSp macro="">
      <xdr:nvCxnSpPr>
        <xdr:cNvPr id="1616" name="직선 화살표 연결선 1615"/>
        <xdr:cNvCxnSpPr/>
      </xdr:nvCxnSpPr>
      <xdr:spPr>
        <a:xfrm>
          <a:off x="69342000" y="705040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41366</xdr:colOff>
      <xdr:row>335</xdr:row>
      <xdr:rowOff>38100</xdr:rowOff>
    </xdr:from>
    <xdr:to>
      <xdr:col>92</xdr:col>
      <xdr:colOff>104684</xdr:colOff>
      <xdr:row>335</xdr:row>
      <xdr:rowOff>152400</xdr:rowOff>
    </xdr:to>
    <xdr:sp macro="" textlink="">
      <xdr:nvSpPr>
        <xdr:cNvPr id="1617" name="33"/>
        <xdr:cNvSpPr/>
      </xdr:nvSpPr>
      <xdr:spPr>
        <a:xfrm>
          <a:off x="70145366" y="70237350"/>
          <a:ext cx="633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41366</xdr:colOff>
      <xdr:row>335</xdr:row>
      <xdr:rowOff>95250</xdr:rowOff>
    </xdr:from>
    <xdr:to>
      <xdr:col>92</xdr:col>
      <xdr:colOff>41366</xdr:colOff>
      <xdr:row>335</xdr:row>
      <xdr:rowOff>95250</xdr:rowOff>
    </xdr:to>
    <xdr:cxnSp macro="">
      <xdr:nvCxnSpPr>
        <xdr:cNvPr id="1618" name="직선 화살표 연결선 1617"/>
        <xdr:cNvCxnSpPr/>
      </xdr:nvCxnSpPr>
      <xdr:spPr>
        <a:xfrm>
          <a:off x="70145366" y="702945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82731</xdr:colOff>
      <xdr:row>334</xdr:row>
      <xdr:rowOff>38100</xdr:rowOff>
    </xdr:from>
    <xdr:to>
      <xdr:col>92</xdr:col>
      <xdr:colOff>42636</xdr:colOff>
      <xdr:row>334</xdr:row>
      <xdr:rowOff>152400</xdr:rowOff>
    </xdr:to>
    <xdr:sp macro="" textlink="">
      <xdr:nvSpPr>
        <xdr:cNvPr id="1619" name="32"/>
        <xdr:cNvSpPr/>
      </xdr:nvSpPr>
      <xdr:spPr>
        <a:xfrm>
          <a:off x="69424731" y="70027800"/>
          <a:ext cx="7219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82731</xdr:colOff>
      <xdr:row>334</xdr:row>
      <xdr:rowOff>95250</xdr:rowOff>
    </xdr:from>
    <xdr:to>
      <xdr:col>91</xdr:col>
      <xdr:colOff>82731</xdr:colOff>
      <xdr:row>334</xdr:row>
      <xdr:rowOff>95250</xdr:rowOff>
    </xdr:to>
    <xdr:cxnSp macro="">
      <xdr:nvCxnSpPr>
        <xdr:cNvPr id="1620" name="직선 화살표 연결선 1619"/>
        <xdr:cNvCxnSpPr/>
      </xdr:nvCxnSpPr>
      <xdr:spPr>
        <a:xfrm>
          <a:off x="69424731" y="700849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82731</xdr:colOff>
      <xdr:row>333</xdr:row>
      <xdr:rowOff>38100</xdr:rowOff>
    </xdr:from>
    <xdr:to>
      <xdr:col>92</xdr:col>
      <xdr:colOff>42636</xdr:colOff>
      <xdr:row>333</xdr:row>
      <xdr:rowOff>152400</xdr:rowOff>
    </xdr:to>
    <xdr:sp macro="" textlink="">
      <xdr:nvSpPr>
        <xdr:cNvPr id="1621" name="31"/>
        <xdr:cNvSpPr/>
      </xdr:nvSpPr>
      <xdr:spPr>
        <a:xfrm>
          <a:off x="69424731" y="69818250"/>
          <a:ext cx="7219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82731</xdr:colOff>
      <xdr:row>333</xdr:row>
      <xdr:rowOff>95250</xdr:rowOff>
    </xdr:from>
    <xdr:to>
      <xdr:col>91</xdr:col>
      <xdr:colOff>82731</xdr:colOff>
      <xdr:row>333</xdr:row>
      <xdr:rowOff>95250</xdr:rowOff>
    </xdr:to>
    <xdr:cxnSp macro="">
      <xdr:nvCxnSpPr>
        <xdr:cNvPr id="1622" name="직선 화살표 연결선 1621"/>
        <xdr:cNvCxnSpPr/>
      </xdr:nvCxnSpPr>
      <xdr:spPr>
        <a:xfrm>
          <a:off x="69424731" y="698754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82731</xdr:colOff>
      <xdr:row>332</xdr:row>
      <xdr:rowOff>38100</xdr:rowOff>
    </xdr:from>
    <xdr:to>
      <xdr:col>92</xdr:col>
      <xdr:colOff>42636</xdr:colOff>
      <xdr:row>332</xdr:row>
      <xdr:rowOff>152400</xdr:rowOff>
    </xdr:to>
    <xdr:sp macro="" textlink="">
      <xdr:nvSpPr>
        <xdr:cNvPr id="1623" name="30"/>
        <xdr:cNvSpPr/>
      </xdr:nvSpPr>
      <xdr:spPr>
        <a:xfrm>
          <a:off x="69424731" y="69608700"/>
          <a:ext cx="7219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82731</xdr:colOff>
      <xdr:row>332</xdr:row>
      <xdr:rowOff>95250</xdr:rowOff>
    </xdr:from>
    <xdr:to>
      <xdr:col>91</xdr:col>
      <xdr:colOff>82731</xdr:colOff>
      <xdr:row>332</xdr:row>
      <xdr:rowOff>95250</xdr:rowOff>
    </xdr:to>
    <xdr:cxnSp macro="">
      <xdr:nvCxnSpPr>
        <xdr:cNvPr id="1624" name="직선 화살표 연결선 1623"/>
        <xdr:cNvCxnSpPr/>
      </xdr:nvCxnSpPr>
      <xdr:spPr>
        <a:xfrm>
          <a:off x="69424731" y="696658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41366</xdr:colOff>
      <xdr:row>331</xdr:row>
      <xdr:rowOff>38100</xdr:rowOff>
    </xdr:from>
    <xdr:to>
      <xdr:col>92</xdr:col>
      <xdr:colOff>42636</xdr:colOff>
      <xdr:row>331</xdr:row>
      <xdr:rowOff>152400</xdr:rowOff>
    </xdr:to>
    <xdr:sp macro="" textlink="">
      <xdr:nvSpPr>
        <xdr:cNvPr id="1625" name="29"/>
        <xdr:cNvSpPr/>
      </xdr:nvSpPr>
      <xdr:spPr>
        <a:xfrm>
          <a:off x="69383366" y="69399150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41366</xdr:colOff>
      <xdr:row>331</xdr:row>
      <xdr:rowOff>95250</xdr:rowOff>
    </xdr:from>
    <xdr:to>
      <xdr:col>91</xdr:col>
      <xdr:colOff>41366</xdr:colOff>
      <xdr:row>331</xdr:row>
      <xdr:rowOff>95250</xdr:rowOff>
    </xdr:to>
    <xdr:cxnSp macro="">
      <xdr:nvCxnSpPr>
        <xdr:cNvPr id="1626" name="직선 화살표 연결선 1625"/>
        <xdr:cNvCxnSpPr/>
      </xdr:nvCxnSpPr>
      <xdr:spPr>
        <a:xfrm>
          <a:off x="69383366" y="694563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20682</xdr:colOff>
      <xdr:row>330</xdr:row>
      <xdr:rowOff>38100</xdr:rowOff>
    </xdr:from>
    <xdr:to>
      <xdr:col>92</xdr:col>
      <xdr:colOff>21952</xdr:colOff>
      <xdr:row>330</xdr:row>
      <xdr:rowOff>152400</xdr:rowOff>
    </xdr:to>
    <xdr:sp macro="" textlink="">
      <xdr:nvSpPr>
        <xdr:cNvPr id="1627" name="28"/>
        <xdr:cNvSpPr/>
      </xdr:nvSpPr>
      <xdr:spPr>
        <a:xfrm>
          <a:off x="69362682" y="69189600"/>
          <a:ext cx="7632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20682</xdr:colOff>
      <xdr:row>330</xdr:row>
      <xdr:rowOff>95250</xdr:rowOff>
    </xdr:from>
    <xdr:to>
      <xdr:col>91</xdr:col>
      <xdr:colOff>20682</xdr:colOff>
      <xdr:row>330</xdr:row>
      <xdr:rowOff>95250</xdr:rowOff>
    </xdr:to>
    <xdr:cxnSp macro="">
      <xdr:nvCxnSpPr>
        <xdr:cNvPr id="1628" name="직선 화살표 연결선 1627"/>
        <xdr:cNvCxnSpPr/>
      </xdr:nvCxnSpPr>
      <xdr:spPr>
        <a:xfrm>
          <a:off x="69362682" y="692467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329</xdr:row>
      <xdr:rowOff>38100</xdr:rowOff>
    </xdr:from>
    <xdr:to>
      <xdr:col>91</xdr:col>
      <xdr:colOff>21952</xdr:colOff>
      <xdr:row>329</xdr:row>
      <xdr:rowOff>152400</xdr:rowOff>
    </xdr:to>
    <xdr:sp macro="" textlink="">
      <xdr:nvSpPr>
        <xdr:cNvPr id="1629" name="27"/>
        <xdr:cNvSpPr/>
      </xdr:nvSpPr>
      <xdr:spPr>
        <a:xfrm>
          <a:off x="69342000" y="68980050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0</xdr:colOff>
      <xdr:row>329</xdr:row>
      <xdr:rowOff>95250</xdr:rowOff>
    </xdr:from>
    <xdr:to>
      <xdr:col>91</xdr:col>
      <xdr:colOff>0</xdr:colOff>
      <xdr:row>329</xdr:row>
      <xdr:rowOff>95250</xdr:rowOff>
    </xdr:to>
    <xdr:cxnSp macro="">
      <xdr:nvCxnSpPr>
        <xdr:cNvPr id="1630" name="직선 화살표 연결선 1629"/>
        <xdr:cNvCxnSpPr/>
      </xdr:nvCxnSpPr>
      <xdr:spPr>
        <a:xfrm>
          <a:off x="69342000" y="690372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103415</xdr:colOff>
      <xdr:row>328</xdr:row>
      <xdr:rowOff>38100</xdr:rowOff>
    </xdr:from>
    <xdr:to>
      <xdr:col>91</xdr:col>
      <xdr:colOff>104683</xdr:colOff>
      <xdr:row>328</xdr:row>
      <xdr:rowOff>152400</xdr:rowOff>
    </xdr:to>
    <xdr:sp macro="" textlink="">
      <xdr:nvSpPr>
        <xdr:cNvPr id="1631" name="26"/>
        <xdr:cNvSpPr/>
      </xdr:nvSpPr>
      <xdr:spPr>
        <a:xfrm>
          <a:off x="68683415" y="68770500"/>
          <a:ext cx="7632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103415</xdr:colOff>
      <xdr:row>328</xdr:row>
      <xdr:rowOff>95250</xdr:rowOff>
    </xdr:from>
    <xdr:to>
      <xdr:col>90</xdr:col>
      <xdr:colOff>103415</xdr:colOff>
      <xdr:row>328</xdr:row>
      <xdr:rowOff>95250</xdr:rowOff>
    </xdr:to>
    <xdr:cxnSp macro="">
      <xdr:nvCxnSpPr>
        <xdr:cNvPr id="1632" name="직선 화살표 연결선 1631"/>
        <xdr:cNvCxnSpPr/>
      </xdr:nvCxnSpPr>
      <xdr:spPr>
        <a:xfrm>
          <a:off x="68683415" y="688276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103415</xdr:colOff>
      <xdr:row>327</xdr:row>
      <xdr:rowOff>38100</xdr:rowOff>
    </xdr:from>
    <xdr:to>
      <xdr:col>90</xdr:col>
      <xdr:colOff>125367</xdr:colOff>
      <xdr:row>327</xdr:row>
      <xdr:rowOff>152400</xdr:rowOff>
    </xdr:to>
    <xdr:sp macro="" textlink="">
      <xdr:nvSpPr>
        <xdr:cNvPr id="1633" name="25"/>
        <xdr:cNvSpPr/>
      </xdr:nvSpPr>
      <xdr:spPr>
        <a:xfrm>
          <a:off x="68683415" y="68560950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103415</xdr:colOff>
      <xdr:row>327</xdr:row>
      <xdr:rowOff>95250</xdr:rowOff>
    </xdr:from>
    <xdr:to>
      <xdr:col>90</xdr:col>
      <xdr:colOff>103415</xdr:colOff>
      <xdr:row>327</xdr:row>
      <xdr:rowOff>95250</xdr:rowOff>
    </xdr:to>
    <xdr:cxnSp macro="">
      <xdr:nvCxnSpPr>
        <xdr:cNvPr id="1634" name="직선 화살표 연결선 1633"/>
        <xdr:cNvCxnSpPr/>
      </xdr:nvCxnSpPr>
      <xdr:spPr>
        <a:xfrm>
          <a:off x="68683415" y="686181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144779</xdr:colOff>
      <xdr:row>326</xdr:row>
      <xdr:rowOff>38100</xdr:rowOff>
    </xdr:from>
    <xdr:to>
      <xdr:col>90</xdr:col>
      <xdr:colOff>125367</xdr:colOff>
      <xdr:row>326</xdr:row>
      <xdr:rowOff>152400</xdr:rowOff>
    </xdr:to>
    <xdr:sp macro="" textlink="">
      <xdr:nvSpPr>
        <xdr:cNvPr id="1635" name="24"/>
        <xdr:cNvSpPr/>
      </xdr:nvSpPr>
      <xdr:spPr>
        <a:xfrm>
          <a:off x="67962779" y="68351400"/>
          <a:ext cx="74258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144779</xdr:colOff>
      <xdr:row>326</xdr:row>
      <xdr:rowOff>95250</xdr:rowOff>
    </xdr:from>
    <xdr:to>
      <xdr:col>89</xdr:col>
      <xdr:colOff>144779</xdr:colOff>
      <xdr:row>326</xdr:row>
      <xdr:rowOff>95250</xdr:rowOff>
    </xdr:to>
    <xdr:cxnSp macro="">
      <xdr:nvCxnSpPr>
        <xdr:cNvPr id="1636" name="직선 화살표 연결선 1635"/>
        <xdr:cNvCxnSpPr/>
      </xdr:nvCxnSpPr>
      <xdr:spPr>
        <a:xfrm>
          <a:off x="67962779" y="684085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82732</xdr:colOff>
      <xdr:row>325</xdr:row>
      <xdr:rowOff>38100</xdr:rowOff>
    </xdr:from>
    <xdr:to>
      <xdr:col>90</xdr:col>
      <xdr:colOff>1269</xdr:colOff>
      <xdr:row>325</xdr:row>
      <xdr:rowOff>152400</xdr:rowOff>
    </xdr:to>
    <xdr:sp macro="" textlink="">
      <xdr:nvSpPr>
        <xdr:cNvPr id="1637" name="23"/>
        <xdr:cNvSpPr/>
      </xdr:nvSpPr>
      <xdr:spPr>
        <a:xfrm>
          <a:off x="67900732" y="68141850"/>
          <a:ext cx="6805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82732</xdr:colOff>
      <xdr:row>325</xdr:row>
      <xdr:rowOff>95250</xdr:rowOff>
    </xdr:from>
    <xdr:to>
      <xdr:col>89</xdr:col>
      <xdr:colOff>82732</xdr:colOff>
      <xdr:row>325</xdr:row>
      <xdr:rowOff>95250</xdr:rowOff>
    </xdr:to>
    <xdr:cxnSp macro="">
      <xdr:nvCxnSpPr>
        <xdr:cNvPr id="1638" name="직선 화살표 연결선 1637"/>
        <xdr:cNvCxnSpPr/>
      </xdr:nvCxnSpPr>
      <xdr:spPr>
        <a:xfrm>
          <a:off x="67900732" y="681990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124097</xdr:colOff>
      <xdr:row>324</xdr:row>
      <xdr:rowOff>38100</xdr:rowOff>
    </xdr:from>
    <xdr:to>
      <xdr:col>89</xdr:col>
      <xdr:colOff>84002</xdr:colOff>
      <xdr:row>324</xdr:row>
      <xdr:rowOff>152400</xdr:rowOff>
    </xdr:to>
    <xdr:sp macro="" textlink="">
      <xdr:nvSpPr>
        <xdr:cNvPr id="1639" name="22"/>
        <xdr:cNvSpPr/>
      </xdr:nvSpPr>
      <xdr:spPr>
        <a:xfrm>
          <a:off x="67180097" y="67932300"/>
          <a:ext cx="72190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124097</xdr:colOff>
      <xdr:row>324</xdr:row>
      <xdr:rowOff>95250</xdr:rowOff>
    </xdr:from>
    <xdr:to>
      <xdr:col>88</xdr:col>
      <xdr:colOff>124097</xdr:colOff>
      <xdr:row>324</xdr:row>
      <xdr:rowOff>95250</xdr:rowOff>
    </xdr:to>
    <xdr:cxnSp macro="">
      <xdr:nvCxnSpPr>
        <xdr:cNvPr id="1640" name="직선 화살표 연결선 1639"/>
        <xdr:cNvCxnSpPr/>
      </xdr:nvCxnSpPr>
      <xdr:spPr>
        <a:xfrm>
          <a:off x="67180097" y="679894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323</xdr:row>
      <xdr:rowOff>38100</xdr:rowOff>
    </xdr:from>
    <xdr:to>
      <xdr:col>89</xdr:col>
      <xdr:colOff>84002</xdr:colOff>
      <xdr:row>323</xdr:row>
      <xdr:rowOff>152400</xdr:rowOff>
    </xdr:to>
    <xdr:sp macro="" textlink="">
      <xdr:nvSpPr>
        <xdr:cNvPr id="1641" name="21"/>
        <xdr:cNvSpPr/>
      </xdr:nvSpPr>
      <xdr:spPr>
        <a:xfrm>
          <a:off x="66356049" y="67722750"/>
          <a:ext cx="1545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323</xdr:row>
      <xdr:rowOff>95250</xdr:rowOff>
    </xdr:from>
    <xdr:to>
      <xdr:col>87</xdr:col>
      <xdr:colOff>62049</xdr:colOff>
      <xdr:row>323</xdr:row>
      <xdr:rowOff>95250</xdr:rowOff>
    </xdr:to>
    <xdr:cxnSp macro="">
      <xdr:nvCxnSpPr>
        <xdr:cNvPr id="1642" name="직선 화살표 연결선 1641"/>
        <xdr:cNvCxnSpPr/>
      </xdr:nvCxnSpPr>
      <xdr:spPr>
        <a:xfrm>
          <a:off x="66356049" y="677799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20682</xdr:colOff>
      <xdr:row>322</xdr:row>
      <xdr:rowOff>38100</xdr:rowOff>
    </xdr:from>
    <xdr:to>
      <xdr:col>87</xdr:col>
      <xdr:colOff>63319</xdr:colOff>
      <xdr:row>322</xdr:row>
      <xdr:rowOff>152400</xdr:rowOff>
    </xdr:to>
    <xdr:sp macro="" textlink="">
      <xdr:nvSpPr>
        <xdr:cNvPr id="1643" name="20"/>
        <xdr:cNvSpPr/>
      </xdr:nvSpPr>
      <xdr:spPr>
        <a:xfrm>
          <a:off x="66314682" y="67513200"/>
          <a:ext cx="426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20682</xdr:colOff>
      <xdr:row>322</xdr:row>
      <xdr:rowOff>95250</xdr:rowOff>
    </xdr:from>
    <xdr:to>
      <xdr:col>87</xdr:col>
      <xdr:colOff>20682</xdr:colOff>
      <xdr:row>322</xdr:row>
      <xdr:rowOff>95250</xdr:rowOff>
    </xdr:to>
    <xdr:cxnSp macro="">
      <xdr:nvCxnSpPr>
        <xdr:cNvPr id="1644" name="직선 화살표 연결선 1643"/>
        <xdr:cNvCxnSpPr/>
      </xdr:nvCxnSpPr>
      <xdr:spPr>
        <a:xfrm>
          <a:off x="66314682" y="675703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321</xdr:row>
      <xdr:rowOff>38100</xdr:rowOff>
    </xdr:from>
    <xdr:to>
      <xdr:col>87</xdr:col>
      <xdr:colOff>42636</xdr:colOff>
      <xdr:row>321</xdr:row>
      <xdr:rowOff>152400</xdr:rowOff>
    </xdr:to>
    <xdr:sp macro="" textlink="">
      <xdr:nvSpPr>
        <xdr:cNvPr id="1645" name="19"/>
        <xdr:cNvSpPr/>
      </xdr:nvSpPr>
      <xdr:spPr>
        <a:xfrm>
          <a:off x="66294000" y="6730365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0</xdr:colOff>
      <xdr:row>321</xdr:row>
      <xdr:rowOff>95250</xdr:rowOff>
    </xdr:from>
    <xdr:to>
      <xdr:col>87</xdr:col>
      <xdr:colOff>0</xdr:colOff>
      <xdr:row>321</xdr:row>
      <xdr:rowOff>95250</xdr:rowOff>
    </xdr:to>
    <xdr:cxnSp macro="">
      <xdr:nvCxnSpPr>
        <xdr:cNvPr id="1646" name="직선 화살표 연결선 1645"/>
        <xdr:cNvCxnSpPr/>
      </xdr:nvCxnSpPr>
      <xdr:spPr>
        <a:xfrm>
          <a:off x="66294000" y="673608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320</xdr:row>
      <xdr:rowOff>38100</xdr:rowOff>
    </xdr:from>
    <xdr:to>
      <xdr:col>88</xdr:col>
      <xdr:colOff>63319</xdr:colOff>
      <xdr:row>320</xdr:row>
      <xdr:rowOff>152400</xdr:rowOff>
    </xdr:to>
    <xdr:sp macro="" textlink="">
      <xdr:nvSpPr>
        <xdr:cNvPr id="1647" name="18"/>
        <xdr:cNvSpPr/>
      </xdr:nvSpPr>
      <xdr:spPr>
        <a:xfrm>
          <a:off x="67056000" y="67094100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0</xdr:colOff>
      <xdr:row>320</xdr:row>
      <xdr:rowOff>95250</xdr:rowOff>
    </xdr:from>
    <xdr:to>
      <xdr:col>88</xdr:col>
      <xdr:colOff>0</xdr:colOff>
      <xdr:row>320</xdr:row>
      <xdr:rowOff>95250</xdr:rowOff>
    </xdr:to>
    <xdr:cxnSp macro="">
      <xdr:nvCxnSpPr>
        <xdr:cNvPr id="1648" name="직선 화살표 연결선 1647"/>
        <xdr:cNvCxnSpPr/>
      </xdr:nvCxnSpPr>
      <xdr:spPr>
        <a:xfrm>
          <a:off x="67056000" y="671512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103414</xdr:colOff>
      <xdr:row>319</xdr:row>
      <xdr:rowOff>38100</xdr:rowOff>
    </xdr:from>
    <xdr:to>
      <xdr:col>88</xdr:col>
      <xdr:colOff>42635</xdr:colOff>
      <xdr:row>319</xdr:row>
      <xdr:rowOff>152400</xdr:rowOff>
    </xdr:to>
    <xdr:sp macro="" textlink="">
      <xdr:nvSpPr>
        <xdr:cNvPr id="1649" name="17"/>
        <xdr:cNvSpPr/>
      </xdr:nvSpPr>
      <xdr:spPr>
        <a:xfrm>
          <a:off x="66397414" y="66884550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103414</xdr:colOff>
      <xdr:row>319</xdr:row>
      <xdr:rowOff>95250</xdr:rowOff>
    </xdr:from>
    <xdr:to>
      <xdr:col>87</xdr:col>
      <xdr:colOff>103414</xdr:colOff>
      <xdr:row>319</xdr:row>
      <xdr:rowOff>95250</xdr:rowOff>
    </xdr:to>
    <xdr:cxnSp macro="">
      <xdr:nvCxnSpPr>
        <xdr:cNvPr id="1650" name="직선 화살표 연결선 1649"/>
        <xdr:cNvCxnSpPr/>
      </xdr:nvCxnSpPr>
      <xdr:spPr>
        <a:xfrm>
          <a:off x="66397414" y="669417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62049</xdr:colOff>
      <xdr:row>318</xdr:row>
      <xdr:rowOff>38100</xdr:rowOff>
    </xdr:from>
    <xdr:to>
      <xdr:col>88</xdr:col>
      <xdr:colOff>1270</xdr:colOff>
      <xdr:row>318</xdr:row>
      <xdr:rowOff>152400</xdr:rowOff>
    </xdr:to>
    <xdr:sp macro="" textlink="">
      <xdr:nvSpPr>
        <xdr:cNvPr id="1651" name="16"/>
        <xdr:cNvSpPr/>
      </xdr:nvSpPr>
      <xdr:spPr>
        <a:xfrm>
          <a:off x="66356049" y="66675000"/>
          <a:ext cx="7012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62049</xdr:colOff>
      <xdr:row>318</xdr:row>
      <xdr:rowOff>95250</xdr:rowOff>
    </xdr:from>
    <xdr:to>
      <xdr:col>87</xdr:col>
      <xdr:colOff>62049</xdr:colOff>
      <xdr:row>318</xdr:row>
      <xdr:rowOff>95250</xdr:rowOff>
    </xdr:to>
    <xdr:cxnSp macro="">
      <xdr:nvCxnSpPr>
        <xdr:cNvPr id="1652" name="직선 화살표 연결선 1651"/>
        <xdr:cNvCxnSpPr/>
      </xdr:nvCxnSpPr>
      <xdr:spPr>
        <a:xfrm>
          <a:off x="66356049" y="667321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20682</xdr:colOff>
      <xdr:row>317</xdr:row>
      <xdr:rowOff>38100</xdr:rowOff>
    </xdr:from>
    <xdr:to>
      <xdr:col>88</xdr:col>
      <xdr:colOff>1270</xdr:colOff>
      <xdr:row>317</xdr:row>
      <xdr:rowOff>152400</xdr:rowOff>
    </xdr:to>
    <xdr:sp macro="" textlink="">
      <xdr:nvSpPr>
        <xdr:cNvPr id="1653" name="15"/>
        <xdr:cNvSpPr/>
      </xdr:nvSpPr>
      <xdr:spPr>
        <a:xfrm>
          <a:off x="66314682" y="66465450"/>
          <a:ext cx="74258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20682</xdr:colOff>
      <xdr:row>317</xdr:row>
      <xdr:rowOff>95250</xdr:rowOff>
    </xdr:from>
    <xdr:to>
      <xdr:col>87</xdr:col>
      <xdr:colOff>20682</xdr:colOff>
      <xdr:row>317</xdr:row>
      <xdr:rowOff>95250</xdr:rowOff>
    </xdr:to>
    <xdr:cxnSp macro="">
      <xdr:nvCxnSpPr>
        <xdr:cNvPr id="1654" name="직선 화살표 연결선 1653"/>
        <xdr:cNvCxnSpPr/>
      </xdr:nvCxnSpPr>
      <xdr:spPr>
        <a:xfrm>
          <a:off x="66314682" y="665226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20682</xdr:colOff>
      <xdr:row>316</xdr:row>
      <xdr:rowOff>38100</xdr:rowOff>
    </xdr:from>
    <xdr:to>
      <xdr:col>87</xdr:col>
      <xdr:colOff>63319</xdr:colOff>
      <xdr:row>316</xdr:row>
      <xdr:rowOff>152400</xdr:rowOff>
    </xdr:to>
    <xdr:sp macro="" textlink="">
      <xdr:nvSpPr>
        <xdr:cNvPr id="1655" name="14"/>
        <xdr:cNvSpPr/>
      </xdr:nvSpPr>
      <xdr:spPr>
        <a:xfrm>
          <a:off x="66314682" y="66255900"/>
          <a:ext cx="4263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20682</xdr:colOff>
      <xdr:row>316</xdr:row>
      <xdr:rowOff>95250</xdr:rowOff>
    </xdr:from>
    <xdr:to>
      <xdr:col>87</xdr:col>
      <xdr:colOff>20682</xdr:colOff>
      <xdr:row>316</xdr:row>
      <xdr:rowOff>95250</xdr:rowOff>
    </xdr:to>
    <xdr:cxnSp macro="">
      <xdr:nvCxnSpPr>
        <xdr:cNvPr id="1656" name="직선 화살표 연결선 1655"/>
        <xdr:cNvCxnSpPr/>
      </xdr:nvCxnSpPr>
      <xdr:spPr>
        <a:xfrm>
          <a:off x="66314682" y="663130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315</xdr:row>
      <xdr:rowOff>38100</xdr:rowOff>
    </xdr:from>
    <xdr:to>
      <xdr:col>87</xdr:col>
      <xdr:colOff>63319</xdr:colOff>
      <xdr:row>315</xdr:row>
      <xdr:rowOff>152400</xdr:rowOff>
    </xdr:to>
    <xdr:sp macro="" textlink="">
      <xdr:nvSpPr>
        <xdr:cNvPr id="1657" name="13"/>
        <xdr:cNvSpPr/>
      </xdr:nvSpPr>
      <xdr:spPr>
        <a:xfrm>
          <a:off x="66294000" y="66046350"/>
          <a:ext cx="633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87</xdr:col>
      <xdr:colOff>0</xdr:colOff>
      <xdr:row>315</xdr:row>
      <xdr:rowOff>95250</xdr:rowOff>
    </xdr:from>
    <xdr:to>
      <xdr:col>87</xdr:col>
      <xdr:colOff>0</xdr:colOff>
      <xdr:row>315</xdr:row>
      <xdr:rowOff>95250</xdr:rowOff>
    </xdr:to>
    <xdr:cxnSp macro="">
      <xdr:nvCxnSpPr>
        <xdr:cNvPr id="1658" name="직선 화살표 연결선 1657"/>
        <xdr:cNvCxnSpPr/>
      </xdr:nvCxnSpPr>
      <xdr:spPr>
        <a:xfrm>
          <a:off x="66294000" y="661035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103414</xdr:colOff>
      <xdr:row>314</xdr:row>
      <xdr:rowOff>38100</xdr:rowOff>
    </xdr:from>
    <xdr:to>
      <xdr:col>87</xdr:col>
      <xdr:colOff>1270</xdr:colOff>
      <xdr:row>314</xdr:row>
      <xdr:rowOff>152400</xdr:rowOff>
    </xdr:to>
    <xdr:sp macro="" textlink="">
      <xdr:nvSpPr>
        <xdr:cNvPr id="1659" name="12"/>
        <xdr:cNvSpPr/>
      </xdr:nvSpPr>
      <xdr:spPr>
        <a:xfrm>
          <a:off x="65635414" y="65836800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103414</xdr:colOff>
      <xdr:row>314</xdr:row>
      <xdr:rowOff>95250</xdr:rowOff>
    </xdr:from>
    <xdr:to>
      <xdr:col>86</xdr:col>
      <xdr:colOff>103414</xdr:colOff>
      <xdr:row>314</xdr:row>
      <xdr:rowOff>95250</xdr:rowOff>
    </xdr:to>
    <xdr:cxnSp macro="">
      <xdr:nvCxnSpPr>
        <xdr:cNvPr id="1660" name="직선 화살표 연결선 1659"/>
        <xdr:cNvCxnSpPr/>
      </xdr:nvCxnSpPr>
      <xdr:spPr>
        <a:xfrm>
          <a:off x="65635414" y="658939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62049</xdr:colOff>
      <xdr:row>313</xdr:row>
      <xdr:rowOff>38100</xdr:rowOff>
    </xdr:from>
    <xdr:to>
      <xdr:col>86</xdr:col>
      <xdr:colOff>104683</xdr:colOff>
      <xdr:row>313</xdr:row>
      <xdr:rowOff>152400</xdr:rowOff>
    </xdr:to>
    <xdr:sp macro="" textlink="">
      <xdr:nvSpPr>
        <xdr:cNvPr id="1661" name="11"/>
        <xdr:cNvSpPr/>
      </xdr:nvSpPr>
      <xdr:spPr>
        <a:xfrm>
          <a:off x="65594049" y="65627250"/>
          <a:ext cx="426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62049</xdr:colOff>
      <xdr:row>313</xdr:row>
      <xdr:rowOff>95250</xdr:rowOff>
    </xdr:from>
    <xdr:to>
      <xdr:col>86</xdr:col>
      <xdr:colOff>62049</xdr:colOff>
      <xdr:row>313</xdr:row>
      <xdr:rowOff>95250</xdr:rowOff>
    </xdr:to>
    <xdr:cxnSp macro="">
      <xdr:nvCxnSpPr>
        <xdr:cNvPr id="1662" name="직선 화살표 연결선 1661"/>
        <xdr:cNvCxnSpPr/>
      </xdr:nvCxnSpPr>
      <xdr:spPr>
        <a:xfrm>
          <a:off x="65594049" y="656844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124097</xdr:colOff>
      <xdr:row>312</xdr:row>
      <xdr:rowOff>38100</xdr:rowOff>
    </xdr:from>
    <xdr:to>
      <xdr:col>86</xdr:col>
      <xdr:colOff>84001</xdr:colOff>
      <xdr:row>312</xdr:row>
      <xdr:rowOff>152400</xdr:rowOff>
    </xdr:to>
    <xdr:sp macro="" textlink="">
      <xdr:nvSpPr>
        <xdr:cNvPr id="1663" name="10"/>
        <xdr:cNvSpPr/>
      </xdr:nvSpPr>
      <xdr:spPr>
        <a:xfrm>
          <a:off x="64894097" y="65417700"/>
          <a:ext cx="7219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124097</xdr:colOff>
      <xdr:row>312</xdr:row>
      <xdr:rowOff>95250</xdr:rowOff>
    </xdr:from>
    <xdr:to>
      <xdr:col>85</xdr:col>
      <xdr:colOff>124097</xdr:colOff>
      <xdr:row>312</xdr:row>
      <xdr:rowOff>95250</xdr:rowOff>
    </xdr:to>
    <xdr:cxnSp macro="">
      <xdr:nvCxnSpPr>
        <xdr:cNvPr id="1664" name="직선 화살표 연결선 1663"/>
        <xdr:cNvCxnSpPr/>
      </xdr:nvCxnSpPr>
      <xdr:spPr>
        <a:xfrm>
          <a:off x="64894097" y="654748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82731</xdr:colOff>
      <xdr:row>311</xdr:row>
      <xdr:rowOff>38100</xdr:rowOff>
    </xdr:from>
    <xdr:to>
      <xdr:col>85</xdr:col>
      <xdr:colOff>125367</xdr:colOff>
      <xdr:row>311</xdr:row>
      <xdr:rowOff>152400</xdr:rowOff>
    </xdr:to>
    <xdr:sp macro="" textlink="">
      <xdr:nvSpPr>
        <xdr:cNvPr id="1665" name="9"/>
        <xdr:cNvSpPr/>
      </xdr:nvSpPr>
      <xdr:spPr>
        <a:xfrm>
          <a:off x="64852731" y="6520815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82731</xdr:colOff>
      <xdr:row>311</xdr:row>
      <xdr:rowOff>95250</xdr:rowOff>
    </xdr:from>
    <xdr:to>
      <xdr:col>85</xdr:col>
      <xdr:colOff>82731</xdr:colOff>
      <xdr:row>311</xdr:row>
      <xdr:rowOff>95250</xdr:rowOff>
    </xdr:to>
    <xdr:cxnSp macro="">
      <xdr:nvCxnSpPr>
        <xdr:cNvPr id="1666" name="직선 화살표 연결선 1665"/>
        <xdr:cNvCxnSpPr/>
      </xdr:nvCxnSpPr>
      <xdr:spPr>
        <a:xfrm>
          <a:off x="64852731" y="652653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124097</xdr:colOff>
      <xdr:row>310</xdr:row>
      <xdr:rowOff>38100</xdr:rowOff>
    </xdr:from>
    <xdr:to>
      <xdr:col>96</xdr:col>
      <xdr:colOff>1269</xdr:colOff>
      <xdr:row>310</xdr:row>
      <xdr:rowOff>152400</xdr:rowOff>
    </xdr:to>
    <xdr:sp macro="" textlink="">
      <xdr:nvSpPr>
        <xdr:cNvPr id="1667" name="8"/>
        <xdr:cNvSpPr/>
      </xdr:nvSpPr>
      <xdr:spPr>
        <a:xfrm>
          <a:off x="64894097" y="64998600"/>
          <a:ext cx="82591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124097</xdr:colOff>
      <xdr:row>310</xdr:row>
      <xdr:rowOff>95250</xdr:rowOff>
    </xdr:from>
    <xdr:to>
      <xdr:col>85</xdr:col>
      <xdr:colOff>124097</xdr:colOff>
      <xdr:row>310</xdr:row>
      <xdr:rowOff>95250</xdr:rowOff>
    </xdr:to>
    <xdr:cxnSp macro="">
      <xdr:nvCxnSpPr>
        <xdr:cNvPr id="1668" name="직선 화살표 연결선 1667"/>
        <xdr:cNvCxnSpPr/>
      </xdr:nvCxnSpPr>
      <xdr:spPr>
        <a:xfrm>
          <a:off x="64894097" y="650557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62048</xdr:colOff>
      <xdr:row>309</xdr:row>
      <xdr:rowOff>38100</xdr:rowOff>
    </xdr:from>
    <xdr:to>
      <xdr:col>85</xdr:col>
      <xdr:colOff>104684</xdr:colOff>
      <xdr:row>309</xdr:row>
      <xdr:rowOff>152400</xdr:rowOff>
    </xdr:to>
    <xdr:sp macro="" textlink="">
      <xdr:nvSpPr>
        <xdr:cNvPr id="1669" name="7"/>
        <xdr:cNvSpPr/>
      </xdr:nvSpPr>
      <xdr:spPr>
        <a:xfrm>
          <a:off x="64832048" y="64789050"/>
          <a:ext cx="426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62048</xdr:colOff>
      <xdr:row>309</xdr:row>
      <xdr:rowOff>95250</xdr:rowOff>
    </xdr:from>
    <xdr:to>
      <xdr:col>85</xdr:col>
      <xdr:colOff>62048</xdr:colOff>
      <xdr:row>309</xdr:row>
      <xdr:rowOff>95250</xdr:rowOff>
    </xdr:to>
    <xdr:cxnSp macro="">
      <xdr:nvCxnSpPr>
        <xdr:cNvPr id="1670" name="직선 화살표 연결선 1669"/>
        <xdr:cNvCxnSpPr/>
      </xdr:nvCxnSpPr>
      <xdr:spPr>
        <a:xfrm>
          <a:off x="64832048" y="648462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20683</xdr:colOff>
      <xdr:row>308</xdr:row>
      <xdr:rowOff>38100</xdr:rowOff>
    </xdr:from>
    <xdr:to>
      <xdr:col>85</xdr:col>
      <xdr:colOff>63318</xdr:colOff>
      <xdr:row>308</xdr:row>
      <xdr:rowOff>152400</xdr:rowOff>
    </xdr:to>
    <xdr:sp macro="" textlink="">
      <xdr:nvSpPr>
        <xdr:cNvPr id="1671" name="6"/>
        <xdr:cNvSpPr/>
      </xdr:nvSpPr>
      <xdr:spPr>
        <a:xfrm>
          <a:off x="64790683" y="64579500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20683</xdr:colOff>
      <xdr:row>308</xdr:row>
      <xdr:rowOff>95250</xdr:rowOff>
    </xdr:from>
    <xdr:to>
      <xdr:col>85</xdr:col>
      <xdr:colOff>20683</xdr:colOff>
      <xdr:row>308</xdr:row>
      <xdr:rowOff>95250</xdr:rowOff>
    </xdr:to>
    <xdr:cxnSp macro="">
      <xdr:nvCxnSpPr>
        <xdr:cNvPr id="1672" name="직선 화살표 연결선 1671"/>
        <xdr:cNvCxnSpPr/>
      </xdr:nvCxnSpPr>
      <xdr:spPr>
        <a:xfrm>
          <a:off x="64790683" y="646366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144779</xdr:colOff>
      <xdr:row>307</xdr:row>
      <xdr:rowOff>38100</xdr:rowOff>
    </xdr:from>
    <xdr:to>
      <xdr:col>85</xdr:col>
      <xdr:colOff>42636</xdr:colOff>
      <xdr:row>307</xdr:row>
      <xdr:rowOff>152400</xdr:rowOff>
    </xdr:to>
    <xdr:sp macro="" textlink="">
      <xdr:nvSpPr>
        <xdr:cNvPr id="1673" name="5"/>
        <xdr:cNvSpPr/>
      </xdr:nvSpPr>
      <xdr:spPr>
        <a:xfrm>
          <a:off x="64152779" y="64369950"/>
          <a:ext cx="6598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144779</xdr:colOff>
      <xdr:row>307</xdr:row>
      <xdr:rowOff>95250</xdr:rowOff>
    </xdr:from>
    <xdr:to>
      <xdr:col>84</xdr:col>
      <xdr:colOff>144779</xdr:colOff>
      <xdr:row>307</xdr:row>
      <xdr:rowOff>95250</xdr:rowOff>
    </xdr:to>
    <xdr:cxnSp macro="">
      <xdr:nvCxnSpPr>
        <xdr:cNvPr id="1674" name="직선 화살표 연결선 1673"/>
        <xdr:cNvCxnSpPr/>
      </xdr:nvCxnSpPr>
      <xdr:spPr>
        <a:xfrm>
          <a:off x="64152779" y="644271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124097</xdr:colOff>
      <xdr:row>306</xdr:row>
      <xdr:rowOff>38100</xdr:rowOff>
    </xdr:from>
    <xdr:to>
      <xdr:col>85</xdr:col>
      <xdr:colOff>21953</xdr:colOff>
      <xdr:row>306</xdr:row>
      <xdr:rowOff>152400</xdr:rowOff>
    </xdr:to>
    <xdr:sp macro="" textlink="">
      <xdr:nvSpPr>
        <xdr:cNvPr id="1675" name="4"/>
        <xdr:cNvSpPr/>
      </xdr:nvSpPr>
      <xdr:spPr>
        <a:xfrm>
          <a:off x="64132097" y="64160400"/>
          <a:ext cx="6598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124097</xdr:colOff>
      <xdr:row>306</xdr:row>
      <xdr:rowOff>95250</xdr:rowOff>
    </xdr:from>
    <xdr:to>
      <xdr:col>84</xdr:col>
      <xdr:colOff>124097</xdr:colOff>
      <xdr:row>306</xdr:row>
      <xdr:rowOff>95250</xdr:rowOff>
    </xdr:to>
    <xdr:cxnSp macro="">
      <xdr:nvCxnSpPr>
        <xdr:cNvPr id="1676" name="직선 화살표 연결선 1675"/>
        <xdr:cNvCxnSpPr/>
      </xdr:nvCxnSpPr>
      <xdr:spPr>
        <a:xfrm>
          <a:off x="64132097" y="6421755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124097</xdr:colOff>
      <xdr:row>305</xdr:row>
      <xdr:rowOff>38100</xdr:rowOff>
    </xdr:from>
    <xdr:to>
      <xdr:col>96</xdr:col>
      <xdr:colOff>1269</xdr:colOff>
      <xdr:row>305</xdr:row>
      <xdr:rowOff>152400</xdr:rowOff>
    </xdr:to>
    <xdr:sp macro="" textlink="">
      <xdr:nvSpPr>
        <xdr:cNvPr id="1677" name="3"/>
        <xdr:cNvSpPr/>
      </xdr:nvSpPr>
      <xdr:spPr>
        <a:xfrm>
          <a:off x="64132097" y="63950850"/>
          <a:ext cx="90211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124097</xdr:colOff>
      <xdr:row>305</xdr:row>
      <xdr:rowOff>95250</xdr:rowOff>
    </xdr:from>
    <xdr:to>
      <xdr:col>84</xdr:col>
      <xdr:colOff>124097</xdr:colOff>
      <xdr:row>305</xdr:row>
      <xdr:rowOff>95250</xdr:rowOff>
    </xdr:to>
    <xdr:cxnSp macro="">
      <xdr:nvCxnSpPr>
        <xdr:cNvPr id="1678" name="직선 화살표 연결선 1677"/>
        <xdr:cNvCxnSpPr/>
      </xdr:nvCxnSpPr>
      <xdr:spPr>
        <a:xfrm>
          <a:off x="64132097" y="64008000"/>
          <a:ext cx="0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20683</xdr:colOff>
      <xdr:row>304</xdr:row>
      <xdr:rowOff>38100</xdr:rowOff>
    </xdr:from>
    <xdr:to>
      <xdr:col>111</xdr:col>
      <xdr:colOff>1269</xdr:colOff>
      <xdr:row>304</xdr:row>
      <xdr:rowOff>152400</xdr:rowOff>
    </xdr:to>
    <xdr:sp macro="" textlink="">
      <xdr:nvSpPr>
        <xdr:cNvPr id="1679" name="2"/>
        <xdr:cNvSpPr/>
      </xdr:nvSpPr>
      <xdr:spPr>
        <a:xfrm>
          <a:off x="62504683" y="63741300"/>
          <a:ext cx="2207858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20683</xdr:colOff>
      <xdr:row>304</xdr:row>
      <xdr:rowOff>95250</xdr:rowOff>
    </xdr:from>
    <xdr:to>
      <xdr:col>84</xdr:col>
      <xdr:colOff>142655</xdr:colOff>
      <xdr:row>304</xdr:row>
      <xdr:rowOff>95250</xdr:rowOff>
    </xdr:to>
    <xdr:cxnSp macro="">
      <xdr:nvCxnSpPr>
        <xdr:cNvPr id="1680" name="직선 화살표 연결선 1679"/>
        <xdr:cNvCxnSpPr/>
      </xdr:nvCxnSpPr>
      <xdr:spPr>
        <a:xfrm>
          <a:off x="64028683" y="63798450"/>
          <a:ext cx="121972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20683</xdr:colOff>
      <xdr:row>303</xdr:row>
      <xdr:rowOff>38100</xdr:rowOff>
    </xdr:from>
    <xdr:to>
      <xdr:col>111</xdr:col>
      <xdr:colOff>1269</xdr:colOff>
      <xdr:row>303</xdr:row>
      <xdr:rowOff>152400</xdr:rowOff>
    </xdr:to>
    <xdr:sp macro="" textlink="">
      <xdr:nvSpPr>
        <xdr:cNvPr id="1681" name="1"/>
        <xdr:cNvSpPr/>
      </xdr:nvSpPr>
      <xdr:spPr>
        <a:xfrm>
          <a:off x="62504683" y="63531750"/>
          <a:ext cx="2207858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20683</xdr:colOff>
      <xdr:row>303</xdr:row>
      <xdr:rowOff>95250</xdr:rowOff>
    </xdr:from>
    <xdr:to>
      <xdr:col>84</xdr:col>
      <xdr:colOff>142655</xdr:colOff>
      <xdr:row>303</xdr:row>
      <xdr:rowOff>95250</xdr:rowOff>
    </xdr:to>
    <xdr:cxnSp macro="">
      <xdr:nvCxnSpPr>
        <xdr:cNvPr id="1682" name="직선 화살표 연결선 1681"/>
        <xdr:cNvCxnSpPr/>
      </xdr:nvCxnSpPr>
      <xdr:spPr>
        <a:xfrm>
          <a:off x="64028683" y="63588900"/>
          <a:ext cx="121972" cy="0"/>
        </a:xfrm>
        <a:prstGeom prst="straightConnector1">
          <a:avLst/>
        </a:prstGeom>
        <a:ln w="31750" cap="flat" cmpd="sng" algn="ctr">
          <a:solidFill>
            <a:srgbClr val="FF0000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LEE/BULK/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acokr-my.sharepoint.com/Users/030508/AppData/Local/Microsoft/Windows/Temporary%20Internet%20Files/Content.IE5/UZEQYFCB/bkLEE/BULK/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%20Documents\&#51060;&#51221;&#54732;\&#44204;&#51201;\BE8014&#50648;&#51648;&#50644;&#51648;&#45768;&#50612;&#47553;(&#51452;)FLO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KIM\SK-SU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Documents%20and%20Settings\&#48149;&#44221;&#54616;\Local%20Settings\Temporary%20Internet%20Files\Content.IE5\456FSXAN\K.G.J\&#49340;&#49457;&#48708;&#54588;&#54868;&#54617;(&#51452;)\D-2203\BID-97\BID\QT003-SSY-&#52384;&#44264;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40;\SC0682\USER\SE6380\ADMIN\BAHK\&#50577;&#49885;\&#44608;&#44221;&#55148;\FORMA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\&#51089;&#50629;&#51109;\PROJECT\SFA\2011\2.21%20&#54788;&#49444;&#51088;&#47308;\Project%20Handling%20List-&#49340;&#49457;&#51221;&#48128;&#54868;&#5461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DMDATA/SK&#54616;&#51060;&#45769;&#49828;/P&amp;T_OHT/&#50896;&#44032;/2&#48264;&#51704;/(&#51228;&#50612;&#50896;&#44032;)SKHYNIX_OHT_MZ_TRAY_&#51228;&#50612;&#48512;%20&#50896;&#44032;_DEMO_LINE_2018090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SEC_SEMI/&#50728;&#50577;%20Package%20Slim&#54868;/(&#51228;&#50612;&#49892;&#54665;&#54408;&#51032;)&#50728;&#50577;sec%20Slim&#54868;%204L3F_4L6F%20CONV%20&#51613;&#49444;_200401_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pc\&#47196;&#52972;%20&#46356;&#49828;&#53356;%20(D)\Work%20Shop(2011.08.23)\&#44204;&#51201;&#49436;&#48143;&#51088;&#51116;&#45236;&#50669;&#49436;\HELCO\2012\&#49340;&#49457;&#51221;&#48128;&#54868;&#54617;_&#51064;&#52380;\&#54844;&#54633;&#54252;&#51109;&#46041;%20&#50725;&#49345;%20PIPE%20RACK%20&#51088;&#51116;&#45236;&#50669;&#49436;(2012.05.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2/02D/BKLOLD/MY/POSTAL/&#51204;&#51452;-&#51088;&#5111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452;&#49345;new\My%20Documents\My%20Documents\&#51201;&#49328;&#49444;&#44228;\CGL-PILOT\DRAFT\AKF-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TC\&#53552;&#54028;&#44592;&#5478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02.&#47932;&#47448;&#50689;&#50629;2&#54016;\&#46972;&#44592;&#49457;\00_Project(SK&#51060;&#45432;&#48288;&#51060;&#49496;)\&#50896;&#44032;&#51208;&#44048;&#54924;&#51032;\00.&#52572;&#52488;&#49569;&#48512;&#51088;&#47308;\MAIL\EC000001\97PLAN\PROFIT\PL\97PLA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02.&#47932;&#47448;&#50689;&#50629;2&#54016;\&#46972;&#44592;&#49457;\00_Project(SK&#51060;&#45432;&#48288;&#51060;&#49496;)\&#50896;&#44032;&#51208;&#44048;&#54924;&#51032;\00.&#52572;&#52488;&#49569;&#48512;&#51088;&#47308;\0\SK&#51060;&#45432;&#48288;&#51060;&#49496;_&#48120;&#44397;%20&#51088;&#46041;&#52285;&#44256;&#49444;&#52824;&#44277;&#49324;_&#51060;&#50689;&#54840;_LS-180111-01\&#44204;&#51201;&#50896;&#44032;\&#51077;&#49688;&#50896;&#44032;\180516\&#47001;\&#44204;&#51201;&#50896;&#44032;18060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50728;&#50577;SEC/SLIM&#54868;/&#46020;&#47732;/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1-3315"/>
      <sheetName val="N21-3318"/>
      <sheetName val="N21-3319"/>
      <sheetName val="N23-3303"/>
      <sheetName val="N24-3301"/>
      <sheetName val="N24-3302"/>
      <sheetName val="N24-3303"/>
      <sheetName val="N24-3312"/>
      <sheetName val="N44-3305"/>
      <sheetName val="N24-3314"/>
      <sheetName val="N41-3304"/>
      <sheetName val="N41-3307"/>
      <sheetName val="N43-3303"/>
      <sheetName val="TOTAL"/>
      <sheetName val="원가계산서"/>
      <sheetName val="견적서"/>
      <sheetName val="GI-LIST"/>
      <sheetName val="구매품"/>
      <sheetName val="Idle C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주요자재"/>
      <sheetName val="예정(3)"/>
      <sheetName val="동원(3)"/>
      <sheetName val="예정공정표 (2)"/>
      <sheetName val="동원인원 (2)"/>
      <sheetName val="예정공정표"/>
      <sheetName val="동원인원"/>
      <sheetName val="가설공사"/>
      <sheetName val="가설울타리"/>
      <sheetName val="경고테이프"/>
      <sheetName val="포장절단"/>
      <sheetName val="FM공법 (2)"/>
      <sheetName val="FM공법"/>
      <sheetName val="인수공지수판"/>
      <sheetName val="양수작업"/>
      <sheetName val="상수도이설"/>
      <sheetName val="포장복구(AS,CO)"/>
      <sheetName val="압입공법"/>
      <sheetName val="GR보호몰탈"/>
      <sheetName val="교량첨가"/>
      <sheetName val="피스표(수정)"/>
      <sheetName val="피스표(수도)"/>
      <sheetName val="피스표(4pe)"/>
      <sheetName val="목차"/>
      <sheetName val="소요노력"/>
      <sheetName val="터널조도"/>
      <sheetName val="GI-LIST"/>
      <sheetName val="TOTAL"/>
      <sheetName val="9GNG운반"/>
      <sheetName val="노임"/>
      <sheetName val="투찰"/>
      <sheetName val="CALCULATION"/>
      <sheetName val="DATA"/>
      <sheetName val="SK-SUL"/>
      <sheetName val="부속동"/>
      <sheetName val="ABUT수량-A1"/>
      <sheetName val="S0"/>
      <sheetName val="전체"/>
      <sheetName val="Graph (LGEN)"/>
      <sheetName val="out_prog"/>
      <sheetName val="선적schedule (2)"/>
      <sheetName val="상 부"/>
      <sheetName val="TYPE-A"/>
      <sheetName val="고창방향"/>
      <sheetName val="수안보-MBR1"/>
      <sheetName val="설비"/>
      <sheetName val="하수급견적대비"/>
      <sheetName val="기기리스트"/>
      <sheetName val="도장수량(하1)"/>
      <sheetName val="주형"/>
      <sheetName val="맨홀수량산출"/>
      <sheetName val="단위수량"/>
      <sheetName val="견"/>
      <sheetName val="SG"/>
      <sheetName val=" 상부공통집계(총괄)"/>
      <sheetName val="Sheet1"/>
      <sheetName val="배수내역 (2)"/>
      <sheetName val="노임단가"/>
      <sheetName val="MOTOR"/>
      <sheetName val="입찰내역서"/>
      <sheetName val="#REF"/>
      <sheetName val="BSD (2)"/>
      <sheetName val="집수정(600-700)"/>
      <sheetName val="96보완계획7.12"/>
      <sheetName val="대치판정"/>
      <sheetName val="원형1호맨홀토공수량"/>
      <sheetName val="소상 &quot;1&quot;"/>
      <sheetName val="Sheet3"/>
      <sheetName val="J直材4"/>
      <sheetName val="99.12"/>
      <sheetName val="DATE"/>
      <sheetName val="Macro(MCC)"/>
      <sheetName val="1.동력공사"/>
      <sheetName val="fs"/>
      <sheetName val="제출내역 (2)"/>
      <sheetName val="유동표"/>
      <sheetName val="전체내역 (2)"/>
      <sheetName val="BID"/>
      <sheetName val="단면치수"/>
      <sheetName val="48일위(기존)"/>
      <sheetName val="실행철강하도"/>
      <sheetName val="지급자재"/>
      <sheetName val="입찰안"/>
      <sheetName val="내역서(전기)"/>
      <sheetName val="조명율표"/>
      <sheetName val="집계표"/>
      <sheetName val="부하(성남)"/>
      <sheetName val="내역"/>
      <sheetName val="단가산출"/>
      <sheetName val="SCH"/>
      <sheetName val="우각부보강"/>
      <sheetName val="COPING"/>
      <sheetName val="眞비상(진주)"/>
      <sheetName val="NOMUBI"/>
      <sheetName val="AHU집계"/>
      <sheetName val="공조기"/>
      <sheetName val="공조기휀"/>
      <sheetName val="산근"/>
      <sheetName val="작성"/>
      <sheetName val="현장지지물물량"/>
      <sheetName val="실행단가철(ems코드적용)"/>
      <sheetName val="소도3교"/>
      <sheetName val="1.설계조건"/>
      <sheetName val="기계실"/>
      <sheetName val="제수변수량"/>
      <sheetName val="일반공사"/>
      <sheetName val="소비자가"/>
      <sheetName val="일위대가목차"/>
      <sheetName val="일위대가(가설)"/>
      <sheetName val="중기사용료"/>
      <sheetName val="수입"/>
      <sheetName val="내역서"/>
      <sheetName val="c_balju"/>
      <sheetName val="JUCK"/>
      <sheetName val="J형측구단위수량"/>
      <sheetName val="갑지"/>
      <sheetName val="충주"/>
      <sheetName val="한강운반비"/>
      <sheetName val="부대내역"/>
      <sheetName val="97 사업추정(WEKI)"/>
      <sheetName val="현금"/>
      <sheetName val="정부노임단가"/>
      <sheetName val="입출재고현황 (2)"/>
      <sheetName val="CONCRETE"/>
      <sheetName val="BEND LOSS"/>
      <sheetName val="가도공"/>
      <sheetName val="물가시세"/>
      <sheetName val="대림경상68억"/>
      <sheetName val="연습"/>
      <sheetName val="터파기및재료"/>
      <sheetName val="기계경비"/>
      <sheetName val="설계"/>
      <sheetName val="ITEM"/>
      <sheetName val="sw1"/>
      <sheetName val="전차선로 물량표"/>
      <sheetName val="DATA-UPS"/>
      <sheetName val="양수장(기계)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  <sheetName val="14.1&quot; Cst 변화"/>
      <sheetName val="FAB별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일위대가목차"/>
      <sheetName val="제품별"/>
      <sheetName val="별제권_정리담보권"/>
      <sheetName val="BOQ건축"/>
      <sheetName val="Sheet1 (2)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LIST"/>
      <sheetName val="CAUDIT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  <sheetName val="제조 경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98연계표"/>
      <sheetName val="MX628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  <sheetName val="제품별"/>
      <sheetName val="변수"/>
      <sheetName val="dv&amp;cl"/>
      <sheetName val="cap"/>
      <sheetName val="r"/>
      <sheetName val="144"/>
      <sheetName val="A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공사 SCHEDULE"/>
      <sheetName val="TOTAL 공정율"/>
      <sheetName val="PART B.O.M LIST"/>
      <sheetName val="ITEM B.O.M LIST"/>
      <sheetName val="발주 B.O.M LIST"/>
      <sheetName val="가공 B.O.M LIST"/>
      <sheetName val="시공 B.O.M LIST"/>
      <sheetName val="분류표"/>
      <sheetName val="TOTAL"/>
      <sheetName val=" PLATE"/>
      <sheetName val="SRC0A(ㅁ-등변각관)"/>
      <sheetName val="SRC0B(ㅁ-부등변각관)"/>
      <sheetName val="SRC0C(ㄱ-ANGLE)"/>
      <sheetName val="SRC0D(ㄷ-CHANNEL)"/>
      <sheetName val="SRC0E(C-CHANNEL)"/>
      <sheetName val="SRC0F(H-BEAM)"/>
      <sheetName val="SRC0G(H-LIGHT BEAM)"/>
      <sheetName val="SRC0H(ROUND-BAR)"/>
      <sheetName val="SRC0I(PIPE)"/>
      <sheetName val="SRC0J(I-BEAM)"/>
      <sheetName val="SRC0K(SQUARE-BAR)"/>
      <sheetName val="SRC0L(RAIL)"/>
      <sheetName val="SRC0M(CHECK PLATE)"/>
      <sheetName val="SRSPC(RIB PLA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STEEL</v>
          </cell>
          <cell r="B4" t="str">
            <v>ㅁSQ</v>
          </cell>
        </row>
        <row r="5">
          <cell r="A5" t="str">
            <v>PL</v>
          </cell>
          <cell r="B5" t="str">
            <v>ㅁREC</v>
          </cell>
        </row>
        <row r="6">
          <cell r="B6" t="str">
            <v>ㄱ형강</v>
          </cell>
        </row>
        <row r="7">
          <cell r="B7" t="str">
            <v>ㄷ형강</v>
          </cell>
        </row>
        <row r="8">
          <cell r="B8" t="str">
            <v>C형강</v>
          </cell>
        </row>
        <row r="9">
          <cell r="B9" t="str">
            <v>H형강</v>
          </cell>
        </row>
        <row r="10">
          <cell r="B10" t="str">
            <v>H형강_L</v>
          </cell>
        </row>
        <row r="11">
          <cell r="B11" t="str">
            <v>R_BAR</v>
          </cell>
        </row>
        <row r="12">
          <cell r="B12" t="str">
            <v>O_PIPE</v>
          </cell>
        </row>
        <row r="13">
          <cell r="B13" t="str">
            <v>I형강</v>
          </cell>
        </row>
        <row r="14">
          <cell r="B14" t="str">
            <v>ㅁBAR</v>
          </cell>
        </row>
        <row r="15">
          <cell r="B15" t="str">
            <v>RAIL</v>
          </cell>
        </row>
        <row r="16">
          <cell r="B16" t="str">
            <v>CHKPL</v>
          </cell>
        </row>
        <row r="17">
          <cell r="B17" t="str">
            <v/>
          </cell>
        </row>
        <row r="18">
          <cell r="B18" t="str">
            <v>R_PL</v>
          </cell>
        </row>
      </sheetData>
      <sheetData sheetId="9">
        <row r="7">
          <cell r="B7" t="str">
            <v>ㅁ20x20x1.2</v>
          </cell>
          <cell r="F7">
            <v>0.69699999999999995</v>
          </cell>
          <cell r="G7">
            <v>0.08</v>
          </cell>
        </row>
        <row r="8">
          <cell r="B8" t="str">
            <v>ㅁ20x20x1.6</v>
          </cell>
          <cell r="F8">
            <v>0.872</v>
          </cell>
          <cell r="G8">
            <v>0.08</v>
          </cell>
        </row>
        <row r="9">
          <cell r="B9" t="str">
            <v>ㅁ25x25x1.2</v>
          </cell>
          <cell r="F9">
            <v>0.86699999999999999</v>
          </cell>
          <cell r="G9">
            <v>0.1</v>
          </cell>
        </row>
        <row r="10">
          <cell r="B10" t="str">
            <v>ㅁ25x25x1.6</v>
          </cell>
          <cell r="F10">
            <v>1.1200000000000001</v>
          </cell>
          <cell r="G10">
            <v>0.1</v>
          </cell>
        </row>
        <row r="11">
          <cell r="B11" t="str">
            <v>ㅁ30x30x1.2</v>
          </cell>
          <cell r="F11">
            <v>1.06</v>
          </cell>
          <cell r="G11">
            <v>0.12</v>
          </cell>
        </row>
        <row r="12">
          <cell r="B12" t="str">
            <v>ㅁ30x30x1.6</v>
          </cell>
          <cell r="F12">
            <v>1.38</v>
          </cell>
          <cell r="G12">
            <v>0.12</v>
          </cell>
        </row>
        <row r="13">
          <cell r="B13" t="str">
            <v>ㅁ40x40x1.6</v>
          </cell>
          <cell r="F13">
            <v>1.88</v>
          </cell>
          <cell r="G13">
            <v>0.16</v>
          </cell>
        </row>
        <row r="14">
          <cell r="B14" t="str">
            <v>ㅁ40x40x2.3</v>
          </cell>
          <cell r="F14">
            <v>2.62</v>
          </cell>
          <cell r="G14">
            <v>0.16</v>
          </cell>
        </row>
        <row r="15">
          <cell r="B15" t="str">
            <v>ㅁ50x50x1.6</v>
          </cell>
          <cell r="F15">
            <v>2.38</v>
          </cell>
          <cell r="G15">
            <v>0.2</v>
          </cell>
        </row>
        <row r="16">
          <cell r="B16" t="str">
            <v>ㅁ50x50x2.3</v>
          </cell>
          <cell r="F16">
            <v>3.34</v>
          </cell>
          <cell r="G16">
            <v>0.2</v>
          </cell>
        </row>
        <row r="17">
          <cell r="B17" t="str">
            <v>ㅁ50x50x3.2</v>
          </cell>
          <cell r="F17">
            <v>4.5</v>
          </cell>
          <cell r="G17">
            <v>0.2</v>
          </cell>
        </row>
        <row r="18">
          <cell r="B18" t="str">
            <v>ㅁ60x60x1.6</v>
          </cell>
          <cell r="F18">
            <v>2.88</v>
          </cell>
          <cell r="G18">
            <v>0.24</v>
          </cell>
        </row>
        <row r="19">
          <cell r="B19" t="str">
            <v>ㅁ60x60x2.3</v>
          </cell>
          <cell r="F19">
            <v>4.0599999999999996</v>
          </cell>
          <cell r="G19">
            <v>0.24</v>
          </cell>
        </row>
        <row r="20">
          <cell r="B20" t="str">
            <v>ㅁ60x60x3.2</v>
          </cell>
          <cell r="F20">
            <v>5.5</v>
          </cell>
          <cell r="G20">
            <v>0.24</v>
          </cell>
        </row>
        <row r="21">
          <cell r="B21" t="str">
            <v>ㅁ75x75x1.6</v>
          </cell>
          <cell r="F21">
            <v>3.64</v>
          </cell>
          <cell r="G21">
            <v>0.3</v>
          </cell>
        </row>
        <row r="22">
          <cell r="B22" t="str">
            <v>ㅁ75x75x2.3</v>
          </cell>
          <cell r="F22">
            <v>5.14</v>
          </cell>
          <cell r="G22">
            <v>0.3</v>
          </cell>
        </row>
        <row r="23">
          <cell r="B23" t="str">
            <v>ㅁ75x75x3.2</v>
          </cell>
          <cell r="F23">
            <v>7.01</v>
          </cell>
          <cell r="G23">
            <v>0.3</v>
          </cell>
        </row>
        <row r="24">
          <cell r="B24" t="str">
            <v>ㅁ75x75x4</v>
          </cell>
          <cell r="F24">
            <v>8.58</v>
          </cell>
          <cell r="G24">
            <v>0.3</v>
          </cell>
        </row>
        <row r="25">
          <cell r="B25" t="str">
            <v>ㅁ75x75x4.5</v>
          </cell>
          <cell r="F25">
            <v>9.5500000000000007</v>
          </cell>
          <cell r="G25">
            <v>0.3</v>
          </cell>
        </row>
        <row r="26">
          <cell r="B26" t="str">
            <v>ㅁ80x80x2.3</v>
          </cell>
          <cell r="F26">
            <v>5.5</v>
          </cell>
          <cell r="G26">
            <v>0.32</v>
          </cell>
        </row>
        <row r="27">
          <cell r="B27" t="str">
            <v>ㅁ80x80x3.2</v>
          </cell>
          <cell r="F27">
            <v>7.51</v>
          </cell>
          <cell r="G27">
            <v>0.32</v>
          </cell>
        </row>
        <row r="28">
          <cell r="B28" t="str">
            <v>ㅁ80x80x4.5</v>
          </cell>
          <cell r="F28">
            <v>10.3</v>
          </cell>
          <cell r="G28">
            <v>0.32</v>
          </cell>
        </row>
        <row r="29">
          <cell r="B29" t="str">
            <v>ㅁ90x90x2.3</v>
          </cell>
          <cell r="F29">
            <v>6.23</v>
          </cell>
          <cell r="G29">
            <v>0.36</v>
          </cell>
        </row>
        <row r="30">
          <cell r="B30" t="str">
            <v>ㅁ90x90x3.2</v>
          </cell>
          <cell r="F30">
            <v>8.51</v>
          </cell>
          <cell r="G30">
            <v>0.36</v>
          </cell>
        </row>
        <row r="31">
          <cell r="B31" t="str">
            <v>ㅁ100x100x2.3</v>
          </cell>
          <cell r="F31">
            <v>6.95</v>
          </cell>
          <cell r="G31">
            <v>0.4</v>
          </cell>
        </row>
        <row r="32">
          <cell r="B32" t="str">
            <v>ㅁ100x100x3.2</v>
          </cell>
          <cell r="F32">
            <v>9.52</v>
          </cell>
          <cell r="G32">
            <v>0.4</v>
          </cell>
        </row>
        <row r="33">
          <cell r="B33" t="str">
            <v>ㅁ100x100x4</v>
          </cell>
          <cell r="F33">
            <v>11.7</v>
          </cell>
          <cell r="G33">
            <v>0.4</v>
          </cell>
        </row>
        <row r="34">
          <cell r="B34" t="str">
            <v>ㅁ100x100x4.5</v>
          </cell>
          <cell r="F34">
            <v>13.1</v>
          </cell>
          <cell r="G34">
            <v>0.4</v>
          </cell>
        </row>
        <row r="35">
          <cell r="B35" t="str">
            <v>ㅁ100x100x5</v>
          </cell>
          <cell r="F35">
            <v>14.41</v>
          </cell>
          <cell r="G35">
            <v>0.4</v>
          </cell>
        </row>
        <row r="36">
          <cell r="B36" t="str">
            <v>ㅁ100x100x6</v>
          </cell>
          <cell r="F36">
            <v>17</v>
          </cell>
          <cell r="G36">
            <v>0.4</v>
          </cell>
        </row>
        <row r="37">
          <cell r="B37" t="str">
            <v>ㅁ100x100x9</v>
          </cell>
          <cell r="F37">
            <v>24.1</v>
          </cell>
          <cell r="G37">
            <v>0.4</v>
          </cell>
        </row>
        <row r="38">
          <cell r="B38" t="str">
            <v>ㅁ100x100x12</v>
          </cell>
          <cell r="F38">
            <v>30.2</v>
          </cell>
          <cell r="G38">
            <v>0.4</v>
          </cell>
        </row>
        <row r="39">
          <cell r="B39" t="str">
            <v>ㅁ125x125x3.2</v>
          </cell>
          <cell r="F39">
            <v>12</v>
          </cell>
          <cell r="G39">
            <v>0.5</v>
          </cell>
        </row>
        <row r="40">
          <cell r="B40" t="str">
            <v>ㅁ125x125x4.5</v>
          </cell>
          <cell r="F40">
            <v>16.600000000000001</v>
          </cell>
          <cell r="G40">
            <v>0.5</v>
          </cell>
        </row>
        <row r="41">
          <cell r="B41" t="str">
            <v>ㅁ125x125x5</v>
          </cell>
          <cell r="F41">
            <v>18.3</v>
          </cell>
          <cell r="G41">
            <v>0.5</v>
          </cell>
        </row>
        <row r="42">
          <cell r="B42" t="str">
            <v>ㅁ125x125x6</v>
          </cell>
          <cell r="F42">
            <v>21.7</v>
          </cell>
          <cell r="G42">
            <v>0.5</v>
          </cell>
        </row>
        <row r="43">
          <cell r="B43" t="str">
            <v>ㅁ125x125x9</v>
          </cell>
          <cell r="F43">
            <v>31.1</v>
          </cell>
          <cell r="G43">
            <v>0.5</v>
          </cell>
        </row>
        <row r="44">
          <cell r="B44" t="str">
            <v>ㅁ125x125x12</v>
          </cell>
          <cell r="F44">
            <v>39.700000000000003</v>
          </cell>
          <cell r="G44">
            <v>0.5</v>
          </cell>
        </row>
        <row r="45">
          <cell r="B45" t="str">
            <v>ㅁ150x150x4.5</v>
          </cell>
          <cell r="F45">
            <v>20.100000000000001</v>
          </cell>
          <cell r="G45">
            <v>0.6</v>
          </cell>
        </row>
        <row r="46">
          <cell r="B46" t="str">
            <v>ㅁ150x150x5</v>
          </cell>
          <cell r="F46">
            <v>22.3</v>
          </cell>
          <cell r="G46">
            <v>0.6</v>
          </cell>
        </row>
        <row r="47">
          <cell r="B47" t="str">
            <v>ㅁ150x150x6</v>
          </cell>
          <cell r="F47">
            <v>26.4</v>
          </cell>
          <cell r="G47">
            <v>0.6</v>
          </cell>
        </row>
        <row r="48">
          <cell r="B48" t="str">
            <v>ㅁ150x150x9</v>
          </cell>
          <cell r="F48">
            <v>38.200000000000003</v>
          </cell>
          <cell r="G48">
            <v>0.6</v>
          </cell>
        </row>
        <row r="49">
          <cell r="B49" t="str">
            <v>ㅁ175x175x4.5</v>
          </cell>
          <cell r="F49">
            <v>23.7</v>
          </cell>
          <cell r="G49">
            <v>0.7</v>
          </cell>
        </row>
        <row r="50">
          <cell r="B50" t="str">
            <v>ㅁ175x175x5</v>
          </cell>
          <cell r="F50">
            <v>26.2</v>
          </cell>
          <cell r="G50">
            <v>0.7</v>
          </cell>
        </row>
        <row r="51">
          <cell r="B51" t="str">
            <v>ㅁ175x175x6</v>
          </cell>
          <cell r="F51">
            <v>31.1</v>
          </cell>
          <cell r="G51">
            <v>0.7</v>
          </cell>
        </row>
        <row r="52">
          <cell r="B52" t="str">
            <v>ㅁ200x200x4.5</v>
          </cell>
          <cell r="F52">
            <v>27.2</v>
          </cell>
          <cell r="G52">
            <v>0.8</v>
          </cell>
        </row>
        <row r="53">
          <cell r="B53" t="str">
            <v>ㅁ200x200x5</v>
          </cell>
          <cell r="F53">
            <v>35.799999999999997</v>
          </cell>
          <cell r="G53">
            <v>0.8</v>
          </cell>
        </row>
        <row r="54">
          <cell r="B54" t="str">
            <v>ㅁ200x200x6</v>
          </cell>
          <cell r="F54">
            <v>46.9</v>
          </cell>
          <cell r="G54">
            <v>0.8</v>
          </cell>
        </row>
        <row r="55">
          <cell r="B55" t="str">
            <v>ㅁ200x200x9</v>
          </cell>
          <cell r="F55">
            <v>52.3</v>
          </cell>
          <cell r="G55">
            <v>0.8</v>
          </cell>
        </row>
        <row r="56">
          <cell r="B56" t="str">
            <v>ㅁ200x200x12</v>
          </cell>
          <cell r="F56">
            <v>67.900000000000006</v>
          </cell>
          <cell r="G56">
            <v>0.8</v>
          </cell>
        </row>
        <row r="57">
          <cell r="B57" t="str">
            <v>ㅁ250x250x5</v>
          </cell>
          <cell r="F57">
            <v>38</v>
          </cell>
          <cell r="G57">
            <v>1</v>
          </cell>
        </row>
        <row r="58">
          <cell r="B58" t="str">
            <v>ㅁ250x250x6</v>
          </cell>
          <cell r="F58">
            <v>45.2</v>
          </cell>
          <cell r="G58">
            <v>1</v>
          </cell>
        </row>
        <row r="59">
          <cell r="B59" t="str">
            <v>ㅁ250x250x8</v>
          </cell>
          <cell r="F59">
            <v>59.5</v>
          </cell>
          <cell r="G59">
            <v>1</v>
          </cell>
        </row>
        <row r="60">
          <cell r="B60" t="str">
            <v>ㅁ250x250x9</v>
          </cell>
          <cell r="F60">
            <v>66.5</v>
          </cell>
          <cell r="G60">
            <v>1</v>
          </cell>
        </row>
        <row r="61">
          <cell r="B61" t="str">
            <v>ㅁ250x250x12</v>
          </cell>
          <cell r="F61">
            <v>86.8</v>
          </cell>
          <cell r="G61">
            <v>1</v>
          </cell>
        </row>
        <row r="62">
          <cell r="B62" t="str">
            <v>ㅁ300x300x4.5</v>
          </cell>
          <cell r="F62">
            <v>41.3</v>
          </cell>
          <cell r="G62">
            <v>1.2</v>
          </cell>
        </row>
        <row r="63">
          <cell r="B63" t="str">
            <v>ㅁ300x300x6</v>
          </cell>
          <cell r="F63">
            <v>54.7</v>
          </cell>
          <cell r="G63">
            <v>1.2</v>
          </cell>
        </row>
        <row r="64">
          <cell r="B64" t="str">
            <v>ㅁ300x300x9</v>
          </cell>
          <cell r="F64">
            <v>80.599999999999994</v>
          </cell>
          <cell r="G64">
            <v>1.2</v>
          </cell>
        </row>
        <row r="65">
          <cell r="B65" t="str">
            <v>ㅁ300x300x12</v>
          </cell>
          <cell r="F65">
            <v>106</v>
          </cell>
          <cell r="G65">
            <v>1.2</v>
          </cell>
        </row>
        <row r="66">
          <cell r="B66" t="str">
            <v>ㅁ350x350x9</v>
          </cell>
          <cell r="F66">
            <v>94.7</v>
          </cell>
          <cell r="G66">
            <v>1.4</v>
          </cell>
        </row>
        <row r="67">
          <cell r="B67" t="str">
            <v>ㅁ350x350x12</v>
          </cell>
          <cell r="F67">
            <v>124</v>
          </cell>
          <cell r="G67">
            <v>1.4</v>
          </cell>
        </row>
        <row r="68">
          <cell r="B68" t="str">
            <v>ㅁ400x400x9</v>
          </cell>
          <cell r="F68">
            <v>109</v>
          </cell>
          <cell r="G68">
            <v>1.6</v>
          </cell>
        </row>
        <row r="69">
          <cell r="B69" t="str">
            <v>ㅁ400x400x12</v>
          </cell>
          <cell r="F69">
            <v>143</v>
          </cell>
          <cell r="G69">
            <v>1.6</v>
          </cell>
        </row>
        <row r="70">
          <cell r="B70" t="str">
            <v>ㅁ400x400x14</v>
          </cell>
          <cell r="F70">
            <v>166</v>
          </cell>
          <cell r="G70">
            <v>1.6</v>
          </cell>
        </row>
        <row r="71">
          <cell r="B71" t="str">
            <v>ㅁ400x400x16</v>
          </cell>
          <cell r="F71">
            <v>188</v>
          </cell>
          <cell r="G71">
            <v>1.6</v>
          </cell>
        </row>
        <row r="72">
          <cell r="B72" t="str">
            <v>ㅁ400x400x19</v>
          </cell>
          <cell r="F72">
            <v>220</v>
          </cell>
          <cell r="G72">
            <v>1.6</v>
          </cell>
        </row>
        <row r="73">
          <cell r="B73" t="str">
            <v>ㅁ400x400x22</v>
          </cell>
          <cell r="F73">
            <v>251</v>
          </cell>
          <cell r="G73">
            <v>1.6</v>
          </cell>
        </row>
        <row r="74">
          <cell r="B74" t="str">
            <v>ㅁ450x450x9</v>
          </cell>
          <cell r="F74">
            <v>122</v>
          </cell>
          <cell r="G74">
            <v>1.8</v>
          </cell>
        </row>
        <row r="75">
          <cell r="B75" t="str">
            <v>ㅁ450x450x12</v>
          </cell>
          <cell r="F75">
            <v>160</v>
          </cell>
          <cell r="G75">
            <v>1.8</v>
          </cell>
        </row>
        <row r="76">
          <cell r="B76" t="str">
            <v>ㅁ450x450x16</v>
          </cell>
          <cell r="F76">
            <v>209</v>
          </cell>
          <cell r="G76">
            <v>1.8</v>
          </cell>
        </row>
        <row r="77">
          <cell r="B77" t="str">
            <v>ㅁ450x450x19</v>
          </cell>
          <cell r="F77">
            <v>250</v>
          </cell>
          <cell r="G77">
            <v>1.8</v>
          </cell>
        </row>
        <row r="78">
          <cell r="B78" t="str">
            <v>ㅁ450x450x22</v>
          </cell>
          <cell r="F78">
            <v>286</v>
          </cell>
          <cell r="G78">
            <v>1.8</v>
          </cell>
        </row>
        <row r="79">
          <cell r="B79" t="str">
            <v>ㅁ500x500x12</v>
          </cell>
          <cell r="F79">
            <v>181</v>
          </cell>
          <cell r="G79">
            <v>2</v>
          </cell>
        </row>
        <row r="80">
          <cell r="B80" t="str">
            <v>ㅁ500x500x16</v>
          </cell>
          <cell r="F80">
            <v>238</v>
          </cell>
          <cell r="G80">
            <v>2</v>
          </cell>
        </row>
        <row r="81">
          <cell r="B81" t="str">
            <v>ㅁ500x500x19</v>
          </cell>
          <cell r="F81">
            <v>280</v>
          </cell>
          <cell r="G81">
            <v>2</v>
          </cell>
        </row>
        <row r="82">
          <cell r="B82" t="str">
            <v>ㅁ500x500x22</v>
          </cell>
          <cell r="F82">
            <v>320</v>
          </cell>
          <cell r="G82">
            <v>2</v>
          </cell>
        </row>
        <row r="83">
          <cell r="B83" t="str">
            <v>ㅁ100x100x7</v>
          </cell>
          <cell r="F83">
            <v>19.451000000000001</v>
          </cell>
          <cell r="G83">
            <v>0.4</v>
          </cell>
        </row>
        <row r="84">
          <cell r="B84" t="str">
            <v>ㅁ40x40x2.3</v>
          </cell>
          <cell r="F84">
            <v>2.62</v>
          </cell>
          <cell r="G84">
            <v>0.16</v>
          </cell>
        </row>
        <row r="85">
          <cell r="B85" t="str">
            <v>ㅁx</v>
          </cell>
          <cell r="F85">
            <v>0</v>
          </cell>
          <cell r="G85">
            <v>0</v>
          </cell>
        </row>
        <row r="86">
          <cell r="B86" t="str">
            <v>ㅁx</v>
          </cell>
          <cell r="F86">
            <v>0</v>
          </cell>
          <cell r="G86">
            <v>0</v>
          </cell>
        </row>
        <row r="87">
          <cell r="B87" t="str">
            <v>ㅁx</v>
          </cell>
          <cell r="F87">
            <v>0</v>
          </cell>
          <cell r="G87">
            <v>0</v>
          </cell>
        </row>
        <row r="88">
          <cell r="B88" t="str">
            <v>ㅁx</v>
          </cell>
          <cell r="F88">
            <v>0</v>
          </cell>
          <cell r="G88">
            <v>0</v>
          </cell>
        </row>
        <row r="89">
          <cell r="B89" t="str">
            <v>ㅁx</v>
          </cell>
          <cell r="F89">
            <v>0</v>
          </cell>
          <cell r="G89">
            <v>0</v>
          </cell>
        </row>
        <row r="90">
          <cell r="B90" t="str">
            <v>ㅁx</v>
          </cell>
          <cell r="F90">
            <v>0</v>
          </cell>
          <cell r="G90">
            <v>0</v>
          </cell>
        </row>
        <row r="91">
          <cell r="B91" t="str">
            <v>ㅁx</v>
          </cell>
          <cell r="F91">
            <v>0</v>
          </cell>
          <cell r="G91">
            <v>0</v>
          </cell>
        </row>
        <row r="92">
          <cell r="B92" t="str">
            <v>ㅁx</v>
          </cell>
          <cell r="F92">
            <v>0</v>
          </cell>
          <cell r="G92">
            <v>0</v>
          </cell>
        </row>
        <row r="93">
          <cell r="B93" t="str">
            <v>ㅁx</v>
          </cell>
          <cell r="F93">
            <v>0</v>
          </cell>
          <cell r="G93">
            <v>0</v>
          </cell>
        </row>
        <row r="94">
          <cell r="B94" t="str">
            <v>ㅁx</v>
          </cell>
          <cell r="F94">
            <v>0</v>
          </cell>
          <cell r="G94">
            <v>0</v>
          </cell>
        </row>
        <row r="95">
          <cell r="B95" t="str">
            <v>ㅁx</v>
          </cell>
          <cell r="F95">
            <v>0</v>
          </cell>
          <cell r="G95">
            <v>0</v>
          </cell>
        </row>
        <row r="96">
          <cell r="B96" t="str">
            <v>ㅁx</v>
          </cell>
          <cell r="F96">
            <v>0</v>
          </cell>
          <cell r="G96">
            <v>0</v>
          </cell>
        </row>
        <row r="97">
          <cell r="B97" t="str">
            <v>ㅁx</v>
          </cell>
          <cell r="F97">
            <v>0</v>
          </cell>
          <cell r="G97">
            <v>0</v>
          </cell>
        </row>
        <row r="98">
          <cell r="B98" t="str">
            <v>ㅁ40x20x1.2</v>
          </cell>
          <cell r="F98">
            <v>1.05</v>
          </cell>
          <cell r="G98">
            <v>0.12</v>
          </cell>
        </row>
        <row r="99">
          <cell r="B99" t="str">
            <v>ㅁ40x20x1.6</v>
          </cell>
          <cell r="F99">
            <v>1.38</v>
          </cell>
          <cell r="G99">
            <v>0.12</v>
          </cell>
        </row>
        <row r="100">
          <cell r="B100" t="str">
            <v>ㅁ40x30x2.3</v>
          </cell>
          <cell r="F100">
            <v>2.2549999999999999</v>
          </cell>
          <cell r="G100">
            <v>0.14000000000000001</v>
          </cell>
        </row>
        <row r="101">
          <cell r="B101" t="str">
            <v>ㅁ50x20x1.6</v>
          </cell>
          <cell r="F101">
            <v>1.63</v>
          </cell>
          <cell r="G101">
            <v>0.14000000000000001</v>
          </cell>
        </row>
        <row r="102">
          <cell r="B102" t="str">
            <v>ㅁ50x20x2.3</v>
          </cell>
          <cell r="F102">
            <v>2.25</v>
          </cell>
          <cell r="G102">
            <v>0.14000000000000001</v>
          </cell>
        </row>
        <row r="103">
          <cell r="B103" t="str">
            <v>ㅁ50x30x1.6</v>
          </cell>
          <cell r="F103">
            <v>1.88</v>
          </cell>
          <cell r="G103">
            <v>0.16</v>
          </cell>
        </row>
        <row r="104">
          <cell r="B104" t="str">
            <v>ㅁ50x30x2.3</v>
          </cell>
          <cell r="F104">
            <v>2.62</v>
          </cell>
          <cell r="G104">
            <v>0.16</v>
          </cell>
        </row>
        <row r="105">
          <cell r="B105" t="str">
            <v>ㅁ50x30x3.2</v>
          </cell>
          <cell r="F105">
            <v>3.49</v>
          </cell>
          <cell r="G105">
            <v>0.16</v>
          </cell>
        </row>
        <row r="106">
          <cell r="B106" t="str">
            <v>ㅁ60x30x1.6</v>
          </cell>
          <cell r="F106">
            <v>2.13</v>
          </cell>
          <cell r="G106">
            <v>0.18</v>
          </cell>
        </row>
        <row r="107">
          <cell r="B107" t="str">
            <v>ㅁ60x30x2.3</v>
          </cell>
          <cell r="F107">
            <v>2.98</v>
          </cell>
          <cell r="G107">
            <v>0.18</v>
          </cell>
        </row>
        <row r="108">
          <cell r="B108" t="str">
            <v>ㅁ60x30x3.2</v>
          </cell>
          <cell r="F108">
            <v>3.99</v>
          </cell>
          <cell r="G108">
            <v>0.18</v>
          </cell>
        </row>
        <row r="109">
          <cell r="B109" t="str">
            <v>ㅁ60x40x1.6</v>
          </cell>
          <cell r="F109">
            <v>2.38</v>
          </cell>
          <cell r="G109">
            <v>0.2</v>
          </cell>
        </row>
        <row r="110">
          <cell r="B110" t="str">
            <v>ㅁ60x40x2.3</v>
          </cell>
          <cell r="F110">
            <v>3.34</v>
          </cell>
          <cell r="G110">
            <v>0.2</v>
          </cell>
        </row>
        <row r="111">
          <cell r="B111" t="str">
            <v>ㅁ60x40x3.2</v>
          </cell>
          <cell r="F111">
            <v>4.5</v>
          </cell>
          <cell r="G111">
            <v>0.2</v>
          </cell>
        </row>
        <row r="112">
          <cell r="B112" t="str">
            <v>ㅁ75x20x1.6</v>
          </cell>
          <cell r="F112">
            <v>2.25</v>
          </cell>
          <cell r="G112">
            <v>0.19</v>
          </cell>
        </row>
        <row r="113">
          <cell r="B113" t="str">
            <v>ㅁ75x20x2.3</v>
          </cell>
          <cell r="F113">
            <v>3.16</v>
          </cell>
          <cell r="G113">
            <v>0.19</v>
          </cell>
        </row>
        <row r="114">
          <cell r="B114" t="str">
            <v>ㅁ75x45x1.6</v>
          </cell>
          <cell r="F114">
            <v>2.88</v>
          </cell>
          <cell r="G114">
            <v>0.24</v>
          </cell>
        </row>
        <row r="115">
          <cell r="B115" t="str">
            <v>ㅁ75x45x2.3</v>
          </cell>
          <cell r="F115">
            <v>4.0599999999999996</v>
          </cell>
          <cell r="G115">
            <v>0.24</v>
          </cell>
        </row>
        <row r="116">
          <cell r="B116" t="str">
            <v>ㅁ75x45x3.2</v>
          </cell>
          <cell r="F116">
            <v>5.5</v>
          </cell>
          <cell r="G116">
            <v>0.24</v>
          </cell>
        </row>
        <row r="117">
          <cell r="B117" t="str">
            <v>ㅁ75x50x1.6</v>
          </cell>
          <cell r="F117">
            <v>3.01</v>
          </cell>
          <cell r="G117">
            <v>0.25</v>
          </cell>
        </row>
        <row r="118">
          <cell r="B118" t="str">
            <v>ㅁ75x50x2.3</v>
          </cell>
          <cell r="F118">
            <v>4.24</v>
          </cell>
          <cell r="G118">
            <v>0.25</v>
          </cell>
        </row>
        <row r="119">
          <cell r="B119" t="str">
            <v>ㅁ75x50x3.2</v>
          </cell>
          <cell r="F119">
            <v>5.75</v>
          </cell>
          <cell r="G119">
            <v>0.25</v>
          </cell>
        </row>
        <row r="120">
          <cell r="B120" t="str">
            <v>ㅁ100x50x1.6</v>
          </cell>
          <cell r="F120">
            <v>3.64</v>
          </cell>
          <cell r="G120">
            <v>0.3</v>
          </cell>
        </row>
        <row r="121">
          <cell r="B121" t="str">
            <v>ㅁ100x50x2.3</v>
          </cell>
          <cell r="F121">
            <v>5.14</v>
          </cell>
          <cell r="G121">
            <v>0.3</v>
          </cell>
        </row>
        <row r="122">
          <cell r="B122" t="str">
            <v>ㅁ100x50x3.2</v>
          </cell>
          <cell r="F122">
            <v>7.01</v>
          </cell>
          <cell r="G122">
            <v>0.3</v>
          </cell>
        </row>
        <row r="123">
          <cell r="B123" t="str">
            <v>ㅁ100x50x4.5</v>
          </cell>
          <cell r="F123">
            <v>9.5500000000000007</v>
          </cell>
          <cell r="G123">
            <v>0.3</v>
          </cell>
        </row>
        <row r="124">
          <cell r="B124" t="str">
            <v>ㅁ125x75x2.3</v>
          </cell>
          <cell r="F124">
            <v>6.95</v>
          </cell>
          <cell r="G124">
            <v>0.4</v>
          </cell>
        </row>
        <row r="125">
          <cell r="B125" t="str">
            <v>ㅁ125x75x3.2</v>
          </cell>
          <cell r="F125">
            <v>9.52</v>
          </cell>
          <cell r="G125">
            <v>0.4</v>
          </cell>
        </row>
        <row r="126">
          <cell r="B126" t="str">
            <v>ㅁ125x75x4</v>
          </cell>
          <cell r="F126">
            <v>11.7</v>
          </cell>
          <cell r="G126">
            <v>0.4</v>
          </cell>
        </row>
        <row r="127">
          <cell r="B127" t="str">
            <v>ㅁ150x100x3.2</v>
          </cell>
          <cell r="F127">
            <v>12</v>
          </cell>
          <cell r="G127">
            <v>0.5</v>
          </cell>
        </row>
        <row r="128">
          <cell r="B128" t="str">
            <v>ㅁ150x100x4.5</v>
          </cell>
          <cell r="F128">
            <v>16.600000000000001</v>
          </cell>
          <cell r="G128">
            <v>0.5</v>
          </cell>
        </row>
        <row r="129">
          <cell r="B129" t="str">
            <v>ㅁ150x100x6</v>
          </cell>
          <cell r="F129">
            <v>21.7</v>
          </cell>
          <cell r="G129">
            <v>0.5</v>
          </cell>
        </row>
        <row r="130">
          <cell r="B130" t="str">
            <v>ㅁ150x100x9</v>
          </cell>
          <cell r="F130">
            <v>31.1</v>
          </cell>
          <cell r="G130">
            <v>0.5</v>
          </cell>
        </row>
        <row r="131">
          <cell r="B131" t="str">
            <v>ㅁ200x100x4.5</v>
          </cell>
          <cell r="F131">
            <v>20.100000000000001</v>
          </cell>
          <cell r="G131">
            <v>0.6</v>
          </cell>
        </row>
        <row r="132">
          <cell r="B132" t="str">
            <v>ㅁ200x100x6</v>
          </cell>
          <cell r="F132">
            <v>26.4</v>
          </cell>
          <cell r="G132">
            <v>0.6</v>
          </cell>
        </row>
        <row r="133">
          <cell r="B133" t="str">
            <v>ㅁ200x100x9</v>
          </cell>
          <cell r="F133">
            <v>38.200000000000003</v>
          </cell>
          <cell r="G133">
            <v>0.6</v>
          </cell>
        </row>
        <row r="134">
          <cell r="B134" t="str">
            <v>ㅁ200x150x4.5</v>
          </cell>
          <cell r="F134">
            <v>23.7</v>
          </cell>
          <cell r="G134">
            <v>0.7</v>
          </cell>
        </row>
        <row r="135">
          <cell r="B135" t="str">
            <v>ㅁ200x150x6</v>
          </cell>
          <cell r="F135">
            <v>31.1</v>
          </cell>
          <cell r="G135">
            <v>0.7</v>
          </cell>
        </row>
        <row r="136">
          <cell r="B136" t="str">
            <v>ㅁ200x150x9</v>
          </cell>
          <cell r="F136">
            <v>45.3</v>
          </cell>
          <cell r="G136">
            <v>0.7</v>
          </cell>
        </row>
        <row r="137">
          <cell r="B137" t="str">
            <v>ㅁ250x150x6</v>
          </cell>
          <cell r="F137">
            <v>35.799999999999997</v>
          </cell>
          <cell r="G137">
            <v>0.8</v>
          </cell>
        </row>
        <row r="138">
          <cell r="B138" t="str">
            <v>ㅁ250x150x9</v>
          </cell>
          <cell r="F138">
            <v>52.3</v>
          </cell>
          <cell r="G138">
            <v>0.8</v>
          </cell>
        </row>
        <row r="139">
          <cell r="B139" t="str">
            <v>ㅁ250x150x12</v>
          </cell>
          <cell r="F139">
            <v>67.900000000000006</v>
          </cell>
          <cell r="G139">
            <v>0.8</v>
          </cell>
        </row>
        <row r="140">
          <cell r="B140" t="str">
            <v>ㅁ150x75x2.6</v>
          </cell>
          <cell r="F140">
            <v>8.8360000000000003</v>
          </cell>
          <cell r="G140">
            <v>0.45</v>
          </cell>
        </row>
        <row r="141">
          <cell r="B141" t="str">
            <v>ㅁx</v>
          </cell>
          <cell r="F141">
            <v>0</v>
          </cell>
          <cell r="G141">
            <v>0</v>
          </cell>
        </row>
        <row r="142">
          <cell r="B142" t="str">
            <v>ㅁx</v>
          </cell>
          <cell r="F142">
            <v>0</v>
          </cell>
          <cell r="G142">
            <v>0</v>
          </cell>
        </row>
        <row r="143">
          <cell r="B143" t="str">
            <v>ㅁx</v>
          </cell>
          <cell r="F143">
            <v>0</v>
          </cell>
          <cell r="G143">
            <v>0</v>
          </cell>
        </row>
        <row r="144">
          <cell r="B144" t="str">
            <v>ㅁx</v>
          </cell>
          <cell r="F144">
            <v>0</v>
          </cell>
          <cell r="G144">
            <v>0</v>
          </cell>
        </row>
        <row r="145">
          <cell r="B145" t="str">
            <v>ㅁx</v>
          </cell>
          <cell r="F145">
            <v>0</v>
          </cell>
          <cell r="G145">
            <v>0</v>
          </cell>
        </row>
        <row r="146">
          <cell r="B146" t="str">
            <v>ㅁx</v>
          </cell>
          <cell r="F146">
            <v>0</v>
          </cell>
          <cell r="G146">
            <v>0</v>
          </cell>
        </row>
        <row r="147">
          <cell r="B147" t="str">
            <v>ㅁx</v>
          </cell>
          <cell r="F147">
            <v>0</v>
          </cell>
          <cell r="G147">
            <v>0</v>
          </cell>
        </row>
        <row r="148">
          <cell r="B148" t="str">
            <v>ㅁx</v>
          </cell>
          <cell r="F148">
            <v>0</v>
          </cell>
          <cell r="G148">
            <v>0</v>
          </cell>
        </row>
        <row r="149">
          <cell r="B149" t="str">
            <v>ㅁx</v>
          </cell>
          <cell r="F149">
            <v>0</v>
          </cell>
          <cell r="G149">
            <v>0</v>
          </cell>
        </row>
        <row r="150">
          <cell r="B150" t="str">
            <v>ㄱ25x25x3</v>
          </cell>
          <cell r="F150">
            <v>1.1200000000000001</v>
          </cell>
          <cell r="G150">
            <v>0.10299999999999999</v>
          </cell>
        </row>
        <row r="151">
          <cell r="B151" t="str">
            <v>ㄱ30x30x3</v>
          </cell>
          <cell r="F151">
            <v>1.36</v>
          </cell>
          <cell r="G151">
            <v>0.123</v>
          </cell>
        </row>
        <row r="152">
          <cell r="B152" t="str">
            <v>ㄱ40x40x5</v>
          </cell>
          <cell r="F152">
            <v>2.95</v>
          </cell>
          <cell r="G152">
            <v>0.16500000000000001</v>
          </cell>
        </row>
        <row r="153">
          <cell r="B153" t="str">
            <v>ㄱ45x45x4</v>
          </cell>
          <cell r="F153">
            <v>2.74</v>
          </cell>
          <cell r="G153">
            <v>0.184</v>
          </cell>
        </row>
        <row r="154">
          <cell r="B154" t="str">
            <v>ㄱ45x45x5</v>
          </cell>
          <cell r="F154">
            <v>3.38</v>
          </cell>
          <cell r="G154">
            <v>0.185</v>
          </cell>
        </row>
        <row r="155">
          <cell r="B155" t="str">
            <v>ㄱ50x50x4</v>
          </cell>
          <cell r="F155">
            <v>3.06</v>
          </cell>
          <cell r="G155">
            <v>0.20399999999999999</v>
          </cell>
        </row>
        <row r="156">
          <cell r="B156" t="str">
            <v>ㄱ50x50x5</v>
          </cell>
          <cell r="F156">
            <v>3.77</v>
          </cell>
          <cell r="G156">
            <v>0.20499999999999999</v>
          </cell>
        </row>
        <row r="157">
          <cell r="B157" t="str">
            <v>ㄱ50x50x6</v>
          </cell>
          <cell r="F157">
            <v>4.43</v>
          </cell>
          <cell r="G157">
            <v>0.20599999999999999</v>
          </cell>
        </row>
        <row r="158">
          <cell r="B158" t="str">
            <v>ㄱ60x60x4</v>
          </cell>
          <cell r="F158">
            <v>3.68</v>
          </cell>
          <cell r="G158">
            <v>0.24399999999999999</v>
          </cell>
        </row>
        <row r="159">
          <cell r="B159" t="str">
            <v>ㄱ60x60x5</v>
          </cell>
          <cell r="F159">
            <v>4.55</v>
          </cell>
          <cell r="G159">
            <v>0.245</v>
          </cell>
        </row>
        <row r="160">
          <cell r="B160" t="str">
            <v>ㄱ60x60x6</v>
          </cell>
          <cell r="F160">
            <v>5.37</v>
          </cell>
          <cell r="G160">
            <v>0.246</v>
          </cell>
        </row>
        <row r="161">
          <cell r="B161" t="str">
            <v>ㄱ65x65x5</v>
          </cell>
          <cell r="F161">
            <v>5</v>
          </cell>
          <cell r="G161">
            <v>0.26500000000000001</v>
          </cell>
        </row>
        <row r="162">
          <cell r="B162" t="str">
            <v>ㄱ65x65x6</v>
          </cell>
          <cell r="F162">
            <v>5.91</v>
          </cell>
          <cell r="G162">
            <v>0.26600000000000001</v>
          </cell>
        </row>
        <row r="163">
          <cell r="B163" t="str">
            <v>ㄱ65x65x8</v>
          </cell>
          <cell r="F163">
            <v>7.66</v>
          </cell>
          <cell r="G163">
            <v>0.26800000000000002</v>
          </cell>
        </row>
        <row r="164">
          <cell r="B164" t="str">
            <v>ㄱ70x70x6</v>
          </cell>
          <cell r="F164">
            <v>6.38</v>
          </cell>
          <cell r="G164">
            <v>0.28599999999999998</v>
          </cell>
        </row>
        <row r="165">
          <cell r="B165" t="str">
            <v>ㄱ75x75x6</v>
          </cell>
          <cell r="F165">
            <v>6.85</v>
          </cell>
          <cell r="G165">
            <v>0.30599999999999999</v>
          </cell>
        </row>
        <row r="166">
          <cell r="B166" t="str">
            <v>ㄱ75x75x9</v>
          </cell>
          <cell r="F166">
            <v>9.9600000000000009</v>
          </cell>
          <cell r="G166">
            <v>0.309</v>
          </cell>
        </row>
        <row r="167">
          <cell r="B167" t="str">
            <v>ㄱ75x75x12</v>
          </cell>
          <cell r="F167">
            <v>13</v>
          </cell>
          <cell r="G167">
            <v>0.312</v>
          </cell>
        </row>
        <row r="168">
          <cell r="B168" t="str">
            <v>ㄱ80x80x6</v>
          </cell>
          <cell r="F168">
            <v>7.32</v>
          </cell>
          <cell r="G168">
            <v>0.32600000000000001</v>
          </cell>
        </row>
        <row r="169">
          <cell r="B169" t="str">
            <v>ㄱ80x80x7</v>
          </cell>
          <cell r="F169">
            <v>8.48</v>
          </cell>
          <cell r="G169">
            <v>0.32700000000000001</v>
          </cell>
        </row>
        <row r="170">
          <cell r="B170" t="str">
            <v>ㄱ90x90x6</v>
          </cell>
          <cell r="F170">
            <v>8.2799999999999994</v>
          </cell>
          <cell r="G170">
            <v>0.36599999999999999</v>
          </cell>
        </row>
        <row r="171">
          <cell r="B171" t="str">
            <v>ㄱ90x90x7</v>
          </cell>
          <cell r="F171">
            <v>9.59</v>
          </cell>
          <cell r="G171">
            <v>0.36699999999999999</v>
          </cell>
        </row>
        <row r="172">
          <cell r="B172" t="str">
            <v>ㄱ90x90x8</v>
          </cell>
          <cell r="F172">
            <v>10.8</v>
          </cell>
          <cell r="G172">
            <v>0.36799999999999999</v>
          </cell>
        </row>
        <row r="173">
          <cell r="B173" t="str">
            <v>ㄱ90x90x9</v>
          </cell>
          <cell r="F173">
            <v>12.08</v>
          </cell>
          <cell r="G173">
            <v>0.36899999999999999</v>
          </cell>
        </row>
        <row r="174">
          <cell r="B174" t="str">
            <v>ㄱ90x90x10</v>
          </cell>
          <cell r="F174">
            <v>13.3</v>
          </cell>
          <cell r="G174">
            <v>0.37</v>
          </cell>
        </row>
        <row r="175">
          <cell r="B175" t="str">
            <v>ㄱ90x90x13</v>
          </cell>
          <cell r="F175">
            <v>17</v>
          </cell>
          <cell r="G175">
            <v>0.373</v>
          </cell>
        </row>
        <row r="176">
          <cell r="B176" t="str">
            <v>ㄱ100x100x7</v>
          </cell>
          <cell r="F176">
            <v>10.7</v>
          </cell>
          <cell r="G176">
            <v>0.40699999999999997</v>
          </cell>
        </row>
        <row r="177">
          <cell r="B177" t="str">
            <v>ㄱ100x100x8</v>
          </cell>
          <cell r="F177">
            <v>12.06</v>
          </cell>
          <cell r="G177">
            <v>0.40799999999999997</v>
          </cell>
        </row>
        <row r="178">
          <cell r="B178" t="str">
            <v>ㄱ100x100x10</v>
          </cell>
          <cell r="F178">
            <v>14.9</v>
          </cell>
          <cell r="G178">
            <v>0.41</v>
          </cell>
        </row>
        <row r="179">
          <cell r="B179" t="str">
            <v>ㄱ100x100x13</v>
          </cell>
          <cell r="F179">
            <v>19.100000000000001</v>
          </cell>
          <cell r="G179">
            <v>0.41299999999999998</v>
          </cell>
        </row>
        <row r="180">
          <cell r="B180" t="str">
            <v>ㄱ120x120x8</v>
          </cell>
          <cell r="F180">
            <v>14.7</v>
          </cell>
          <cell r="G180">
            <v>0.48799999999999999</v>
          </cell>
        </row>
        <row r="181">
          <cell r="B181" t="str">
            <v>ㄱ130x130x9</v>
          </cell>
          <cell r="F181">
            <v>17.899999999999999</v>
          </cell>
          <cell r="G181">
            <v>0.52900000000000003</v>
          </cell>
        </row>
        <row r="182">
          <cell r="B182" t="str">
            <v>ㄱ130x130x10</v>
          </cell>
          <cell r="F182">
            <v>19.75</v>
          </cell>
          <cell r="G182">
            <v>0.53</v>
          </cell>
        </row>
        <row r="183">
          <cell r="B183" t="str">
            <v>ㄱ130x130x12</v>
          </cell>
          <cell r="F183">
            <v>23.4</v>
          </cell>
          <cell r="G183">
            <v>0.53200000000000003</v>
          </cell>
        </row>
        <row r="184">
          <cell r="B184" t="str">
            <v>ㄱ130x130x15</v>
          </cell>
          <cell r="F184">
            <v>28.8</v>
          </cell>
          <cell r="G184">
            <v>0.53500000000000003</v>
          </cell>
        </row>
        <row r="185">
          <cell r="B185" t="str">
            <v>ㄱx</v>
          </cell>
          <cell r="F185">
            <v>0</v>
          </cell>
          <cell r="G185">
            <v>0</v>
          </cell>
        </row>
        <row r="186">
          <cell r="B186" t="str">
            <v>ㄱx</v>
          </cell>
          <cell r="F186">
            <v>0</v>
          </cell>
          <cell r="G186">
            <v>0</v>
          </cell>
        </row>
        <row r="187">
          <cell r="B187" t="str">
            <v>ㄱx</v>
          </cell>
          <cell r="F187">
            <v>0</v>
          </cell>
          <cell r="G187">
            <v>0</v>
          </cell>
        </row>
        <row r="188">
          <cell r="B188" t="str">
            <v>ㄱx</v>
          </cell>
          <cell r="F188">
            <v>0</v>
          </cell>
          <cell r="G188">
            <v>0</v>
          </cell>
        </row>
        <row r="189">
          <cell r="B189" t="str">
            <v>ㄱx</v>
          </cell>
          <cell r="F189">
            <v>0</v>
          </cell>
          <cell r="G189">
            <v>0</v>
          </cell>
        </row>
        <row r="190">
          <cell r="B190" t="str">
            <v>ㄷ75x40x5x7</v>
          </cell>
          <cell r="F190">
            <v>6.92</v>
          </cell>
          <cell r="G190">
            <v>0.3</v>
          </cell>
        </row>
        <row r="191">
          <cell r="B191" t="str">
            <v>ㄷ100x50x5x7.5</v>
          </cell>
          <cell r="F191">
            <v>9.36</v>
          </cell>
          <cell r="G191">
            <v>0.39</v>
          </cell>
        </row>
        <row r="192">
          <cell r="B192" t="str">
            <v>ㄷ125x65x6x8</v>
          </cell>
          <cell r="F192">
            <v>13.4</v>
          </cell>
          <cell r="G192">
            <v>0.498</v>
          </cell>
        </row>
        <row r="193">
          <cell r="B193" t="str">
            <v>ㄷ150x75x6.5x10</v>
          </cell>
          <cell r="F193">
            <v>18.600000000000001</v>
          </cell>
          <cell r="G193">
            <v>0.58699999999999997</v>
          </cell>
        </row>
        <row r="194">
          <cell r="B194" t="str">
            <v>ㄷ200x80x7.5x11</v>
          </cell>
          <cell r="F194">
            <v>24.6</v>
          </cell>
          <cell r="G194">
            <v>0.70499999999999996</v>
          </cell>
        </row>
        <row r="195">
          <cell r="B195" t="str">
            <v>ㄷ250x90x9x13</v>
          </cell>
          <cell r="F195">
            <v>34.6</v>
          </cell>
          <cell r="G195">
            <v>0.84199999999999997</v>
          </cell>
        </row>
        <row r="196">
          <cell r="B196" t="str">
            <v>ㄷ300x90x9x13</v>
          </cell>
          <cell r="F196">
            <v>38.1</v>
          </cell>
          <cell r="G196">
            <v>0.94199999999999995</v>
          </cell>
        </row>
        <row r="197">
          <cell r="B197" t="str">
            <v>ㄷ380x100x10.5x16</v>
          </cell>
          <cell r="F197">
            <v>54.5</v>
          </cell>
          <cell r="G197">
            <v>1.139</v>
          </cell>
        </row>
        <row r="198">
          <cell r="B198" t="str">
            <v>ㄷxx</v>
          </cell>
          <cell r="F198">
            <v>0</v>
          </cell>
          <cell r="G198">
            <v>0</v>
          </cell>
        </row>
        <row r="199">
          <cell r="B199" t="str">
            <v>ㄷxx</v>
          </cell>
          <cell r="F199">
            <v>0</v>
          </cell>
          <cell r="G199">
            <v>0</v>
          </cell>
        </row>
        <row r="200">
          <cell r="B200" t="str">
            <v>ㄷxx</v>
          </cell>
          <cell r="F200">
            <v>0</v>
          </cell>
          <cell r="G200">
            <v>0</v>
          </cell>
        </row>
        <row r="201">
          <cell r="B201" t="str">
            <v>ㄷxx</v>
          </cell>
          <cell r="F201">
            <v>0</v>
          </cell>
          <cell r="G201">
            <v>0</v>
          </cell>
        </row>
        <row r="202">
          <cell r="B202" t="str">
            <v>ㄷxx</v>
          </cell>
          <cell r="F202">
            <v>0</v>
          </cell>
          <cell r="G202">
            <v>0</v>
          </cell>
        </row>
        <row r="203">
          <cell r="B203" t="str">
            <v>C60×30x10x1.6</v>
          </cell>
          <cell r="F203">
            <v>1.63</v>
          </cell>
          <cell r="G203">
            <v>0.28000000000000003</v>
          </cell>
        </row>
        <row r="204">
          <cell r="B204" t="str">
            <v>C60×30x10x2</v>
          </cell>
          <cell r="F204">
            <v>1.99</v>
          </cell>
          <cell r="G204">
            <v>0.28000000000000003</v>
          </cell>
        </row>
        <row r="205">
          <cell r="B205" t="str">
            <v>C60×30x10x2.3</v>
          </cell>
          <cell r="F205">
            <v>2.25</v>
          </cell>
          <cell r="G205">
            <v>0.28000000000000003</v>
          </cell>
        </row>
        <row r="206">
          <cell r="B206" t="str">
            <v>C75×45x15x1.6</v>
          </cell>
          <cell r="F206">
            <v>2.3199999999999998</v>
          </cell>
          <cell r="G206">
            <v>0.39</v>
          </cell>
        </row>
        <row r="207">
          <cell r="B207" t="str">
            <v>C75×45x15x2</v>
          </cell>
          <cell r="F207">
            <v>2.86</v>
          </cell>
          <cell r="G207">
            <v>0.39</v>
          </cell>
        </row>
        <row r="208">
          <cell r="B208" t="str">
            <v>C75×45x15x2.3</v>
          </cell>
          <cell r="F208">
            <v>3.25</v>
          </cell>
          <cell r="G208">
            <v>0.39</v>
          </cell>
        </row>
        <row r="209">
          <cell r="B209" t="str">
            <v>C90×45x20x1.6</v>
          </cell>
          <cell r="F209">
            <v>2.63</v>
          </cell>
          <cell r="G209">
            <v>0.44</v>
          </cell>
        </row>
        <row r="210">
          <cell r="B210" t="str">
            <v>C90×45x20x2</v>
          </cell>
          <cell r="F210">
            <v>3.25</v>
          </cell>
          <cell r="G210">
            <v>0.44</v>
          </cell>
        </row>
        <row r="211">
          <cell r="B211" t="str">
            <v>C90×45x20x2.3</v>
          </cell>
          <cell r="F211">
            <v>3.7</v>
          </cell>
          <cell r="G211">
            <v>0.44</v>
          </cell>
        </row>
        <row r="212">
          <cell r="B212" t="str">
            <v>C90×45x20x3.2</v>
          </cell>
          <cell r="F212">
            <v>5</v>
          </cell>
          <cell r="G212">
            <v>0.44</v>
          </cell>
        </row>
        <row r="213">
          <cell r="B213" t="str">
            <v>C90×50x20x3.2</v>
          </cell>
          <cell r="F213">
            <v>5.25</v>
          </cell>
          <cell r="G213">
            <v>0.45</v>
          </cell>
        </row>
        <row r="214">
          <cell r="B214" t="str">
            <v>C100×50x20x1.6</v>
          </cell>
          <cell r="F214">
            <v>2.88</v>
          </cell>
          <cell r="G214">
            <v>0.48</v>
          </cell>
        </row>
        <row r="215">
          <cell r="B215" t="str">
            <v>C100×50x20x2</v>
          </cell>
          <cell r="F215">
            <v>3.56</v>
          </cell>
          <cell r="G215">
            <v>0.48</v>
          </cell>
        </row>
        <row r="216">
          <cell r="B216" t="str">
            <v>C100×50x20x2.3</v>
          </cell>
          <cell r="F216">
            <v>4.0599999999999996</v>
          </cell>
          <cell r="G216">
            <v>0.48</v>
          </cell>
        </row>
        <row r="217">
          <cell r="B217" t="str">
            <v>C100×50x20x2.6</v>
          </cell>
          <cell r="F217">
            <v>4.55</v>
          </cell>
          <cell r="G217">
            <v>0.48</v>
          </cell>
        </row>
        <row r="218">
          <cell r="B218" t="str">
            <v>C100×50x20x3.2</v>
          </cell>
          <cell r="F218">
            <v>5.5</v>
          </cell>
          <cell r="G218">
            <v>0.48</v>
          </cell>
        </row>
        <row r="219">
          <cell r="B219" t="str">
            <v>C125×50x20x2</v>
          </cell>
          <cell r="F219">
            <v>3.95</v>
          </cell>
          <cell r="G219">
            <v>0.53</v>
          </cell>
        </row>
        <row r="220">
          <cell r="B220" t="str">
            <v>C125×50x20x2.3</v>
          </cell>
          <cell r="F220">
            <v>4.51</v>
          </cell>
          <cell r="G220">
            <v>0.53</v>
          </cell>
        </row>
        <row r="221">
          <cell r="B221" t="str">
            <v>C125×50x20x3.2</v>
          </cell>
          <cell r="F221">
            <v>6.13</v>
          </cell>
          <cell r="G221">
            <v>0.53</v>
          </cell>
        </row>
        <row r="222">
          <cell r="B222" t="str">
            <v>C150×50x20x2.3</v>
          </cell>
          <cell r="F222">
            <v>4.96</v>
          </cell>
          <cell r="G222">
            <v>0.57999999999999996</v>
          </cell>
        </row>
        <row r="223">
          <cell r="B223" t="str">
            <v>C150×50x20x3.2</v>
          </cell>
          <cell r="F223">
            <v>6.76</v>
          </cell>
          <cell r="G223">
            <v>0.57999999999999996</v>
          </cell>
        </row>
        <row r="224">
          <cell r="B224" t="str">
            <v>C150×50x20x4.5</v>
          </cell>
          <cell r="F224">
            <v>9.1999999999999993</v>
          </cell>
          <cell r="G224">
            <v>0.57999999999999996</v>
          </cell>
        </row>
        <row r="225">
          <cell r="B225" t="str">
            <v>C150×65x20x2.3</v>
          </cell>
          <cell r="F225">
            <v>5.5</v>
          </cell>
          <cell r="G225">
            <v>0.64</v>
          </cell>
        </row>
        <row r="226">
          <cell r="B226" t="str">
            <v>C150×65x20x3.2</v>
          </cell>
          <cell r="F226">
            <v>7.51</v>
          </cell>
          <cell r="G226">
            <v>0.64</v>
          </cell>
        </row>
        <row r="227">
          <cell r="B227" t="str">
            <v>C150×65x20x4</v>
          </cell>
          <cell r="F227">
            <v>9.2200000000000006</v>
          </cell>
          <cell r="G227">
            <v>0.64</v>
          </cell>
        </row>
        <row r="228">
          <cell r="B228" t="str">
            <v>C150×75x20x3.2</v>
          </cell>
          <cell r="F228">
            <v>8.01</v>
          </cell>
          <cell r="G228">
            <v>0.7</v>
          </cell>
        </row>
        <row r="229">
          <cell r="B229" t="str">
            <v>C150×75x25x3.2</v>
          </cell>
          <cell r="F229">
            <v>8.27</v>
          </cell>
          <cell r="G229">
            <v>0.7</v>
          </cell>
        </row>
        <row r="230">
          <cell r="B230" t="str">
            <v>C150×75x25x4</v>
          </cell>
          <cell r="F230">
            <v>10.199999999999999</v>
          </cell>
          <cell r="G230">
            <v>0.7</v>
          </cell>
        </row>
        <row r="231">
          <cell r="B231" t="str">
            <v>C150×75x25x4.5</v>
          </cell>
          <cell r="F231">
            <v>11.3</v>
          </cell>
          <cell r="G231">
            <v>0.7</v>
          </cell>
        </row>
        <row r="232">
          <cell r="B232" t="str">
            <v>C200×75x20x3.2</v>
          </cell>
          <cell r="F232">
            <v>9.27</v>
          </cell>
          <cell r="G232">
            <v>0.78</v>
          </cell>
        </row>
        <row r="233">
          <cell r="B233" t="str">
            <v>C200×75x20x4</v>
          </cell>
          <cell r="F233">
            <v>11.4</v>
          </cell>
          <cell r="G233">
            <v>0.78</v>
          </cell>
        </row>
        <row r="234">
          <cell r="B234" t="str">
            <v>C200×75x20x4.5</v>
          </cell>
          <cell r="F234">
            <v>12.7</v>
          </cell>
          <cell r="G234">
            <v>0.78</v>
          </cell>
        </row>
        <row r="235">
          <cell r="B235" t="str">
            <v>C200×75x25x3.2</v>
          </cell>
          <cell r="F235">
            <v>9.52</v>
          </cell>
          <cell r="G235">
            <v>0.78</v>
          </cell>
        </row>
        <row r="236">
          <cell r="B236" t="str">
            <v>C200×75x25x4</v>
          </cell>
          <cell r="F236">
            <v>11.7</v>
          </cell>
          <cell r="G236">
            <v>0.78</v>
          </cell>
        </row>
        <row r="237">
          <cell r="B237" t="str">
            <v>C200×75x25x4.5</v>
          </cell>
          <cell r="F237">
            <v>13.1</v>
          </cell>
          <cell r="G237">
            <v>0.78</v>
          </cell>
        </row>
        <row r="238">
          <cell r="B238" t="str">
            <v>C250×75x25x4.5</v>
          </cell>
          <cell r="F238">
            <v>14.9</v>
          </cell>
          <cell r="G238">
            <v>0.9</v>
          </cell>
        </row>
        <row r="239">
          <cell r="B239" t="str">
            <v>C100×50x20x4</v>
          </cell>
          <cell r="F239">
            <v>7.71</v>
          </cell>
          <cell r="G239">
            <v>0.48</v>
          </cell>
        </row>
        <row r="240">
          <cell r="B240" t="str">
            <v>Cxx</v>
          </cell>
          <cell r="F240">
            <v>0</v>
          </cell>
          <cell r="G240">
            <v>0</v>
          </cell>
        </row>
        <row r="241">
          <cell r="B241" t="str">
            <v>Cxx</v>
          </cell>
          <cell r="F241">
            <v>0</v>
          </cell>
          <cell r="G241">
            <v>0</v>
          </cell>
        </row>
        <row r="242">
          <cell r="B242" t="str">
            <v>Cxx</v>
          </cell>
          <cell r="F242">
            <v>0</v>
          </cell>
          <cell r="G242">
            <v>0</v>
          </cell>
        </row>
        <row r="243">
          <cell r="B243" t="str">
            <v>Cxx</v>
          </cell>
          <cell r="F243">
            <v>0</v>
          </cell>
          <cell r="G243">
            <v>0</v>
          </cell>
        </row>
        <row r="244">
          <cell r="B244" t="str">
            <v>H100x100x6x8</v>
          </cell>
          <cell r="F244">
            <v>17.2</v>
          </cell>
          <cell r="G244">
            <v>0.57083185307179585</v>
          </cell>
        </row>
        <row r="245">
          <cell r="B245" t="str">
            <v>H125x125x6.5x9</v>
          </cell>
          <cell r="F245">
            <v>23.8</v>
          </cell>
          <cell r="G245">
            <v>0.71983185307179587</v>
          </cell>
        </row>
        <row r="246">
          <cell r="B246" t="str">
            <v>H150x75x5x7</v>
          </cell>
          <cell r="F246">
            <v>14</v>
          </cell>
          <cell r="G246">
            <v>0.5762654824574367</v>
          </cell>
        </row>
        <row r="247">
          <cell r="B247" t="str">
            <v>H150x100x6x9</v>
          </cell>
          <cell r="F247">
            <v>21.1</v>
          </cell>
          <cell r="G247">
            <v>0.66511503837897545</v>
          </cell>
        </row>
        <row r="248">
          <cell r="B248" t="str">
            <v>H150x150x7x10</v>
          </cell>
          <cell r="F248">
            <v>31.5</v>
          </cell>
          <cell r="G248">
            <v>0.86711503837897552</v>
          </cell>
        </row>
        <row r="249">
          <cell r="B249" t="str">
            <v>H200x100x4.5x7</v>
          </cell>
          <cell r="F249">
            <v>18.2</v>
          </cell>
          <cell r="G249">
            <v>0.76411503837897554</v>
          </cell>
        </row>
        <row r="250">
          <cell r="B250" t="str">
            <v>H200x100x5.5x8</v>
          </cell>
          <cell r="F250">
            <v>21.3</v>
          </cell>
          <cell r="G250">
            <v>0.77011503837897555</v>
          </cell>
        </row>
        <row r="251">
          <cell r="B251" t="str">
            <v>H200x150x6x9</v>
          </cell>
          <cell r="F251">
            <v>30.6</v>
          </cell>
          <cell r="G251">
            <v>0.95368140899333464</v>
          </cell>
        </row>
        <row r="252">
          <cell r="B252" t="str">
            <v>H200x200x8x12</v>
          </cell>
          <cell r="F252">
            <v>49.9</v>
          </cell>
          <cell r="G252">
            <v>1.1616814089933347</v>
          </cell>
        </row>
        <row r="253">
          <cell r="B253" t="str">
            <v>H200x200x12x12</v>
          </cell>
          <cell r="F253">
            <v>56.2</v>
          </cell>
          <cell r="G253">
            <v>1.1696814089933347</v>
          </cell>
        </row>
        <row r="254">
          <cell r="B254" t="str">
            <v>H200x200x10x16</v>
          </cell>
          <cell r="F254">
            <v>65.7</v>
          </cell>
          <cell r="G254">
            <v>1.1816814089933347</v>
          </cell>
        </row>
        <row r="255">
          <cell r="B255" t="str">
            <v>H250x125x5x8</v>
          </cell>
          <cell r="F255">
            <v>25.7</v>
          </cell>
          <cell r="G255">
            <v>0.96139822368615491</v>
          </cell>
        </row>
        <row r="256">
          <cell r="B256" t="str">
            <v>H250x125x6x9</v>
          </cell>
          <cell r="F256">
            <v>29.6</v>
          </cell>
          <cell r="G256">
            <v>0.96739822368615491</v>
          </cell>
        </row>
        <row r="257">
          <cell r="B257" t="str">
            <v>H250x175x7x11</v>
          </cell>
          <cell r="F257">
            <v>44.1</v>
          </cell>
          <cell r="G257">
            <v>1.1465309649148734</v>
          </cell>
        </row>
        <row r="258">
          <cell r="B258" t="str">
            <v>H250x250x11x11</v>
          </cell>
          <cell r="F258">
            <v>64.400000000000006</v>
          </cell>
          <cell r="G258">
            <v>1.4465309649148732</v>
          </cell>
        </row>
        <row r="259">
          <cell r="B259" t="str">
            <v>H250x250x8x13</v>
          </cell>
          <cell r="F259">
            <v>66.5</v>
          </cell>
          <cell r="G259">
            <v>1.4485309649148732</v>
          </cell>
        </row>
        <row r="260">
          <cell r="B260" t="str">
            <v>H250x250x9x14</v>
          </cell>
          <cell r="F260">
            <v>72.400000000000006</v>
          </cell>
          <cell r="G260">
            <v>1.4545309649148732</v>
          </cell>
        </row>
        <row r="261">
          <cell r="B261" t="str">
            <v>H250x250x14x14</v>
          </cell>
          <cell r="F261">
            <v>82.2</v>
          </cell>
          <cell r="G261">
            <v>1.4645309649148732</v>
          </cell>
        </row>
        <row r="262">
          <cell r="B262" t="str">
            <v>H300x150x5.5x8</v>
          </cell>
          <cell r="F262">
            <v>32</v>
          </cell>
          <cell r="G262">
            <v>1.1586814089933346</v>
          </cell>
        </row>
        <row r="263">
          <cell r="B263" t="str">
            <v>H300x150x6.5x9</v>
          </cell>
          <cell r="F263">
            <v>36.700000000000003</v>
          </cell>
          <cell r="G263">
            <v>1.1646814089933348</v>
          </cell>
        </row>
        <row r="264">
          <cell r="B264" t="str">
            <v>H300x200x8x12</v>
          </cell>
          <cell r="F264">
            <v>56.8</v>
          </cell>
          <cell r="G264">
            <v>1.3410973355292326</v>
          </cell>
        </row>
        <row r="265">
          <cell r="B265" t="str">
            <v>H300x200x9x14</v>
          </cell>
          <cell r="F265">
            <v>65.400000000000006</v>
          </cell>
          <cell r="G265">
            <v>1.3510973355292326</v>
          </cell>
        </row>
        <row r="266">
          <cell r="B266" t="str">
            <v>H300x300x12x12</v>
          </cell>
          <cell r="F266">
            <v>84.5</v>
          </cell>
          <cell r="G266">
            <v>1.7410973355292327</v>
          </cell>
        </row>
        <row r="267">
          <cell r="B267" t="str">
            <v>H300x300x9x14</v>
          </cell>
          <cell r="F267">
            <v>87</v>
          </cell>
          <cell r="G267">
            <v>1.7430973355292325</v>
          </cell>
        </row>
        <row r="268">
          <cell r="B268" t="str">
            <v>H300x300x10x15</v>
          </cell>
          <cell r="F268">
            <v>94</v>
          </cell>
          <cell r="G268">
            <v>1.7490973355292327</v>
          </cell>
        </row>
        <row r="269">
          <cell r="B269" t="str">
            <v>H300x300x15x15</v>
          </cell>
          <cell r="F269">
            <v>106</v>
          </cell>
          <cell r="G269">
            <v>1.7590973355292325</v>
          </cell>
        </row>
        <row r="270">
          <cell r="B270" t="str">
            <v>H300x300x11x17</v>
          </cell>
          <cell r="F270">
            <v>106</v>
          </cell>
          <cell r="G270">
            <v>1.7590973355292325</v>
          </cell>
        </row>
        <row r="271">
          <cell r="B271" t="str">
            <v>H300x300x15x20</v>
          </cell>
          <cell r="F271">
            <v>130</v>
          </cell>
          <cell r="G271">
            <v>1.7790973355292325</v>
          </cell>
        </row>
        <row r="272">
          <cell r="B272" t="str">
            <v>H300x300x20x20</v>
          </cell>
          <cell r="F272">
            <v>142</v>
          </cell>
          <cell r="G272">
            <v>1.7890973355292328</v>
          </cell>
        </row>
        <row r="273">
          <cell r="B273" t="str">
            <v>H350x175x6x9</v>
          </cell>
          <cell r="F273">
            <v>41.4</v>
          </cell>
          <cell r="G273">
            <v>1.3519645943005143</v>
          </cell>
        </row>
        <row r="274">
          <cell r="B274" t="str">
            <v>H350x175x7x11</v>
          </cell>
          <cell r="F274">
            <v>49.6</v>
          </cell>
          <cell r="G274">
            <v>1.3619645943005143</v>
          </cell>
        </row>
        <row r="275">
          <cell r="B275" t="str">
            <v>H350x175x8x13</v>
          </cell>
          <cell r="F275">
            <v>57.8</v>
          </cell>
          <cell r="G275">
            <v>1.3719645943005143</v>
          </cell>
        </row>
        <row r="276">
          <cell r="B276" t="str">
            <v>H340x250x8x12</v>
          </cell>
          <cell r="F276">
            <v>69.2</v>
          </cell>
          <cell r="G276">
            <v>1.6176637061435917</v>
          </cell>
        </row>
        <row r="277">
          <cell r="B277" t="str">
            <v>H340x250x9x14</v>
          </cell>
          <cell r="F277">
            <v>79.7</v>
          </cell>
          <cell r="G277">
            <v>1.6276637061435919</v>
          </cell>
        </row>
        <row r="278">
          <cell r="B278" t="str">
            <v>H350x350x10x16</v>
          </cell>
          <cell r="F278">
            <v>115</v>
          </cell>
          <cell r="G278">
            <v>2.0256637061435918</v>
          </cell>
        </row>
        <row r="279">
          <cell r="B279" t="str">
            <v>H350x350x16x16</v>
          </cell>
          <cell r="F279">
            <v>131</v>
          </cell>
          <cell r="G279">
            <v>2.0376637061435918</v>
          </cell>
        </row>
        <row r="280">
          <cell r="B280" t="str">
            <v>H350x350x12x19</v>
          </cell>
          <cell r="F280">
            <v>137</v>
          </cell>
          <cell r="G280">
            <v>2.0416637061435918</v>
          </cell>
        </row>
        <row r="281">
          <cell r="B281" t="str">
            <v>H350x350x19x19</v>
          </cell>
          <cell r="F281">
            <v>156</v>
          </cell>
          <cell r="G281">
            <v>2.0556637061435921</v>
          </cell>
        </row>
        <row r="282">
          <cell r="B282" t="str">
            <v>H400x200x7x11</v>
          </cell>
          <cell r="F282">
            <v>56.6</v>
          </cell>
          <cell r="G282">
            <v>1.5465309649148733</v>
          </cell>
        </row>
        <row r="283">
          <cell r="B283" t="str">
            <v>H400x200x8x13</v>
          </cell>
          <cell r="F283">
            <v>66</v>
          </cell>
          <cell r="G283">
            <v>1.5565309649148735</v>
          </cell>
        </row>
        <row r="284">
          <cell r="B284" t="str">
            <v>H400x200x9x15</v>
          </cell>
          <cell r="F284">
            <v>75.5</v>
          </cell>
          <cell r="G284">
            <v>1.5665309649148733</v>
          </cell>
        </row>
        <row r="285">
          <cell r="B285" t="str">
            <v>H400x300x9x14</v>
          </cell>
          <cell r="F285">
            <v>94.3</v>
          </cell>
          <cell r="G285">
            <v>1.912230076757951</v>
          </cell>
        </row>
        <row r="286">
          <cell r="B286" t="str">
            <v>H400x300x10x16</v>
          </cell>
          <cell r="F286">
            <v>107</v>
          </cell>
          <cell r="G286">
            <v>1.9222300767579508</v>
          </cell>
        </row>
        <row r="287">
          <cell r="B287" t="str">
            <v>H400x400x15x15</v>
          </cell>
          <cell r="F287">
            <v>140</v>
          </cell>
          <cell r="G287">
            <v>2.3162300767579507</v>
          </cell>
        </row>
        <row r="288">
          <cell r="B288" t="str">
            <v>H400x400x11x18</v>
          </cell>
          <cell r="F288">
            <v>147</v>
          </cell>
          <cell r="G288">
            <v>2.3202300767579507</v>
          </cell>
        </row>
        <row r="289">
          <cell r="B289" t="str">
            <v>H400x400x18x18</v>
          </cell>
          <cell r="F289">
            <v>168</v>
          </cell>
          <cell r="G289">
            <v>2.3342300767579509</v>
          </cell>
        </row>
        <row r="290">
          <cell r="B290" t="str">
            <v>H400x400x13x21</v>
          </cell>
          <cell r="F290">
            <v>172</v>
          </cell>
          <cell r="G290">
            <v>2.3362300767579507</v>
          </cell>
        </row>
        <row r="291">
          <cell r="B291" t="str">
            <v>H400x400x21x21</v>
          </cell>
          <cell r="F291">
            <v>197</v>
          </cell>
          <cell r="G291">
            <v>2.3522300767579507</v>
          </cell>
        </row>
        <row r="292">
          <cell r="B292" t="str">
            <v>H400x400x16x24</v>
          </cell>
          <cell r="F292">
            <v>200</v>
          </cell>
          <cell r="G292">
            <v>2.3542300767579509</v>
          </cell>
        </row>
        <row r="293">
          <cell r="B293" t="str">
            <v>H400x400x18x28</v>
          </cell>
          <cell r="F293">
            <v>232</v>
          </cell>
          <cell r="G293">
            <v>2.3742300767579509</v>
          </cell>
        </row>
        <row r="294">
          <cell r="B294" t="str">
            <v>H400x400x20x35</v>
          </cell>
          <cell r="F294">
            <v>283</v>
          </cell>
          <cell r="G294">
            <v>2.4062300767579505</v>
          </cell>
        </row>
        <row r="295">
          <cell r="B295" t="str">
            <v>H400x400x30x50</v>
          </cell>
          <cell r="F295">
            <v>415</v>
          </cell>
          <cell r="G295">
            <v>2.4862300767579506</v>
          </cell>
        </row>
        <row r="296">
          <cell r="B296" t="str">
            <v>H400x400x45x70</v>
          </cell>
          <cell r="F296">
            <v>605</v>
          </cell>
          <cell r="G296">
            <v>2.5962300767579509</v>
          </cell>
        </row>
        <row r="297">
          <cell r="B297" t="str">
            <v>H450x200x8x12</v>
          </cell>
          <cell r="F297">
            <v>66.2</v>
          </cell>
          <cell r="G297">
            <v>1.6410973355292326</v>
          </cell>
        </row>
        <row r="298">
          <cell r="B298" t="str">
            <v>H450x200x9x14</v>
          </cell>
          <cell r="F298">
            <v>76</v>
          </cell>
          <cell r="G298">
            <v>1.6510973355292327</v>
          </cell>
        </row>
        <row r="299">
          <cell r="B299" t="str">
            <v>H450x300x10x15</v>
          </cell>
          <cell r="F299">
            <v>106</v>
          </cell>
          <cell r="G299">
            <v>2.0027964473723103</v>
          </cell>
        </row>
        <row r="300">
          <cell r="B300" t="str">
            <v>H450x300x11x18</v>
          </cell>
          <cell r="F300">
            <v>124</v>
          </cell>
          <cell r="G300">
            <v>2.0167964473723101</v>
          </cell>
        </row>
        <row r="301">
          <cell r="B301" t="str">
            <v>H500x200x9x14</v>
          </cell>
          <cell r="F301">
            <v>79.5</v>
          </cell>
          <cell r="G301">
            <v>1.7356637061435918</v>
          </cell>
        </row>
        <row r="302">
          <cell r="B302" t="str">
            <v>H500x200x10x16</v>
          </cell>
          <cell r="F302">
            <v>89.6</v>
          </cell>
          <cell r="G302">
            <v>1.7456637061435918</v>
          </cell>
        </row>
        <row r="303">
          <cell r="B303" t="str">
            <v>H500x200x11x19</v>
          </cell>
          <cell r="F303">
            <v>103</v>
          </cell>
          <cell r="G303">
            <v>1.7596637061435918</v>
          </cell>
        </row>
        <row r="304">
          <cell r="B304" t="str">
            <v>H500x300x11x15</v>
          </cell>
          <cell r="F304">
            <v>114</v>
          </cell>
          <cell r="G304">
            <v>2.097362817986669</v>
          </cell>
        </row>
        <row r="305">
          <cell r="B305" t="str">
            <v>H500x300x11x18</v>
          </cell>
          <cell r="F305">
            <v>128</v>
          </cell>
          <cell r="G305">
            <v>2.109362817986669</v>
          </cell>
        </row>
        <row r="306">
          <cell r="B306" t="str">
            <v>H600x200x10x15</v>
          </cell>
          <cell r="F306">
            <v>94.6</v>
          </cell>
          <cell r="G306">
            <v>1.9302300767579512</v>
          </cell>
        </row>
        <row r="307">
          <cell r="B307" t="str">
            <v>H600x200x11x17</v>
          </cell>
          <cell r="F307">
            <v>106</v>
          </cell>
          <cell r="G307">
            <v>1.940230076757951</v>
          </cell>
        </row>
        <row r="308">
          <cell r="B308" t="str">
            <v>H600x200x12x20</v>
          </cell>
          <cell r="F308">
            <v>120</v>
          </cell>
          <cell r="G308">
            <v>1.9542300767579512</v>
          </cell>
        </row>
        <row r="309">
          <cell r="B309" t="str">
            <v>H600x200x13x23</v>
          </cell>
          <cell r="F309">
            <v>134</v>
          </cell>
          <cell r="G309">
            <v>1.968230076757951</v>
          </cell>
        </row>
        <row r="310">
          <cell r="B310" t="str">
            <v>H600x300x12x17</v>
          </cell>
          <cell r="F310">
            <v>137</v>
          </cell>
          <cell r="G310">
            <v>2.2919291886010287</v>
          </cell>
        </row>
        <row r="311">
          <cell r="B311" t="str">
            <v>H600x300x12x20</v>
          </cell>
          <cell r="F311">
            <v>151</v>
          </cell>
          <cell r="G311">
            <v>2.3039291886010287</v>
          </cell>
        </row>
        <row r="312">
          <cell r="B312" t="str">
            <v>H600x300x14x23</v>
          </cell>
          <cell r="F312">
            <v>175</v>
          </cell>
          <cell r="G312">
            <v>2.3199291886010287</v>
          </cell>
        </row>
        <row r="313">
          <cell r="B313" t="str">
            <v>H700x300x13x20</v>
          </cell>
          <cell r="F313">
            <v>166</v>
          </cell>
          <cell r="G313">
            <v>2.5099291886010286</v>
          </cell>
        </row>
        <row r="314">
          <cell r="B314" t="str">
            <v>H700x300x13x24</v>
          </cell>
          <cell r="F314">
            <v>185</v>
          </cell>
          <cell r="G314">
            <v>2.5259291886010287</v>
          </cell>
        </row>
        <row r="315">
          <cell r="B315" t="str">
            <v>H700x300x15x28</v>
          </cell>
          <cell r="F315">
            <v>215</v>
          </cell>
          <cell r="G315">
            <v>2.5459291886010287</v>
          </cell>
        </row>
        <row r="316">
          <cell r="B316" t="str">
            <v>H800x300x14x22</v>
          </cell>
          <cell r="F316">
            <v>191</v>
          </cell>
          <cell r="G316">
            <v>2.7079291886010286</v>
          </cell>
        </row>
        <row r="317">
          <cell r="B317" t="str">
            <v>H800x300x14x26</v>
          </cell>
          <cell r="F317">
            <v>210</v>
          </cell>
          <cell r="G317">
            <v>2.7239291886010286</v>
          </cell>
        </row>
        <row r="318">
          <cell r="B318" t="str">
            <v>H800x300x16x30</v>
          </cell>
          <cell r="F318">
            <v>241</v>
          </cell>
          <cell r="G318">
            <v>2.7439291886010286</v>
          </cell>
        </row>
        <row r="319">
          <cell r="B319" t="str">
            <v>H900x300x15x23</v>
          </cell>
          <cell r="F319">
            <v>210</v>
          </cell>
          <cell r="G319">
            <v>2.9150973355292327</v>
          </cell>
        </row>
        <row r="320">
          <cell r="B320" t="str">
            <v>H900x300x16x28</v>
          </cell>
          <cell r="F320">
            <v>240</v>
          </cell>
          <cell r="G320">
            <v>2.9370973355292325</v>
          </cell>
        </row>
        <row r="321">
          <cell r="B321" t="str">
            <v>H900x300x18x34</v>
          </cell>
          <cell r="F321">
            <v>283</v>
          </cell>
          <cell r="G321">
            <v>2.9650973355292325</v>
          </cell>
        </row>
        <row r="322">
          <cell r="B322" t="str">
            <v>H900x300x19x37</v>
          </cell>
          <cell r="F322">
            <v>304</v>
          </cell>
          <cell r="G322">
            <v>2.9790973355292327</v>
          </cell>
        </row>
        <row r="323">
          <cell r="B323" t="str">
            <v>Hxx</v>
          </cell>
          <cell r="F323">
            <v>0</v>
          </cell>
          <cell r="G323">
            <v>0</v>
          </cell>
        </row>
        <row r="324">
          <cell r="B324" t="str">
            <v>Hxx</v>
          </cell>
          <cell r="F324">
            <v>0</v>
          </cell>
          <cell r="G324">
            <v>0</v>
          </cell>
        </row>
        <row r="325">
          <cell r="B325" t="str">
            <v>Hxx</v>
          </cell>
          <cell r="F325">
            <v>0</v>
          </cell>
          <cell r="G325">
            <v>0</v>
          </cell>
        </row>
        <row r="326">
          <cell r="B326" t="str">
            <v>Hxx</v>
          </cell>
          <cell r="F326">
            <v>0</v>
          </cell>
          <cell r="G326">
            <v>0</v>
          </cell>
        </row>
        <row r="327">
          <cell r="B327" t="str">
            <v>Hxx</v>
          </cell>
          <cell r="F327">
            <v>0</v>
          </cell>
          <cell r="G327">
            <v>0</v>
          </cell>
        </row>
        <row r="328">
          <cell r="B328" t="str">
            <v>H100X75x3.2x4.5</v>
          </cell>
          <cell r="F328">
            <v>9.66</v>
          </cell>
          <cell r="G328">
            <v>0.48501592653589787</v>
          </cell>
        </row>
        <row r="329">
          <cell r="B329" t="str">
            <v>H100X100x3.2x4.5</v>
          </cell>
          <cell r="F329">
            <v>11.91</v>
          </cell>
          <cell r="G329">
            <v>0.58501592653589796</v>
          </cell>
        </row>
        <row r="330">
          <cell r="B330" t="str">
            <v>H100X100x6x9</v>
          </cell>
          <cell r="F330">
            <v>22.92</v>
          </cell>
          <cell r="G330">
            <v>0.57941592653589802</v>
          </cell>
        </row>
        <row r="331">
          <cell r="B331" t="str">
            <v>H125X75x3.2x4.5</v>
          </cell>
          <cell r="F331">
            <v>10.46</v>
          </cell>
          <cell r="G331">
            <v>0.51</v>
          </cell>
        </row>
        <row r="332">
          <cell r="B332" t="str">
            <v>H125X100x3.2x4.5</v>
          </cell>
          <cell r="F332">
            <v>12.71</v>
          </cell>
          <cell r="G332">
            <v>0.62</v>
          </cell>
        </row>
        <row r="333">
          <cell r="B333" t="str">
            <v>H125X125x6x9</v>
          </cell>
          <cell r="F333">
            <v>28.92</v>
          </cell>
          <cell r="G333">
            <v>0.72941592653589793</v>
          </cell>
        </row>
        <row r="334">
          <cell r="B334" t="str">
            <v>H150X75x3.2x4.5</v>
          </cell>
          <cell r="F334">
            <v>11.26</v>
          </cell>
          <cell r="G334">
            <v>0.58501592653589807</v>
          </cell>
        </row>
        <row r="335">
          <cell r="B335" t="str">
            <v>H150X75x3.2x6</v>
          </cell>
          <cell r="F335">
            <v>13.42</v>
          </cell>
          <cell r="G335">
            <v>0.58501592653589807</v>
          </cell>
        </row>
        <row r="336">
          <cell r="B336" t="str">
            <v>H150X75x5x7</v>
          </cell>
          <cell r="F336">
            <v>17.3</v>
          </cell>
          <cell r="G336">
            <v>0.58141592653589802</v>
          </cell>
        </row>
        <row r="337">
          <cell r="B337" t="str">
            <v>H150X100x3.2x4.5</v>
          </cell>
          <cell r="F337">
            <v>13.51</v>
          </cell>
          <cell r="G337">
            <v>0.68501592653589805</v>
          </cell>
        </row>
        <row r="338">
          <cell r="B338" t="str">
            <v>H150X100x3.2x6</v>
          </cell>
          <cell r="F338">
            <v>16.420000000000002</v>
          </cell>
          <cell r="G338">
            <v>0.68501592653589805</v>
          </cell>
        </row>
        <row r="339">
          <cell r="B339" t="str">
            <v>H150X100x6x9</v>
          </cell>
          <cell r="F339">
            <v>25.92</v>
          </cell>
          <cell r="G339">
            <v>0.679415926535898</v>
          </cell>
        </row>
        <row r="340">
          <cell r="B340" t="str">
            <v>H150X150x3.2x6</v>
          </cell>
          <cell r="F340">
            <v>22.42</v>
          </cell>
          <cell r="G340">
            <v>0.88501592653589811</v>
          </cell>
        </row>
        <row r="341">
          <cell r="B341" t="str">
            <v>H150X150x6x9</v>
          </cell>
          <cell r="F341">
            <v>34.92</v>
          </cell>
          <cell r="G341">
            <v>0.87941592653589806</v>
          </cell>
        </row>
        <row r="342">
          <cell r="B342" t="str">
            <v>H175x90x3.2x4.5</v>
          </cell>
          <cell r="F342">
            <v>13.41</v>
          </cell>
          <cell r="G342">
            <v>0.69</v>
          </cell>
        </row>
        <row r="343">
          <cell r="B343" t="str">
            <v>H200x100x3.2x4.5</v>
          </cell>
          <cell r="F343">
            <v>15.11</v>
          </cell>
          <cell r="G343">
            <v>0.78501592653589802</v>
          </cell>
        </row>
        <row r="344">
          <cell r="B344" t="str">
            <v>H200x100x3.2x6</v>
          </cell>
          <cell r="F344">
            <v>18.02</v>
          </cell>
          <cell r="G344">
            <v>0.78501592653589802</v>
          </cell>
        </row>
        <row r="345">
          <cell r="B345" t="str">
            <v>H200x150x3.2x4.5</v>
          </cell>
          <cell r="F345">
            <v>19.61</v>
          </cell>
          <cell r="G345">
            <v>0.98501592653589798</v>
          </cell>
        </row>
        <row r="346">
          <cell r="B346" t="str">
            <v>H200x150x3.2x6</v>
          </cell>
          <cell r="F346">
            <v>24.02</v>
          </cell>
          <cell r="G346">
            <v>0.98501592653589798</v>
          </cell>
        </row>
        <row r="347">
          <cell r="B347" t="str">
            <v>H200x150x4.5x6</v>
          </cell>
          <cell r="F347">
            <v>26.46</v>
          </cell>
          <cell r="G347">
            <v>0.98241592653589793</v>
          </cell>
        </row>
        <row r="348">
          <cell r="B348" t="str">
            <v>H200x150x6x9</v>
          </cell>
          <cell r="F348">
            <v>37.92</v>
          </cell>
          <cell r="G348">
            <v>0.97941592653589793</v>
          </cell>
        </row>
        <row r="349">
          <cell r="B349" t="str">
            <v>H200x200x6x9</v>
          </cell>
          <cell r="F349">
            <v>46.92</v>
          </cell>
          <cell r="G349">
            <v>1.1794159265358981</v>
          </cell>
        </row>
        <row r="350">
          <cell r="B350" t="str">
            <v>H250x100x3.2.x4.5</v>
          </cell>
          <cell r="F350">
            <v>16.71</v>
          </cell>
          <cell r="G350">
            <v>0.89</v>
          </cell>
        </row>
        <row r="351">
          <cell r="B351" t="str">
            <v>H250x100x4.5x9</v>
          </cell>
          <cell r="F351">
            <v>28.44</v>
          </cell>
          <cell r="G351">
            <v>0.88</v>
          </cell>
        </row>
        <row r="352">
          <cell r="B352" t="str">
            <v>H250x125x3.2x4.5</v>
          </cell>
          <cell r="F352">
            <v>18.96</v>
          </cell>
          <cell r="G352">
            <v>0.98501592653589798</v>
          </cell>
        </row>
        <row r="353">
          <cell r="B353" t="str">
            <v>H250x125x4.5x6</v>
          </cell>
          <cell r="F353">
            <v>25.71</v>
          </cell>
          <cell r="G353">
            <v>0.98241592653589793</v>
          </cell>
        </row>
        <row r="354">
          <cell r="B354" t="str">
            <v>H250x125x4.5x9</v>
          </cell>
          <cell r="F354">
            <v>32.94</v>
          </cell>
          <cell r="G354">
            <v>0.98241592653589793</v>
          </cell>
        </row>
        <row r="355">
          <cell r="B355" t="str">
            <v>H250x150x3.2x4.5</v>
          </cell>
          <cell r="F355">
            <v>21.21</v>
          </cell>
          <cell r="G355">
            <v>1.0850159265358981</v>
          </cell>
        </row>
        <row r="356">
          <cell r="B356" t="str">
            <v>H250x150x4.5x6</v>
          </cell>
          <cell r="F356">
            <v>28.71</v>
          </cell>
          <cell r="G356">
            <v>1.0824159265358981</v>
          </cell>
        </row>
        <row r="357">
          <cell r="B357" t="str">
            <v>H250x150x4.5x9</v>
          </cell>
          <cell r="F357">
            <v>37.44</v>
          </cell>
          <cell r="G357">
            <v>1.0824159265358981</v>
          </cell>
        </row>
        <row r="358">
          <cell r="B358" t="str">
            <v>H250x175x6x9</v>
          </cell>
          <cell r="F358">
            <v>45.22</v>
          </cell>
          <cell r="G358">
            <v>1.1794159265358979</v>
          </cell>
        </row>
        <row r="359">
          <cell r="B359" t="str">
            <v>H250x250x6x9</v>
          </cell>
          <cell r="F359">
            <v>58.92</v>
          </cell>
          <cell r="G359">
            <v>1.4794159265358979</v>
          </cell>
        </row>
        <row r="360">
          <cell r="B360" t="str">
            <v>H300x150x3.2x4.5</v>
          </cell>
          <cell r="F360">
            <v>22.81</v>
          </cell>
          <cell r="G360">
            <v>1.1850159265358979</v>
          </cell>
        </row>
        <row r="361">
          <cell r="B361" t="str">
            <v>H300x150x4.5x6</v>
          </cell>
          <cell r="F361">
            <v>30.96</v>
          </cell>
          <cell r="G361">
            <v>1.1824159265358978</v>
          </cell>
        </row>
        <row r="362">
          <cell r="B362" t="str">
            <v>H300x150x4.5x9</v>
          </cell>
          <cell r="F362">
            <v>39.69</v>
          </cell>
          <cell r="G362">
            <v>1.1824159265358978</v>
          </cell>
        </row>
        <row r="363">
          <cell r="B363" t="str">
            <v>H300x150x6x9</v>
          </cell>
          <cell r="F363">
            <v>43.92</v>
          </cell>
          <cell r="G363">
            <v>1.1794159265358979</v>
          </cell>
        </row>
        <row r="364">
          <cell r="B364" t="str">
            <v>H300x175x4.5x6</v>
          </cell>
          <cell r="F364">
            <v>33.96</v>
          </cell>
          <cell r="G364">
            <v>1.2824159265358979</v>
          </cell>
        </row>
        <row r="365">
          <cell r="B365" t="str">
            <v>H300x175x4.5x9</v>
          </cell>
          <cell r="F365">
            <v>44.19</v>
          </cell>
          <cell r="G365">
            <v>1.2824159265358979</v>
          </cell>
        </row>
        <row r="366">
          <cell r="B366" t="str">
            <v>H300x200x6x9</v>
          </cell>
          <cell r="F366">
            <v>52.92</v>
          </cell>
          <cell r="G366">
            <v>1.3794159265358978</v>
          </cell>
        </row>
        <row r="367">
          <cell r="B367" t="str">
            <v>H300x300x6x9</v>
          </cell>
          <cell r="F367">
            <v>70.92</v>
          </cell>
          <cell r="G367">
            <v>1.7794159265358978</v>
          </cell>
        </row>
        <row r="368">
          <cell r="B368" t="str">
            <v>H350x175x4.5x6</v>
          </cell>
          <cell r="F368">
            <v>36.21</v>
          </cell>
          <cell r="G368">
            <v>1.382415926535898</v>
          </cell>
        </row>
        <row r="369">
          <cell r="B369" t="str">
            <v>H350x175x4.5x9</v>
          </cell>
          <cell r="F369">
            <v>46.44</v>
          </cell>
          <cell r="G369">
            <v>1.382415926535898</v>
          </cell>
        </row>
        <row r="370">
          <cell r="B370" t="str">
            <v>H350x175x6x9</v>
          </cell>
          <cell r="F370">
            <v>58.42</v>
          </cell>
          <cell r="G370">
            <v>1.3794159265358981</v>
          </cell>
        </row>
        <row r="371">
          <cell r="B371" t="str">
            <v>H350x200x6x9</v>
          </cell>
          <cell r="F371">
            <v>55.92</v>
          </cell>
          <cell r="G371">
            <v>1.4794159265358979</v>
          </cell>
        </row>
        <row r="372">
          <cell r="B372" t="str">
            <v>H400x200x4.5x9</v>
          </cell>
          <cell r="F372">
            <v>53.19</v>
          </cell>
          <cell r="G372">
            <v>1.5824159265358981</v>
          </cell>
        </row>
        <row r="373">
          <cell r="B373" t="str">
            <v>H400x200x6x9</v>
          </cell>
          <cell r="F373">
            <v>58.92</v>
          </cell>
          <cell r="G373">
            <v>1.579415926535898</v>
          </cell>
        </row>
        <row r="374">
          <cell r="B374" t="str">
            <v>H400x300x6x9</v>
          </cell>
          <cell r="F374">
            <v>76.92</v>
          </cell>
          <cell r="G374">
            <v>1.9794159265358979</v>
          </cell>
        </row>
        <row r="375">
          <cell r="B375" t="str">
            <v>H450x200x4.5x9</v>
          </cell>
          <cell r="F375">
            <v>55.44</v>
          </cell>
          <cell r="G375">
            <v>1.682415926535898</v>
          </cell>
        </row>
        <row r="376">
          <cell r="B376" t="str">
            <v>H450x300x6x9</v>
          </cell>
          <cell r="F376">
            <v>79.92</v>
          </cell>
          <cell r="G376">
            <v>2.0794159265358978</v>
          </cell>
        </row>
        <row r="377">
          <cell r="B377" t="str">
            <v>H450x300x9x10</v>
          </cell>
          <cell r="F377">
            <v>98.7</v>
          </cell>
          <cell r="G377">
            <v>2.0734159265358976</v>
          </cell>
        </row>
        <row r="378">
          <cell r="B378" t="str">
            <v>Hxx</v>
          </cell>
          <cell r="F378">
            <v>0</v>
          </cell>
          <cell r="G378">
            <v>0</v>
          </cell>
        </row>
        <row r="379">
          <cell r="B379" t="str">
            <v>Hxx</v>
          </cell>
          <cell r="F379">
            <v>0</v>
          </cell>
          <cell r="G379">
            <v>0</v>
          </cell>
        </row>
        <row r="380">
          <cell r="B380" t="str">
            <v>Hxx</v>
          </cell>
          <cell r="F380">
            <v>0</v>
          </cell>
          <cell r="G380">
            <v>0</v>
          </cell>
        </row>
        <row r="381">
          <cell r="B381" t="str">
            <v>Hxx</v>
          </cell>
          <cell r="F381">
            <v>0</v>
          </cell>
          <cell r="G381">
            <v>0</v>
          </cell>
        </row>
        <row r="382">
          <cell r="B382" t="str">
            <v>Hxx</v>
          </cell>
          <cell r="F382">
            <v>0</v>
          </cell>
          <cell r="G382">
            <v>0</v>
          </cell>
        </row>
        <row r="383">
          <cell r="B383" t="str">
            <v>Φ6</v>
          </cell>
          <cell r="F383">
            <v>0.222</v>
          </cell>
          <cell r="G383">
            <v>1.8839999999999999E-2</v>
          </cell>
        </row>
        <row r="384">
          <cell r="B384" t="str">
            <v>Φ7</v>
          </cell>
          <cell r="F384">
            <v>0.30199999999999999</v>
          </cell>
          <cell r="G384">
            <v>2.198E-2</v>
          </cell>
        </row>
        <row r="385">
          <cell r="B385" t="str">
            <v>Φ8</v>
          </cell>
          <cell r="F385">
            <v>0.39500000000000002</v>
          </cell>
          <cell r="G385">
            <v>2.512E-2</v>
          </cell>
        </row>
        <row r="386">
          <cell r="B386" t="str">
            <v>Φ9</v>
          </cell>
          <cell r="F386">
            <v>0.44900000000000001</v>
          </cell>
          <cell r="G386">
            <v>2.826E-2</v>
          </cell>
        </row>
        <row r="387">
          <cell r="B387" t="str">
            <v>Φ10</v>
          </cell>
          <cell r="F387">
            <v>0.61699999999999999</v>
          </cell>
          <cell r="G387">
            <v>3.1400000000000004E-2</v>
          </cell>
        </row>
        <row r="388">
          <cell r="B388" t="str">
            <v>Φ11</v>
          </cell>
          <cell r="F388">
            <v>0.746</v>
          </cell>
          <cell r="G388">
            <v>3.4540000000000001E-2</v>
          </cell>
        </row>
        <row r="389">
          <cell r="B389" t="str">
            <v>Φ12</v>
          </cell>
          <cell r="F389">
            <v>0.88800000000000001</v>
          </cell>
          <cell r="G389">
            <v>3.7679999999999998E-2</v>
          </cell>
        </row>
        <row r="390">
          <cell r="B390" t="str">
            <v>Φ13</v>
          </cell>
          <cell r="F390">
            <v>1.04</v>
          </cell>
          <cell r="G390">
            <v>4.0820000000000002E-2</v>
          </cell>
        </row>
        <row r="391">
          <cell r="B391" t="str">
            <v>Φ14</v>
          </cell>
          <cell r="F391">
            <v>1.21</v>
          </cell>
          <cell r="G391">
            <v>4.3959999999999999E-2</v>
          </cell>
        </row>
        <row r="392">
          <cell r="B392" t="str">
            <v>Φ16</v>
          </cell>
          <cell r="F392">
            <v>1.58</v>
          </cell>
          <cell r="G392">
            <v>5.024E-2</v>
          </cell>
        </row>
        <row r="393">
          <cell r="B393" t="str">
            <v>Φ18</v>
          </cell>
          <cell r="F393">
            <v>2</v>
          </cell>
          <cell r="G393">
            <v>5.6520000000000001E-2</v>
          </cell>
        </row>
        <row r="394">
          <cell r="B394" t="str">
            <v>Φ19</v>
          </cell>
          <cell r="F394">
            <v>2.23</v>
          </cell>
          <cell r="G394">
            <v>5.9660000000000005E-2</v>
          </cell>
        </row>
        <row r="395">
          <cell r="B395" t="str">
            <v>Φ20</v>
          </cell>
          <cell r="F395">
            <v>2.4700000000000002</v>
          </cell>
          <cell r="G395">
            <v>6.2800000000000009E-2</v>
          </cell>
        </row>
        <row r="396">
          <cell r="B396" t="str">
            <v>Φ22</v>
          </cell>
          <cell r="F396">
            <v>2.98</v>
          </cell>
          <cell r="G396">
            <v>6.9080000000000003E-2</v>
          </cell>
        </row>
        <row r="397">
          <cell r="B397" t="str">
            <v>Φ24</v>
          </cell>
          <cell r="F397">
            <v>3.55</v>
          </cell>
          <cell r="G397">
            <v>7.5359999999999996E-2</v>
          </cell>
        </row>
        <row r="398">
          <cell r="B398" t="str">
            <v>Φ25</v>
          </cell>
          <cell r="F398">
            <v>3.85</v>
          </cell>
          <cell r="G398">
            <v>7.85E-2</v>
          </cell>
        </row>
        <row r="399">
          <cell r="B399" t="str">
            <v>Φ27</v>
          </cell>
          <cell r="F399">
            <v>4.49</v>
          </cell>
          <cell r="G399">
            <v>8.4779999999999994E-2</v>
          </cell>
        </row>
        <row r="400">
          <cell r="B400" t="str">
            <v>Φ28</v>
          </cell>
          <cell r="F400">
            <v>4.83</v>
          </cell>
          <cell r="G400">
            <v>8.7919999999999998E-2</v>
          </cell>
        </row>
        <row r="401">
          <cell r="B401" t="str">
            <v>Φ30</v>
          </cell>
          <cell r="F401">
            <v>5.55</v>
          </cell>
          <cell r="G401">
            <v>9.4200000000000006E-2</v>
          </cell>
        </row>
        <row r="402">
          <cell r="B402" t="str">
            <v>Φ32</v>
          </cell>
          <cell r="F402">
            <v>6.31</v>
          </cell>
          <cell r="G402">
            <v>0.10048</v>
          </cell>
        </row>
        <row r="403">
          <cell r="B403" t="str">
            <v>Φ33</v>
          </cell>
          <cell r="F403">
            <v>6.71</v>
          </cell>
          <cell r="G403">
            <v>0.10362</v>
          </cell>
        </row>
        <row r="404">
          <cell r="B404" t="str">
            <v>Φ36</v>
          </cell>
          <cell r="F404">
            <v>7.99</v>
          </cell>
          <cell r="G404">
            <v>0.11304</v>
          </cell>
        </row>
        <row r="405">
          <cell r="B405" t="str">
            <v>Φ38</v>
          </cell>
          <cell r="F405">
            <v>8.9</v>
          </cell>
          <cell r="G405">
            <v>0.11932000000000001</v>
          </cell>
        </row>
        <row r="406">
          <cell r="B406" t="str">
            <v>Φ39</v>
          </cell>
          <cell r="F406">
            <v>9.3800000000000008</v>
          </cell>
          <cell r="G406">
            <v>0.12246000000000001</v>
          </cell>
        </row>
        <row r="407">
          <cell r="B407" t="str">
            <v>Φ42</v>
          </cell>
          <cell r="F407">
            <v>10.9</v>
          </cell>
          <cell r="G407">
            <v>0.13188</v>
          </cell>
        </row>
        <row r="408">
          <cell r="B408" t="str">
            <v>Φ45</v>
          </cell>
          <cell r="F408">
            <v>12.5</v>
          </cell>
          <cell r="G408">
            <v>0.14130000000000001</v>
          </cell>
        </row>
        <row r="409">
          <cell r="B409" t="str">
            <v>Φ46</v>
          </cell>
          <cell r="F409">
            <v>13</v>
          </cell>
          <cell r="G409">
            <v>0.14443999999999999</v>
          </cell>
        </row>
        <row r="410">
          <cell r="B410" t="str">
            <v>Φ48</v>
          </cell>
          <cell r="F410">
            <v>14.2</v>
          </cell>
          <cell r="G410">
            <v>0.15071999999999999</v>
          </cell>
        </row>
        <row r="411">
          <cell r="B411" t="str">
            <v>Φ50</v>
          </cell>
          <cell r="F411">
            <v>15.4</v>
          </cell>
          <cell r="G411">
            <v>0.157</v>
          </cell>
        </row>
        <row r="412">
          <cell r="B412" t="str">
            <v>Φ52</v>
          </cell>
          <cell r="F412">
            <v>16.7</v>
          </cell>
          <cell r="G412">
            <v>0.16328000000000001</v>
          </cell>
        </row>
        <row r="413">
          <cell r="B413" t="str">
            <v>Φ55</v>
          </cell>
          <cell r="F413">
            <v>18.7</v>
          </cell>
          <cell r="G413">
            <v>0.17270000000000002</v>
          </cell>
        </row>
        <row r="414">
          <cell r="B414" t="str">
            <v>Φ56</v>
          </cell>
          <cell r="F414">
            <v>19.3</v>
          </cell>
          <cell r="G414">
            <v>0.17584</v>
          </cell>
        </row>
        <row r="415">
          <cell r="B415" t="str">
            <v>Φ60</v>
          </cell>
          <cell r="F415">
            <v>22.2</v>
          </cell>
          <cell r="G415">
            <v>0.18840000000000001</v>
          </cell>
        </row>
        <row r="416">
          <cell r="B416" t="str">
            <v>Φ64</v>
          </cell>
          <cell r="F416">
            <v>25.3</v>
          </cell>
          <cell r="G416">
            <v>0.20096</v>
          </cell>
        </row>
        <row r="417">
          <cell r="B417" t="str">
            <v>Φ65</v>
          </cell>
          <cell r="F417">
            <v>26</v>
          </cell>
          <cell r="G417">
            <v>0.2041</v>
          </cell>
        </row>
        <row r="418">
          <cell r="B418" t="str">
            <v>Φ68</v>
          </cell>
          <cell r="F418">
            <v>28.5</v>
          </cell>
          <cell r="G418">
            <v>0.21352000000000002</v>
          </cell>
        </row>
        <row r="419">
          <cell r="B419" t="str">
            <v>Φ70</v>
          </cell>
          <cell r="F419">
            <v>30.2</v>
          </cell>
          <cell r="G419">
            <v>0.21980000000000002</v>
          </cell>
        </row>
        <row r="420">
          <cell r="B420" t="str">
            <v>Φ75</v>
          </cell>
          <cell r="F420">
            <v>34.700000000000003</v>
          </cell>
          <cell r="G420">
            <v>0.23549999999999999</v>
          </cell>
        </row>
        <row r="421">
          <cell r="B421" t="str">
            <v>Φ80</v>
          </cell>
          <cell r="F421">
            <v>39.5</v>
          </cell>
          <cell r="G421">
            <v>0.25120000000000003</v>
          </cell>
        </row>
        <row r="422">
          <cell r="B422" t="str">
            <v>Φ85</v>
          </cell>
          <cell r="F422">
            <v>44.5</v>
          </cell>
          <cell r="G422">
            <v>0.26690000000000003</v>
          </cell>
        </row>
        <row r="423">
          <cell r="B423" t="str">
            <v>Φ90</v>
          </cell>
          <cell r="F423">
            <v>49.9</v>
          </cell>
          <cell r="G423">
            <v>0.28260000000000002</v>
          </cell>
        </row>
        <row r="424">
          <cell r="B424" t="str">
            <v>Φ95</v>
          </cell>
          <cell r="F424">
            <v>55.6</v>
          </cell>
          <cell r="G424">
            <v>0.29830000000000001</v>
          </cell>
        </row>
        <row r="425">
          <cell r="B425" t="str">
            <v>Φ100</v>
          </cell>
          <cell r="F425">
            <v>61.7</v>
          </cell>
          <cell r="G425">
            <v>0.314</v>
          </cell>
        </row>
        <row r="426">
          <cell r="B426" t="str">
            <v>Φ110</v>
          </cell>
          <cell r="F426">
            <v>74.599999999999994</v>
          </cell>
          <cell r="G426">
            <v>0.34540000000000004</v>
          </cell>
        </row>
        <row r="427">
          <cell r="B427" t="str">
            <v>Φ120</v>
          </cell>
          <cell r="F427">
            <v>88.8</v>
          </cell>
          <cell r="G427">
            <v>0.37680000000000002</v>
          </cell>
        </row>
        <row r="428">
          <cell r="B428" t="str">
            <v>Φ130</v>
          </cell>
          <cell r="F428">
            <v>104</v>
          </cell>
          <cell r="G428">
            <v>0.40820000000000001</v>
          </cell>
        </row>
        <row r="429">
          <cell r="B429" t="str">
            <v>Φ</v>
          </cell>
          <cell r="F429">
            <v>0</v>
          </cell>
          <cell r="G429">
            <v>0</v>
          </cell>
        </row>
        <row r="430">
          <cell r="B430" t="str">
            <v>Φ</v>
          </cell>
          <cell r="F430">
            <v>0</v>
          </cell>
          <cell r="G430">
            <v>0</v>
          </cell>
        </row>
        <row r="431">
          <cell r="B431" t="str">
            <v>Φ</v>
          </cell>
          <cell r="F431">
            <v>0</v>
          </cell>
          <cell r="G431">
            <v>0</v>
          </cell>
        </row>
        <row r="432">
          <cell r="B432" t="str">
            <v>Φ</v>
          </cell>
          <cell r="F432">
            <v>0</v>
          </cell>
          <cell r="G432">
            <v>0</v>
          </cell>
        </row>
        <row r="433">
          <cell r="B433" t="str">
            <v>Φ</v>
          </cell>
          <cell r="F433">
            <v>0</v>
          </cell>
          <cell r="G433">
            <v>0</v>
          </cell>
        </row>
        <row r="434">
          <cell r="B434" t="str">
            <v>Φ21.7x2</v>
          </cell>
          <cell r="F434">
            <v>0.97199999999999998</v>
          </cell>
          <cell r="G434">
            <v>6.8138000000000004E-2</v>
          </cell>
        </row>
        <row r="435">
          <cell r="B435" t="str">
            <v>Φ27.2x2</v>
          </cell>
          <cell r="F435">
            <v>1.24</v>
          </cell>
          <cell r="G435">
            <v>8.5407999999999998E-2</v>
          </cell>
        </row>
        <row r="436">
          <cell r="B436" t="str">
            <v>Φ27.2x2.3</v>
          </cell>
          <cell r="F436">
            <v>1.41</v>
          </cell>
          <cell r="G436">
            <v>8.5407999999999998E-2</v>
          </cell>
        </row>
        <row r="437">
          <cell r="B437" t="str">
            <v>Φ34x2.3</v>
          </cell>
          <cell r="F437">
            <v>1.8</v>
          </cell>
          <cell r="G437">
            <v>0.10676000000000001</v>
          </cell>
        </row>
        <row r="438">
          <cell r="B438" t="str">
            <v>Φ42.7x2.3</v>
          </cell>
          <cell r="F438">
            <v>2.29</v>
          </cell>
          <cell r="G438">
            <v>0.134078</v>
          </cell>
        </row>
        <row r="439">
          <cell r="B439" t="str">
            <v>Φ42.7x2.8</v>
          </cell>
          <cell r="F439">
            <v>2.76</v>
          </cell>
          <cell r="G439">
            <v>0.134078</v>
          </cell>
        </row>
        <row r="440">
          <cell r="B440" t="str">
            <v>Φ48.6x2.3</v>
          </cell>
          <cell r="F440">
            <v>2.63</v>
          </cell>
          <cell r="G440">
            <v>0.15260400000000002</v>
          </cell>
        </row>
        <row r="441">
          <cell r="B441" t="str">
            <v>Φ48.6x2.8</v>
          </cell>
          <cell r="F441">
            <v>3.16</v>
          </cell>
          <cell r="G441">
            <v>0.15260400000000002</v>
          </cell>
        </row>
        <row r="442">
          <cell r="B442" t="str">
            <v>Φ48.6x3.2</v>
          </cell>
          <cell r="F442">
            <v>3.58</v>
          </cell>
          <cell r="G442">
            <v>0.15260400000000002</v>
          </cell>
        </row>
        <row r="443">
          <cell r="B443" t="str">
            <v>Φ60.5x2.3</v>
          </cell>
          <cell r="F443">
            <v>3.3</v>
          </cell>
          <cell r="G443">
            <v>0.18997</v>
          </cell>
        </row>
        <row r="444">
          <cell r="B444" t="str">
            <v>Φ60.5x2.8</v>
          </cell>
          <cell r="F444">
            <v>4.5199999999999996</v>
          </cell>
          <cell r="G444">
            <v>0.18997</v>
          </cell>
        </row>
        <row r="445">
          <cell r="B445" t="str">
            <v>Φ60.5x3.2</v>
          </cell>
          <cell r="F445">
            <v>5.57</v>
          </cell>
          <cell r="G445">
            <v>0.18997</v>
          </cell>
        </row>
        <row r="446">
          <cell r="B446" t="str">
            <v>Φ76.3x2.3</v>
          </cell>
          <cell r="F446">
            <v>5.08</v>
          </cell>
          <cell r="G446">
            <v>0.23958199999999999</v>
          </cell>
        </row>
        <row r="447">
          <cell r="B447" t="str">
            <v>Φ76.3x2.8</v>
          </cell>
          <cell r="F447">
            <v>5.77</v>
          </cell>
          <cell r="G447">
            <v>0.23958199999999999</v>
          </cell>
        </row>
        <row r="448">
          <cell r="B448" t="str">
            <v>Φ76.3x3.2</v>
          </cell>
          <cell r="F448">
            <v>7.13</v>
          </cell>
          <cell r="G448">
            <v>0.23958199999999999</v>
          </cell>
        </row>
        <row r="449">
          <cell r="B449" t="str">
            <v>Φ89.1x2.3</v>
          </cell>
          <cell r="F449">
            <v>5.96</v>
          </cell>
          <cell r="G449">
            <v>0.27977400000000002</v>
          </cell>
        </row>
        <row r="450">
          <cell r="B450" t="str">
            <v>Φ89.1x3.2</v>
          </cell>
          <cell r="F450">
            <v>6.78</v>
          </cell>
          <cell r="G450">
            <v>0.27977400000000002</v>
          </cell>
        </row>
        <row r="451">
          <cell r="B451" t="str">
            <v>Φ89.1x4</v>
          </cell>
          <cell r="F451">
            <v>8.39</v>
          </cell>
          <cell r="G451">
            <v>0.27977400000000002</v>
          </cell>
        </row>
        <row r="452">
          <cell r="B452" t="str">
            <v>Φ101.6x3.2</v>
          </cell>
          <cell r="F452">
            <v>7.76</v>
          </cell>
          <cell r="G452">
            <v>0.31902399999999997</v>
          </cell>
        </row>
        <row r="453">
          <cell r="B453" t="str">
            <v>Φ101.6x4</v>
          </cell>
          <cell r="F453">
            <v>9.6300000000000008</v>
          </cell>
          <cell r="G453">
            <v>0.31902399999999997</v>
          </cell>
        </row>
        <row r="454">
          <cell r="B454" t="str">
            <v>Φ101.6x5</v>
          </cell>
          <cell r="F454">
            <v>11.9</v>
          </cell>
          <cell r="G454">
            <v>0.31902399999999997</v>
          </cell>
        </row>
        <row r="455">
          <cell r="B455" t="str">
            <v>Φ114.3x3.2</v>
          </cell>
          <cell r="F455">
            <v>8.77</v>
          </cell>
          <cell r="G455">
            <v>0.358902</v>
          </cell>
        </row>
        <row r="456">
          <cell r="B456" t="str">
            <v>Φ114.3x3.6</v>
          </cell>
          <cell r="F456">
            <v>9.83</v>
          </cell>
          <cell r="G456">
            <v>0.358902</v>
          </cell>
        </row>
        <row r="457">
          <cell r="B457" t="str">
            <v>Φ114.3x4.5</v>
          </cell>
          <cell r="F457">
            <v>12.2</v>
          </cell>
          <cell r="G457">
            <v>0.358902</v>
          </cell>
        </row>
        <row r="458">
          <cell r="B458" t="str">
            <v>Φ114.3x5.6</v>
          </cell>
          <cell r="F458">
            <v>15</v>
          </cell>
          <cell r="G458">
            <v>0.358902</v>
          </cell>
        </row>
        <row r="459">
          <cell r="B459" t="str">
            <v>Φ139.8x3.6</v>
          </cell>
          <cell r="F459">
            <v>12.1</v>
          </cell>
          <cell r="G459">
            <v>0.43897200000000003</v>
          </cell>
        </row>
        <row r="460">
          <cell r="B460" t="str">
            <v>Φ139.8x4</v>
          </cell>
          <cell r="F460">
            <v>13.4</v>
          </cell>
          <cell r="G460">
            <v>0.43897200000000003</v>
          </cell>
        </row>
        <row r="461">
          <cell r="B461" t="str">
            <v>Φ139.8x4.5</v>
          </cell>
          <cell r="F461">
            <v>15</v>
          </cell>
          <cell r="G461">
            <v>0.43897200000000003</v>
          </cell>
        </row>
        <row r="462">
          <cell r="B462" t="str">
            <v>Φ139.8x6</v>
          </cell>
          <cell r="F462">
            <v>19.8</v>
          </cell>
          <cell r="G462">
            <v>0.43897200000000003</v>
          </cell>
        </row>
        <row r="463">
          <cell r="B463" t="str">
            <v>Φ165.2x4.5</v>
          </cell>
          <cell r="F463">
            <v>17.8</v>
          </cell>
          <cell r="G463">
            <v>0.51872799999999997</v>
          </cell>
        </row>
        <row r="464">
          <cell r="B464" t="str">
            <v>Φ165.2x5</v>
          </cell>
          <cell r="F464">
            <v>19.8</v>
          </cell>
          <cell r="G464">
            <v>0.51872799999999997</v>
          </cell>
        </row>
        <row r="465">
          <cell r="B465" t="str">
            <v>Φ165.2x6</v>
          </cell>
          <cell r="F465">
            <v>23.6</v>
          </cell>
          <cell r="G465">
            <v>0.51872799999999997</v>
          </cell>
        </row>
        <row r="466">
          <cell r="B466" t="str">
            <v>Φ165.2x7</v>
          </cell>
          <cell r="F466">
            <v>27.3</v>
          </cell>
          <cell r="G466">
            <v>0.51872799999999997</v>
          </cell>
        </row>
        <row r="467">
          <cell r="B467" t="str">
            <v>Φ190.7x4.5</v>
          </cell>
          <cell r="F467">
            <v>20.7</v>
          </cell>
          <cell r="G467">
            <v>0.59879800000000005</v>
          </cell>
        </row>
        <row r="468">
          <cell r="B468" t="str">
            <v>Φ190.7x5</v>
          </cell>
          <cell r="F468">
            <v>22.9</v>
          </cell>
          <cell r="G468">
            <v>0.59879800000000005</v>
          </cell>
        </row>
        <row r="469">
          <cell r="B469" t="str">
            <v>Φ190.7x6</v>
          </cell>
          <cell r="F469">
            <v>27.3</v>
          </cell>
          <cell r="G469">
            <v>0.59879800000000005</v>
          </cell>
        </row>
        <row r="470">
          <cell r="B470" t="str">
            <v>Φ190.7x7</v>
          </cell>
          <cell r="F470">
            <v>31.7</v>
          </cell>
          <cell r="G470">
            <v>0.59879800000000005</v>
          </cell>
        </row>
        <row r="471">
          <cell r="B471" t="str">
            <v>Φ216.3x4.5</v>
          </cell>
          <cell r="F471">
            <v>23.5</v>
          </cell>
          <cell r="G471">
            <v>0.67918200000000006</v>
          </cell>
        </row>
        <row r="472">
          <cell r="B472" t="str">
            <v>Φ216.3x6</v>
          </cell>
          <cell r="F472">
            <v>31.1</v>
          </cell>
          <cell r="G472">
            <v>0.67918200000000006</v>
          </cell>
        </row>
        <row r="473">
          <cell r="B473" t="str">
            <v>Φ216.3x7</v>
          </cell>
          <cell r="F473">
            <v>36.1</v>
          </cell>
          <cell r="G473">
            <v>0.67918200000000006</v>
          </cell>
        </row>
        <row r="474">
          <cell r="B474" t="str">
            <v>Φ216.3x8</v>
          </cell>
          <cell r="F474">
            <v>41.1</v>
          </cell>
          <cell r="G474">
            <v>0.67918200000000006</v>
          </cell>
        </row>
        <row r="475">
          <cell r="B475" t="str">
            <v>Φx</v>
          </cell>
          <cell r="F475">
            <v>0</v>
          </cell>
          <cell r="G475">
            <v>0</v>
          </cell>
        </row>
        <row r="476">
          <cell r="B476" t="str">
            <v>Φx</v>
          </cell>
          <cell r="F476">
            <v>0</v>
          </cell>
          <cell r="G476">
            <v>0</v>
          </cell>
        </row>
        <row r="477">
          <cell r="B477" t="str">
            <v>Φx</v>
          </cell>
          <cell r="F477">
            <v>0</v>
          </cell>
          <cell r="G477">
            <v>0</v>
          </cell>
        </row>
        <row r="478">
          <cell r="B478" t="str">
            <v>Φx</v>
          </cell>
          <cell r="F478">
            <v>0</v>
          </cell>
          <cell r="G478">
            <v>0</v>
          </cell>
        </row>
        <row r="479">
          <cell r="B479" t="str">
            <v>Φx</v>
          </cell>
          <cell r="F479">
            <v>0</v>
          </cell>
          <cell r="G479">
            <v>0</v>
          </cell>
        </row>
        <row r="480">
          <cell r="B480" t="str">
            <v>I100X75x5x8</v>
          </cell>
          <cell r="F480">
            <v>12.9</v>
          </cell>
          <cell r="G480">
            <v>0.47798229715025703</v>
          </cell>
        </row>
        <row r="481">
          <cell r="B481" t="str">
            <v>I125X75x5.5x9.5</v>
          </cell>
          <cell r="F481">
            <v>16.100000000000001</v>
          </cell>
          <cell r="G481">
            <v>0.52354866776461628</v>
          </cell>
        </row>
        <row r="482">
          <cell r="B482" t="str">
            <v>I150X75x5.5x9.5</v>
          </cell>
          <cell r="F482">
            <v>17.100000000000001</v>
          </cell>
          <cell r="G482">
            <v>0.57354866776461633</v>
          </cell>
        </row>
        <row r="483">
          <cell r="B483" t="str">
            <v>I150X125x8.5x14</v>
          </cell>
          <cell r="F483">
            <v>36.200000000000003</v>
          </cell>
          <cell r="G483">
            <v>0.56999999999999995</v>
          </cell>
        </row>
        <row r="484">
          <cell r="B484" t="str">
            <v>I200X100x7x10</v>
          </cell>
          <cell r="F484">
            <v>26</v>
          </cell>
          <cell r="G484">
            <v>0.76883185307179591</v>
          </cell>
        </row>
        <row r="485">
          <cell r="B485" t="str">
            <v>I250X125x7.5x12.5</v>
          </cell>
          <cell r="F485">
            <v>38.299999999999997</v>
          </cell>
          <cell r="G485">
            <v>0.96439822368615502</v>
          </cell>
        </row>
        <row r="486">
          <cell r="B486" t="str">
            <v>I300X150x10x18.5</v>
          </cell>
          <cell r="F486">
            <v>65.5</v>
          </cell>
          <cell r="G486">
            <v>1.1473805208364121</v>
          </cell>
        </row>
        <row r="487">
          <cell r="B487" t="str">
            <v>I300X150x11.5x22</v>
          </cell>
          <cell r="F487">
            <v>76.8</v>
          </cell>
          <cell r="G487">
            <v>1.1375132620651307</v>
          </cell>
        </row>
        <row r="488">
          <cell r="B488" t="str">
            <v>I350X150x9x15</v>
          </cell>
          <cell r="F488">
            <v>58.5</v>
          </cell>
          <cell r="G488">
            <v>1.2596814089933346</v>
          </cell>
        </row>
        <row r="489">
          <cell r="B489" t="str">
            <v>I350X150x12x24</v>
          </cell>
          <cell r="F489">
            <v>87.2</v>
          </cell>
          <cell r="G489">
            <v>1.2330796326794895</v>
          </cell>
        </row>
        <row r="490">
          <cell r="B490" t="str">
            <v>I400X150x10x18</v>
          </cell>
          <cell r="F490">
            <v>72</v>
          </cell>
          <cell r="G490">
            <v>1.350814150222053</v>
          </cell>
        </row>
        <row r="491">
          <cell r="B491" t="str">
            <v>I400X150x12.5x25</v>
          </cell>
          <cell r="F491">
            <v>95.8</v>
          </cell>
          <cell r="G491">
            <v>1.3286460032938487</v>
          </cell>
        </row>
        <row r="492">
          <cell r="B492" t="str">
            <v>I450X175x11x20</v>
          </cell>
          <cell r="F492">
            <v>91.7</v>
          </cell>
          <cell r="G492">
            <v>1.545380520836412</v>
          </cell>
        </row>
        <row r="493">
          <cell r="B493" t="str">
            <v>I450X175x13x26</v>
          </cell>
          <cell r="F493">
            <v>115</v>
          </cell>
          <cell r="G493">
            <v>1.5276460032938486</v>
          </cell>
        </row>
        <row r="494">
          <cell r="B494" t="str">
            <v>I600X190x13x25</v>
          </cell>
          <cell r="F494">
            <v>133</v>
          </cell>
          <cell r="G494">
            <v>1.8910796326794896</v>
          </cell>
        </row>
        <row r="495">
          <cell r="B495" t="str">
            <v>I600X190x16x35</v>
          </cell>
          <cell r="F495">
            <v>176</v>
          </cell>
          <cell r="G495">
            <v>1.8627610416728242</v>
          </cell>
        </row>
        <row r="496">
          <cell r="B496" t="str">
            <v>Ixx</v>
          </cell>
          <cell r="F496">
            <v>0</v>
          </cell>
          <cell r="G496">
            <v>0</v>
          </cell>
        </row>
        <row r="497">
          <cell r="B497" t="str">
            <v>Ixx</v>
          </cell>
          <cell r="F497">
            <v>0</v>
          </cell>
          <cell r="G497">
            <v>0</v>
          </cell>
        </row>
        <row r="498">
          <cell r="B498" t="str">
            <v>Ixx</v>
          </cell>
          <cell r="F498">
            <v>0</v>
          </cell>
          <cell r="G498">
            <v>0</v>
          </cell>
        </row>
        <row r="499">
          <cell r="B499" t="str">
            <v>Ixx</v>
          </cell>
          <cell r="F499">
            <v>0</v>
          </cell>
          <cell r="G499">
            <v>0</v>
          </cell>
        </row>
        <row r="500">
          <cell r="B500" t="str">
            <v>Ixx</v>
          </cell>
          <cell r="F500">
            <v>0</v>
          </cell>
          <cell r="G500">
            <v>0</v>
          </cell>
        </row>
        <row r="501">
          <cell r="B501" t="str">
            <v>ㅁ6</v>
          </cell>
          <cell r="F501">
            <v>0.28299999999999997</v>
          </cell>
          <cell r="G501">
            <v>2.4E-2</v>
          </cell>
        </row>
        <row r="502">
          <cell r="B502" t="str">
            <v>ㅁ9</v>
          </cell>
          <cell r="F502">
            <v>0.63600000000000001</v>
          </cell>
          <cell r="G502">
            <v>3.5999999999999997E-2</v>
          </cell>
        </row>
        <row r="503">
          <cell r="B503" t="str">
            <v>ㅁ12</v>
          </cell>
          <cell r="F503">
            <v>1.1299999999999999</v>
          </cell>
          <cell r="G503">
            <v>4.8000000000000001E-2</v>
          </cell>
        </row>
        <row r="504">
          <cell r="B504" t="str">
            <v>ㅁ15</v>
          </cell>
          <cell r="F504">
            <v>1.77</v>
          </cell>
          <cell r="G504">
            <v>0.06</v>
          </cell>
        </row>
        <row r="505">
          <cell r="B505" t="str">
            <v>ㅁ16</v>
          </cell>
          <cell r="F505">
            <v>2.0099999999999998</v>
          </cell>
          <cell r="G505">
            <v>6.4000000000000001E-2</v>
          </cell>
        </row>
        <row r="506">
          <cell r="B506" t="str">
            <v>ㅁ19</v>
          </cell>
          <cell r="F506">
            <v>2.83</v>
          </cell>
          <cell r="G506">
            <v>7.5999999999999998E-2</v>
          </cell>
        </row>
        <row r="507">
          <cell r="B507" t="str">
            <v>ㅁ22</v>
          </cell>
          <cell r="F507">
            <v>3.8</v>
          </cell>
          <cell r="G507">
            <v>8.7999999999999995E-2</v>
          </cell>
        </row>
        <row r="508">
          <cell r="B508" t="str">
            <v>ㅁ25</v>
          </cell>
          <cell r="F508">
            <v>4.91</v>
          </cell>
          <cell r="G508">
            <v>0.1</v>
          </cell>
        </row>
        <row r="509">
          <cell r="B509" t="str">
            <v>ㅁ28</v>
          </cell>
          <cell r="F509">
            <v>6.15</v>
          </cell>
          <cell r="G509">
            <v>0.112</v>
          </cell>
        </row>
        <row r="510">
          <cell r="B510" t="str">
            <v>ㅁ32</v>
          </cell>
          <cell r="F510">
            <v>8.0399999999999991</v>
          </cell>
          <cell r="G510">
            <v>0.128</v>
          </cell>
        </row>
        <row r="511">
          <cell r="B511" t="str">
            <v>ㅁ35</v>
          </cell>
          <cell r="F511">
            <v>9.6199999999999992</v>
          </cell>
          <cell r="G511">
            <v>0.14000000000000001</v>
          </cell>
        </row>
        <row r="512">
          <cell r="B512" t="str">
            <v>ㅁ38</v>
          </cell>
          <cell r="F512">
            <v>11.3</v>
          </cell>
          <cell r="G512">
            <v>0.152</v>
          </cell>
        </row>
        <row r="513">
          <cell r="B513" t="str">
            <v>ㅁ40</v>
          </cell>
          <cell r="F513">
            <v>12.6</v>
          </cell>
          <cell r="G513">
            <v>0.16</v>
          </cell>
        </row>
        <row r="514">
          <cell r="B514" t="str">
            <v>ㅁ50</v>
          </cell>
          <cell r="F514">
            <v>19.600000000000001</v>
          </cell>
          <cell r="G514">
            <v>0.2</v>
          </cell>
        </row>
        <row r="515">
          <cell r="B515" t="str">
            <v>ㅁ55</v>
          </cell>
          <cell r="F515">
            <v>23.7</v>
          </cell>
          <cell r="G515">
            <v>0.22</v>
          </cell>
        </row>
        <row r="516">
          <cell r="B516" t="str">
            <v>ㅁ60</v>
          </cell>
          <cell r="F516">
            <v>28.3</v>
          </cell>
          <cell r="G516">
            <v>0.24</v>
          </cell>
        </row>
        <row r="517">
          <cell r="B517" t="str">
            <v>ㅁ65</v>
          </cell>
          <cell r="F517">
            <v>33.200000000000003</v>
          </cell>
          <cell r="G517">
            <v>0.26</v>
          </cell>
        </row>
        <row r="518">
          <cell r="B518" t="str">
            <v>ㅁ75</v>
          </cell>
          <cell r="F518">
            <v>44.2</v>
          </cell>
          <cell r="G518">
            <v>0.3</v>
          </cell>
        </row>
        <row r="519">
          <cell r="B519" t="str">
            <v>ㅁ90</v>
          </cell>
          <cell r="F519">
            <v>63.6</v>
          </cell>
          <cell r="G519">
            <v>0.36</v>
          </cell>
        </row>
        <row r="520">
          <cell r="B520" t="str">
            <v>ㅁ100</v>
          </cell>
          <cell r="F520">
            <v>78.5</v>
          </cell>
          <cell r="G520">
            <v>0.4</v>
          </cell>
        </row>
        <row r="521">
          <cell r="B521" t="str">
            <v>ㅁ120</v>
          </cell>
          <cell r="F521">
            <v>113</v>
          </cell>
          <cell r="G521">
            <v>0.48</v>
          </cell>
        </row>
        <row r="522">
          <cell r="B522" t="str">
            <v>ㅁ</v>
          </cell>
          <cell r="F522">
            <v>0</v>
          </cell>
          <cell r="G522">
            <v>0</v>
          </cell>
        </row>
        <row r="523">
          <cell r="B523" t="str">
            <v>ㅁ</v>
          </cell>
          <cell r="F523">
            <v>0</v>
          </cell>
          <cell r="G523">
            <v>0</v>
          </cell>
        </row>
        <row r="524">
          <cell r="B524" t="str">
            <v>ㅁ</v>
          </cell>
          <cell r="F524">
            <v>0</v>
          </cell>
          <cell r="G524">
            <v>0</v>
          </cell>
        </row>
        <row r="525">
          <cell r="B525" t="str">
            <v>ㅁ</v>
          </cell>
          <cell r="F525">
            <v>0</v>
          </cell>
          <cell r="G525">
            <v>0</v>
          </cell>
        </row>
        <row r="526">
          <cell r="B526" t="str">
            <v>ㅁ</v>
          </cell>
          <cell r="F526">
            <v>0</v>
          </cell>
          <cell r="G526">
            <v>0</v>
          </cell>
        </row>
        <row r="527">
          <cell r="B527" t="str">
            <v>9kg</v>
          </cell>
          <cell r="F527">
            <v>8.94</v>
          </cell>
          <cell r="G527">
            <v>0.27</v>
          </cell>
        </row>
        <row r="528">
          <cell r="B528" t="str">
            <v>15kg</v>
          </cell>
          <cell r="F528">
            <v>15.2</v>
          </cell>
          <cell r="G528">
            <v>0.36</v>
          </cell>
        </row>
        <row r="529">
          <cell r="B529" t="str">
            <v>22kg</v>
          </cell>
          <cell r="F529">
            <v>22.3</v>
          </cell>
          <cell r="G529">
            <v>0.43</v>
          </cell>
        </row>
        <row r="530">
          <cell r="B530" t="str">
            <v>30kg</v>
          </cell>
          <cell r="F530">
            <v>30.1</v>
          </cell>
          <cell r="G530">
            <v>0.5</v>
          </cell>
        </row>
        <row r="531">
          <cell r="B531" t="str">
            <v>37kg</v>
          </cell>
          <cell r="F531">
            <v>37.200000000000003</v>
          </cell>
          <cell r="G531">
            <v>0.56999999999999995</v>
          </cell>
        </row>
        <row r="532">
          <cell r="B532" t="str">
            <v>50kg</v>
          </cell>
          <cell r="F532">
            <v>50.4</v>
          </cell>
          <cell r="G532">
            <v>0</v>
          </cell>
        </row>
        <row r="533">
          <cell r="B533" t="str">
            <v>50Nkg</v>
          </cell>
          <cell r="F533">
            <v>50.4</v>
          </cell>
          <cell r="G533">
            <v>0</v>
          </cell>
        </row>
        <row r="534">
          <cell r="B534" t="str">
            <v>60kg</v>
          </cell>
          <cell r="F534">
            <v>60.8</v>
          </cell>
          <cell r="G534">
            <v>0</v>
          </cell>
        </row>
        <row r="535">
          <cell r="B535" t="str">
            <v>70kg</v>
          </cell>
          <cell r="F535">
            <v>69.5</v>
          </cell>
          <cell r="G535">
            <v>0.61</v>
          </cell>
        </row>
        <row r="536">
          <cell r="B536" t="str">
            <v>kg</v>
          </cell>
          <cell r="F536">
            <v>0</v>
          </cell>
          <cell r="G536">
            <v>0</v>
          </cell>
        </row>
        <row r="537">
          <cell r="B537" t="str">
            <v>kg</v>
          </cell>
          <cell r="F537">
            <v>0</v>
          </cell>
          <cell r="G537">
            <v>0</v>
          </cell>
        </row>
        <row r="538">
          <cell r="B538" t="str">
            <v>kg</v>
          </cell>
          <cell r="F538">
            <v>0</v>
          </cell>
          <cell r="G538">
            <v>0</v>
          </cell>
        </row>
        <row r="539">
          <cell r="B539" t="str">
            <v>kg</v>
          </cell>
          <cell r="F539">
            <v>0</v>
          </cell>
          <cell r="G539">
            <v>0</v>
          </cell>
        </row>
        <row r="540">
          <cell r="B540" t="str">
            <v>kg</v>
          </cell>
          <cell r="F540">
            <v>0</v>
          </cell>
          <cell r="G540">
            <v>0</v>
          </cell>
        </row>
        <row r="541">
          <cell r="B541" t="str">
            <v>CHK'D PL3.2t</v>
          </cell>
          <cell r="F541">
            <v>26.79</v>
          </cell>
          <cell r="G541">
            <v>2.0099999999999998</v>
          </cell>
        </row>
        <row r="542">
          <cell r="B542" t="str">
            <v>CHK'D PL4.5t</v>
          </cell>
          <cell r="F542">
            <v>37</v>
          </cell>
          <cell r="G542">
            <v>2.02</v>
          </cell>
        </row>
        <row r="543">
          <cell r="B543" t="str">
            <v>CHK'D PL6t</v>
          </cell>
          <cell r="F543">
            <v>48.77</v>
          </cell>
          <cell r="G543">
            <v>2.02</v>
          </cell>
        </row>
        <row r="544">
          <cell r="B544" t="str">
            <v>CHK'D PL8t</v>
          </cell>
          <cell r="F544">
            <v>64.77</v>
          </cell>
          <cell r="G544">
            <v>2.0299999999999998</v>
          </cell>
        </row>
        <row r="545">
          <cell r="B545" t="str">
            <v>CHK'D PLt</v>
          </cell>
          <cell r="F545">
            <v>0</v>
          </cell>
          <cell r="G545">
            <v>0</v>
          </cell>
        </row>
        <row r="546">
          <cell r="B546" t="str">
            <v>CHK'D PLt</v>
          </cell>
          <cell r="F546">
            <v>0</v>
          </cell>
          <cell r="G546">
            <v>0</v>
          </cell>
        </row>
        <row r="547">
          <cell r="B547" t="str">
            <v>CHK'D PLt</v>
          </cell>
          <cell r="F547">
            <v>0</v>
          </cell>
          <cell r="G547">
            <v>0</v>
          </cell>
        </row>
        <row r="548">
          <cell r="B548" t="str">
            <v>CHK'D PLt</v>
          </cell>
          <cell r="F548">
            <v>0</v>
          </cell>
          <cell r="G548">
            <v>0</v>
          </cell>
        </row>
        <row r="549">
          <cell r="B549" t="str">
            <v>CHK'D PLt</v>
          </cell>
          <cell r="F549">
            <v>0</v>
          </cell>
          <cell r="G549">
            <v>0</v>
          </cell>
        </row>
        <row r="550">
          <cell r="B550" t="str">
            <v>PL300x160x4.5</v>
          </cell>
          <cell r="F550">
            <v>1.6956</v>
          </cell>
          <cell r="G550">
            <v>0.10013999999999999</v>
          </cell>
        </row>
        <row r="551">
          <cell r="B551" t="str">
            <v>PL240x150x4.5</v>
          </cell>
          <cell r="F551">
            <v>1.2717000000000001</v>
          </cell>
          <cell r="G551">
            <v>7.5509999999999994E-2</v>
          </cell>
        </row>
        <row r="552">
          <cell r="B552" t="str">
            <v>PL250x250x4.5</v>
          </cell>
          <cell r="F552">
            <v>2.2078124999999997</v>
          </cell>
          <cell r="G552">
            <v>0.1295</v>
          </cell>
        </row>
        <row r="553">
          <cell r="B553" t="str">
            <v>PL300x300x4.5</v>
          </cell>
          <cell r="F553">
            <v>3.1792499999999997</v>
          </cell>
          <cell r="G553">
            <v>0.18539999999999998</v>
          </cell>
        </row>
        <row r="554">
          <cell r="B554" t="str">
            <v>PL230x190x4.5</v>
          </cell>
          <cell r="F554">
            <v>1.5437025</v>
          </cell>
          <cell r="G554">
            <v>9.1179999999999997E-2</v>
          </cell>
        </row>
        <row r="555">
          <cell r="B555" t="str">
            <v>PL360x150x4.5</v>
          </cell>
          <cell r="F555">
            <v>1.9075499999999999</v>
          </cell>
          <cell r="G555">
            <v>0.11259</v>
          </cell>
        </row>
        <row r="556">
          <cell r="B556" t="str">
            <v>PL360x354x4.5</v>
          </cell>
          <cell r="F556">
            <v>4.5018180000000001</v>
          </cell>
          <cell r="G556">
            <v>0.26130599999999998</v>
          </cell>
        </row>
        <row r="557">
          <cell r="B557" t="str">
            <v>PL110x50x4.5</v>
          </cell>
          <cell r="F557">
            <v>0.1942875</v>
          </cell>
          <cell r="G557">
            <v>1.244E-2</v>
          </cell>
        </row>
        <row r="558">
          <cell r="B558" t="str">
            <v>PL300x160x25</v>
          </cell>
          <cell r="F558">
            <v>9.42</v>
          </cell>
          <cell r="G558">
            <v>0.11899999999999999</v>
          </cell>
        </row>
        <row r="559">
          <cell r="B559" t="str">
            <v>PL240x150x20</v>
          </cell>
          <cell r="F559">
            <v>5.6520000000000001</v>
          </cell>
          <cell r="G559">
            <v>8.7599999999999997E-2</v>
          </cell>
        </row>
        <row r="560">
          <cell r="B560" t="str">
            <v>PL240x180x16</v>
          </cell>
          <cell r="F560">
            <v>5.4259199999999996</v>
          </cell>
          <cell r="G560">
            <v>9.9839999999999998E-2</v>
          </cell>
        </row>
        <row r="561">
          <cell r="B561" t="str">
            <v>PL240x150x12</v>
          </cell>
          <cell r="F561">
            <v>3.3912</v>
          </cell>
          <cell r="G561">
            <v>8.1360000000000002E-2</v>
          </cell>
        </row>
        <row r="562">
          <cell r="B562" t="str">
            <v>PL240x180x9</v>
          </cell>
          <cell r="F562">
            <v>3.0520799999999997</v>
          </cell>
          <cell r="G562">
            <v>9.3960000000000002E-2</v>
          </cell>
        </row>
        <row r="563">
          <cell r="B563" t="str">
            <v>PL240x150x9</v>
          </cell>
          <cell r="F563">
            <v>2.5434000000000001</v>
          </cell>
          <cell r="G563">
            <v>7.9019999999999993E-2</v>
          </cell>
        </row>
        <row r="564">
          <cell r="B564" t="str">
            <v>PL260x260x4.5</v>
          </cell>
          <cell r="F564">
            <v>2.3879699999999997</v>
          </cell>
          <cell r="G564">
            <v>0.13988</v>
          </cell>
        </row>
        <row r="565">
          <cell r="B565" t="str">
            <v>PL360x100x6</v>
          </cell>
          <cell r="F565">
            <v>1.6956</v>
          </cell>
          <cell r="G565">
            <v>7.7519999999999992E-2</v>
          </cell>
        </row>
        <row r="566">
          <cell r="B566" t="str">
            <v>PL200x100x4.5</v>
          </cell>
          <cell r="F566">
            <v>0.70650000000000002</v>
          </cell>
          <cell r="G566">
            <v>4.2699999999999995E-2</v>
          </cell>
        </row>
        <row r="567">
          <cell r="B567" t="str">
            <v>PL190x50x4.5</v>
          </cell>
          <cell r="F567">
            <v>0.33558749999999998</v>
          </cell>
          <cell r="G567">
            <v>2.1159999999999998E-2</v>
          </cell>
        </row>
        <row r="568">
          <cell r="B568" t="str">
            <v>PL150x60x6</v>
          </cell>
          <cell r="F568">
            <v>0.4239</v>
          </cell>
          <cell r="G568">
            <v>2.052E-2</v>
          </cell>
        </row>
        <row r="569">
          <cell r="B569" t="str">
            <v>PL150x80x6</v>
          </cell>
          <cell r="F569">
            <v>0.56519999999999992</v>
          </cell>
          <cell r="G569">
            <v>2.6759999999999999E-2</v>
          </cell>
        </row>
        <row r="570">
          <cell r="B570" t="str">
            <v>PL150x90x9</v>
          </cell>
          <cell r="F570">
            <v>0.95377499999999993</v>
          </cell>
          <cell r="G570">
            <v>3.1320000000000001E-2</v>
          </cell>
        </row>
        <row r="571">
          <cell r="B571" t="str">
            <v>PL150x90x9</v>
          </cell>
          <cell r="F571">
            <v>0.95377499999999993</v>
          </cell>
          <cell r="G571">
            <v>3.1320000000000001E-2</v>
          </cell>
        </row>
        <row r="572">
          <cell r="B572" t="str">
            <v>PL150x90x9</v>
          </cell>
          <cell r="F572">
            <v>0.95377499999999993</v>
          </cell>
          <cell r="G572">
            <v>3.1320000000000001E-2</v>
          </cell>
        </row>
        <row r="573">
          <cell r="B573" t="str">
            <v>PL150x95x9</v>
          </cell>
          <cell r="F573">
            <v>1.0067625</v>
          </cell>
          <cell r="G573">
            <v>3.2910000000000002E-2</v>
          </cell>
        </row>
        <row r="574">
          <cell r="B574" t="str">
            <v>PL160x100x4.5</v>
          </cell>
          <cell r="F574">
            <v>0.56519999999999992</v>
          </cell>
          <cell r="G574">
            <v>3.4339999999999996E-2</v>
          </cell>
        </row>
        <row r="575">
          <cell r="B575" t="str">
            <v>PL160x65x6</v>
          </cell>
          <cell r="F575">
            <v>0.48984</v>
          </cell>
          <cell r="G575">
            <v>2.35E-2</v>
          </cell>
        </row>
        <row r="576">
          <cell r="B576" t="str">
            <v>PL162.8x184x9</v>
          </cell>
          <cell r="F576">
            <v>2.1163348799999997</v>
          </cell>
          <cell r="G576">
            <v>6.6152799999999998E-2</v>
          </cell>
        </row>
        <row r="577">
          <cell r="B577" t="str">
            <v>PL162.9x184x9</v>
          </cell>
          <cell r="F577">
            <v>2.11763484</v>
          </cell>
          <cell r="G577">
            <v>6.6191400000000011E-2</v>
          </cell>
        </row>
        <row r="578">
          <cell r="B578" t="str">
            <v>PL162x175x9</v>
          </cell>
          <cell r="F578">
            <v>2.0029274999999997</v>
          </cell>
          <cell r="G578">
            <v>6.2766000000000002E-2</v>
          </cell>
        </row>
        <row r="579">
          <cell r="B579" t="str">
            <v>PL162x176x9</v>
          </cell>
          <cell r="F579">
            <v>2.0143727999999999</v>
          </cell>
          <cell r="G579">
            <v>6.3107999999999997E-2</v>
          </cell>
        </row>
        <row r="580">
          <cell r="B580" t="str">
            <v>PL162x300x9</v>
          </cell>
          <cell r="F580">
            <v>3.4335899999999997</v>
          </cell>
          <cell r="G580">
            <v>0.105516</v>
          </cell>
        </row>
        <row r="581">
          <cell r="B581" t="str">
            <v>PL163x184x9</v>
          </cell>
          <cell r="F581">
            <v>2.1189347999999999</v>
          </cell>
          <cell r="G581">
            <v>6.6229999999999997E-2</v>
          </cell>
        </row>
        <row r="582">
          <cell r="B582" t="str">
            <v>PL170x192x6</v>
          </cell>
          <cell r="F582">
            <v>1.5373439999999998</v>
          </cell>
          <cell r="G582">
            <v>6.9623999999999991E-2</v>
          </cell>
        </row>
        <row r="583">
          <cell r="B583" t="str">
            <v>PL175x60x3.2</v>
          </cell>
          <cell r="F583">
            <v>0.26375999999999999</v>
          </cell>
          <cell r="G583">
            <v>2.2504E-2</v>
          </cell>
        </row>
        <row r="584">
          <cell r="B584" t="str">
            <v>PL175x90x6</v>
          </cell>
          <cell r="F584">
            <v>0.74182499999999996</v>
          </cell>
          <cell r="G584">
            <v>3.4679999999999996E-2</v>
          </cell>
        </row>
        <row r="585">
          <cell r="B585" t="str">
            <v>PL180x120x12</v>
          </cell>
          <cell r="F585">
            <v>2.0347200000000001</v>
          </cell>
          <cell r="G585">
            <v>5.04E-2</v>
          </cell>
        </row>
        <row r="586">
          <cell r="B586" t="str">
            <v>PL180x300x4.5</v>
          </cell>
          <cell r="F586">
            <v>1.9075499999999999</v>
          </cell>
          <cell r="G586">
            <v>0.11231999999999999</v>
          </cell>
        </row>
        <row r="587">
          <cell r="B587" t="str">
            <v>PL185x220x12</v>
          </cell>
          <cell r="F587">
            <v>3.8339399999999997</v>
          </cell>
          <cell r="G587">
            <v>9.1119999999999993E-2</v>
          </cell>
        </row>
        <row r="588">
          <cell r="B588" t="str">
            <v>PL186x175x9</v>
          </cell>
          <cell r="F588">
            <v>2.2996574999999999</v>
          </cell>
          <cell r="G588">
            <v>7.1597999999999995E-2</v>
          </cell>
        </row>
        <row r="589">
          <cell r="B589" t="str">
            <v>PL186x380x9</v>
          </cell>
          <cell r="F589">
            <v>4.9935419999999997</v>
          </cell>
          <cell r="G589">
            <v>0.15154799999999999</v>
          </cell>
        </row>
        <row r="590">
          <cell r="B590" t="str">
            <v>PL198x90x9</v>
          </cell>
          <cell r="F590">
            <v>1.258983</v>
          </cell>
          <cell r="G590">
            <v>4.0823999999999999E-2</v>
          </cell>
        </row>
        <row r="591">
          <cell r="B591" t="str">
            <v>PL200x250x20</v>
          </cell>
          <cell r="F591">
            <v>7.85</v>
          </cell>
          <cell r="G591">
            <v>0.11799999999999999</v>
          </cell>
        </row>
        <row r="592">
          <cell r="B592" t="str">
            <v>PL200x250x4.5</v>
          </cell>
          <cell r="F592">
            <v>1.7662499999999999</v>
          </cell>
          <cell r="G592">
            <v>0.10404999999999999</v>
          </cell>
        </row>
        <row r="593">
          <cell r="B593" t="str">
            <v>PL220x125x6</v>
          </cell>
          <cell r="F593">
            <v>1.29525</v>
          </cell>
          <cell r="G593">
            <v>5.9139999999999998E-2</v>
          </cell>
        </row>
        <row r="594">
          <cell r="B594" t="str">
            <v>PL220x200x9</v>
          </cell>
          <cell r="F594">
            <v>3.1086</v>
          </cell>
          <cell r="G594">
            <v>9.5559999999999992E-2</v>
          </cell>
        </row>
        <row r="595">
          <cell r="B595" t="str">
            <v>PL240x100x4.5</v>
          </cell>
          <cell r="F595">
            <v>0.8478</v>
          </cell>
          <cell r="G595">
            <v>5.1059999999999994E-2</v>
          </cell>
        </row>
        <row r="596">
          <cell r="B596" t="str">
            <v>PL240x120x6</v>
          </cell>
          <cell r="F596">
            <v>1.3564799999999999</v>
          </cell>
          <cell r="G596">
            <v>6.1919999999999996E-2</v>
          </cell>
        </row>
        <row r="597">
          <cell r="B597" t="str">
            <v>PL240x150x6</v>
          </cell>
          <cell r="F597">
            <v>1.6956</v>
          </cell>
          <cell r="G597">
            <v>7.6679999999999998E-2</v>
          </cell>
        </row>
        <row r="598">
          <cell r="B598" t="str">
            <v>PL240x160x4.5</v>
          </cell>
          <cell r="F598">
            <v>1.3564799999999999</v>
          </cell>
          <cell r="G598">
            <v>8.0399999999999999E-2</v>
          </cell>
        </row>
        <row r="599">
          <cell r="B599" t="str">
            <v>PL240x200x4.5</v>
          </cell>
          <cell r="F599">
            <v>1.6956</v>
          </cell>
          <cell r="G599">
            <v>9.9959999999999993E-2</v>
          </cell>
        </row>
        <row r="600">
          <cell r="B600" t="str">
            <v>PL240x200x9</v>
          </cell>
          <cell r="F600">
            <v>3.3912</v>
          </cell>
          <cell r="G600">
            <v>0.10392</v>
          </cell>
        </row>
        <row r="601">
          <cell r="B601" t="str">
            <v>PL240x200x9</v>
          </cell>
          <cell r="F601">
            <v>3.3912</v>
          </cell>
          <cell r="G601">
            <v>0.10392</v>
          </cell>
        </row>
        <row r="602">
          <cell r="B602" t="str">
            <v>PL240x240x4.5</v>
          </cell>
          <cell r="F602">
            <v>2.0347200000000001</v>
          </cell>
          <cell r="G602">
            <v>0.11952</v>
          </cell>
        </row>
        <row r="603">
          <cell r="B603" t="str">
            <v>PL240x240x6</v>
          </cell>
          <cell r="F603">
            <v>2.7129599999999998</v>
          </cell>
          <cell r="G603">
            <v>0.12096</v>
          </cell>
        </row>
        <row r="604">
          <cell r="B604" t="str">
            <v>PL240x65x6</v>
          </cell>
          <cell r="F604">
            <v>0.73475999999999997</v>
          </cell>
          <cell r="G604">
            <v>3.4859999999999995E-2</v>
          </cell>
        </row>
        <row r="605">
          <cell r="B605" t="str">
            <v>PL250x125x12</v>
          </cell>
          <cell r="F605">
            <v>2.9437499999999996</v>
          </cell>
          <cell r="G605">
            <v>7.1499999999999994E-2</v>
          </cell>
        </row>
        <row r="606">
          <cell r="B606" t="str">
            <v>PL360x100x6</v>
          </cell>
          <cell r="F606">
            <v>1.6956</v>
          </cell>
          <cell r="G606">
            <v>7.7519999999999992E-2</v>
          </cell>
        </row>
        <row r="607">
          <cell r="B607" t="str">
            <v>PL250x125x9</v>
          </cell>
          <cell r="F607">
            <v>2.2078124999999997</v>
          </cell>
          <cell r="G607">
            <v>6.9249999999999992E-2</v>
          </cell>
        </row>
        <row r="608">
          <cell r="B608" t="str">
            <v>PL250x150x20</v>
          </cell>
          <cell r="F608">
            <v>5.8874999999999993</v>
          </cell>
          <cell r="G608">
            <v>9.0999999999999998E-2</v>
          </cell>
        </row>
        <row r="609">
          <cell r="B609" t="str">
            <v>PL250x250x20</v>
          </cell>
          <cell r="F609">
            <v>9.8125</v>
          </cell>
          <cell r="G609">
            <v>0.14499999999999999</v>
          </cell>
        </row>
        <row r="610">
          <cell r="B610" t="str">
            <v>PL250x250x4.5</v>
          </cell>
          <cell r="F610">
            <v>2.2078124999999997</v>
          </cell>
          <cell r="G610">
            <v>0.1295</v>
          </cell>
        </row>
        <row r="611">
          <cell r="B611" t="str">
            <v>PL270x100x4.5</v>
          </cell>
          <cell r="F611">
            <v>0.95377499999999993</v>
          </cell>
          <cell r="G611">
            <v>5.7329999999999999E-2</v>
          </cell>
        </row>
        <row r="612">
          <cell r="B612" t="str">
            <v>PL270x170x4.5</v>
          </cell>
          <cell r="F612">
            <v>1.6214175</v>
          </cell>
          <cell r="G612">
            <v>9.5759999999999998E-2</v>
          </cell>
        </row>
        <row r="613">
          <cell r="B613" t="str">
            <v>PL270x180x12</v>
          </cell>
          <cell r="F613">
            <v>4.5781200000000002</v>
          </cell>
          <cell r="G613">
            <v>0.108</v>
          </cell>
        </row>
        <row r="614">
          <cell r="B614" t="str">
            <v>PL270x180x9</v>
          </cell>
          <cell r="F614">
            <v>3.4335899999999997</v>
          </cell>
          <cell r="G614">
            <v>0.10529999999999999</v>
          </cell>
        </row>
        <row r="615">
          <cell r="B615" t="str">
            <v>PL270x200x9</v>
          </cell>
          <cell r="F615">
            <v>3.8150999999999997</v>
          </cell>
          <cell r="G615">
            <v>0.11645999999999999</v>
          </cell>
        </row>
        <row r="616">
          <cell r="B616" t="str">
            <v>PL295x240x6</v>
          </cell>
          <cell r="F616">
            <v>3.3346799999999996</v>
          </cell>
          <cell r="G616">
            <v>0.14801999999999998</v>
          </cell>
        </row>
        <row r="617">
          <cell r="B617" t="str">
            <v>PL300x180x25</v>
          </cell>
          <cell r="F617">
            <v>10.5975</v>
          </cell>
          <cell r="G617">
            <v>0.13200000000000001</v>
          </cell>
        </row>
        <row r="618">
          <cell r="B618" t="str">
            <v>PL303x240x6</v>
          </cell>
          <cell r="F618">
            <v>3.4251119999999999</v>
          </cell>
          <cell r="G618">
            <v>0.15195599999999998</v>
          </cell>
        </row>
        <row r="619">
          <cell r="B619" t="str">
            <v>PL324x90x9</v>
          </cell>
          <cell r="F619">
            <v>2.0601539999999998</v>
          </cell>
          <cell r="G619">
            <v>6.5771999999999997E-2</v>
          </cell>
        </row>
        <row r="620">
          <cell r="B620" t="str">
            <v>PL360x125x6</v>
          </cell>
          <cell r="F620">
            <v>2.1194999999999999</v>
          </cell>
          <cell r="G620">
            <v>9.5820000000000002E-2</v>
          </cell>
        </row>
        <row r="621">
          <cell r="B621" t="str">
            <v>PL365x100x9</v>
          </cell>
          <cell r="F621">
            <v>2.5787249999999999</v>
          </cell>
          <cell r="G621">
            <v>8.1369999999999998E-2</v>
          </cell>
        </row>
        <row r="622">
          <cell r="B622" t="str">
            <v>PL365x480x9</v>
          </cell>
          <cell r="F622">
            <v>12.377879999999999</v>
          </cell>
          <cell r="G622">
            <v>0.36560999999999999</v>
          </cell>
        </row>
        <row r="623">
          <cell r="B623" t="str">
            <v>PL390x100x9</v>
          </cell>
          <cell r="F623">
            <v>2.75535</v>
          </cell>
          <cell r="G623">
            <v>8.6819999999999994E-2</v>
          </cell>
        </row>
        <row r="624">
          <cell r="B624" t="str">
            <v>PL390x480x9</v>
          </cell>
          <cell r="F624">
            <v>13.225679999999999</v>
          </cell>
          <cell r="G624">
            <v>0.39005999999999996</v>
          </cell>
        </row>
        <row r="625">
          <cell r="B625" t="str">
            <v>PL44x90x9</v>
          </cell>
          <cell r="F625">
            <v>0.27977399999999997</v>
          </cell>
          <cell r="G625">
            <v>1.0331999999999999E-2</v>
          </cell>
        </row>
        <row r="626">
          <cell r="B626" t="str">
            <v>PL47x182x9</v>
          </cell>
          <cell r="F626">
            <v>0.60434009999999994</v>
          </cell>
          <cell r="G626">
            <v>2.1229999999999999E-2</v>
          </cell>
        </row>
        <row r="627">
          <cell r="B627" t="str">
            <v>PL48x140x9</v>
          </cell>
          <cell r="F627">
            <v>0.47476799999999997</v>
          </cell>
          <cell r="G627">
            <v>1.6823999999999999E-2</v>
          </cell>
        </row>
        <row r="628">
          <cell r="B628" t="str">
            <v>PL50x180x4.5</v>
          </cell>
          <cell r="F628">
            <v>0.31792500000000001</v>
          </cell>
          <cell r="G628">
            <v>2.0069999999999998E-2</v>
          </cell>
        </row>
        <row r="629">
          <cell r="B629" t="str">
            <v>PL580x427x9</v>
          </cell>
          <cell r="F629">
            <v>17.497178999999999</v>
          </cell>
          <cell r="G629">
            <v>0.51344599999999996</v>
          </cell>
        </row>
        <row r="630">
          <cell r="B630" t="str">
            <v>PL580x452x9</v>
          </cell>
          <cell r="F630">
            <v>18.521604</v>
          </cell>
          <cell r="G630">
            <v>0.54289599999999993</v>
          </cell>
        </row>
        <row r="631">
          <cell r="B631" t="str">
            <v>PL640x300x4.5</v>
          </cell>
          <cell r="F631">
            <v>6.7824</v>
          </cell>
          <cell r="G631">
            <v>0.39245999999999998</v>
          </cell>
        </row>
        <row r="632">
          <cell r="B632" t="str">
            <v>PL65x65x6</v>
          </cell>
          <cell r="F632">
            <v>0.19899749999999999</v>
          </cell>
          <cell r="G632">
            <v>1.001E-2</v>
          </cell>
        </row>
        <row r="633">
          <cell r="B633" t="str">
            <v>PL72x175x9</v>
          </cell>
          <cell r="F633">
            <v>0.89018999999999993</v>
          </cell>
          <cell r="G633">
            <v>2.9645999999999999E-2</v>
          </cell>
        </row>
        <row r="634">
          <cell r="B634" t="str">
            <v>PL80x60x12</v>
          </cell>
          <cell r="F634">
            <v>0.45216000000000001</v>
          </cell>
          <cell r="G634">
            <v>1.2959999999999999E-2</v>
          </cell>
        </row>
        <row r="635">
          <cell r="B635" t="str">
            <v>PL84x221x9</v>
          </cell>
          <cell r="F635">
            <v>1.3115465999999998</v>
          </cell>
          <cell r="G635">
            <v>4.2617999999999996E-2</v>
          </cell>
        </row>
        <row r="636">
          <cell r="B636" t="str">
            <v>PL90x140x9</v>
          </cell>
          <cell r="F636">
            <v>0.89018999999999993</v>
          </cell>
          <cell r="G636">
            <v>2.9339999999999998E-2</v>
          </cell>
        </row>
        <row r="637">
          <cell r="B637" t="str">
            <v>PL90x200x9</v>
          </cell>
          <cell r="F637">
            <v>1.2717000000000001</v>
          </cell>
          <cell r="G637">
            <v>4.122E-2</v>
          </cell>
        </row>
        <row r="638">
          <cell r="B638" t="str">
            <v>PL90x215x9</v>
          </cell>
          <cell r="F638">
            <v>1.3670774999999999</v>
          </cell>
          <cell r="G638">
            <v>4.419E-2</v>
          </cell>
        </row>
        <row r="639">
          <cell r="B639" t="str">
            <v>PL96x175x9</v>
          </cell>
          <cell r="F639">
            <v>1.18692</v>
          </cell>
          <cell r="G639">
            <v>3.8477999999999998E-2</v>
          </cell>
        </row>
        <row r="640">
          <cell r="B640" t="str">
            <v>PL100x70x6</v>
          </cell>
          <cell r="F640">
            <v>0.32969999999999999</v>
          </cell>
          <cell r="G640">
            <v>1.6039999999999999E-2</v>
          </cell>
        </row>
        <row r="641">
          <cell r="B641" t="str">
            <v>PL240x180x26</v>
          </cell>
          <cell r="F641">
            <v>8.8171199999999992</v>
          </cell>
          <cell r="G641">
            <v>0.10823999999999999</v>
          </cell>
        </row>
        <row r="642">
          <cell r="B642" t="str">
            <v>PL240x180x4.5</v>
          </cell>
          <cell r="F642">
            <v>1.5260399999999998</v>
          </cell>
          <cell r="G642">
            <v>9.0179999999999996E-2</v>
          </cell>
        </row>
        <row r="643">
          <cell r="B643" t="str">
            <v>PL240x150x22</v>
          </cell>
          <cell r="F643">
            <v>6.2172000000000001</v>
          </cell>
          <cell r="G643">
            <v>8.9159999999999989E-2</v>
          </cell>
        </row>
        <row r="644">
          <cell r="B644" t="str">
            <v>PL240x150x4.5</v>
          </cell>
          <cell r="F644">
            <v>1.2717000000000001</v>
          </cell>
          <cell r="G644">
            <v>7.5509999999999994E-2</v>
          </cell>
        </row>
        <row r="645">
          <cell r="B645" t="str">
            <v>PL240x220x26</v>
          </cell>
          <cell r="F645">
            <v>10.776479999999999</v>
          </cell>
          <cell r="G645">
            <v>0.12952</v>
          </cell>
        </row>
        <row r="646">
          <cell r="B646" t="str">
            <v>PL240x220x4.5</v>
          </cell>
          <cell r="F646">
            <v>1.8651599999999999</v>
          </cell>
          <cell r="G646">
            <v>0.10973999999999999</v>
          </cell>
        </row>
        <row r="647">
          <cell r="B647" t="str">
            <v>PL240x125x12</v>
          </cell>
          <cell r="F647">
            <v>2.8260000000000001</v>
          </cell>
          <cell r="G647">
            <v>6.8760000000000002E-2</v>
          </cell>
        </row>
        <row r="648">
          <cell r="B648" t="str">
            <v>PL240x125x16</v>
          </cell>
          <cell r="F648">
            <v>3.7679999999999998</v>
          </cell>
          <cell r="G648">
            <v>7.1679999999999994E-2</v>
          </cell>
        </row>
        <row r="649">
          <cell r="B649" t="str">
            <v>PL240x150x12</v>
          </cell>
          <cell r="F649">
            <v>3.3912</v>
          </cell>
          <cell r="G649">
            <v>8.1360000000000002E-2</v>
          </cell>
        </row>
        <row r="650">
          <cell r="B650" t="str">
            <v>PL250x150x9</v>
          </cell>
          <cell r="F650">
            <v>2.649375</v>
          </cell>
          <cell r="G650">
            <v>8.2199999999999995E-2</v>
          </cell>
        </row>
        <row r="651">
          <cell r="B651" t="str">
            <v>PL165x150x9</v>
          </cell>
          <cell r="F651">
            <v>1.7485875</v>
          </cell>
          <cell r="G651">
            <v>5.5169999999999997E-2</v>
          </cell>
        </row>
        <row r="652">
          <cell r="B652" t="str">
            <v>PL165x125x9</v>
          </cell>
          <cell r="F652">
            <v>1.4571562499999999</v>
          </cell>
          <cell r="G652">
            <v>4.6469999999999997E-2</v>
          </cell>
        </row>
        <row r="653">
          <cell r="B653" t="str">
            <v>PL300x160x4.5</v>
          </cell>
          <cell r="F653">
            <v>1.6956</v>
          </cell>
          <cell r="G653">
            <v>0.10013999999999999</v>
          </cell>
        </row>
        <row r="654">
          <cell r="B654" t="str">
            <v>PL240x150x4.5</v>
          </cell>
          <cell r="F654">
            <v>1.2717000000000001</v>
          </cell>
          <cell r="G654">
            <v>7.5509999999999994E-2</v>
          </cell>
        </row>
        <row r="655">
          <cell r="B655" t="str">
            <v>PLxx</v>
          </cell>
          <cell r="F655">
            <v>0</v>
          </cell>
          <cell r="G655">
            <v>0</v>
          </cell>
        </row>
        <row r="656">
          <cell r="B656" t="str">
            <v>PLxx</v>
          </cell>
          <cell r="F656">
            <v>0</v>
          </cell>
          <cell r="G656">
            <v>0</v>
          </cell>
        </row>
        <row r="657">
          <cell r="B657" t="str">
            <v>PLxx</v>
          </cell>
          <cell r="F657">
            <v>0</v>
          </cell>
          <cell r="G657">
            <v>0</v>
          </cell>
        </row>
        <row r="658">
          <cell r="B658" t="str">
            <v>PLxx</v>
          </cell>
          <cell r="F658">
            <v>0</v>
          </cell>
          <cell r="G658">
            <v>0</v>
          </cell>
        </row>
        <row r="659">
          <cell r="B659" t="str">
            <v>PLxx</v>
          </cell>
          <cell r="F659">
            <v>0</v>
          </cell>
          <cell r="G65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반송"/>
      <sheetName val="M4-Error"/>
      <sheetName val="Error DB"/>
      <sheetName val="E0130"/>
      <sheetName val="E0136"/>
      <sheetName val="E0137"/>
      <sheetName val="DB"/>
      <sheetName val="현황"/>
      <sheetName val="Gamma"/>
      <sheetName val="상세분석"/>
      <sheetName val="MAIN"/>
      <sheetName val="DBASE"/>
      <sheetName val="제조 경영"/>
      <sheetName val="98연계표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  <sheetName val="1단1열(S)"/>
      <sheetName val="TEL"/>
      <sheetName val="채권(하반기)"/>
      <sheetName val="협조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  <sheetName val="사진"/>
      <sheetName val="일정요약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인원"/>
      <sheetName val="저항"/>
      <sheetName val="INCOME"/>
      <sheetName val="Nodel"/>
      <sheetName val="상용_mp"/>
      <sheetName val="통계자료"/>
      <sheetName val="케이블사이즈"/>
      <sheetName val="목록"/>
      <sheetName val="동력프로젝트사양서"/>
      <sheetName val="CV사급자재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  <sheetName val="MFG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  <sheetName val="설계상수"/>
      <sheetName val="기번기준"/>
      <sheetName val="진행현황표"/>
      <sheetName val="인원"/>
      <sheetName val="미구주"/>
      <sheetName val="실행철강하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별제권_정리담보권1"/>
      <sheetName val="상세내역"/>
      <sheetName val="MAIN"/>
      <sheetName val="삼성전자 KIT_1028_최종"/>
      <sheetName val="법인세등 (2)"/>
      <sheetName val="공수TABLE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혼합포장동 자재내역서"/>
      <sheetName val="3공장 자재내역서"/>
      <sheetName val="분류표"/>
      <sheetName val="TOTAL"/>
      <sheetName val="SRC0A(ㅁ-등변각관)"/>
      <sheetName val="SRC0B(ㅁ-부등변각관)"/>
      <sheetName val="SRC0C(ㄱ-ANGLE)"/>
      <sheetName val="SRC0D(ㄷ-CHANNEL)"/>
      <sheetName val="SRC0E(C-CHANNEL)"/>
      <sheetName val="SRC0F(H-BEAM)"/>
      <sheetName val="SRC0G(H-LIGHT BEAM)"/>
      <sheetName val="SRC0H(ROUND-BAR)"/>
      <sheetName val="SRC0I(PIPE)"/>
      <sheetName val="SRC0J(I-BEAM)"/>
      <sheetName val="SRC0K(SQUARE-BAR)"/>
      <sheetName val="SRC0L(RAIL)"/>
      <sheetName val="SRC0M(CHECK PLATE)"/>
      <sheetName val="SRRPA(RACK PLATE))"/>
      <sheetName val="SRSPC(RIB PLATE)"/>
      <sheetName val="단가"/>
    </sheetNames>
    <sheetDataSet>
      <sheetData sheetId="0"/>
      <sheetData sheetId="1"/>
      <sheetData sheetId="2"/>
      <sheetData sheetId="3">
        <row r="7">
          <cell r="F7">
            <v>0.69699999999999995</v>
          </cell>
        </row>
        <row r="8">
          <cell r="F8">
            <v>0.872</v>
          </cell>
        </row>
        <row r="9">
          <cell r="F9">
            <v>0.86699999999999999</v>
          </cell>
        </row>
        <row r="10">
          <cell r="F10">
            <v>1.1200000000000001</v>
          </cell>
        </row>
        <row r="11">
          <cell r="F11">
            <v>1.06</v>
          </cell>
        </row>
        <row r="12">
          <cell r="F12">
            <v>1.38</v>
          </cell>
        </row>
        <row r="13">
          <cell r="F13">
            <v>1.88</v>
          </cell>
        </row>
        <row r="14">
          <cell r="F14">
            <v>2.62</v>
          </cell>
        </row>
        <row r="15">
          <cell r="F15">
            <v>2.38</v>
          </cell>
        </row>
        <row r="16">
          <cell r="F16">
            <v>3.34</v>
          </cell>
        </row>
        <row r="17">
          <cell r="F17">
            <v>4.5</v>
          </cell>
        </row>
        <row r="18">
          <cell r="F18">
            <v>2.88</v>
          </cell>
        </row>
        <row r="19">
          <cell r="F19">
            <v>4.0599999999999996</v>
          </cell>
        </row>
        <row r="20">
          <cell r="F20">
            <v>5.5</v>
          </cell>
        </row>
        <row r="21">
          <cell r="F21">
            <v>3.64</v>
          </cell>
        </row>
        <row r="22">
          <cell r="F22">
            <v>5.14</v>
          </cell>
        </row>
        <row r="23">
          <cell r="F23">
            <v>7.01</v>
          </cell>
        </row>
        <row r="24">
          <cell r="F24">
            <v>8.58</v>
          </cell>
        </row>
        <row r="25">
          <cell r="F25">
            <v>9.5500000000000007</v>
          </cell>
        </row>
        <row r="26">
          <cell r="F26">
            <v>5.5</v>
          </cell>
        </row>
        <row r="27">
          <cell r="F27">
            <v>7.51</v>
          </cell>
        </row>
        <row r="28">
          <cell r="F28">
            <v>10.3</v>
          </cell>
        </row>
        <row r="29">
          <cell r="F29">
            <v>6.23</v>
          </cell>
        </row>
        <row r="30">
          <cell r="F30">
            <v>8.51</v>
          </cell>
        </row>
        <row r="31">
          <cell r="F31">
            <v>6.95</v>
          </cell>
        </row>
        <row r="32">
          <cell r="F32">
            <v>9.52</v>
          </cell>
        </row>
        <row r="33">
          <cell r="F33">
            <v>11.7</v>
          </cell>
        </row>
        <row r="34">
          <cell r="F34">
            <v>13.1</v>
          </cell>
        </row>
        <row r="35">
          <cell r="F35">
            <v>14.41</v>
          </cell>
        </row>
        <row r="36">
          <cell r="F36">
            <v>17</v>
          </cell>
        </row>
        <row r="37">
          <cell r="F37">
            <v>24.1</v>
          </cell>
        </row>
        <row r="38">
          <cell r="F38">
            <v>30.2</v>
          </cell>
        </row>
        <row r="39">
          <cell r="F39">
            <v>12</v>
          </cell>
        </row>
        <row r="40">
          <cell r="F40">
            <v>16.600000000000001</v>
          </cell>
        </row>
        <row r="41">
          <cell r="F41">
            <v>18.3</v>
          </cell>
        </row>
        <row r="42">
          <cell r="F42">
            <v>21.7</v>
          </cell>
        </row>
        <row r="43">
          <cell r="F43">
            <v>31.1</v>
          </cell>
        </row>
        <row r="44">
          <cell r="F44">
            <v>39.700000000000003</v>
          </cell>
        </row>
        <row r="45">
          <cell r="F45">
            <v>20.100000000000001</v>
          </cell>
        </row>
        <row r="46">
          <cell r="F46">
            <v>22.3</v>
          </cell>
        </row>
        <row r="47">
          <cell r="F47">
            <v>26.4</v>
          </cell>
        </row>
        <row r="48">
          <cell r="F48">
            <v>38.200000000000003</v>
          </cell>
        </row>
        <row r="49">
          <cell r="F49">
            <v>23.7</v>
          </cell>
        </row>
        <row r="50">
          <cell r="F50">
            <v>26.2</v>
          </cell>
        </row>
        <row r="51">
          <cell r="F51">
            <v>31.1</v>
          </cell>
        </row>
        <row r="52">
          <cell r="F52">
            <v>27.2</v>
          </cell>
        </row>
        <row r="53">
          <cell r="F53">
            <v>35.799999999999997</v>
          </cell>
        </row>
        <row r="54">
          <cell r="F54">
            <v>46.9</v>
          </cell>
        </row>
        <row r="55">
          <cell r="F55">
            <v>52.3</v>
          </cell>
        </row>
        <row r="56">
          <cell r="F56">
            <v>67.900000000000006</v>
          </cell>
        </row>
        <row r="57">
          <cell r="F57">
            <v>38</v>
          </cell>
        </row>
        <row r="58">
          <cell r="F58">
            <v>45.2</v>
          </cell>
        </row>
        <row r="59">
          <cell r="F59">
            <v>59.5</v>
          </cell>
        </row>
        <row r="60">
          <cell r="F60">
            <v>66.5</v>
          </cell>
        </row>
        <row r="61">
          <cell r="F61">
            <v>86.8</v>
          </cell>
        </row>
        <row r="62">
          <cell r="F62">
            <v>41.3</v>
          </cell>
        </row>
        <row r="63">
          <cell r="F63">
            <v>54.7</v>
          </cell>
        </row>
        <row r="64">
          <cell r="F64">
            <v>80.599999999999994</v>
          </cell>
        </row>
        <row r="65">
          <cell r="F65">
            <v>106</v>
          </cell>
        </row>
        <row r="66">
          <cell r="F66">
            <v>94.7</v>
          </cell>
        </row>
        <row r="67">
          <cell r="F67">
            <v>124</v>
          </cell>
        </row>
        <row r="68">
          <cell r="F68">
            <v>109</v>
          </cell>
        </row>
        <row r="69">
          <cell r="F69">
            <v>143</v>
          </cell>
        </row>
        <row r="70">
          <cell r="F70">
            <v>166</v>
          </cell>
        </row>
        <row r="71">
          <cell r="F71">
            <v>188</v>
          </cell>
        </row>
        <row r="72">
          <cell r="F72">
            <v>220</v>
          </cell>
        </row>
        <row r="73">
          <cell r="F73">
            <v>251</v>
          </cell>
        </row>
        <row r="74">
          <cell r="F74">
            <v>122</v>
          </cell>
        </row>
        <row r="75">
          <cell r="F75">
            <v>160</v>
          </cell>
        </row>
        <row r="76">
          <cell r="F76">
            <v>209</v>
          </cell>
        </row>
        <row r="77">
          <cell r="F77">
            <v>250</v>
          </cell>
        </row>
        <row r="78">
          <cell r="F78">
            <v>286</v>
          </cell>
        </row>
        <row r="79">
          <cell r="F79">
            <v>181</v>
          </cell>
        </row>
        <row r="80">
          <cell r="F80">
            <v>238</v>
          </cell>
        </row>
        <row r="81">
          <cell r="F81">
            <v>280</v>
          </cell>
        </row>
        <row r="82">
          <cell r="F82">
            <v>320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1.05</v>
          </cell>
        </row>
        <row r="99">
          <cell r="F99">
            <v>1.38</v>
          </cell>
        </row>
        <row r="100">
          <cell r="F100">
            <v>1.63</v>
          </cell>
        </row>
        <row r="101">
          <cell r="F101">
            <v>2.25</v>
          </cell>
        </row>
        <row r="102">
          <cell r="F102">
            <v>1.88</v>
          </cell>
        </row>
        <row r="103">
          <cell r="F103">
            <v>2.62</v>
          </cell>
        </row>
        <row r="104">
          <cell r="F104">
            <v>3.49</v>
          </cell>
        </row>
        <row r="105">
          <cell r="F105">
            <v>2.13</v>
          </cell>
        </row>
        <row r="106">
          <cell r="F106">
            <v>2.98</v>
          </cell>
        </row>
        <row r="107">
          <cell r="F107">
            <v>3.99</v>
          </cell>
        </row>
        <row r="108">
          <cell r="F108">
            <v>2.38</v>
          </cell>
        </row>
        <row r="109">
          <cell r="F109">
            <v>3.34</v>
          </cell>
        </row>
        <row r="110">
          <cell r="F110">
            <v>4.5</v>
          </cell>
        </row>
        <row r="111">
          <cell r="F111">
            <v>2.25</v>
          </cell>
        </row>
        <row r="112">
          <cell r="F112">
            <v>3.16</v>
          </cell>
        </row>
        <row r="113">
          <cell r="F113">
            <v>2.88</v>
          </cell>
        </row>
        <row r="114">
          <cell r="F114">
            <v>4.0599999999999996</v>
          </cell>
        </row>
        <row r="115">
          <cell r="F115">
            <v>5.5</v>
          </cell>
        </row>
        <row r="116">
          <cell r="F116">
            <v>3.01</v>
          </cell>
        </row>
        <row r="117">
          <cell r="F117">
            <v>4.24</v>
          </cell>
        </row>
        <row r="118">
          <cell r="F118">
            <v>5.75</v>
          </cell>
        </row>
        <row r="119">
          <cell r="F119">
            <v>3.64</v>
          </cell>
        </row>
        <row r="120">
          <cell r="F120">
            <v>5.14</v>
          </cell>
        </row>
        <row r="121">
          <cell r="F121">
            <v>7.01</v>
          </cell>
        </row>
        <row r="122">
          <cell r="F122">
            <v>9.5500000000000007</v>
          </cell>
        </row>
        <row r="123">
          <cell r="F123">
            <v>6.95</v>
          </cell>
        </row>
        <row r="124">
          <cell r="F124">
            <v>9.52</v>
          </cell>
        </row>
        <row r="125">
          <cell r="F125">
            <v>11.7</v>
          </cell>
        </row>
        <row r="126">
          <cell r="F126">
            <v>12</v>
          </cell>
        </row>
        <row r="127">
          <cell r="F127">
            <v>16.600000000000001</v>
          </cell>
        </row>
        <row r="128">
          <cell r="F128">
            <v>21.7</v>
          </cell>
        </row>
        <row r="129">
          <cell r="F129">
            <v>31.1</v>
          </cell>
        </row>
        <row r="130">
          <cell r="F130">
            <v>20.100000000000001</v>
          </cell>
        </row>
        <row r="131">
          <cell r="F131">
            <v>26.4</v>
          </cell>
        </row>
        <row r="132">
          <cell r="F132">
            <v>38.200000000000003</v>
          </cell>
        </row>
        <row r="133">
          <cell r="F133">
            <v>23.7</v>
          </cell>
        </row>
        <row r="134">
          <cell r="F134">
            <v>31.1</v>
          </cell>
        </row>
        <row r="135">
          <cell r="F135">
            <v>45.3</v>
          </cell>
        </row>
        <row r="136">
          <cell r="F136">
            <v>35.799999999999997</v>
          </cell>
        </row>
        <row r="137">
          <cell r="F137">
            <v>52.3</v>
          </cell>
        </row>
        <row r="138">
          <cell r="F138">
            <v>67.900000000000006</v>
          </cell>
        </row>
        <row r="139">
          <cell r="F139">
            <v>2.2599999999999998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1.1200000000000001</v>
          </cell>
        </row>
        <row r="151">
          <cell r="F151">
            <v>1.36</v>
          </cell>
        </row>
        <row r="152">
          <cell r="F152">
            <v>2.95</v>
          </cell>
        </row>
        <row r="153">
          <cell r="F153">
            <v>2.74</v>
          </cell>
        </row>
        <row r="154">
          <cell r="F154">
            <v>3.38</v>
          </cell>
        </row>
        <row r="155">
          <cell r="F155">
            <v>3.06</v>
          </cell>
        </row>
        <row r="156">
          <cell r="F156">
            <v>3.77</v>
          </cell>
        </row>
        <row r="157">
          <cell r="F157">
            <v>4.43</v>
          </cell>
        </row>
        <row r="158">
          <cell r="F158">
            <v>3.68</v>
          </cell>
        </row>
        <row r="159">
          <cell r="F159">
            <v>4.55</v>
          </cell>
        </row>
        <row r="160">
          <cell r="F160">
            <v>5.37</v>
          </cell>
        </row>
        <row r="161">
          <cell r="F161">
            <v>5</v>
          </cell>
        </row>
        <row r="162">
          <cell r="F162">
            <v>5.91</v>
          </cell>
        </row>
        <row r="163">
          <cell r="F163">
            <v>7.66</v>
          </cell>
        </row>
        <row r="164">
          <cell r="F164">
            <v>6.38</v>
          </cell>
        </row>
        <row r="165">
          <cell r="F165">
            <v>6.85</v>
          </cell>
        </row>
        <row r="166">
          <cell r="F166">
            <v>9.9600000000000009</v>
          </cell>
        </row>
        <row r="167">
          <cell r="F167">
            <v>13</v>
          </cell>
        </row>
        <row r="168">
          <cell r="F168">
            <v>7.32</v>
          </cell>
        </row>
        <row r="169">
          <cell r="F169">
            <v>8.48</v>
          </cell>
        </row>
        <row r="170">
          <cell r="F170">
            <v>8.2799999999999994</v>
          </cell>
        </row>
        <row r="171">
          <cell r="F171">
            <v>9.59</v>
          </cell>
        </row>
        <row r="172">
          <cell r="F172">
            <v>10.8</v>
          </cell>
        </row>
        <row r="173">
          <cell r="F173">
            <v>12.08</v>
          </cell>
        </row>
        <row r="174">
          <cell r="F174">
            <v>13.3</v>
          </cell>
        </row>
        <row r="175">
          <cell r="F175">
            <v>17</v>
          </cell>
        </row>
        <row r="176">
          <cell r="F176">
            <v>10.7</v>
          </cell>
        </row>
        <row r="177">
          <cell r="F177">
            <v>12.06</v>
          </cell>
        </row>
        <row r="178">
          <cell r="F178">
            <v>14.9</v>
          </cell>
        </row>
        <row r="179">
          <cell r="F179">
            <v>19.100000000000001</v>
          </cell>
        </row>
        <row r="180">
          <cell r="F180">
            <v>14.7</v>
          </cell>
        </row>
        <row r="181">
          <cell r="F181">
            <v>17.899999999999999</v>
          </cell>
        </row>
        <row r="182">
          <cell r="F182">
            <v>19.75</v>
          </cell>
        </row>
        <row r="183">
          <cell r="F183">
            <v>23.4</v>
          </cell>
        </row>
        <row r="184">
          <cell r="F184">
            <v>28.8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6.92</v>
          </cell>
        </row>
        <row r="191">
          <cell r="F191">
            <v>9.36</v>
          </cell>
        </row>
        <row r="192">
          <cell r="F192">
            <v>13.4</v>
          </cell>
        </row>
        <row r="193">
          <cell r="F193">
            <v>18.600000000000001</v>
          </cell>
        </row>
        <row r="194">
          <cell r="F194">
            <v>24.6</v>
          </cell>
        </row>
        <row r="195">
          <cell r="F195">
            <v>34.6</v>
          </cell>
        </row>
        <row r="196">
          <cell r="F196">
            <v>38.1</v>
          </cell>
        </row>
        <row r="197">
          <cell r="F197">
            <v>54.5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1.63</v>
          </cell>
        </row>
        <row r="204">
          <cell r="F204">
            <v>1.99</v>
          </cell>
        </row>
        <row r="205">
          <cell r="F205">
            <v>2.25</v>
          </cell>
        </row>
        <row r="206">
          <cell r="F206">
            <v>2.3199999999999998</v>
          </cell>
        </row>
        <row r="207">
          <cell r="F207">
            <v>2.86</v>
          </cell>
        </row>
        <row r="208">
          <cell r="F208">
            <v>3.25</v>
          </cell>
        </row>
        <row r="209">
          <cell r="F209">
            <v>2.63</v>
          </cell>
        </row>
        <row r="210">
          <cell r="F210">
            <v>3.25</v>
          </cell>
        </row>
        <row r="211">
          <cell r="F211">
            <v>3.7</v>
          </cell>
        </row>
        <row r="212">
          <cell r="F212">
            <v>5</v>
          </cell>
        </row>
        <row r="213">
          <cell r="F213">
            <v>5.25</v>
          </cell>
        </row>
        <row r="214">
          <cell r="F214">
            <v>2.88</v>
          </cell>
        </row>
        <row r="215">
          <cell r="F215">
            <v>3.56</v>
          </cell>
        </row>
        <row r="216">
          <cell r="F216">
            <v>4.0599999999999996</v>
          </cell>
        </row>
        <row r="217">
          <cell r="F217">
            <v>4.55</v>
          </cell>
        </row>
        <row r="218">
          <cell r="F218">
            <v>5.5</v>
          </cell>
        </row>
        <row r="219">
          <cell r="F219">
            <v>3.95</v>
          </cell>
        </row>
        <row r="220">
          <cell r="F220">
            <v>4.51</v>
          </cell>
        </row>
        <row r="221">
          <cell r="F221">
            <v>6.13</v>
          </cell>
        </row>
        <row r="222">
          <cell r="F222">
            <v>4.96</v>
          </cell>
        </row>
        <row r="223">
          <cell r="F223">
            <v>6.76</v>
          </cell>
        </row>
        <row r="224">
          <cell r="F224">
            <v>9.1999999999999993</v>
          </cell>
        </row>
        <row r="225">
          <cell r="F225">
            <v>5.5</v>
          </cell>
        </row>
        <row r="226">
          <cell r="F226">
            <v>7.51</v>
          </cell>
        </row>
        <row r="227">
          <cell r="F227">
            <v>9.2200000000000006</v>
          </cell>
        </row>
        <row r="228">
          <cell r="F228">
            <v>8.01</v>
          </cell>
        </row>
        <row r="229">
          <cell r="F229">
            <v>8.27</v>
          </cell>
        </row>
        <row r="230">
          <cell r="F230">
            <v>10.199999999999999</v>
          </cell>
        </row>
        <row r="231">
          <cell r="F231">
            <v>11.3</v>
          </cell>
        </row>
        <row r="232">
          <cell r="F232">
            <v>9.27</v>
          </cell>
        </row>
        <row r="233">
          <cell r="F233">
            <v>11.4</v>
          </cell>
        </row>
        <row r="234">
          <cell r="F234">
            <v>12.7</v>
          </cell>
        </row>
        <row r="235">
          <cell r="F235">
            <v>9.52</v>
          </cell>
        </row>
        <row r="236">
          <cell r="F236">
            <v>11.7</v>
          </cell>
        </row>
        <row r="237">
          <cell r="F237">
            <v>13.1</v>
          </cell>
        </row>
        <row r="238">
          <cell r="F238">
            <v>14.9</v>
          </cell>
        </row>
        <row r="239">
          <cell r="F239">
            <v>6.7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17.2</v>
          </cell>
        </row>
        <row r="245">
          <cell r="F245">
            <v>23.8</v>
          </cell>
        </row>
        <row r="246">
          <cell r="F246">
            <v>14</v>
          </cell>
        </row>
        <row r="247">
          <cell r="F247">
            <v>21.1</v>
          </cell>
        </row>
        <row r="248">
          <cell r="F248">
            <v>31.5</v>
          </cell>
        </row>
        <row r="249">
          <cell r="F249">
            <v>18.2</v>
          </cell>
        </row>
        <row r="250">
          <cell r="F250">
            <v>21.3</v>
          </cell>
        </row>
        <row r="251">
          <cell r="F251">
            <v>30.6</v>
          </cell>
        </row>
        <row r="252">
          <cell r="F252">
            <v>49.9</v>
          </cell>
        </row>
        <row r="253">
          <cell r="F253">
            <v>56.2</v>
          </cell>
        </row>
        <row r="254">
          <cell r="F254">
            <v>65.7</v>
          </cell>
        </row>
        <row r="255">
          <cell r="F255">
            <v>25.7</v>
          </cell>
        </row>
        <row r="256">
          <cell r="F256">
            <v>29.6</v>
          </cell>
        </row>
        <row r="257">
          <cell r="F257">
            <v>44.1</v>
          </cell>
        </row>
        <row r="258">
          <cell r="F258">
            <v>64.400000000000006</v>
          </cell>
        </row>
        <row r="259">
          <cell r="F259">
            <v>66.5</v>
          </cell>
        </row>
        <row r="260">
          <cell r="F260">
            <v>72.400000000000006</v>
          </cell>
        </row>
        <row r="261">
          <cell r="F261">
            <v>82.2</v>
          </cell>
        </row>
        <row r="262">
          <cell r="F262">
            <v>32</v>
          </cell>
        </row>
        <row r="263">
          <cell r="F263">
            <v>36.700000000000003</v>
          </cell>
        </row>
        <row r="264">
          <cell r="F264">
            <v>56.8</v>
          </cell>
        </row>
        <row r="265">
          <cell r="F265">
            <v>65.400000000000006</v>
          </cell>
        </row>
        <row r="266">
          <cell r="F266">
            <v>84.5</v>
          </cell>
        </row>
        <row r="267">
          <cell r="F267">
            <v>87</v>
          </cell>
        </row>
        <row r="268">
          <cell r="F268">
            <v>94</v>
          </cell>
        </row>
        <row r="269">
          <cell r="F269">
            <v>106</v>
          </cell>
        </row>
        <row r="270">
          <cell r="F270">
            <v>106</v>
          </cell>
        </row>
        <row r="271">
          <cell r="F271">
            <v>130</v>
          </cell>
        </row>
        <row r="272">
          <cell r="F272">
            <v>142</v>
          </cell>
        </row>
        <row r="273">
          <cell r="F273">
            <v>41.4</v>
          </cell>
        </row>
        <row r="274">
          <cell r="F274">
            <v>49.6</v>
          </cell>
        </row>
        <row r="275">
          <cell r="F275">
            <v>57.8</v>
          </cell>
        </row>
        <row r="276">
          <cell r="F276">
            <v>69.2</v>
          </cell>
        </row>
        <row r="277">
          <cell r="F277">
            <v>79.7</v>
          </cell>
        </row>
        <row r="278">
          <cell r="F278">
            <v>115</v>
          </cell>
        </row>
        <row r="279">
          <cell r="F279">
            <v>131</v>
          </cell>
        </row>
        <row r="280">
          <cell r="F280">
            <v>137</v>
          </cell>
        </row>
        <row r="281">
          <cell r="F281">
            <v>156</v>
          </cell>
        </row>
        <row r="282">
          <cell r="F282">
            <v>56.6</v>
          </cell>
        </row>
        <row r="283">
          <cell r="F283">
            <v>66</v>
          </cell>
        </row>
        <row r="284">
          <cell r="F284">
            <v>75.5</v>
          </cell>
        </row>
        <row r="285">
          <cell r="F285">
            <v>94.3</v>
          </cell>
        </row>
        <row r="286">
          <cell r="F286">
            <v>107</v>
          </cell>
        </row>
        <row r="287">
          <cell r="F287">
            <v>140</v>
          </cell>
        </row>
        <row r="288">
          <cell r="F288">
            <v>147</v>
          </cell>
        </row>
        <row r="289">
          <cell r="F289">
            <v>168</v>
          </cell>
        </row>
        <row r="290">
          <cell r="F290">
            <v>172</v>
          </cell>
        </row>
        <row r="291">
          <cell r="F291">
            <v>197</v>
          </cell>
        </row>
        <row r="292">
          <cell r="F292">
            <v>200</v>
          </cell>
        </row>
        <row r="293">
          <cell r="F293">
            <v>232</v>
          </cell>
        </row>
        <row r="294">
          <cell r="F294">
            <v>283</v>
          </cell>
        </row>
        <row r="295">
          <cell r="F295">
            <v>415</v>
          </cell>
        </row>
        <row r="296">
          <cell r="F296">
            <v>605</v>
          </cell>
        </row>
        <row r="297">
          <cell r="F297">
            <v>66.2</v>
          </cell>
        </row>
        <row r="298">
          <cell r="F298">
            <v>76</v>
          </cell>
        </row>
        <row r="299">
          <cell r="F299">
            <v>106</v>
          </cell>
        </row>
        <row r="300">
          <cell r="F300">
            <v>124</v>
          </cell>
        </row>
        <row r="301">
          <cell r="F301">
            <v>79.5</v>
          </cell>
        </row>
        <row r="302">
          <cell r="F302">
            <v>89.6</v>
          </cell>
        </row>
        <row r="303">
          <cell r="F303">
            <v>103</v>
          </cell>
        </row>
        <row r="304">
          <cell r="F304">
            <v>114</v>
          </cell>
        </row>
        <row r="305">
          <cell r="F305">
            <v>128</v>
          </cell>
        </row>
        <row r="306">
          <cell r="F306">
            <v>94.6</v>
          </cell>
        </row>
        <row r="307">
          <cell r="F307">
            <v>106</v>
          </cell>
        </row>
        <row r="308">
          <cell r="F308">
            <v>120</v>
          </cell>
        </row>
        <row r="309">
          <cell r="F309">
            <v>134</v>
          </cell>
        </row>
        <row r="310">
          <cell r="F310">
            <v>137</v>
          </cell>
        </row>
        <row r="311">
          <cell r="F311">
            <v>151</v>
          </cell>
        </row>
        <row r="312">
          <cell r="F312">
            <v>175</v>
          </cell>
        </row>
        <row r="313">
          <cell r="F313">
            <v>166</v>
          </cell>
        </row>
        <row r="314">
          <cell r="F314">
            <v>185</v>
          </cell>
        </row>
        <row r="315">
          <cell r="F315">
            <v>215</v>
          </cell>
        </row>
        <row r="316">
          <cell r="F316">
            <v>191</v>
          </cell>
        </row>
        <row r="317">
          <cell r="F317">
            <v>210</v>
          </cell>
        </row>
        <row r="318">
          <cell r="F318">
            <v>241</v>
          </cell>
        </row>
        <row r="319">
          <cell r="F319">
            <v>210</v>
          </cell>
        </row>
        <row r="320">
          <cell r="F320">
            <v>240</v>
          </cell>
        </row>
        <row r="321">
          <cell r="F321">
            <v>283</v>
          </cell>
        </row>
        <row r="322">
          <cell r="F322">
            <v>304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9.66</v>
          </cell>
        </row>
        <row r="329">
          <cell r="F329">
            <v>11.91</v>
          </cell>
        </row>
        <row r="330">
          <cell r="F330">
            <v>22.92</v>
          </cell>
        </row>
        <row r="331">
          <cell r="F331">
            <v>10.46</v>
          </cell>
        </row>
        <row r="332">
          <cell r="F332">
            <v>12.71</v>
          </cell>
        </row>
        <row r="333">
          <cell r="F333">
            <v>28.92</v>
          </cell>
        </row>
        <row r="334">
          <cell r="F334">
            <v>11.26</v>
          </cell>
        </row>
        <row r="335">
          <cell r="F335">
            <v>13.42</v>
          </cell>
        </row>
        <row r="336">
          <cell r="F336">
            <v>17.3</v>
          </cell>
        </row>
        <row r="337">
          <cell r="F337">
            <v>13.51</v>
          </cell>
        </row>
        <row r="338">
          <cell r="F338">
            <v>16.420000000000002</v>
          </cell>
        </row>
        <row r="339">
          <cell r="F339">
            <v>25.92</v>
          </cell>
        </row>
        <row r="340">
          <cell r="F340">
            <v>22.42</v>
          </cell>
        </row>
        <row r="341">
          <cell r="F341">
            <v>34.92</v>
          </cell>
        </row>
        <row r="342">
          <cell r="F342">
            <v>13.41</v>
          </cell>
        </row>
        <row r="343">
          <cell r="F343">
            <v>15.11</v>
          </cell>
        </row>
        <row r="344">
          <cell r="F344">
            <v>18.02</v>
          </cell>
        </row>
        <row r="345">
          <cell r="F345">
            <v>19.61</v>
          </cell>
        </row>
        <row r="346">
          <cell r="F346">
            <v>24.02</v>
          </cell>
        </row>
        <row r="347">
          <cell r="F347">
            <v>26.46</v>
          </cell>
        </row>
        <row r="348">
          <cell r="F348">
            <v>37.92</v>
          </cell>
        </row>
        <row r="349">
          <cell r="F349">
            <v>46.92</v>
          </cell>
        </row>
        <row r="350">
          <cell r="F350">
            <v>16.71</v>
          </cell>
        </row>
        <row r="351">
          <cell r="F351">
            <v>28.44</v>
          </cell>
        </row>
        <row r="352">
          <cell r="F352">
            <v>18.96</v>
          </cell>
        </row>
        <row r="353">
          <cell r="F353">
            <v>25.71</v>
          </cell>
        </row>
        <row r="354">
          <cell r="F354">
            <v>32.94</v>
          </cell>
        </row>
        <row r="355">
          <cell r="F355">
            <v>21.21</v>
          </cell>
        </row>
        <row r="356">
          <cell r="F356">
            <v>28.71</v>
          </cell>
        </row>
        <row r="357">
          <cell r="F357">
            <v>37.44</v>
          </cell>
        </row>
        <row r="358">
          <cell r="F358">
            <v>45.22</v>
          </cell>
        </row>
        <row r="359">
          <cell r="F359">
            <v>58.92</v>
          </cell>
        </row>
        <row r="360">
          <cell r="F360">
            <v>22.81</v>
          </cell>
        </row>
        <row r="361">
          <cell r="F361">
            <v>30.96</v>
          </cell>
        </row>
        <row r="362">
          <cell r="F362">
            <v>39.69</v>
          </cell>
        </row>
        <row r="363">
          <cell r="F363">
            <v>43.92</v>
          </cell>
        </row>
        <row r="364">
          <cell r="F364">
            <v>33.96</v>
          </cell>
        </row>
        <row r="365">
          <cell r="F365">
            <v>44.19</v>
          </cell>
        </row>
        <row r="366">
          <cell r="F366">
            <v>52.92</v>
          </cell>
        </row>
        <row r="367">
          <cell r="F367">
            <v>70.92</v>
          </cell>
        </row>
        <row r="368">
          <cell r="F368">
            <v>36.21</v>
          </cell>
        </row>
        <row r="369">
          <cell r="F369">
            <v>46.44</v>
          </cell>
        </row>
        <row r="370">
          <cell r="F370">
            <v>58.42</v>
          </cell>
        </row>
        <row r="371">
          <cell r="F371">
            <v>55.92</v>
          </cell>
        </row>
        <row r="372">
          <cell r="F372">
            <v>53.19</v>
          </cell>
        </row>
        <row r="373">
          <cell r="F373">
            <v>58.92</v>
          </cell>
        </row>
        <row r="374">
          <cell r="F374">
            <v>76.92</v>
          </cell>
        </row>
        <row r="375">
          <cell r="F375">
            <v>55.44</v>
          </cell>
        </row>
        <row r="376">
          <cell r="F376">
            <v>79.92</v>
          </cell>
        </row>
        <row r="377">
          <cell r="F377">
            <v>98.7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>
            <v>0</v>
          </cell>
        </row>
        <row r="382">
          <cell r="F382">
            <v>0</v>
          </cell>
        </row>
        <row r="383">
          <cell r="F383">
            <v>0.222</v>
          </cell>
        </row>
        <row r="384">
          <cell r="F384">
            <v>0.30199999999999999</v>
          </cell>
        </row>
        <row r="385">
          <cell r="F385">
            <v>0.39500000000000002</v>
          </cell>
        </row>
        <row r="386">
          <cell r="F386">
            <v>0.44900000000000001</v>
          </cell>
        </row>
        <row r="387">
          <cell r="F387">
            <v>0.61699999999999999</v>
          </cell>
        </row>
        <row r="388">
          <cell r="F388">
            <v>0.746</v>
          </cell>
        </row>
        <row r="389">
          <cell r="F389">
            <v>0.88800000000000001</v>
          </cell>
        </row>
        <row r="390">
          <cell r="F390">
            <v>1.04</v>
          </cell>
        </row>
        <row r="391">
          <cell r="F391">
            <v>1.21</v>
          </cell>
        </row>
        <row r="392">
          <cell r="F392">
            <v>1.58</v>
          </cell>
        </row>
        <row r="393">
          <cell r="F393">
            <v>2</v>
          </cell>
        </row>
        <row r="394">
          <cell r="F394">
            <v>2.23</v>
          </cell>
        </row>
        <row r="395">
          <cell r="F395">
            <v>2.4700000000000002</v>
          </cell>
        </row>
        <row r="396">
          <cell r="F396">
            <v>2.98</v>
          </cell>
        </row>
        <row r="397">
          <cell r="F397">
            <v>3.55</v>
          </cell>
        </row>
        <row r="398">
          <cell r="F398">
            <v>3.85</v>
          </cell>
        </row>
        <row r="399">
          <cell r="F399">
            <v>4.49</v>
          </cell>
        </row>
        <row r="400">
          <cell r="F400">
            <v>4.83</v>
          </cell>
        </row>
        <row r="401">
          <cell r="F401">
            <v>5.55</v>
          </cell>
        </row>
        <row r="402">
          <cell r="F402">
            <v>6.31</v>
          </cell>
        </row>
        <row r="403">
          <cell r="F403">
            <v>6.71</v>
          </cell>
        </row>
        <row r="404">
          <cell r="F404">
            <v>7.99</v>
          </cell>
        </row>
        <row r="405">
          <cell r="F405">
            <v>8.9</v>
          </cell>
        </row>
        <row r="406">
          <cell r="F406">
            <v>9.3800000000000008</v>
          </cell>
        </row>
        <row r="407">
          <cell r="F407">
            <v>10.9</v>
          </cell>
        </row>
        <row r="408">
          <cell r="F408">
            <v>12.5</v>
          </cell>
        </row>
        <row r="409">
          <cell r="F409">
            <v>13</v>
          </cell>
        </row>
        <row r="410">
          <cell r="F410">
            <v>14.2</v>
          </cell>
        </row>
        <row r="411">
          <cell r="F411">
            <v>15.4</v>
          </cell>
        </row>
        <row r="412">
          <cell r="F412">
            <v>16.7</v>
          </cell>
        </row>
        <row r="413">
          <cell r="F413">
            <v>18.7</v>
          </cell>
        </row>
        <row r="414">
          <cell r="F414">
            <v>19.3</v>
          </cell>
        </row>
        <row r="415">
          <cell r="F415">
            <v>22.2</v>
          </cell>
        </row>
        <row r="416">
          <cell r="F416">
            <v>25.3</v>
          </cell>
        </row>
        <row r="417">
          <cell r="F417">
            <v>26</v>
          </cell>
        </row>
        <row r="418">
          <cell r="F418">
            <v>28.5</v>
          </cell>
        </row>
        <row r="419">
          <cell r="F419">
            <v>30.2</v>
          </cell>
        </row>
        <row r="420">
          <cell r="F420">
            <v>34.700000000000003</v>
          </cell>
        </row>
        <row r="421">
          <cell r="F421">
            <v>39.5</v>
          </cell>
        </row>
        <row r="422">
          <cell r="F422">
            <v>44.5</v>
          </cell>
        </row>
        <row r="423">
          <cell r="F423">
            <v>49.9</v>
          </cell>
        </row>
        <row r="424">
          <cell r="F424">
            <v>55.6</v>
          </cell>
        </row>
        <row r="425">
          <cell r="F425">
            <v>61.7</v>
          </cell>
        </row>
        <row r="426">
          <cell r="F426">
            <v>74.599999999999994</v>
          </cell>
        </row>
        <row r="427">
          <cell r="F427">
            <v>88.8</v>
          </cell>
        </row>
        <row r="428">
          <cell r="F428">
            <v>104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0</v>
          </cell>
        </row>
        <row r="433">
          <cell r="F433">
            <v>0</v>
          </cell>
        </row>
        <row r="434">
          <cell r="F434">
            <v>0.97199999999999998</v>
          </cell>
        </row>
        <row r="435">
          <cell r="F435">
            <v>1.24</v>
          </cell>
        </row>
        <row r="436">
          <cell r="F436">
            <v>1.41</v>
          </cell>
        </row>
        <row r="437">
          <cell r="F437">
            <v>1.8</v>
          </cell>
        </row>
        <row r="438">
          <cell r="F438">
            <v>2.29</v>
          </cell>
        </row>
        <row r="439">
          <cell r="F439">
            <v>2.76</v>
          </cell>
        </row>
        <row r="440">
          <cell r="F440">
            <v>2.63</v>
          </cell>
        </row>
        <row r="441">
          <cell r="F441">
            <v>3.16</v>
          </cell>
        </row>
        <row r="442">
          <cell r="F442">
            <v>3.58</v>
          </cell>
        </row>
        <row r="443">
          <cell r="F443">
            <v>3.3</v>
          </cell>
        </row>
        <row r="444">
          <cell r="F444">
            <v>4.5199999999999996</v>
          </cell>
        </row>
        <row r="445">
          <cell r="F445">
            <v>5.57</v>
          </cell>
        </row>
        <row r="446">
          <cell r="F446">
            <v>5.08</v>
          </cell>
        </row>
        <row r="447">
          <cell r="F447">
            <v>5.77</v>
          </cell>
        </row>
        <row r="448">
          <cell r="F448">
            <v>7.13</v>
          </cell>
        </row>
        <row r="449">
          <cell r="F449">
            <v>5.96</v>
          </cell>
        </row>
        <row r="450">
          <cell r="F450">
            <v>6.78</v>
          </cell>
        </row>
        <row r="451">
          <cell r="F451">
            <v>8.39</v>
          </cell>
        </row>
        <row r="452">
          <cell r="F452">
            <v>7.76</v>
          </cell>
        </row>
        <row r="453">
          <cell r="F453">
            <v>9.6300000000000008</v>
          </cell>
        </row>
        <row r="454">
          <cell r="F454">
            <v>11.9</v>
          </cell>
        </row>
        <row r="455">
          <cell r="F455">
            <v>8.77</v>
          </cell>
        </row>
        <row r="456">
          <cell r="F456">
            <v>9.83</v>
          </cell>
        </row>
        <row r="457">
          <cell r="F457">
            <v>12.2</v>
          </cell>
        </row>
        <row r="458">
          <cell r="F458">
            <v>15</v>
          </cell>
        </row>
        <row r="459">
          <cell r="F459">
            <v>12.1</v>
          </cell>
        </row>
        <row r="460">
          <cell r="F460">
            <v>13.4</v>
          </cell>
        </row>
        <row r="461">
          <cell r="F461">
            <v>15</v>
          </cell>
        </row>
        <row r="462">
          <cell r="F462">
            <v>19.8</v>
          </cell>
        </row>
        <row r="463">
          <cell r="F463">
            <v>17.8</v>
          </cell>
        </row>
        <row r="464">
          <cell r="F464">
            <v>19.8</v>
          </cell>
        </row>
        <row r="465">
          <cell r="F465">
            <v>23.6</v>
          </cell>
        </row>
        <row r="466">
          <cell r="F466">
            <v>27.3</v>
          </cell>
        </row>
        <row r="467">
          <cell r="F467">
            <v>20.7</v>
          </cell>
        </row>
        <row r="468">
          <cell r="F468">
            <v>22.9</v>
          </cell>
        </row>
        <row r="469">
          <cell r="F469">
            <v>27.3</v>
          </cell>
        </row>
        <row r="470">
          <cell r="F470">
            <v>31.7</v>
          </cell>
        </row>
        <row r="471">
          <cell r="F471">
            <v>23.5</v>
          </cell>
        </row>
        <row r="472">
          <cell r="F472">
            <v>31.1</v>
          </cell>
        </row>
        <row r="473">
          <cell r="F473">
            <v>36.1</v>
          </cell>
        </row>
        <row r="474">
          <cell r="F474">
            <v>41.1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12.9</v>
          </cell>
        </row>
        <row r="481">
          <cell r="F481">
            <v>16.100000000000001</v>
          </cell>
        </row>
        <row r="482">
          <cell r="F482">
            <v>17.100000000000001</v>
          </cell>
        </row>
        <row r="483">
          <cell r="F483">
            <v>36.200000000000003</v>
          </cell>
        </row>
        <row r="484">
          <cell r="F484">
            <v>26</v>
          </cell>
        </row>
        <row r="485">
          <cell r="F485">
            <v>38.299999999999997</v>
          </cell>
        </row>
        <row r="486">
          <cell r="F486">
            <v>65.5</v>
          </cell>
        </row>
        <row r="487">
          <cell r="F487">
            <v>76.8</v>
          </cell>
        </row>
        <row r="488">
          <cell r="F488">
            <v>58.5</v>
          </cell>
        </row>
        <row r="489">
          <cell r="F489">
            <v>87.2</v>
          </cell>
        </row>
        <row r="490">
          <cell r="F490">
            <v>72</v>
          </cell>
        </row>
        <row r="491">
          <cell r="F491">
            <v>95.8</v>
          </cell>
        </row>
        <row r="492">
          <cell r="F492">
            <v>91.7</v>
          </cell>
        </row>
        <row r="493">
          <cell r="F493">
            <v>115</v>
          </cell>
        </row>
        <row r="494">
          <cell r="F494">
            <v>133</v>
          </cell>
        </row>
        <row r="495">
          <cell r="F495">
            <v>176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0.28299999999999997</v>
          </cell>
        </row>
        <row r="502">
          <cell r="F502">
            <v>0.63600000000000001</v>
          </cell>
        </row>
        <row r="503">
          <cell r="F503">
            <v>1.1299999999999999</v>
          </cell>
        </row>
        <row r="504">
          <cell r="F504">
            <v>1.77</v>
          </cell>
        </row>
        <row r="505">
          <cell r="F505">
            <v>2.0099999999999998</v>
          </cell>
        </row>
        <row r="506">
          <cell r="F506">
            <v>2.83</v>
          </cell>
        </row>
        <row r="507">
          <cell r="F507">
            <v>3.8</v>
          </cell>
        </row>
        <row r="508">
          <cell r="F508">
            <v>4.91</v>
          </cell>
        </row>
        <row r="509">
          <cell r="F509">
            <v>6.15</v>
          </cell>
        </row>
        <row r="510">
          <cell r="F510">
            <v>8.0399999999999991</v>
          </cell>
        </row>
        <row r="511">
          <cell r="F511">
            <v>9.6199999999999992</v>
          </cell>
        </row>
        <row r="512">
          <cell r="F512">
            <v>11.3</v>
          </cell>
        </row>
        <row r="513">
          <cell r="F513">
            <v>12.6</v>
          </cell>
        </row>
        <row r="514">
          <cell r="F514">
            <v>19.600000000000001</v>
          </cell>
        </row>
        <row r="515">
          <cell r="F515">
            <v>23.7</v>
          </cell>
        </row>
        <row r="516">
          <cell r="F516">
            <v>28.3</v>
          </cell>
        </row>
        <row r="517">
          <cell r="F517">
            <v>33.200000000000003</v>
          </cell>
        </row>
        <row r="518">
          <cell r="F518">
            <v>44.2</v>
          </cell>
        </row>
        <row r="519">
          <cell r="F519">
            <v>63.6</v>
          </cell>
        </row>
        <row r="520">
          <cell r="F520">
            <v>78.5</v>
          </cell>
        </row>
        <row r="521">
          <cell r="F521">
            <v>113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8.94</v>
          </cell>
        </row>
        <row r="528">
          <cell r="F528">
            <v>15.2</v>
          </cell>
        </row>
        <row r="529">
          <cell r="F529">
            <v>22.3</v>
          </cell>
        </row>
        <row r="530">
          <cell r="F530">
            <v>30.1</v>
          </cell>
        </row>
        <row r="531">
          <cell r="F531">
            <v>37.200000000000003</v>
          </cell>
        </row>
        <row r="532">
          <cell r="F532">
            <v>50.4</v>
          </cell>
        </row>
        <row r="533">
          <cell r="F533">
            <v>50.4</v>
          </cell>
        </row>
        <row r="534">
          <cell r="F534">
            <v>60.8</v>
          </cell>
        </row>
        <row r="535">
          <cell r="F535">
            <v>69.5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F541">
            <v>26.79</v>
          </cell>
        </row>
        <row r="542">
          <cell r="F542">
            <v>37</v>
          </cell>
        </row>
        <row r="543">
          <cell r="F543">
            <v>48.77</v>
          </cell>
        </row>
        <row r="544">
          <cell r="F544">
            <v>64.77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8.4779999999999998</v>
          </cell>
        </row>
        <row r="551">
          <cell r="F551">
            <v>11.304</v>
          </cell>
        </row>
        <row r="552">
          <cell r="F552">
            <v>5.8780799999999997</v>
          </cell>
        </row>
        <row r="553">
          <cell r="F553">
            <v>6.7824</v>
          </cell>
        </row>
        <row r="554">
          <cell r="F554">
            <v>7.4606399999999997</v>
          </cell>
        </row>
        <row r="555">
          <cell r="F555">
            <v>5.3693999999999997</v>
          </cell>
        </row>
        <row r="556">
          <cell r="F556">
            <v>5.6520000000000001</v>
          </cell>
        </row>
        <row r="557">
          <cell r="F557">
            <v>6.5939999999999994</v>
          </cell>
        </row>
        <row r="558">
          <cell r="F558">
            <v>1.6956</v>
          </cell>
        </row>
        <row r="559">
          <cell r="F559">
            <v>1.01736</v>
          </cell>
        </row>
        <row r="560">
          <cell r="F560">
            <v>8.5368750000000002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5.0868000000000002</v>
          </cell>
        </row>
        <row r="571">
          <cell r="F571">
            <v>4.7476799999999999</v>
          </cell>
        </row>
        <row r="572">
          <cell r="F572">
            <v>3.3912</v>
          </cell>
        </row>
        <row r="573">
          <cell r="F573">
            <v>2.75535</v>
          </cell>
        </row>
        <row r="574">
          <cell r="F574">
            <v>2.75535</v>
          </cell>
        </row>
        <row r="575">
          <cell r="F575">
            <v>2.296125</v>
          </cell>
        </row>
        <row r="576">
          <cell r="F576">
            <v>2.1194999999999999</v>
          </cell>
        </row>
        <row r="577">
          <cell r="F577">
            <v>0.8478</v>
          </cell>
        </row>
        <row r="578">
          <cell r="F578">
            <v>0.75359999999999994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4.7476799999999999</v>
          </cell>
        </row>
        <row r="591">
          <cell r="F591">
            <v>4.0694400000000002</v>
          </cell>
        </row>
        <row r="592">
          <cell r="F592">
            <v>2.8260000000000001</v>
          </cell>
        </row>
        <row r="593">
          <cell r="F593">
            <v>2.8260000000000001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0.61229999999999996</v>
          </cell>
        </row>
        <row r="601">
          <cell r="F601">
            <v>0.48984</v>
          </cell>
        </row>
        <row r="602">
          <cell r="F602">
            <v>0.21477599999999999</v>
          </cell>
        </row>
        <row r="603">
          <cell r="F603">
            <v>0.19899749999999999</v>
          </cell>
        </row>
        <row r="604">
          <cell r="F604">
            <v>0.19899749999999999</v>
          </cell>
        </row>
        <row r="605">
          <cell r="F605">
            <v>8.8312500000000002E-2</v>
          </cell>
        </row>
        <row r="606">
          <cell r="F606">
            <v>0.1942875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2.1194999999999999</v>
          </cell>
        </row>
        <row r="611">
          <cell r="F611">
            <v>1.236375</v>
          </cell>
        </row>
        <row r="612">
          <cell r="F612">
            <v>2.2078124999999997</v>
          </cell>
        </row>
        <row r="613">
          <cell r="F613">
            <v>0.161082</v>
          </cell>
        </row>
        <row r="614">
          <cell r="F614">
            <v>0.65704499999999999</v>
          </cell>
        </row>
        <row r="615">
          <cell r="F615">
            <v>0</v>
          </cell>
        </row>
        <row r="616">
          <cell r="F616">
            <v>6.7768735999999992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2.5434000000000001</v>
          </cell>
        </row>
        <row r="621">
          <cell r="F621">
            <v>2.3879699999999997</v>
          </cell>
        </row>
        <row r="622">
          <cell r="F622">
            <v>2.0347200000000001</v>
          </cell>
        </row>
        <row r="623">
          <cell r="F623">
            <v>2.0347200000000001</v>
          </cell>
        </row>
        <row r="624">
          <cell r="F624">
            <v>1.413</v>
          </cell>
        </row>
        <row r="625">
          <cell r="F625">
            <v>0.8478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2.9390399999999999</v>
          </cell>
        </row>
        <row r="631">
          <cell r="F631">
            <v>2.7129599999999998</v>
          </cell>
        </row>
        <row r="632">
          <cell r="F632">
            <v>1.01736</v>
          </cell>
        </row>
        <row r="633">
          <cell r="F633">
            <v>0.73593749999999991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4.5215999999999994</v>
          </cell>
        </row>
        <row r="641">
          <cell r="F641">
            <v>3.0143999999999997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4.9455</v>
          </cell>
        </row>
        <row r="651">
          <cell r="F651">
            <v>2.8260000000000001</v>
          </cell>
        </row>
        <row r="652">
          <cell r="F652">
            <v>1.3658999999999999</v>
          </cell>
        </row>
        <row r="653">
          <cell r="F653">
            <v>0.38150999999999996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변수"/>
      <sheetName val="부하_물류(팀별)"/>
      <sheetName val="진행현황표"/>
      <sheetName val="BASE MC"/>
      <sheetName val="명단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"/>
      <sheetName val="증감내역서"/>
      <sheetName val="설비비4"/>
      <sheetName val="도"/>
      <sheetName val="단중표"/>
      <sheetName val="AKF-2"/>
      <sheetName val="#REF"/>
      <sheetName val="물량"/>
      <sheetName val="실행철강하도"/>
      <sheetName val="POL6차-PIPING"/>
      <sheetName val="SAN"/>
      <sheetName val="코드목록"/>
      <sheetName val="제품별"/>
      <sheetName val="전주자재"/>
      <sheetName val="단가구성 (2)"/>
      <sheetName val="Sheet5"/>
      <sheetName val="5.소재"/>
      <sheetName val="배관BM(일반)"/>
      <sheetName val="BEND LOSS"/>
      <sheetName val="PANEL가격"/>
      <sheetName val="정부노임단가"/>
      <sheetName val="내역서 "/>
      <sheetName val="견적"/>
      <sheetName val="CAT_5"/>
      <sheetName val="cal"/>
      <sheetName val="ASCEandUBC"/>
      <sheetName val="4-3 보온 기본물량집계"/>
      <sheetName val="COVER"/>
      <sheetName val="실행내역서 "/>
      <sheetName val="옥외"/>
      <sheetName val="사업관리"/>
      <sheetName val="작성방법"/>
      <sheetName val="가열로SW"/>
      <sheetName val="일위대가(가설)"/>
      <sheetName val="공사물량총량집계"/>
      <sheetName val="수량산출서"/>
      <sheetName val="TIE-IN"/>
      <sheetName val="1.2.용역비"/>
      <sheetName val="MOB-MAN1"/>
      <sheetName val="CB"/>
      <sheetName val="노임단가"/>
      <sheetName val="상세내역총괄"/>
      <sheetName val="설비별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O수량"/>
      <sheetName val="공사설계금액산출근거"/>
      <sheetName val="노무비근거"/>
      <sheetName val="WEIGHT LIST"/>
      <sheetName val="산#2-1 (2)"/>
      <sheetName val="산#3-1"/>
      <sheetName val="일위대가"/>
      <sheetName val="Baby일위대가"/>
      <sheetName val="cost"/>
      <sheetName val="수량입력"/>
      <sheetName val="수입"/>
      <sheetName val="APT"/>
      <sheetName val="자재단가"/>
      <sheetName val="전산소모"/>
      <sheetName val="48일위"/>
      <sheetName val="48수량"/>
      <sheetName val="22수량"/>
      <sheetName val="49일위"/>
      <sheetName val="22일위"/>
      <sheetName val="산출"/>
      <sheetName val="부하(성남)"/>
      <sheetName val="TABLE"/>
      <sheetName val="DHEQSUPT"/>
      <sheetName val="견적서"/>
      <sheetName val="수량조서"/>
      <sheetName val="전기실 산출"/>
      <sheetName val="코드표"/>
      <sheetName val="설비비1"/>
      <sheetName val="음성cable"/>
      <sheetName val="유첨3.적용기준"/>
      <sheetName val="음성(cable)"/>
      <sheetName val="산#3-2-2"/>
      <sheetName val="산#3-2"/>
      <sheetName val="편성절차"/>
      <sheetName val="환율-LIBOR"/>
      <sheetName val="SENSOR LIST"/>
      <sheetName val="상각율"/>
      <sheetName val="산근"/>
      <sheetName val="적용"/>
      <sheetName val="LOAD"/>
      <sheetName val="A LINE"/>
      <sheetName val="A"/>
      <sheetName val="부표총괄"/>
      <sheetName val="차액보증"/>
      <sheetName val="SUPTMTO"/>
      <sheetName val="내역서"/>
      <sheetName val="s"/>
      <sheetName val="DATE"/>
      <sheetName val="당초"/>
      <sheetName val="최초 bpm"/>
      <sheetName val="예총"/>
      <sheetName val="3후판"/>
      <sheetName val="A7"/>
      <sheetName val="미계약2"/>
      <sheetName val="방화도료산출근거"/>
      <sheetName val="단가"/>
      <sheetName val="DATA-UPS"/>
      <sheetName val="DATA"/>
      <sheetName val="노임이"/>
      <sheetName val="마감집계(창고)"/>
      <sheetName val="도장면적"/>
      <sheetName val="마감산근(창고)"/>
      <sheetName val="건축공사실행"/>
      <sheetName val="가도공"/>
      <sheetName val="Sheet1"/>
      <sheetName val="Ditch(open)"/>
      <sheetName val="WIND"/>
      <sheetName val="일반공사"/>
      <sheetName val="ORIGN"/>
      <sheetName val="100.01"/>
      <sheetName val="내역"/>
      <sheetName val="전기"/>
      <sheetName val="적용기준"/>
      <sheetName val="N賃率-職"/>
      <sheetName val="2선재"/>
      <sheetName val="기계내역서"/>
      <sheetName val="설비비3"/>
      <sheetName val="MUK-List"/>
      <sheetName val="기본"/>
      <sheetName val="REHEATING FURNACE"/>
      <sheetName val="신대방33(적용)"/>
      <sheetName val="찍기"/>
      <sheetName val="H4-발주"/>
      <sheetName val="98NS-N"/>
      <sheetName val="수토공단위당"/>
      <sheetName val="공내역"/>
      <sheetName val="단가표(2015.02.03)"/>
      <sheetName val="5_소재"/>
      <sheetName val="BEND_LOSS"/>
      <sheetName val="내역서_"/>
      <sheetName val="4-3_보온_기본물량집계"/>
      <sheetName val="단가구성_(2)"/>
      <sheetName val="실행내역서_"/>
      <sheetName val="1_2_용역비"/>
      <sheetName val="WEIGHT_LIST"/>
      <sheetName val="산#2-1_(2)"/>
      <sheetName val="전기실_산출"/>
      <sheetName val="SENSOR_LIST"/>
      <sheetName val="A_LINE"/>
      <sheetName val="REHEATING_FURNACE"/>
      <sheetName val="차체부품 INS REPORT(갑)"/>
      <sheetName val="10.25"/>
      <sheetName val="도급양식"/>
      <sheetName val="2.설계제원"/>
      <sheetName val="U.C."/>
      <sheetName val="DEVI."/>
      <sheetName val="시간별적산"/>
      <sheetName val="본문"/>
      <sheetName val="감독1130"/>
      <sheetName val="몰탈콘크리트"/>
      <sheetName val="COL"/>
      <sheetName val="사업부배부A"/>
      <sheetName val="PSCbeam설계"/>
      <sheetName val="전선로도"/>
      <sheetName val="CABLE SCH"/>
      <sheetName val="기성고"/>
      <sheetName val="실행예산SHEET도장재검토"/>
      <sheetName val="정산서 "/>
      <sheetName val="직노"/>
      <sheetName val="수목데이타 "/>
      <sheetName val="영업소실적"/>
      <sheetName val="공사비_NDE"/>
      <sheetName val="토목"/>
      <sheetName val="소일위대가코드표"/>
      <sheetName val="대비"/>
      <sheetName val="RENUN"/>
      <sheetName val="2."/>
      <sheetName val="도급"/>
      <sheetName val="CODE"/>
      <sheetName val="도기류"/>
      <sheetName val="견적내역서"/>
      <sheetName val="전기공사일위대가"/>
      <sheetName val="VXXXXXXXXXXXXXXXXXXXXXXXX"/>
      <sheetName val="OPT"/>
      <sheetName val="SV"/>
      <sheetName val="부대공"/>
      <sheetName val="토공"/>
      <sheetName val="포장공"/>
      <sheetName val="금액내역서"/>
      <sheetName val="설비비6"/>
      <sheetName val="은행"/>
      <sheetName val="예제"/>
      <sheetName val="공종단가"/>
      <sheetName val="아주기계"/>
      <sheetName val="인천제철"/>
      <sheetName val="6.INTER CONNECTING"/>
      <sheetName val="금액결정"/>
      <sheetName val="일위대가(건축)"/>
      <sheetName val="CABLE BULK"/>
      <sheetName val="kich thuoc"/>
      <sheetName val="DTHH"/>
      <sheetName val="터널조도"/>
      <sheetName val="노무비"/>
      <sheetName val="공급집계 (현대-우림)"/>
      <sheetName val="철거산출근거"/>
      <sheetName val="현장관리비"/>
      <sheetName val="PILOT품"/>
      <sheetName val="M96현황-동아"/>
      <sheetName val="8.INTER CONNECTING"/>
      <sheetName val="BQMPALOC"/>
      <sheetName val="자바라1"/>
      <sheetName val="TOTAL"/>
      <sheetName val="산출근거 (2)"/>
      <sheetName val="집계표 (2)"/>
      <sheetName val="Factor"/>
      <sheetName val="M-EQPT-Z"/>
      <sheetName val="Man Power"/>
      <sheetName val="공정별계획(생산,발송)"/>
      <sheetName val="POWER"/>
      <sheetName val="IT-BAT"/>
      <sheetName val="기기보온"/>
      <sheetName val="12CGOU"/>
      <sheetName val="기기리스트"/>
      <sheetName val="EQT-ESTN"/>
      <sheetName val="inter"/>
      <sheetName val="sheet1 (2)"/>
      <sheetName val="별표집계"/>
      <sheetName val="ETC"/>
      <sheetName val="단위중량표"/>
      <sheetName val="Sheet9"/>
      <sheetName val="스케즐"/>
      <sheetName val="입찰안"/>
      <sheetName val="수량산출"/>
      <sheetName val="도면자료제출일정"/>
      <sheetName val="품셈 "/>
      <sheetName val="공사내역"/>
      <sheetName val="3층LOAD"/>
      <sheetName val="1층LOAD"/>
      <sheetName val="총괄집계 (현대-거평분)"/>
      <sheetName val="공급기지(토목)"/>
      <sheetName val="bid"/>
      <sheetName val="단가산출"/>
      <sheetName val="8.수량산출 (2)"/>
      <sheetName val="토목수량(공정)"/>
      <sheetName val="총괄표(설치)"/>
      <sheetName val="표지"/>
      <sheetName val="대림경상68억"/>
      <sheetName val="용선 C.L"/>
      <sheetName val="설비비2"/>
      <sheetName val="설비비5"/>
      <sheetName val="일위대가(1)"/>
      <sheetName val="FAB별"/>
      <sheetName val="노무비단가"/>
      <sheetName val="EQUIPMENT -2"/>
      <sheetName val="갑지"/>
      <sheetName val="95삼성급(본사)"/>
      <sheetName val="기계"/>
      <sheetName val="원가서"/>
      <sheetName val="시운전연료"/>
      <sheetName val="인상효1"/>
      <sheetName val="2.대외공문"/>
      <sheetName val="콘크리트타설집계표"/>
      <sheetName val="인건-측정"/>
      <sheetName val="갑지(추정)"/>
      <sheetName val="표지 (2)"/>
      <sheetName val="과장"/>
      <sheetName val="을지"/>
      <sheetName val="Sheet6"/>
      <sheetName val="PSVLIST"/>
      <sheetName val="36신설수량"/>
      <sheetName val="기계공사"/>
      <sheetName val="공사비"/>
      <sheetName val="sum"/>
      <sheetName val="5_소재1"/>
      <sheetName val="BEND_LOSS1"/>
      <sheetName val="내역서_1"/>
      <sheetName val="4-3_보온_기본물량집계1"/>
      <sheetName val="단가구성_(2)1"/>
      <sheetName val="실행내역서_1"/>
      <sheetName val="1_2_용역비1"/>
      <sheetName val="WEIGHT_LIST1"/>
      <sheetName val="산#2-1_(2)1"/>
      <sheetName val="전기실_산출1"/>
      <sheetName val="SENSOR_LIST1"/>
      <sheetName val="A_LINE1"/>
      <sheetName val="유첨3_적용기준"/>
      <sheetName val="REHEATING_FURNACE1"/>
      <sheetName val="100_01"/>
      <sheetName val="단가표(2015_02_03)"/>
      <sheetName val="최초_bpm"/>
      <sheetName val="차체부품_INS_REPORT(갑)"/>
      <sheetName val="10_25"/>
      <sheetName val="2_설계제원"/>
      <sheetName val="U_C_"/>
      <sheetName val="DEVI_"/>
      <sheetName val="CABLE_SCH"/>
      <sheetName val="정산서_"/>
      <sheetName val="수목데이타_"/>
      <sheetName val="2_"/>
      <sheetName val="6_INTER_CONNECTING"/>
      <sheetName val="CABLE_BULK"/>
      <sheetName val="kich_thuoc"/>
      <sheetName val="공급집계_(현대-우림)"/>
      <sheetName val="8_INTER_CONNECTING"/>
      <sheetName val="산출근거_(2)"/>
      <sheetName val="집계표_(2)"/>
      <sheetName val="Man_Power"/>
      <sheetName val="sheet1_(2)"/>
      <sheetName val="품셈_"/>
      <sheetName val="총괄집계_(현대-거평분)"/>
      <sheetName val="용선_C_L"/>
      <sheetName val="8_수량산출_(2)"/>
      <sheetName val="EQUIPMENT_-2"/>
      <sheetName val="2_대외공문"/>
      <sheetName val="표지_(2)"/>
      <sheetName val="CC16-내역서"/>
      <sheetName val="총괄"/>
      <sheetName val="일위대가표"/>
      <sheetName val="공사범위"/>
      <sheetName val="입력"/>
      <sheetName val="기계설비-내역서"/>
      <sheetName val="見積書"/>
      <sheetName val="H.Satuan"/>
      <sheetName val="EQUIP LIST"/>
      <sheetName val="실적"/>
      <sheetName val="시화점실행"/>
      <sheetName val="Man_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표지"/>
      <sheetName val="별첨"/>
      <sheetName val="변경사유서"/>
      <sheetName val="변경사유"/>
      <sheetName val="집계표"/>
      <sheetName val="증감내역서"/>
      <sheetName val="Sheet2"/>
      <sheetName val="Sheet1"/>
      <sheetName val="laroux"/>
      <sheetName val="원가계산서"/>
      <sheetName val="일위총괄"/>
      <sheetName val="제품별"/>
      <sheetName val="산출근거"/>
      <sheetName val="PI"/>
      <sheetName val="CAUDIT"/>
      <sheetName val="Cash"/>
      <sheetName val="터파기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보고"/>
      <sheetName val="종합"/>
      <sheetName val="법인세등 (2)"/>
      <sheetName val="11"/>
      <sheetName val="브라운관"/>
      <sheetName val="소계정"/>
      <sheetName val="96수출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부품LIST"/>
      <sheetName val="본부별팀별9911"/>
      <sheetName val="#REF"/>
      <sheetName val="DAT(목표)"/>
      <sheetName val="CD-실적"/>
      <sheetName val="차체부품 INS REPORT(갑)"/>
      <sheetName val="본문"/>
      <sheetName val="major"/>
      <sheetName val="LEASE4"/>
      <sheetName val="FUEL FILLER"/>
      <sheetName val="12-30"/>
      <sheetName val="PC%계산"/>
      <sheetName val="SM-NEW"/>
      <sheetName val="Sheet1"/>
      <sheetName val="PP%계산"/>
      <sheetName val="GRACE"/>
      <sheetName val="2.대외공문"/>
      <sheetName val="명단"/>
      <sheetName val="BM_NEW2"/>
      <sheetName val="수리결과"/>
      <sheetName val="진행 DATA (2)"/>
      <sheetName val="전부인쇄"/>
      <sheetName val="day"/>
      <sheetName val="5.WIRE적용LIST"/>
      <sheetName val="Sheet4"/>
      <sheetName val="CALENDAR"/>
      <sheetName val="p2-1"/>
      <sheetName val="협조전"/>
      <sheetName val="외주현황.wq1"/>
      <sheetName val="RD제품개발투자비(매가)"/>
      <sheetName val="Macro1"/>
      <sheetName val="환율기준"/>
      <sheetName val=" 납촉자"/>
      <sheetName val="업체명"/>
      <sheetName val="상용"/>
      <sheetName val="3.일반사상"/>
      <sheetName val="대외공문"/>
      <sheetName val="확정실적"/>
      <sheetName val="계산정보"/>
      <sheetName val="INPUT"/>
      <sheetName val="2"/>
      <sheetName val="3-2.귀책부서별 DT현황"/>
      <sheetName val="초도발주서"/>
      <sheetName val="미국"/>
      <sheetName val="현금경비중역"/>
      <sheetName val="PRDW30"/>
      <sheetName val="통합data"/>
      <sheetName val="Macro2"/>
      <sheetName val="82150-39000"/>
      <sheetName val="DWPM"/>
      <sheetName val="순위"/>
      <sheetName val="단중표"/>
      <sheetName val="GB-IC Villingen GG"/>
      <sheetName val="검구사양서"/>
      <sheetName val="뒤차축소"/>
      <sheetName val="원본"/>
      <sheetName val="LX3.0 RR"/>
      <sheetName val="RC"/>
      <sheetName val="SUB 2월 재검사추이도"/>
      <sheetName val="M1master"/>
      <sheetName val="영업"/>
      <sheetName val="Sheet2"/>
      <sheetName val="c.db"/>
      <sheetName val="설비"/>
      <sheetName val="0000"/>
      <sheetName val="5.세운W-A"/>
      <sheetName val="RHD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차체부품_INS_REPORT(갑)"/>
      <sheetName val="FUEL_FILLER"/>
      <sheetName val="RHN"/>
      <sheetName val="액슬"/>
      <sheetName val="종합"/>
      <sheetName val="프레임"/>
      <sheetName val="교육계획"/>
      <sheetName val="Open"/>
      <sheetName val="재료율"/>
      <sheetName val="MH_생산"/>
      <sheetName val="기준입력"/>
      <sheetName val="계산DATA입력"/>
      <sheetName val="result0927"/>
      <sheetName val="대우자동차용역비"/>
      <sheetName val="차수"/>
      <sheetName val="2_대외공문"/>
      <sheetName val="5_WIRE적용LIST"/>
      <sheetName val="진행_DATA_(2)"/>
      <sheetName val="외주현황_wq1"/>
      <sheetName val="품의서"/>
      <sheetName val="실적"/>
      <sheetName val="대일산업"/>
      <sheetName val="3_일반사상"/>
      <sheetName val="3-2_귀책부서별_DT현황"/>
      <sheetName val="참조영역"/>
      <sheetName val="그패프"/>
      <sheetName val="_납촉자"/>
      <sheetName val="생산품목"/>
      <sheetName val="LX3_0_RR"/>
      <sheetName val="6B008"/>
      <sheetName val="추이도"/>
      <sheetName val="공정능력외경"/>
      <sheetName val="제품목록"/>
      <sheetName val="시설업체주소록"/>
      <sheetName val="점유면적"/>
      <sheetName val="97"/>
      <sheetName val="유효"/>
      <sheetName val="SS"/>
      <sheetName val="JT3.0견적-구1"/>
      <sheetName val="일일 업무 현황 (3)"/>
      <sheetName val="일일 업무 현황 (5)"/>
      <sheetName val="GK_XDBASE"/>
      <sheetName val="(평균)"/>
      <sheetName val="작성양식"/>
      <sheetName val="Tbom-tot"/>
      <sheetName val="_x0000__x0000__x0000__x0000_ilencer"/>
      <sheetName val="기안"/>
      <sheetName val="내구품질향상1"/>
      <sheetName val="XREF"/>
      <sheetName val="RR저항Cp"/>
      <sheetName val="14.1부"/>
      <sheetName val="B053 (990701)공정실적PP%계산"/>
      <sheetName val="EQ"/>
      <sheetName val="F4-F7"/>
      <sheetName val="업종별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PPK"/>
      <sheetName val="5311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상품재고(97)"/>
      <sheetName val="CPK"/>
      <sheetName val="오정용선임"/>
      <sheetName val="CASE ASM"/>
      <sheetName val="VS1 Paretto분석"/>
      <sheetName val="가공비"/>
      <sheetName val="금형비"/>
      <sheetName val="카메라"/>
      <sheetName val="hp_td_calc"/>
      <sheetName val="문서처리전"/>
      <sheetName val="WEIGHT"/>
      <sheetName val="냉연"/>
      <sheetName val="원소재인상자료"/>
      <sheetName val="1"/>
      <sheetName val="간이연락"/>
      <sheetName val="0 절삭조건"/>
      <sheetName val="변속"/>
      <sheetName val="1월"/>
      <sheetName val="월별손익"/>
      <sheetName val="내경"/>
      <sheetName val="11"/>
      <sheetName val="환율"/>
      <sheetName val="점검시트"/>
      <sheetName val="SANTAMO"/>
      <sheetName val="득점현황"/>
      <sheetName val="SAM"/>
      <sheetName val="2-1"/>
      <sheetName val="내역서"/>
      <sheetName val="금강투자2000"/>
      <sheetName val="건재양식"/>
      <sheetName val="동명재고"/>
      <sheetName val="COST관리"/>
      <sheetName val="W-현원가"/>
      <sheetName val="TOTAL"/>
      <sheetName val="MPL 技連"/>
      <sheetName val="342E BLOCK"/>
      <sheetName val="검기갑지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업체등록"/>
      <sheetName val="자재입고"/>
      <sheetName val="자재출고"/>
      <sheetName val="제품등록"/>
      <sheetName val="총소요량"/>
      <sheetName val="현재고"/>
      <sheetName val="BND"/>
      <sheetName val="발생집계"/>
      <sheetName val="재료비"/>
      <sheetName val="시험연구비상각"/>
      <sheetName val="협력사 일반현황"/>
      <sheetName val="업무분장"/>
      <sheetName val="DATA BASE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_일반사상1"/>
      <sheetName val="_납촉자1"/>
      <sheetName val="SUB_2월_재검사추이도"/>
      <sheetName val="5_세운W-A"/>
      <sheetName val="GB-IC_Villingen_GG"/>
      <sheetName val="일일_업무_현황_(3)"/>
      <sheetName val="일일_업무_현황_(5)"/>
      <sheetName val="JT3_0견적-구1"/>
      <sheetName val="c_db"/>
      <sheetName val="6C007(A)"/>
      <sheetName val="master"/>
      <sheetName val="내수1.8GL"/>
      <sheetName val="NGS4"/>
      <sheetName val="공정별"/>
      <sheetName val="factor"/>
      <sheetName val="가공비(2)"/>
      <sheetName val="포머 비가동 내역"/>
      <sheetName val="Type"/>
      <sheetName val="Evaluation objects"/>
      <sheetName val="FRONT HUB견적가"/>
      <sheetName val="DFMEA"/>
      <sheetName val="생산소모품"/>
      <sheetName val="일일 생산및판매계획 대 실적"/>
      <sheetName val="9-1차이내역"/>
      <sheetName val="계획수량"/>
      <sheetName val="급여대장(기능직)"/>
      <sheetName val="1-1.General Code"/>
      <sheetName val="경비"/>
      <sheetName val="BTS-시범물량"/>
      <sheetName val="intro"/>
      <sheetName val="손익계산서"/>
      <sheetName val="CF"/>
      <sheetName val="V64"/>
      <sheetName val="31323-4A005(PPK)"/>
      <sheetName val="소계정"/>
      <sheetName val="ML"/>
      <sheetName val="02 07 27 부품판매가"/>
      <sheetName val="총"/>
      <sheetName val="윤영환"/>
      <sheetName val="417CPK"/>
      <sheetName val="구동"/>
      <sheetName val="PTR台손익"/>
      <sheetName val="TABLE"/>
      <sheetName val=""/>
      <sheetName val="상세 계산 내역"/>
      <sheetName val="채권(하반기)"/>
      <sheetName val="R&amp;D"/>
      <sheetName val="작업시간"/>
      <sheetName val="1.ER유체응용"/>
      <sheetName val="4.시험장비"/>
      <sheetName val="자재단가"/>
      <sheetName val="작업장"/>
      <sheetName val="THEME CODE"/>
      <sheetName val="CR CODE"/>
      <sheetName val="부서CODE"/>
      <sheetName val="내장"/>
      <sheetName val="기준"/>
      <sheetName val="임율 &amp; LOT"/>
      <sheetName val="DataBase"/>
      <sheetName val="판매98"/>
      <sheetName val="MBNBSMTR"/>
      <sheetName val="상불"/>
      <sheetName val="MPS Q3 FY04"/>
      <sheetName val="MPS Q4 FY04"/>
      <sheetName val="125PIECE"/>
      <sheetName val="상세"/>
      <sheetName val="세부내용"/>
      <sheetName val="생산현황 (입력)"/>
      <sheetName val="GSTOTAL"/>
      <sheetName val="3-2_귀책부서별_DT현황1"/>
      <sheetName val="B053_(990701)공정실적PP%계산"/>
      <sheetName val="1_2내수"/>
      <sheetName val="0_절삭조건"/>
      <sheetName val="Segments"/>
      <sheetName val="경비공통"/>
      <sheetName val="생산계획 (2)"/>
      <sheetName val="96PLAN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기초자료"/>
      <sheetName val="VT원단위"/>
      <sheetName val="KD율"/>
      <sheetName val="64164"/>
      <sheetName val="불량현황"/>
      <sheetName val="자산LIST"/>
      <sheetName val="HOUSING"/>
      <sheetName val="126.255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선반OPT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연구인원내역"/>
      <sheetName val="주E95711"/>
      <sheetName val="승인1팀"/>
      <sheetName val="제품"/>
      <sheetName val="TM1Variables"/>
      <sheetName val="지침"/>
      <sheetName val="표지"/>
      <sheetName val="중점과제-경비(제안)"/>
      <sheetName val="050218"/>
      <sheetName val="Budget"/>
      <sheetName val="사유코드"/>
      <sheetName val="B"/>
      <sheetName val="작업일보"/>
      <sheetName val="회순"/>
      <sheetName val="MCT6"/>
      <sheetName val="SPT"/>
      <sheetName val="98종합"/>
      <sheetName val="MC&amp;다변화"/>
      <sheetName val="SHAFT"/>
      <sheetName val="검사성적서(갑)"/>
      <sheetName val="일반관리비"/>
      <sheetName val="매입세율"/>
      <sheetName val="공사개요"/>
      <sheetName val="공통"/>
      <sheetName val="P&amp;L,Bal Sheet,Cash Forecast"/>
      <sheetName val="Sheet3"/>
      <sheetName val="자체실적1Q"/>
      <sheetName val="공정및생산관리절차서"/>
      <sheetName val="시설투자"/>
      <sheetName val="ROYALTY"/>
      <sheetName val="장적산출"/>
      <sheetName val="SPONGE단가"/>
      <sheetName val="A-A"/>
      <sheetName val="시산9812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가2"/>
      <sheetName val="보고"/>
      <sheetName val="공문"/>
      <sheetName val="R&amp;R(DATA)"/>
      <sheetName val="팀별종합"/>
      <sheetName val="검사협정서"/>
      <sheetName val="1.세부비교원가(내수)"/>
      <sheetName val="1.종합비교원가(내수_일반_유럽)"/>
      <sheetName val="712"/>
      <sheetName val="인사자료총집계"/>
      <sheetName val="#142-1-갑"/>
      <sheetName val="56"/>
      <sheetName val="DAT_목표_"/>
      <sheetName val="2002년판매실적"/>
      <sheetName val="03 PFD-1"/>
      <sheetName val="6월수불"/>
      <sheetName val="정비손익"/>
      <sheetName val="2. Definitions"/>
      <sheetName val="대표자"/>
      <sheetName val="RDLEVLST"/>
      <sheetName val="SPG생산"/>
      <sheetName val="업체별 단가현황"/>
      <sheetName val="양식"/>
      <sheetName val="94B"/>
      <sheetName val="원본(실제)"/>
      <sheetName val="MTK_사후"/>
      <sheetName val="이름표모음"/>
      <sheetName val="Sheet5"/>
      <sheetName val="13-1-2"/>
      <sheetName val="印刷補助"/>
      <sheetName val="예산코드"/>
      <sheetName val="단가MSTR"/>
      <sheetName val="11년단가"/>
      <sheetName val="생산직"/>
      <sheetName val="1월~3월"/>
      <sheetName val="4월~6월"/>
      <sheetName val="7-9월"/>
      <sheetName val="10월~12월"/>
      <sheetName val="공평7"/>
      <sheetName val="첨부6)CAPA분석표"/>
      <sheetName val="공평3"/>
      <sheetName val="수출"/>
      <sheetName val="Takt"/>
      <sheetName val="매각단가"/>
      <sheetName val="CVT산정"/>
      <sheetName val="15-COMP"/>
      <sheetName val="07주차별실적"/>
      <sheetName val="96갑지"/>
      <sheetName val="report_20"/>
      <sheetName val="camera_30"/>
      <sheetName val="항목(1)"/>
      <sheetName val="다목적갑"/>
      <sheetName val="송전기본"/>
      <sheetName val="1차명단"/>
      <sheetName val="전체지분도"/>
      <sheetName val="전체현황"/>
      <sheetName val="생산실적"/>
      <sheetName val="PC%계산(WM.COMM단차)"/>
      <sheetName val="급여대장(입력용)"/>
      <sheetName val="변수"/>
      <sheetName val="불량현상별END"/>
      <sheetName val="회사정보"/>
      <sheetName val="LX3_0_RR1"/>
      <sheetName val="포머_비가동_내역"/>
      <sheetName val="Evaluation_objects"/>
      <sheetName val="FRONT_HUB견적가"/>
      <sheetName val="VS1_Paretto분석"/>
      <sheetName val="정미시간"/>
      <sheetName val="프레스"/>
      <sheetName val="총괄표"/>
      <sheetName val="FLOW PROSES (A)"/>
      <sheetName val="VPP(BD-010) 이상보고"/>
      <sheetName val="완성차"/>
      <sheetName val="MACRO1.XLM"/>
      <sheetName val="출장거리"/>
      <sheetName val="비교원가제출.고"/>
      <sheetName val="10-1"/>
      <sheetName val="Basic assumptions"/>
      <sheetName val="98지급계획"/>
      <sheetName val="월간인력"/>
      <sheetName val="기타코드"/>
      <sheetName val="년령분석표(02년)"/>
      <sheetName val="지역별"/>
      <sheetName val="CSC"/>
      <sheetName val="중점과제별관리도"/>
      <sheetName val="금형991202"/>
      <sheetName val="BUS제원1"/>
      <sheetName val="DOOR"/>
      <sheetName val="프로젝트"/>
      <sheetName val="5-1차수정"/>
      <sheetName val="Sheet13"/>
      <sheetName val="안산"/>
      <sheetName val="천안"/>
      <sheetName val="PB내역"/>
      <sheetName val="10.예산 및 원가 계획(02년)"/>
      <sheetName val="입고단가기준"/>
      <sheetName val="리드14"/>
      <sheetName val="규칙"/>
      <sheetName val="2차 OIL량측정"/>
      <sheetName val="지점장"/>
      <sheetName val="CLM-MP"/>
      <sheetName val="5월"/>
      <sheetName val="측정-1"/>
      <sheetName val="WBS98"/>
      <sheetName val="설비LIST"/>
      <sheetName val=" "/>
      <sheetName val="등록의뢰"/>
      <sheetName val="주요재무비율"/>
      <sheetName val="Data Sheet"/>
      <sheetName val="대표경력"/>
      <sheetName val="매출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MPL_技連"/>
      <sheetName val="342E_BLOCK"/>
      <sheetName val="ENG油洩れ"/>
      <sheetName val="협력사_일반현황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P&amp;L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코드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판가반영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0105"/>
      <sheetName val="0505"/>
      <sheetName val="조립"/>
      <sheetName val="신규"/>
      <sheetName val="f3"/>
      <sheetName val="국영"/>
      <sheetName val="5-Why Root Cause Analysis "/>
      <sheetName val="#REF!"/>
      <sheetName val="조정내역"/>
      <sheetName val="주간업무(개발구매팀)"/>
      <sheetName val="Financials"/>
      <sheetName val="Yield"/>
      <sheetName val="VXX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공정능력(마운틴 홀 거리)"/>
      <sheetName val="full (2)"/>
      <sheetName val="PNL ASS'Y CRASH PAD UPR RH"/>
      <sheetName val="Production Plan1"/>
      <sheetName val="재고정확2"/>
      <sheetName val="Questionnaire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A"/>
      <sheetName val="스풀능력"/>
      <sheetName val="HOLE 9905(1)"/>
      <sheetName val="자료"/>
      <sheetName val="직원명부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그래프"/>
      <sheetName val="공사원가계산서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#93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Duration 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제품별"/>
      <sheetName val="1.세부비교_x001b_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삼익계산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제품군분류"/>
      <sheetName val="Macro3"/>
      <sheetName val="8.공정능력평가(5)"/>
      <sheetName val="상품입고집계"/>
      <sheetName val="02.08생산대상대수"/>
      <sheetName val="maccp04"/>
      <sheetName val="차입금현황(2)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SGH-M100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제조매출"/>
      <sheetName val="기계"/>
      <sheetName val="PI"/>
      <sheetName val="요인분석"/>
      <sheetName val="월별생산"/>
      <sheetName val="CAL"/>
      <sheetName val="사업계획선가"/>
      <sheetName val="Request template"/>
      <sheetName val="gr_val"/>
      <sheetName val="gr_sum"/>
      <sheetName val="00-Input Values"/>
      <sheetName val="Input Values"/>
      <sheetName val="소급정산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C-301E~305E"/>
      <sheetName val="1)101-E"/>
      <sheetName val="UTMBPL"/>
      <sheetName val=" FURNACE현설"/>
      <sheetName val="Sheet14"/>
      <sheetName val="TFT_Attendace"/>
      <sheetName val="share year=5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원가차이(공장별2)"/>
      <sheetName val="프로필렌 이송라인"/>
      <sheetName val="여과지동"/>
      <sheetName val="Tax"/>
      <sheetName val="2차 OI_x0010__x0000_?࠱"/>
      <sheetName val="8월발주분석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품의양식"/>
      <sheetName val="9.초기공정능력조사(을)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2_분임조활동"/>
      <sheetName val="3_학점이수(세미나)"/>
      <sheetName val="3_학점이수(사내.사외교육)"/>
      <sheetName val="원단가"/>
      <sheetName val="선택박스"/>
      <sheetName val="Sens"/>
      <sheetName val="FR80"/>
      <sheetName val="23.보증금(전신전화가입권)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불재"/>
      <sheetName val="재고"/>
      <sheetName val="B-3"/>
      <sheetName val="(1)"/>
      <sheetName val="마스터"/>
      <sheetName val="Interest"/>
      <sheetName val="부정형평가"/>
      <sheetName val="재공품평가"/>
      <sheetName val="99판매"/>
      <sheetName val="13-1_x0000__x0000_"/>
      <sheetName val="13-1쀀珢"/>
      <sheetName val="LWR(TND특근 협의x)_덕.알"/>
      <sheetName val="①FABII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I. Balance Sheet"/>
      <sheetName val="갑지(추정)"/>
      <sheetName val="99퇴직"/>
      <sheetName val="2020년도 교육 참석 현황_Raw Data"/>
      <sheetName val="9월1주"/>
      <sheetName val="실DATA "/>
      <sheetName val="계DATA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HISTORICAL"/>
      <sheetName val="FORECASTING"/>
      <sheetName val="BATCH일정"/>
      <sheetName val="일 년"/>
      <sheetName val="산출내역서집계표"/>
      <sheetName val="연결조정"/>
      <sheetName val="반제품코드"/>
      <sheetName val="생산코드"/>
      <sheetName val="产品成本计算表(短裤)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BEND LOSS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MAIN 4"/>
      <sheetName val="TFT_Attendace1"/>
      <sheetName val="share_year=5"/>
      <sheetName val="일일붙여라"/>
      <sheetName val="소특"/>
      <sheetName val="95TOTREV"/>
      <sheetName val="9609Aß"/>
      <sheetName val="Stand off"/>
      <sheetName val="0.LED ASSY"/>
      <sheetName val="태광"/>
      <sheetName val="BID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판매 계획 대 실적"/>
      <sheetName val="하나로통신"/>
      <sheetName val="전기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외화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유화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H11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6. FTA특혜관세적용달성율"/>
      <sheetName val="EscLP"/>
      <sheetName val="자재 입고(K1E1)"/>
      <sheetName val="6차량_원단위"/>
      <sheetName val="Basic_assumptins6"/>
      <sheetName val="첨부(인조가죽신규계산)"/>
      <sheetName val="김경원"/>
      <sheetName val="세로표지"/>
      <sheetName val="1.사고건수"/>
      <sheetName val="3.사고 요인별"/>
      <sheetName val="피막예상"/>
      <sheetName val="Customer Grouping"/>
      <sheetName val="4월실적"/>
      <sheetName val="전공장2"/>
      <sheetName val="prov locales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자산_종합"/>
      <sheetName val="RULE SA05-09"/>
      <sheetName val="BOM LIST 정리"/>
      <sheetName val="지수"/>
      <sheetName val="Iden"/>
      <sheetName val="5800무형"/>
      <sheetName val="????ile"/>
      <sheetName val="단기금융상품"/>
      <sheetName val="안산선부동진행률"/>
      <sheetName val="덕전리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항목별팀별예산"/>
      <sheetName val="기준단가설정"/>
      <sheetName val="목록 모음"/>
      <sheetName val="Page 14-A"/>
      <sheetName val="공_x0000_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THVT"/>
      <sheetName val="첨부5-3)납입용기설정서"/>
      <sheetName val="금형원본"/>
      <sheetName val="US4_BRKT_FR_BUMPER_SIDE_LWR_L_2"/>
      <sheetName val="SPOT 조건"/>
      <sheetName val="co2 조건"/>
      <sheetName val="Internal cost reference table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15产能分析"/>
      <sheetName val="Low"/>
      <sheetName val="일일자금 "/>
      <sheetName val="승_x0000__x0000_Ԁ"/>
      <sheetName val="BT_Regions"/>
      <sheetName val="Start"/>
      <sheetName val="문서번호"/>
      <sheetName val="MIJIBI"/>
      <sheetName val="facto_x0000_"/>
      <sheetName val="alc code"/>
      <sheetName val="51755-B1100(1CVT)"/>
      <sheetName val="Active 1,4 MT"/>
      <sheetName val="Valid Options"/>
      <sheetName val="2015_2018 Veh Vol"/>
      <sheetName val="Macro"/>
      <sheetName val="Sheet172"/>
      <sheetName val="자체경비"/>
      <sheetName val="Prices P11 and P12 (PAG) (2)"/>
      <sheetName val="LeadSchedule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T공구"/>
      <sheetName val="사용법"/>
      <sheetName val="XM개조차_연동제(12.3분기)"/>
      <sheetName val="0.Cover"/>
      <sheetName val="1.Change_History"/>
      <sheetName val="2.Criteria"/>
      <sheetName val="dcu_toal"/>
      <sheetName val="5.Safety_Mechanism"/>
      <sheetName val="대형원계"/>
      <sheetName val="도료단가"/>
      <sheetName val="同行评审"/>
      <sheetName val="_0602_________________2014061_2"/>
      <sheetName val="대차"/>
      <sheetName val="97년 재료예산坜³垤"/>
      <sheetName val="9801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______C_AS_CLAIM_MYCAR_PRDW30_2"/>
      <sheetName val="ST적용라인"/>
      <sheetName val="사업부구분코드"/>
      <sheetName val="수출_CP"/>
      <sheetName val="배포1203"/>
      <sheetName val="RPN Summary"/>
      <sheetName val="유형자산리드-5700"/>
      <sheetName val="Options"/>
      <sheetName val="EXC가격품의"/>
      <sheetName val="p.1 sub lead"/>
      <sheetName val="Manufacturing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포머_비_x0000_ꊠȈ_x0000__x0000_"/>
      <sheetName val="7라인 재고관리 피벗"/>
      <sheetName val="MH"/>
      <sheetName val="환율변동기준"/>
      <sheetName val="Input Data"/>
      <sheetName val="_230710_____3600_________Rev__2"/>
      <sheetName val="Belt Status-Overall"/>
      <sheetName val="무형"/>
      <sheetName val="유가증권LS"/>
      <sheetName val="raw Data"/>
      <sheetName val="전체LIST원본"/>
      <sheetName val="비가동(입력)"/>
      <sheetName val="입력-설비별(수량,시간,불량)"/>
      <sheetName val="입력-조립생산실적집계"/>
      <sheetName val="출력-품목별실적표"/>
      <sheetName val="월생산계획"/>
      <sheetName val="포머_비"/>
      <sheetName val="Vol &amp; Assumpt"/>
      <sheetName val="24-45 Data"/>
      <sheetName val="Values"/>
      <sheetName val="_x0000__x0000__x005"/>
      <sheetName val="_x005f_x0000__x005f"/>
      <sheetName val="_x005f_x005f_"/>
      <sheetName val="X3ATRH.CR"/>
      <sheetName val="사급단가"/>
      <sheetName val="V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1-1. OEM"/>
      <sheetName val="1-2 Code Info"/>
      <sheetName val="Rate dat÷"/>
      <sheetName val="산출데이타(a)"/>
      <sheetName val="변수1"/>
      <sheetName val="조정내역(스크랩)"/>
      <sheetName val="FX Table"/>
      <sheetName val="제품구분"/>
      <sheetName val="2014.10"/>
      <sheetName val="(Vendor)Cover"/>
      <sheetName val="12월 기타"/>
      <sheetName val="System NPV"/>
      <sheetName val="kich thuoc"/>
      <sheetName val="DTHH"/>
      <sheetName val="1-1.Gene"/>
      <sheetName val="납입주기"/>
      <sheetName val="OperBal"/>
      <sheetName val="Takt - 1 Shift"/>
      <sheetName val="Workshop Summary"/>
      <sheetName val="대책방안"/>
      <sheetName val="견적목표List"/>
      <sheetName val="Simulate"/>
      <sheetName val="환산항목"/>
      <sheetName val="VPZ-aktuell"/>
      <sheetName val="param"/>
      <sheetName val="손익비교 Data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BEZEL_L외주"/>
      <sheetName val="NOZZLE_ASSY-SIDE_DEF_LH"/>
      <sheetName val="A-General"/>
      <sheetName val="List definitions"/>
      <sheetName val="그림"/>
      <sheetName val="KPI sheet"/>
      <sheetName val="서열표"/>
      <sheetName val="종합판"/>
      <sheetName val="기초_DATA5"/>
      <sheetName val="DRBFM"/>
      <sheetName val="07년 ECU RAW DATA"/>
      <sheetName val="Dimension Data"/>
      <sheetName val="Capa(1)"/>
      <sheetName val="수주추정"/>
      <sheetName val="設能力3"/>
      <sheetName val="?PRDW30.XL"/>
      <sheetName val="제품별_수량"/>
      <sheetName val="CustomerPlan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원계-JOINT"/>
      <sheetName val="Volume &amp; Assumptions"/>
      <sheetName val="RATES"/>
      <sheetName val="구성비"/>
      <sheetName val="(2) CT&amp;CAPA"/>
      <sheetName val="경수97.02"/>
      <sheetName val="MPST01V"/>
      <sheetName val="200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입력SHT"/>
      <sheetName val="재활용분류정보"/>
      <sheetName val="ACC-01-01"/>
      <sheetName val="Sheet298"/>
      <sheetName val="BS정산표"/>
      <sheetName val="Consensus"/>
      <sheetName val="22.투자유가증권 "/>
      <sheetName val="3-31"/>
      <sheetName val="ktp06_URS 순 정렬"/>
      <sheetName val="6.경비table"/>
      <sheetName val="공정능력_스펀지"/>
      <sheetName val="５・６月別発送件数"/>
      <sheetName val="자동차 모델별 상세"/>
      <sheetName val="HERO01"/>
      <sheetName val="★납입기술"/>
      <sheetName val="●종합(직납)"/>
      <sheetName val="Page 2"/>
      <sheetName val="참조"/>
      <sheetName val="업무계획1"/>
      <sheetName val="제조원가"/>
      <sheetName val="运输费"/>
      <sheetName val="TITLE"/>
      <sheetName val="Typgebunden-Dedicated"/>
      <sheetName val="Typfrei-Non Dedicated"/>
      <sheetName val="Investitionen"/>
      <sheetName val="A-Projektkosten"/>
      <sheetName val="Kalkulationsdaten"/>
      <sheetName val="Standort"/>
      <sheetName val="typfrei"/>
      <sheetName val="Bauzahlen"/>
      <sheetName val="Prototypen"/>
      <sheetName val="K-Projektkosten"/>
      <sheetName val="Übersicht"/>
      <sheetName val="TCO"/>
      <sheetName val="부서C刀_x0010__x0000_"/>
      <sheetName val=" 갑지"/>
      <sheetName val="적용환율"/>
      <sheetName val="광양 3기 유입수"/>
      <sheetName val="부서C⣵吏휂"/>
      <sheetName val="주요측점"/>
      <sheetName val="부재예실"/>
      <sheetName val="전기단가조사서"/>
      <sheetName val="FC-101"/>
      <sheetName val="견적정보"/>
      <sheetName val="SPEC"/>
      <sheetName val="부서C젦ꁆ騃"/>
      <sheetName val="pal"/>
      <sheetName val="시산"/>
      <sheetName val="1.세부비교_x005f_x001b_"/>
      <sheetName val="2차 OI_x005f_x0010_"/>
      <sheetName val="설비LIS_x005f_x0001_"/>
      <sheetName val="07주洂䢦_x005f_x0001_"/>
      <sheetName val="07주洂亦_x005f_x0001_"/>
      <sheetName val="1.세부비교_x005f_x001b__x005f_x0000__x005f_x0000_㣪洁ᚦ"/>
      <sheetName val="2차 OI_x005f_x0010__x005f_x0000__x005f_xda10_࠱"/>
      <sheetName val="2차 OI_x005f_x0000__x005f_x0000_젘_x005f_x0000_"/>
      <sheetName val="_x005f_x0000_PRDW30.XL"/>
      <sheetName val="07주_x005f_x0000__x005f_x0000__x005f_x0000_惪"/>
      <sheetName val="07주_x005f_x0000__x005f_x0000__x005f_x0000_櫪"/>
      <sheetName val="07주_x005f_x0000__x005f_x0000__x005f_x0000_ᛪ"/>
      <sheetName val="07주_x005f_x0000__x005f_x0000__x005f_x0000_ᣪ"/>
      <sheetName val="07주_x005f_x0000__x005f_x0000__x005f_x0000_巪"/>
      <sheetName val="07주_x005f_x0000__x005f_x0000__x005f_x0000_濪"/>
      <sheetName val="학생내역"/>
      <sheetName val="유림총괄"/>
      <sheetName val="S300V-MBOM"/>
      <sheetName val="CURRENCY CODE"/>
      <sheetName val="factoꗝ"/>
      <sheetName val="ExterneTBGListeDeroulante"/>
      <sheetName val="C_O내역(FB)"/>
      <sheetName val="개별(LEAD WIRE)"/>
      <sheetName val="LF내역"/>
      <sheetName val="2B1U-F-4"/>
      <sheetName val="M96현황_동아"/>
      <sheetName val="FE_DPHU报告_1"/>
      <sheetName val="TOP_15"/>
      <sheetName val="Qual_Approv_Test_Plan_050322"/>
      <sheetName val="Dashboard_(methodologies)"/>
      <sheetName val="Reference_Lists"/>
      <sheetName val="Ramp-up_Prod_KLf_pro_Woche_"/>
      <sheetName val="Equipment_Info_assumptions"/>
      <sheetName val="AAVR-IL"/>
      <sheetName val="99월별경비계획"/>
      <sheetName val="Mov‘2008"/>
      <sheetName val="Mov‘2007"/>
      <sheetName val="Mov‘2005"/>
      <sheetName val="Mov‘2006"/>
      <sheetName val="KPI실적"/>
      <sheetName val="GG"/>
      <sheetName val="C2"/>
      <sheetName val="EG제"/>
      <sheetName val="NCC제"/>
      <sheetName val="UT"/>
      <sheetName val="NCC"/>
      <sheetName val="HMBPROD"/>
      <sheetName val="Voreinstellungen"/>
      <sheetName val="Eingabe"/>
      <sheetName val="Invoice Header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차체부품_INS_REPORT(갑)18"/>
      <sheetName val="FUEL_FILLER18"/>
      <sheetName val="2_대외공문19"/>
      <sheetName val="외주현황_wq119"/>
      <sheetName val="5_WIRE적용LIST18"/>
      <sheetName val="진행_DATA_(2)19"/>
      <sheetName val="3_일반사상18"/>
      <sheetName val="3-2_귀책부서별_DT현황18"/>
      <sheetName val="_납촉자18"/>
      <sheetName val="LX3_0_RR18"/>
      <sheetName val="B053_(990701)공정실적PP%계산19"/>
      <sheetName val="1_2내수17"/>
      <sheetName val="5_세운W-A19"/>
      <sheetName val="SUB_2월_재검사추이도18"/>
      <sheetName val="GB-IC_Villingen_GG19"/>
      <sheetName val="c_db24"/>
      <sheetName val="0_절삭조건13"/>
      <sheetName val="일일_업무_현황_(3)12"/>
      <sheetName val="일일_업무_현황_(5)12"/>
      <sheetName val="JT3_0견적-구118"/>
      <sheetName val="임율_&amp;_LOT11"/>
      <sheetName val="생산계획_(2)11"/>
      <sheetName val="협력사_일반현황12"/>
      <sheetName val="1_ER유체응용11"/>
      <sheetName val="4_시험장비11"/>
      <sheetName val="14_1부18"/>
      <sheetName val="VS1_Paretto분석12"/>
      <sheetName val="Evaluation_objects18"/>
      <sheetName val="FRONT_HUB견적가12"/>
      <sheetName val="1-1_General_Code11"/>
      <sheetName val="CASE_ASM18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상세_계산_내역17"/>
      <sheetName val="금형_(2)16"/>
      <sheetName val="DATA_BASE11"/>
      <sheetName val="업체별_단가현황11"/>
      <sheetName val="P&amp;L,Bal_Sheet,Cash_Forecast11"/>
      <sheetName val="1ဲ_ALT19"/>
      <sheetName val="1ဳ_O_S19"/>
      <sheetName val="15_၄AMPER19"/>
      <sheetName val="二_POSITION_XLS19"/>
      <sheetName val="OPT손익_내수19"/>
      <sheetName val="OPT손익_수출19"/>
      <sheetName val="BACK_DATA_08_7_1~19"/>
      <sheetName val="E_W19"/>
      <sheetName val="P_W19"/>
      <sheetName val="S_W19"/>
      <sheetName val="TEMP_TORQUE19"/>
      <sheetName val="BACK_DATA19"/>
      <sheetName val="126_25518"/>
      <sheetName val="매출종합_`0918"/>
      <sheetName val="소상_&quot;1&quot;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팀별_합계18"/>
      <sheetName val="설비능력및_종합공정능력산출시_사용18"/>
      <sheetName val="CR_CODE11"/>
      <sheetName val="THEME_CODE11"/>
      <sheetName val="Basic_assumptions13"/>
      <sheetName val="비교원가제출_고11"/>
      <sheetName val="MPS_Q3_FY0411"/>
      <sheetName val="MPS_Q4_FY0411"/>
      <sheetName val="02_07_27_부품판매가11"/>
      <sheetName val="내수1_8GL18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LAMBDA_자작18"/>
      <sheetName val="운임_환차손-Y19"/>
      <sheetName val="개발_TOOL_집계표17"/>
      <sheetName val="경상_개발비17"/>
      <sheetName val="코드_조건표12"/>
      <sheetName val="MACRO1_XLM17"/>
      <sheetName val="HMC_사전원가(원혁기준)13%11"/>
      <sheetName val="2차_OIL량측정11"/>
      <sheetName val="재품별_단가11"/>
      <sheetName val="장비_전체리스트11"/>
      <sheetName val="계산_DATA_입력17"/>
      <sheetName val="_21"/>
      <sheetName val="집중검사_리스트11"/>
      <sheetName val="10_예산_및_원가_계획(02년)11"/>
      <sheetName val="production_dept11"/>
      <sheetName val="실행내역서_11"/>
      <sheetName val="개발_LIST11"/>
      <sheetName val="PRESS_DATA17"/>
      <sheetName val="Cost_Reduction17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Production_Plan111"/>
      <sheetName val="무부하_회전수11"/>
      <sheetName val="진행중_설변11"/>
      <sheetName val="HOLE_9905(1)11"/>
      <sheetName val="3월말_장기악성(국내)11"/>
      <sheetName val="2월말_장기악성(국내)11"/>
      <sheetName val="PNL_ASS'Y_CRASH_PAD_UPR_RH10"/>
      <sheetName val="Summary_Sheet10"/>
      <sheetName val="Datasheet_for_KPI_Model_110"/>
      <sheetName val="Moulding_data10"/>
      <sheetName val="공정능력(마운틴_홀_거리)10"/>
      <sheetName val="Master_Cable17"/>
      <sheetName val="DBL_LPG시험13"/>
      <sheetName val="INVESTMENT_(Hardware)14"/>
      <sheetName val="Upgrades_pricing10"/>
      <sheetName val="7_3_DY팀10"/>
      <sheetName val="TEAM하반기_계획_(2)10"/>
      <sheetName val="YOKE-H(10_3)10"/>
      <sheetName val="▶R_C_FRM10"/>
      <sheetName val="TABLE_DB10"/>
      <sheetName val="쌍용_data_base10"/>
      <sheetName val="VERTICAL_PIPE10"/>
      <sheetName val="2과_공수집계10"/>
      <sheetName val="광주_소요량10"/>
      <sheetName val="5-Why_Root_Cause_Analysis_10"/>
      <sheetName val="full_(2)10"/>
      <sheetName val="S50_10"/>
      <sheetName val="초_성10"/>
      <sheetName val="CHECK_성10"/>
      <sheetName val="공정능력_(2)17"/>
      <sheetName val="cpk_data10"/>
      <sheetName val="108_수선비8"/>
      <sheetName val="X-3_ENG17"/>
      <sheetName val="SCP_48"/>
      <sheetName val="SCP_5_D2UXT8"/>
      <sheetName val="SCP_6_D2UX8"/>
      <sheetName val="Invest_(MAC)8"/>
      <sheetName val="SCP_Apr20158"/>
      <sheetName val="중공업_실적8"/>
      <sheetName val="_22"/>
      <sheetName val="2-1_제품군별계획대비실적(B_A)10"/>
      <sheetName val="OEM_이의제기_종합10"/>
      <sheetName val="XMA_12월_8,000대_원,부자재_完8"/>
      <sheetName val="YFA_10월분_원자재(10_12)_미납완료_完8"/>
      <sheetName val="YFA_10월분_부자재(10_7,9)_FEDEX_完8"/>
      <sheetName val="REAR_8"/>
      <sheetName val="abs_dac검사대비분석자료28"/>
      <sheetName val="GAGE_R&amp;R(FRT_UPR)8"/>
      <sheetName val="3-2002년_소모공구비5"/>
      <sheetName val="_하반기_경비_조정계획_150627(사계_r2_기준)_8"/>
      <sheetName val="품의서양식_(3)8"/>
      <sheetName val="NEW_TOOL_MASTER5"/>
      <sheetName val="4_Vendor_price10"/>
      <sheetName val="14년_증판안_판촉10"/>
      <sheetName val="0_CHMSL_LED_ASSY8"/>
      <sheetName val="1_TAT_Info_8"/>
      <sheetName val="ALPROFILE_발주실적17"/>
      <sheetName val="PFMEA_XLS13"/>
      <sheetName val="신고서_전13"/>
      <sheetName val="Sheet6_(3)17"/>
      <sheetName val="DV_Flow_Chart_DV-PV1_(PFC)11"/>
      <sheetName val="MATEMST_(2)10"/>
      <sheetName val="_0602주-무결점운동_진행현황_보고_(201406107"/>
      <sheetName val="불량_리스트8"/>
      <sheetName val="불량_코드8"/>
      <sheetName val="Full_PBD7"/>
      <sheetName val="Europe_PU-17"/>
      <sheetName val="Team_종합8"/>
      <sheetName val="기타_부자재7"/>
      <sheetName val="4_20)통계적기법관리절차서7"/>
      <sheetName val="금형_이력_카드5"/>
      <sheetName val="외주수입검사_종합(6월)8"/>
      <sheetName val="RFQ_Template8"/>
      <sheetName val="LCAUTO_45"/>
      <sheetName val="LCAT수_조5"/>
      <sheetName val="소재_이력5"/>
      <sheetName val="1_TP조립8"/>
      <sheetName val="99_조정금액5"/>
      <sheetName val="CAPA분석_360K14"/>
      <sheetName val="영업_일113"/>
      <sheetName val="(2)월생산현황_7"/>
      <sheetName val="1__보고8"/>
      <sheetName val="RFQ_180411"/>
      <sheetName val="DS_MBR_RR_Side__-_PcA7"/>
      <sheetName val="Dual_PMP수율7"/>
      <sheetName val="GLOBAL_PT_NEW_FORMAT_OCT_200217"/>
      <sheetName val="Sch7a_(토요일)17"/>
      <sheetName val="실적_및_계획17"/>
      <sheetName val="Sheet1_(2)17"/>
      <sheetName val="PRO_(참조)17"/>
      <sheetName val="_PPAP_작성중__xlsx13"/>
      <sheetName val="CONSUMO_DE_RESINA_7"/>
      <sheetName val="공정별공법-W_HSE-LH11"/>
      <sheetName val="업무분장_11"/>
      <sheetName val="_Common_Info_Page5"/>
      <sheetName val="RFQ_Form8"/>
      <sheetName val="2005년_소요량4"/>
      <sheetName val="BI-FUEL_AIR_VENT_PIPE8"/>
      <sheetName val="3_3검토국10"/>
      <sheetName val="1_종합평가표8"/>
      <sheetName val="Actual_In_&amp;_Out10"/>
      <sheetName val="ISSUE_LIST8"/>
      <sheetName val="2008_г13"/>
      <sheetName val="RELAY_FAX양식13"/>
      <sheetName val="상세_견적서_(HMC)13"/>
      <sheetName val="2_중요한회계정책13"/>
      <sheetName val="9_관계기업투자13"/>
      <sheetName val="42_리스13"/>
      <sheetName val="25_법인세13"/>
      <sheetName val="Proj_List_00E13"/>
      <sheetName val="Bosch_ADVP&amp;R17"/>
      <sheetName val="Bas_Moteur10"/>
      <sheetName val="국내_10"/>
      <sheetName val="4,5공장_10"/>
      <sheetName val="시트_10"/>
      <sheetName val="GLOBAL_PT_NEW_FORMAT_JULY__2012"/>
      <sheetName val="02년_SUC17"/>
      <sheetName val="3_PT개발계획11"/>
      <sheetName val="외주품_감점_유형_기준17"/>
      <sheetName val="원단위_전후비교17"/>
      <sheetName val="3__관리점지수실적-1_1생산성17"/>
      <sheetName val="Sec_1_-_RFQ17"/>
      <sheetName val="Rate_data17"/>
      <sheetName val="대외공문_11"/>
      <sheetName val="ERP도입후_시정현황11"/>
      <sheetName val="Purchasing_Data11"/>
      <sheetName val="6_N_m_CCW_전류11"/>
      <sheetName val="c_db115"/>
      <sheetName val="_SR3차원단위_(3)11"/>
      <sheetName val="고객불만_건11"/>
      <sheetName val="Aug01_Status_Rpt5"/>
      <sheetName val="97계획(96_1110"/>
      <sheetName val="THS_-_Key_Inputs5"/>
      <sheetName val="Input_Page5"/>
      <sheetName val="Input_Sheet5"/>
      <sheetName val="Base_Info5"/>
      <sheetName val="PMBG12LD_장비및인원소요(D_A기준)_4"/>
      <sheetName val="개발원가_종합5"/>
      <sheetName val="MS_SPEC4"/>
      <sheetName val="Drop-down_Lists10"/>
      <sheetName val="B053_(990701)공정능력PC%계산10"/>
      <sheetName val="2012_Volum11"/>
      <sheetName val="Supplier_QRQC10"/>
      <sheetName val="GM_Master11"/>
      <sheetName val="4_3_첨부111"/>
      <sheetName val="검사협정_보충10"/>
      <sheetName val="제품명_(3)11"/>
      <sheetName val="09년_현황11"/>
      <sheetName val="WTC_BODY一覧原紙11"/>
      <sheetName val="1_기안을지10"/>
      <sheetName val="Danh_Mục5"/>
      <sheetName val="Danh_Muc5"/>
      <sheetName val="첨부13__사출(PAD)_카메라4"/>
      <sheetName val="Tool_Type4"/>
      <sheetName val="3__Acronyms_and_abbreviations4"/>
      <sheetName val="거래선별_매출현황_내역7"/>
      <sheetName val="수식파일_(삭제금지)4"/>
      <sheetName val="03년_체제결과7"/>
      <sheetName val="5_Why's4"/>
      <sheetName val="부품_LIST4"/>
      <sheetName val="22_보증금(전신전화가입권)4"/>
      <sheetName val="39_미지급법인세4"/>
      <sheetName val="InspectionData_(2)4"/>
      <sheetName val="_제9차_회사표준_제개정_공청회_이의제기신청서_XLSX4"/>
      <sheetName val="8월_매출현황5"/>
      <sheetName val="3공장_순양전자5"/>
      <sheetName val="현진테크_(2)5"/>
      <sheetName val="동경cnc_지그5"/>
      <sheetName val="대한테크_집계5"/>
      <sheetName val="서연전자_(2)5"/>
      <sheetName val="삼익전자_(2)5"/>
      <sheetName val="삼익산업_(2)5"/>
      <sheetName val="시무인텔_(2)5"/>
      <sheetName val="성우일렉스_(2)5"/>
      <sheetName val="성호테크_(2)5"/>
      <sheetName val="General_Assumptions4"/>
      <sheetName val="종합원가분석_1_4"/>
      <sheetName val="11_Inv_4"/>
      <sheetName val="1_생산04"/>
      <sheetName val="1_개발개요4"/>
      <sheetName val="G-Exchange_#6674"/>
      <sheetName val="C-Mix_Rate_&amp;_Revenue(calc)4"/>
      <sheetName val="01년2월현황_4"/>
      <sheetName val="2차_OI5"/>
      <sheetName val="Z41,Z42_이외total10"/>
      <sheetName val="개인별_교육현황4"/>
      <sheetName val="관리구역_책임자(181010)4"/>
      <sheetName val="ACU기청소2018-05-04_(3)4"/>
      <sheetName val="ASM_A동4"/>
      <sheetName val="SMT구역_(2)4"/>
      <sheetName val="관리구역_체크시트4"/>
      <sheetName val="관리구역_평가시트4"/>
      <sheetName val="담당자편성표_(B)4"/>
      <sheetName val="조립A구역_(2)4"/>
      <sheetName val="개선보고서_(2)4"/>
      <sheetName val="List_Total4"/>
      <sheetName val="Person_Cost4"/>
      <sheetName val="THEO_DÕI_THAI_SẢN_(2)4"/>
      <sheetName val="Time_Man4"/>
      <sheetName val="Salary(Cus_)4"/>
      <sheetName val="OT_OVER4"/>
      <sheetName val="Segment_4_Bid_Sheet4"/>
      <sheetName val="Hi6810_功能信号表4"/>
      <sheetName val="6_FQC检验数据4"/>
      <sheetName val="2003_prod24"/>
      <sheetName val="2003_Target4"/>
      <sheetName val="RA_Bearer4"/>
      <sheetName val="Trend_Total_nguyên_nhân4"/>
      <sheetName val="設備預算總表附件3_4"/>
      <sheetName val="FA_Definitions4"/>
      <sheetName val="02_08생산대상대수4"/>
      <sheetName val="SEP_20074"/>
      <sheetName val="한일자야(감액손실)_(2)4"/>
      <sheetName val="05_新Table(간접직)4"/>
      <sheetName val="05계약내역(기존T_활용)4"/>
      <sheetName val="Value_4"/>
      <sheetName val="2009년_매출_실적4"/>
      <sheetName val="Input_Form_-_EingabeMaske4"/>
      <sheetName val="LINE_PPM-분석5"/>
      <sheetName val="AQL(0_65)4"/>
      <sheetName val="천정등기구_실적4"/>
      <sheetName val="CPK(Process_Capanility)4"/>
      <sheetName val="Q1_&amp;_Q24"/>
      <sheetName val="devis_qcdp24"/>
      <sheetName val="INATAKE_SYS4"/>
      <sheetName val="Cover_page5"/>
      <sheetName val="Adjusted_OI5"/>
      <sheetName val="Adjusted_OI_(2)5"/>
      <sheetName val="Income_Stmt_(USD)5"/>
      <sheetName val="Income_Stmt_(RMB)5"/>
      <sheetName val="IS_Loc_Adj5"/>
      <sheetName val="Balance_Sht_(USD)5"/>
      <sheetName val="BS_Loc+Adj5"/>
      <sheetName val="Balance_Sht_(RMB)5"/>
      <sheetName val="Cash_Flow_(USD)5"/>
      <sheetName val="Cash_Forecast5"/>
      <sheetName val="IC_AP_AR6"/>
      <sheetName val="Cash_Cross_check5"/>
      <sheetName val="Unit_Price_without_LTA&amp;Pricing5"/>
      <sheetName val="Sales_without_LTA&amp;Pricing5"/>
      <sheetName val="Unit_ECN_Sales5"/>
      <sheetName val="Total_ECN_Sales5"/>
      <sheetName val="LTA_Percentage5"/>
      <sheetName val="LTA_Amount5"/>
      <sheetName val="Total_P2P5"/>
      <sheetName val="Net_Sales5"/>
      <sheetName val="Unit_Mat_Cost_Without_PS_VAVE5"/>
      <sheetName val="Material_cost_without_PS_VAVE5"/>
      <sheetName val="Unit_ECN_cost5"/>
      <sheetName val="ECN_cost_saving5"/>
      <sheetName val="Unit_Purchase_Saving5"/>
      <sheetName val="Total_Purchase_Saving5"/>
      <sheetName val="Unit_VAVE_Saving5"/>
      <sheetName val="Total_VAVE5"/>
      <sheetName val="Unit_Margin_Improvement5"/>
      <sheetName val="Total_Margin_Improvement5"/>
      <sheetName val="Unit_mat__cost_after_PS_VAVE5"/>
      <sheetName val="Total_Mat_cost_after_PS_VAVE5"/>
      <sheetName val="Unit_Inb_Freight_Rate5"/>
      <sheetName val="Inboud_Freight_Amount5"/>
      <sheetName val="Unit_Inb-Duty5"/>
      <sheetName val="Inbound_Duty5"/>
      <sheetName val="Material_cost_before_Scrap5"/>
      <sheetName val="Scrap_Rate5"/>
      <sheetName val="Scrap_Amount5"/>
      <sheetName val="Scrap_recovery_rate5"/>
      <sheetName val="Scrap_Recovery_Amount5"/>
      <sheetName val="Unit_Production_Auxiliary5"/>
      <sheetName val="Production_Auxiliary5"/>
      <sheetName val="Net_Material5"/>
      <sheetName val="Unit_OB_freight5"/>
      <sheetName val="Total_OB_freight5"/>
      <sheetName val="Total_LC&amp;OVH5"/>
      <sheetName val="LC&amp;OVH_Undefined_Var_5"/>
      <sheetName val="LC&amp;OVH_Undefined_Fix_5"/>
      <sheetName val="Total_headcount_&amp;_labor_cost5"/>
      <sheetName val="Direct_Labor_Cost5"/>
      <sheetName val="Indirect_Labor_Cost5"/>
      <sheetName val="Salary_Cost5"/>
      <sheetName val="MSI_-_FY(RMB)5"/>
      <sheetName val="MSI_-_Comm_Sales5"/>
      <sheetName val="MSI_-_IC_Sales5"/>
      <sheetName val="MSI_-_Mat_Cost5"/>
      <sheetName val="MSI_-_Direct_Labor5"/>
      <sheetName val="MSI_-_Variable_OH5"/>
      <sheetName val="MSI_-_Fixed_OH5"/>
      <sheetName val="영업_입수계획_4"/>
      <sheetName val="참고1_02_판매계획_(수량)4"/>
      <sheetName val="전사_경영계획_수량4"/>
      <sheetName val="Duration_4"/>
      <sheetName val="2000_(원본)4"/>
      <sheetName val="Danh_sach_Hàn_thùng4"/>
      <sheetName val="Mẫu_DMVT4"/>
      <sheetName val="Mẫu_DMVT_(2)4"/>
      <sheetName val="DANH_MỤC_NHÓM_ĐỐI_TƯỢNG4"/>
      <sheetName val="Nhap_T84"/>
      <sheetName val="Begining_detail-CTIET4"/>
      <sheetName val="Summary-TOMLUOC_4"/>
      <sheetName val="SO_TONG_HOP_CONG_NO4"/>
      <sheetName val="DM_KHAU_HAO4"/>
      <sheetName val="Cty+XN(KT_2005)4"/>
      <sheetName val="20060624_공조제어4"/>
      <sheetName val="공정공수_XLS4"/>
      <sheetName val="풍량상한치_제한_data4"/>
      <sheetName val="Source_List4"/>
      <sheetName val="After_sales11"/>
      <sheetName val="Interco_&amp;_PVS_Loc_Cur10"/>
      <sheetName val="OEM_Plan11"/>
      <sheetName val="첨부4_기술평가서10"/>
      <sheetName val="99년12월_실적DATA5"/>
      <sheetName val="J2(P_MT)10"/>
      <sheetName val="PS_SIDE_OTR_INR_공정개선_상세9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보강사_소요량10"/>
      <sheetName val="P&amp;L_account11"/>
      <sheetName val="118_세금과공과10"/>
      <sheetName val="경영재무_(입력)10"/>
      <sheetName val="연구개발_(입력)10"/>
      <sheetName val="일반현황_(입력)10"/>
      <sheetName val="품질관리_(입력)10"/>
      <sheetName val="1_2_2완제품검사('00_4월)_(가라)10"/>
      <sheetName val="#1-1_(2)5"/>
      <sheetName val="2-2_매출분석5"/>
      <sheetName val="신흥테크_세부내역_LIST5"/>
      <sheetName val="Issues_List5"/>
      <sheetName val="Actual_data5"/>
      <sheetName val="기준정보(A)_15_10_276"/>
      <sheetName val="단중_및_예비길이_SHEET_15_9_5(K)6"/>
      <sheetName val="15_1_02_15년_1월예시계획6"/>
      <sheetName val="15년_12월_시작재공품_15_12_36"/>
      <sheetName val="기준정보(A)_12_02_236"/>
      <sheetName val="STD__CAB6"/>
      <sheetName val="STD__NCAB6"/>
      <sheetName val="원소재_변경_상세6"/>
      <sheetName val="직거래가_변경6"/>
      <sheetName val="PL_By_Model(Result)5"/>
      <sheetName val="24_냉각실용添14"/>
      <sheetName val="노원열병합__건축공사기성내역서6"/>
      <sheetName val="Gia_vat_tu6"/>
      <sheetName val="Data_Not_Used6"/>
      <sheetName val="FTQ_Data6"/>
      <sheetName val="Int_Pulls_Data6"/>
      <sheetName val="Int_Spills_Data6"/>
      <sheetName val="PPM_Data6"/>
      <sheetName val="Pulls_Data6"/>
      <sheetName val="Spills_Data6"/>
      <sheetName val="PP%-low_RPM4"/>
      <sheetName val="After_Sales_Supplier_#'s4"/>
      <sheetName val="원단위_1계_2계9"/>
      <sheetName val="케이스_재공_재고3"/>
      <sheetName val="NUEVO_MODELOS_20184"/>
      <sheetName val="ADJTBL_31004"/>
      <sheetName val="400H_가공,금형비4"/>
      <sheetName val="AOP_Summary-24"/>
      <sheetName val="Budget_Imt_mensuel_(CFO)4"/>
      <sheetName val="CDV_Pte_mensuel4"/>
      <sheetName val="Evol_Prod_(Eqpt)4"/>
      <sheetName val="CAPVR_Pte_mensuel4"/>
      <sheetName val="THƯ_VIỆN4"/>
      <sheetName val="Nguon_PT_xetai4"/>
      <sheetName val="Nguon_PT_xe_Ben4"/>
      <sheetName val="Bien_so4"/>
      <sheetName val="MỤC_LỤC4"/>
      <sheetName val="Ghi_chú4"/>
      <sheetName val="1__Định_hướng_HĐ_CN_năm_20194"/>
      <sheetName val="2_1_Tổng_quan_TT_KD_xe_DL4"/>
      <sheetName val="2_2_Tổng_quan_TT_DVPT_DL4"/>
      <sheetName val="3_1__ĐKM_xe_DL4"/>
      <sheetName val="3_2_1__KH_KD-MKT_&amp;_TCKD_xe_KIA4"/>
      <sheetName val="3_2_2_CSBH_KIA4"/>
      <sheetName val="3_2_3__KH_KD-MKT&amp;TCKD_DVPT4"/>
      <sheetName val="Pv_SL4"/>
      <sheetName val="3_3_1_KH_KD-MKT_&amp;_TCKD_Mazda4"/>
      <sheetName val="3_3_2_CSBH_MAZDA4"/>
      <sheetName val="3_3_3_KH_KD-MKT&amp;TCKD_DVPT_MAZD4"/>
      <sheetName val="3_4__DVPT_SR_KIA_MAZDA4"/>
      <sheetName val="3_4_1_KH_KD-MKT&amp;TCKD_PEUGEOT4"/>
      <sheetName val="3_4_2_CSBH_PEUGEOT4"/>
      <sheetName val="3_4_3_KH_KD-MKT&amp;TC_DVPT_PEUGEO4"/>
      <sheetName val="3_5__TÀI_CHÍNH_KD_XE_KIA_MAZDA4"/>
      <sheetName val="4_1_Tổng_quan_TT_KD_Tai,_Bus4"/>
      <sheetName val="4_2_Tổng_quan_TT_DVPT_Tai_Bus4"/>
      <sheetName val="5_1__ĐKM_xe_Tai,_Bus4"/>
      <sheetName val="PTBH_20184"/>
      <sheetName val="SL_-_TVBH4"/>
      <sheetName val="5_2a__KD_Xe_Fuso4"/>
      <sheetName val="5_2b__KD_Xe_Foton4"/>
      <sheetName val="5_2c__KD_Xe_Bus4"/>
      <sheetName val="5_2__KH_KD-MKT&amp;TCKD_xe_Tải,_Bu4"/>
      <sheetName val="5_3__CSBH_xe_Tải,_Bus4"/>
      <sheetName val="5_4_KH_KD-MKT&amp;TC_DVPT_Tải,_Bus4"/>
      <sheetName val="Review_note4"/>
      <sheetName val="6_1_ĐKĐK4"/>
      <sheetName val="6_2__Bảo_hiểm4"/>
      <sheetName val="6_3__Tín_dụng4"/>
      <sheetName val="6_4__GSHT_&amp;_PH4"/>
      <sheetName val="6_5_DVHT4"/>
      <sheetName val="7_1_KH_nhân_sự4"/>
      <sheetName val="7_2__Định_biên_&amp;_Lương4"/>
      <sheetName val="7_3_KH_thưởng_năng_suất4"/>
      <sheetName val="Check_TH4"/>
      <sheetName val="8__Hành_chính4"/>
      <sheetName val="8_14"/>
      <sheetName val="9_1__Duy_tu_bảo_trì4"/>
      <sheetName val="9_2__Cải_tạo,_nâng_cấp4"/>
      <sheetName val="10__TSCĐ_-_CCDC4"/>
      <sheetName val="11D__Tài_chính_KD_XE_TỔNG4"/>
      <sheetName val="11E__Tài_chính_KD_DVPT_TỔNG4"/>
      <sheetName val="11A__Tài_chính_SR_KIA4"/>
      <sheetName val="11B__Tài_chính_SR_MAZDA4"/>
      <sheetName val="11D__Tài_chính_SR_Peugout4"/>
      <sheetName val="11C__Tài_chính_SR_TẢI_BUS4"/>
      <sheetName val="11D__Tài_chính_SR_Du_lịch4"/>
      <sheetName val="11__Tài_chính_Chi_nhánh4"/>
      <sheetName val="12__SĐTC4"/>
      <sheetName val="MASTER_DATA3"/>
      <sheetName val="견적서_detail_Main_13"/>
      <sheetName val="CAR_Form_Summary4"/>
      <sheetName val="LINE_운영안10"/>
      <sheetName val="원가_종합11"/>
      <sheetName val="Validation_Lists10"/>
      <sheetName val="Schedule_14"/>
      <sheetName val="제품별_매출11"/>
      <sheetName val="Data_Working_Time11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Net_Revenue5"/>
      <sheetName val="7)_133677345"/>
      <sheetName val="기초_데이터5"/>
      <sheetName val="Rollforward_{bpe}3"/>
      <sheetName val="Allow_-_SR&amp;D3"/>
      <sheetName val="220_(2)5"/>
      <sheetName val="표지_(2)5"/>
      <sheetName val="중요차종_(090131)5"/>
      <sheetName val="PU_FOAM_가격조정_기준3"/>
      <sheetName val="Data_Input4"/>
      <sheetName val="개선대책_양식6"/>
      <sheetName val="S_P3"/>
      <sheetName val="R_FJS_CAR_(old)3"/>
      <sheetName val="Certificate_list_3"/>
      <sheetName val="REPAIR_DATA_-_CONTAINER_#55"/>
      <sheetName val="6_Parent_S__Fixed_Prod3"/>
      <sheetName val="Material_References4"/>
      <sheetName val="BOM_Cost_(R-U713MHH)3"/>
      <sheetName val="BAT1_3"/>
      <sheetName val="3_학점이수(사내_사외교육)3"/>
      <sheetName val="FRT_재료비3"/>
      <sheetName val="업체손실공수_xls4"/>
      <sheetName val="1-1_연월차_개인별_보전수당3"/>
      <sheetName val="Danh_sach3"/>
      <sheetName val="Bang_KL3"/>
      <sheetName val="Lcau_-_Lxuc3"/>
      <sheetName val="U268_4x4_AT(walk)Mitsu3"/>
      <sheetName val="2_Underbody_DT3"/>
      <sheetName val="입력_List6"/>
      <sheetName val="DO_NOT_DELETE5"/>
      <sheetName val="기종별_합계3"/>
      <sheetName val="Export_Data3"/>
      <sheetName val="BOX_ASSY3"/>
      <sheetName val="실사LIST-중간가공품(05_12_27현재)_(2)3"/>
      <sheetName val="4_Financial3"/>
      <sheetName val="3_4)__FR_종합3"/>
      <sheetName val="3_4)__RR_종합3"/>
      <sheetName val="RFQ_Cover_Sheeet3"/>
      <sheetName val="8_공정능력평가(5)3"/>
      <sheetName val="FRN_020003"/>
      <sheetName val="Diaph1_values3"/>
      <sheetName val="Diaph2_values3"/>
      <sheetName val="Diaph_values3"/>
      <sheetName val="Cushion_datas3"/>
      <sheetName val="P_O_(LOCAL)3"/>
      <sheetName val="UPPER_도면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Personnaliser___3"/>
      <sheetName val="Takt_Time3"/>
      <sheetName val="4_경비_5_영업외수지3"/>
      <sheetName val="Sch1_-_P&amp;L_Summary3"/>
      <sheetName val="Sch2_-_BalSht_Summary3"/>
      <sheetName val="Sch3_-_CFlow_Summary3"/>
      <sheetName val="Model_Synthesis_Report3"/>
      <sheetName val="2019년_생산수량3"/>
      <sheetName val="19년_종합_CT3"/>
      <sheetName val="delta_impedance(평균)3"/>
      <sheetName val="SUST_DEV_&amp;_OTHER3"/>
      <sheetName val="OEM_3"/>
      <sheetName val="August_20033"/>
      <sheetName val="OE_UMC3"/>
      <sheetName val="Analysis-Others_Pg_43"/>
      <sheetName val="Fx_Rates3"/>
      <sheetName val="FY_12_Interiors_Volume4"/>
      <sheetName val="INT_Price_FY12_MFC4"/>
      <sheetName val="強度_CN_A1_C10H_152H3"/>
      <sheetName val="II__CF3"/>
      <sheetName val="I__Assumptions3"/>
      <sheetName val="CONN_조립3"/>
      <sheetName val="04_03월소일정계획3"/>
      <sheetName val="_관리계획서_Rev_01_xlsx3"/>
      <sheetName val="Costed_BOM_2ndR_40%3"/>
      <sheetName val="seat-sdn_only3"/>
      <sheetName val="10-2_ED&amp;D_EQU3"/>
      <sheetName val="Business_Plan3"/>
      <sheetName val="Organization_chart201910023"/>
      <sheetName val="RESPONSIBILITY_MATRIX3"/>
      <sheetName val="DS-Thuong_6T_dau3"/>
      <sheetName val="CHI_TIẾT3"/>
      <sheetName val="거래선_생산계획3"/>
      <sheetName val="Main-Yield_report2"/>
      <sheetName val="Cosmetic_Description2"/>
      <sheetName val="9_초기공정능력조사(을)3"/>
      <sheetName val="00-Input_Values3"/>
      <sheetName val="Input_Values3"/>
      <sheetName val="TFT_Attendace3"/>
      <sheetName val="0_주광원_LED_ASSY3"/>
      <sheetName val="Corp_acronym3"/>
      <sheetName val="FAX_(2)3"/>
      <sheetName val="Output_1_(2)3"/>
      <sheetName val="4_销售计划3"/>
      <sheetName val="실DATA_2"/>
      <sheetName val="23_보증금(전신전화가입권)3"/>
      <sheetName val="3__트림별_내수3"/>
      <sheetName val="3__트림별_북미3"/>
      <sheetName val="3__트림별_유럽3"/>
      <sheetName val="해외)_MASTER_DATA2"/>
      <sheetName val="국내)_마스터_데이터2"/>
      <sheetName val="Group_Consolidated2"/>
      <sheetName val="2_´ë?Ü°o1®2"/>
      <sheetName val="Questions_for_Wuhan_Lear1"/>
      <sheetName val="share_year=52"/>
      <sheetName val="첨#3__PCB1"/>
      <sheetName val="Detail_report1"/>
      <sheetName val="Request_template2"/>
      <sheetName val="Gauge_R&amp;R2"/>
      <sheetName val="Bia_TQT2"/>
      <sheetName val="_FURNACE현설1"/>
      <sheetName val="프로필렌_이송라인1"/>
      <sheetName val="CC_Down_load_07161"/>
      <sheetName val="CAUZA_DEFECTE1"/>
      <sheetName val="CAUSES_OF_DEFECTS1"/>
      <sheetName val="EO_이력관리대장1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Grille_Q3P_Organe4"/>
      <sheetName val="Table(APG_MF)2"/>
      <sheetName val="Pt_Rates2"/>
      <sheetName val="2_(1설원_첨)2"/>
      <sheetName val="Component_List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입력_데이타2"/>
      <sheetName val="TLc_개조차(목표원가)2"/>
      <sheetName val="Sheet1_(3)2"/>
      <sheetName val="의장2반_2"/>
      <sheetName val="Detail_Defect_COMBO_KAISER2"/>
      <sheetName val="28_8부2"/>
      <sheetName val="KQ_12"/>
      <sheetName val="3rd_DESIGN_APRD1"/>
      <sheetName val="Tien_Thuong1"/>
      <sheetName val="NC_XL_6T_cuoi_01_CTy1"/>
      <sheetName val="Data_-6T_dau1"/>
      <sheetName val="Cong_6T1"/>
      <sheetName val="BEND_LOSS1"/>
      <sheetName val="plan&amp;section_of_foundation1"/>
      <sheetName val="4__가격구조1"/>
      <sheetName val="1_사고건수"/>
      <sheetName val="3_사고_요인별"/>
      <sheetName val="1_page2"/>
      <sheetName val="Special_rack_(Packaging_Input)1"/>
      <sheetName val="판매_계획_대_실적1"/>
      <sheetName val="경영비율_1"/>
      <sheetName val="LWR(TND특근_협의x)_덕_알"/>
      <sheetName val="I__Balance_Sheet"/>
      <sheetName val="MAIN_4"/>
      <sheetName val="ESTI_1"/>
      <sheetName val="CP_khau_hao1"/>
      <sheetName val="ns_chung1"/>
      <sheetName val="dongia_(2)1"/>
      <sheetName val="THĐH_E41"/>
      <sheetName val="THĐH_E31"/>
      <sheetName val="Customer_Grouping"/>
      <sheetName val="2020년도_교육_참석_현황_Raw_Data"/>
      <sheetName val="유형_List"/>
      <sheetName val="SOP_표지"/>
      <sheetName val="CASTING_CONDITION"/>
      <sheetName val="copy_of_control_valve"/>
      <sheetName val="EXP_P1(PART)"/>
      <sheetName val="Prob__Res__Index"/>
      <sheetName val="0_견적보고"/>
      <sheetName val="XM개조차_연동제(12_3분기)"/>
      <sheetName val="SPOT_조건"/>
      <sheetName val="co2_조건"/>
      <sheetName val="DG_285"/>
      <sheetName val="DG__286"/>
      <sheetName val="DG_85"/>
      <sheetName val="DG_89"/>
      <sheetName val="DG_THIET_BI"/>
      <sheetName val="DGVCTC_285"/>
      <sheetName val="DG_vat_lieu"/>
      <sheetName val="Cước_VC_+_ĐM_CP_Tư_vấn"/>
      <sheetName val="Page_14-A"/>
      <sheetName val="목록_모음"/>
      <sheetName val="1__회의록(190218)"/>
      <sheetName val="1__회의록(190225)"/>
      <sheetName val="1__회의록(190730)"/>
      <sheetName val="2__생산관리팀"/>
      <sheetName val="3__생산팀"/>
      <sheetName val="4__품질개발팀_품질"/>
      <sheetName val="5__품질개발팀_개발"/>
      <sheetName val="6__경영지원팀"/>
      <sheetName val="Data_(c)1"/>
      <sheetName val="일_년"/>
      <sheetName val="Internal_cost_reference_table"/>
      <sheetName val="급여_예상_(2017)인상후"/>
      <sheetName val="SURVEY_TVD"/>
      <sheetName val="Investment_Management_Master"/>
      <sheetName val="Prices_P11_and_P12_(PAG)_(2)"/>
      <sheetName val="일일자금_"/>
      <sheetName val="Active_1,4_MT"/>
      <sheetName val="Valid_Options"/>
      <sheetName val="2015_2018_Veh_Vol"/>
      <sheetName val="주간_진행_현황"/>
      <sheetName val="prov_locales"/>
      <sheetName val="0_Cover"/>
      <sheetName val="1_Change_History"/>
      <sheetName val="2_Criteria"/>
      <sheetName val="5_Safety_Mechanism"/>
      <sheetName val="alc_code"/>
      <sheetName val="이력관리"/>
      <sheetName val="Foglio1"/>
      <sheetName val="년간PSI"/>
      <sheetName val="해외세목"/>
      <sheetName val="제시용"/>
      <sheetName val="98년BS"/>
      <sheetName val="잉여금"/>
      <sheetName val="納品作業依頼書_PTI_MOTO"/>
      <sheetName val="COBS"/>
      <sheetName val="정산표"/>
      <sheetName val="summary STOCK AMT"/>
      <sheetName val="년간부가가치"/>
      <sheetName val="english"/>
      <sheetName val="VENDOR"/>
      <sheetName val="顧客クレーム"/>
      <sheetName val="9월"/>
      <sheetName val="12월"/>
      <sheetName val="11월"/>
      <sheetName val="7월"/>
      <sheetName val="반도체"/>
      <sheetName val="LG-BATTERY"/>
      <sheetName val="SMT DAILY PRODUCTION REPORT"/>
      <sheetName val="MEM수율입고"/>
      <sheetName val="항목별"/>
      <sheetName val="環境試験"/>
      <sheetName val="monitoring"/>
      <sheetName val="Overzicht"/>
      <sheetName val="철판인상"/>
      <sheetName val="직납업체(현대)"/>
      <sheetName val="차종별장판"/>
      <sheetName val="97지급이자"/>
      <sheetName val="Dữ liệu"/>
      <sheetName val="Cpk 1"/>
      <sheetName val="仕掛"/>
      <sheetName val="Part_DATA"/>
      <sheetName val="NHÁNH SP CKOT (T10)"/>
      <sheetName val="NM GHẾ T5"/>
      <sheetName val="スコアカード (2)"/>
      <sheetName val="富士客１"/>
      <sheetName val="ﾊﾟｲﾌﾟ|_x0013_?_x0013_?"/>
      <sheetName val="冷延鋼板 EAT_0410"/>
      <sheetName val="4) 핵심일 heat map (참고sheet)"/>
      <sheetName val="Cost Rate"/>
      <sheetName val="Process Rate"/>
      <sheetName val="R(BS-PL-RE)"/>
      <sheetName val="Workload Followup"/>
      <sheetName val="별도투자가 있을때"/>
      <sheetName val="Work Effort"/>
      <sheetName val="4.ﾒｰｶｰ別ｱﾅﾛｸﾞ､ﾃﾞｼﾞﾀﾙ"/>
      <sheetName val="CYPYSRRR"/>
      <sheetName val="1. 사업계획 작성지침 및 일정"/>
      <sheetName val="※ 작성 세부일정"/>
      <sheetName val="2. 국내외 경제전망"/>
      <sheetName val="3. 자동차 산업전망"/>
      <sheetName val="4. 산업별 경기전망"/>
      <sheetName val="5. 사업계획운영 process"/>
      <sheetName val="6. 사장방침서"/>
      <sheetName val="7. 실적(종합)"/>
      <sheetName val="8-A. 거래처별 매출계획"/>
      <sheetName val="8-B. 월별 손익계산서"/>
      <sheetName val="8-C. 중장기 손익, 제조원가"/>
      <sheetName val="8-D. 중장기 재무상태표"/>
      <sheetName val="※중장기 재무계획 비율 변동 추이"/>
      <sheetName val="8-E. 월별 투자계획"/>
      <sheetName val="8-F. 월별 인원계획"/>
      <sheetName val="8-G. 월별 품질계획"/>
      <sheetName val="8-H. 월별 원가절감계획"/>
      <sheetName val="8-I. 월별 자금계획"/>
      <sheetName val="9. 월별 주요업무 추진 일정(계열사)"/>
      <sheetName val="※분기별 확정 수주액 및 수주계획(주물회사 작성用)"/>
      <sheetName val="※분기별 손익계획(주물회사 작성用)"/>
      <sheetName val="※동아공업(주) 대표이사 방침서"/>
      <sheetName val="※동아공업(주) Work Calendar"/>
      <sheetName val="PPT-1.경영(손익)"/>
      <sheetName val="PPT-2.영업(수주)"/>
      <sheetName val="PPT-3.품질"/>
      <sheetName val="PPT-4.투자"/>
      <sheetName val="PPT-5.인원"/>
      <sheetName val="PPT-6.자금계획"/>
      <sheetName val="대실실"/>
      <sheetName val="공정품질-11월"/>
      <sheetName val="11月份"/>
      <sheetName val="各社状況"/>
      <sheetName val="Physical Description"/>
      <sheetName val="Labor CTB"/>
      <sheetName val="평가기준"/>
      <sheetName val="落板测试报告"/>
      <sheetName val="X2349 CRB Build Plan"/>
      <sheetName val="X-R 관리계수표"/>
      <sheetName val="제품표준규격"/>
      <sheetName val="4. FAI,Validation"/>
      <sheetName val="자금집행내역"/>
      <sheetName val="sf"/>
      <sheetName val="Dept Exp"/>
      <sheetName val="85871-39000"/>
      <sheetName val="출고코드"/>
      <sheetName val="Datos Comparables"/>
      <sheetName val="CRP"/>
      <sheetName val="FRT STRUT"/>
      <sheetName val="실사"/>
      <sheetName val="성보6"/>
      <sheetName val="5월 Svr"/>
      <sheetName val="2COMPO_TABLE"/>
      <sheetName val="중기"/>
      <sheetName val="SALE&amp;COST"/>
      <sheetName val="5차-폭"/>
      <sheetName val="월"/>
      <sheetName val="DICTIONARY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TABLE(한국)"/>
      <sheetName val="HW 종합"/>
      <sheetName val="표면적"/>
      <sheetName val="Sheet56"/>
      <sheetName val="ME BOM for scheme two"/>
      <sheetName val="清冊"/>
      <sheetName val="Owner List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21030511盘点票"/>
      <sheetName val="Year Graph"/>
      <sheetName val="Future Qtr MPS"/>
      <sheetName val="41922000"/>
      <sheetName val="X-R CHART"/>
      <sheetName val="Tri-mode BOM"/>
      <sheetName val="Country List"/>
      <sheetName val="country"/>
      <sheetName val="PP1142-2"/>
      <sheetName val="철판가,장비임율기준"/>
      <sheetName val="A-Presale Payment Schedule"/>
      <sheetName val="이자수익보조부"/>
      <sheetName val="Input commodity fallout"/>
      <sheetName val="Reporting"/>
      <sheetName val="Overview"/>
      <sheetName val="_x005f_x0000__x005f_x0000__x005f_x0000__x005f_x0000_i_2"/>
      <sheetName val="개조수리 요청서"/>
      <sheetName val="지역-가마감"/>
      <sheetName val="경도"/>
      <sheetName val="ITEM별"/>
      <sheetName val="XLR_NoRangeSheet"/>
      <sheetName val="99선급비용"/>
      <sheetName val="공정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 refreshError="1"/>
      <sheetData sheetId="527"/>
      <sheetData sheetId="528" refreshError="1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>
        <row r="6">
          <cell r="A6">
            <v>1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>
        <row r="6">
          <cell r="A6">
            <v>1</v>
          </cell>
        </row>
      </sheetData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>
        <row r="6">
          <cell r="A6">
            <v>1</v>
          </cell>
        </row>
      </sheetData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>
        <row r="1">
          <cell r="A1" t="str">
            <v>1월 생산실적</v>
          </cell>
        </row>
      </sheetData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>
        <row r="1">
          <cell r="A1" t="str">
            <v>1월 생산실적</v>
          </cell>
        </row>
      </sheetData>
      <sheetData sheetId="1417">
        <row r="1">
          <cell r="A1" t="str">
            <v>1월 생산실적</v>
          </cell>
        </row>
      </sheetData>
      <sheetData sheetId="1418">
        <row r="1">
          <cell r="A1" t="str">
            <v>1월 생산실적</v>
          </cell>
        </row>
      </sheetData>
      <sheetData sheetId="1419">
        <row r="1">
          <cell r="A1" t="str">
            <v>1월 생산실적</v>
          </cell>
        </row>
      </sheetData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>
        <row r="1">
          <cell r="A1" t="str">
            <v>1월 생산실적</v>
          </cell>
        </row>
      </sheetData>
      <sheetData sheetId="1432">
        <row r="1">
          <cell r="A1" t="str">
            <v>1월 생산실적</v>
          </cell>
        </row>
      </sheetData>
      <sheetData sheetId="1433">
        <row r="1">
          <cell r="A1" t="str">
            <v>1월 생산실적</v>
          </cell>
        </row>
      </sheetData>
      <sheetData sheetId="1434">
        <row r="1">
          <cell r="A1" t="str">
            <v>1월 생산실적</v>
          </cell>
        </row>
      </sheetData>
      <sheetData sheetId="1435">
        <row r="1">
          <cell r="A1" t="str">
            <v>1월 생산실적</v>
          </cell>
        </row>
      </sheetData>
      <sheetData sheetId="1436">
        <row r="1">
          <cell r="A1" t="str">
            <v>1월 생산실적</v>
          </cell>
        </row>
      </sheetData>
      <sheetData sheetId="1437">
        <row r="1">
          <cell r="A1" t="str">
            <v>1월 생산실적</v>
          </cell>
        </row>
      </sheetData>
      <sheetData sheetId="1438">
        <row r="1">
          <cell r="A1" t="str">
            <v>1월 생산실적</v>
          </cell>
        </row>
      </sheetData>
      <sheetData sheetId="1439">
        <row r="1">
          <cell r="A1" t="str">
            <v>1월 생산실적</v>
          </cell>
        </row>
      </sheetData>
      <sheetData sheetId="1440">
        <row r="1">
          <cell r="A1" t="str">
            <v>1월 생산실적</v>
          </cell>
        </row>
      </sheetData>
      <sheetData sheetId="1441">
        <row r="1">
          <cell r="A1" t="str">
            <v>1월 생산실적</v>
          </cell>
        </row>
      </sheetData>
      <sheetData sheetId="1442">
        <row r="1">
          <cell r="A1" t="str">
            <v>1월 생산실적</v>
          </cell>
        </row>
      </sheetData>
      <sheetData sheetId="1443">
        <row r="1">
          <cell r="A1" t="str">
            <v>1월 생산실적</v>
          </cell>
        </row>
      </sheetData>
      <sheetData sheetId="1444">
        <row r="1">
          <cell r="A1" t="str">
            <v>1월 생산실적</v>
          </cell>
        </row>
      </sheetData>
      <sheetData sheetId="1445">
        <row r="1">
          <cell r="A1" t="str">
            <v>1월 생산실적</v>
          </cell>
        </row>
      </sheetData>
      <sheetData sheetId="1446">
        <row r="1">
          <cell r="A1" t="str">
            <v>1월 생산실적</v>
          </cell>
        </row>
      </sheetData>
      <sheetData sheetId="1447">
        <row r="1">
          <cell r="A1" t="str">
            <v>1월 생산실적</v>
          </cell>
        </row>
      </sheetData>
      <sheetData sheetId="1448">
        <row r="1">
          <cell r="A1" t="str">
            <v>1월 생산실적</v>
          </cell>
        </row>
      </sheetData>
      <sheetData sheetId="1449">
        <row r="1">
          <cell r="A1" t="str">
            <v>1월 생산실적</v>
          </cell>
        </row>
      </sheetData>
      <sheetData sheetId="1450">
        <row r="1">
          <cell r="A1" t="str">
            <v>1월 생산실적</v>
          </cell>
        </row>
      </sheetData>
      <sheetData sheetId="1451">
        <row r="1">
          <cell r="A1" t="str">
            <v>1월 생산실적</v>
          </cell>
        </row>
      </sheetData>
      <sheetData sheetId="1452">
        <row r="1">
          <cell r="A1" t="str">
            <v>1월 생산실적</v>
          </cell>
        </row>
      </sheetData>
      <sheetData sheetId="1453">
        <row r="1">
          <cell r="A1" t="str">
            <v>1월 생산실적</v>
          </cell>
        </row>
      </sheetData>
      <sheetData sheetId="1454">
        <row r="1">
          <cell r="A1" t="str">
            <v>1월 생산실적</v>
          </cell>
        </row>
      </sheetData>
      <sheetData sheetId="1455">
        <row r="1">
          <cell r="A1" t="str">
            <v>1월 생산실적</v>
          </cell>
        </row>
      </sheetData>
      <sheetData sheetId="1456">
        <row r="1">
          <cell r="A1" t="str">
            <v>1월 생산실적</v>
          </cell>
        </row>
      </sheetData>
      <sheetData sheetId="1457">
        <row r="1">
          <cell r="A1" t="str">
            <v>1월 생산실적</v>
          </cell>
        </row>
      </sheetData>
      <sheetData sheetId="1458">
        <row r="1">
          <cell r="A1" t="str">
            <v>1월 생산실적</v>
          </cell>
        </row>
      </sheetData>
      <sheetData sheetId="1459">
        <row r="1">
          <cell r="A1" t="str">
            <v>1월 생산실적</v>
          </cell>
        </row>
      </sheetData>
      <sheetData sheetId="1460">
        <row r="1">
          <cell r="A1" t="str">
            <v>1월 생산실적</v>
          </cell>
        </row>
      </sheetData>
      <sheetData sheetId="1461">
        <row r="1">
          <cell r="A1" t="str">
            <v>1월 생산실적</v>
          </cell>
        </row>
      </sheetData>
      <sheetData sheetId="1462">
        <row r="1">
          <cell r="A1" t="str">
            <v>1월 생산실적</v>
          </cell>
        </row>
      </sheetData>
      <sheetData sheetId="1463">
        <row r="1">
          <cell r="A1" t="str">
            <v>1월 생산실적</v>
          </cell>
        </row>
      </sheetData>
      <sheetData sheetId="1464">
        <row r="1">
          <cell r="A1" t="str">
            <v>1월 생산실적</v>
          </cell>
        </row>
      </sheetData>
      <sheetData sheetId="1465">
        <row r="1">
          <cell r="A1" t="str">
            <v>1월 생산실적</v>
          </cell>
        </row>
      </sheetData>
      <sheetData sheetId="1466">
        <row r="1">
          <cell r="A1" t="str">
            <v>1월 생산실적</v>
          </cell>
        </row>
      </sheetData>
      <sheetData sheetId="1467">
        <row r="1">
          <cell r="A1" t="str">
            <v>1월 생산실적</v>
          </cell>
        </row>
      </sheetData>
      <sheetData sheetId="1468">
        <row r="1">
          <cell r="A1" t="str">
            <v>1월 생산실적</v>
          </cell>
        </row>
      </sheetData>
      <sheetData sheetId="1469">
        <row r="1">
          <cell r="A1" t="str">
            <v>1월 생산실적</v>
          </cell>
        </row>
      </sheetData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>
        <row r="1">
          <cell r="A1" t="str">
            <v>1월 생산실적</v>
          </cell>
        </row>
      </sheetData>
      <sheetData sheetId="1474">
        <row r="1">
          <cell r="A1" t="str">
            <v>1월 생산실적</v>
          </cell>
        </row>
      </sheetData>
      <sheetData sheetId="1475">
        <row r="1">
          <cell r="A1" t="str">
            <v>1월 생산실적</v>
          </cell>
        </row>
      </sheetData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>
        <row r="1">
          <cell r="A1" t="str">
            <v>1월 생산실적</v>
          </cell>
        </row>
      </sheetData>
      <sheetData sheetId="1480">
        <row r="1">
          <cell r="A1" t="str">
            <v>1월 생산실적</v>
          </cell>
        </row>
      </sheetData>
      <sheetData sheetId="1481">
        <row r="1">
          <cell r="A1" t="str">
            <v>1월 생산실적</v>
          </cell>
        </row>
      </sheetData>
      <sheetData sheetId="1482">
        <row r="1">
          <cell r="A1" t="str">
            <v>1월 생산실적</v>
          </cell>
        </row>
      </sheetData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>
        <row r="1">
          <cell r="A1" t="str">
            <v>1월 생산실적</v>
          </cell>
        </row>
      </sheetData>
      <sheetData sheetId="1496">
        <row r="1">
          <cell r="A1" t="str">
            <v>1월 생산실적</v>
          </cell>
        </row>
      </sheetData>
      <sheetData sheetId="1497">
        <row r="1">
          <cell r="A1" t="str">
            <v>1월 생산실적</v>
          </cell>
        </row>
      </sheetData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>
        <row r="1">
          <cell r="A1" t="str">
            <v>1월 생산실적</v>
          </cell>
        </row>
      </sheetData>
      <sheetData sheetId="1515">
        <row r="1">
          <cell r="A1" t="str">
            <v>1월 생산실적</v>
          </cell>
        </row>
      </sheetData>
      <sheetData sheetId="1516">
        <row r="1">
          <cell r="A1" t="str">
            <v>1월 생산실적</v>
          </cell>
        </row>
      </sheetData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>
        <row r="1">
          <cell r="A1" t="str">
            <v>1월 생산실적</v>
          </cell>
        </row>
      </sheetData>
      <sheetData sheetId="1757">
        <row r="1">
          <cell r="A1" t="str">
            <v>1월 생산실적</v>
          </cell>
        </row>
      </sheetData>
      <sheetData sheetId="1758">
        <row r="1">
          <cell r="A1" t="str">
            <v>1월 생산실적</v>
          </cell>
        </row>
      </sheetData>
      <sheetData sheetId="1759">
        <row r="1">
          <cell r="A1" t="str">
            <v>1월 생산실적</v>
          </cell>
        </row>
      </sheetData>
      <sheetData sheetId="1760">
        <row r="1">
          <cell r="A1" t="str">
            <v>1월 생산실적</v>
          </cell>
        </row>
      </sheetData>
      <sheetData sheetId="1761">
        <row r="1">
          <cell r="A1" t="str">
            <v>1월 생산실적</v>
          </cell>
        </row>
      </sheetData>
      <sheetData sheetId="1762">
        <row r="1">
          <cell r="A1" t="str">
            <v>1월 생산실적</v>
          </cell>
        </row>
      </sheetData>
      <sheetData sheetId="1763">
        <row r="1">
          <cell r="A1" t="str">
            <v>1월 생산실적</v>
          </cell>
        </row>
      </sheetData>
      <sheetData sheetId="1764">
        <row r="1">
          <cell r="A1" t="str">
            <v>1월 생산실적</v>
          </cell>
        </row>
      </sheetData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1">
          <cell r="A1" t="str">
            <v>1월 생산실적</v>
          </cell>
        </row>
      </sheetData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>
        <row r="1">
          <cell r="A1" t="str">
            <v>1월 생산실적</v>
          </cell>
        </row>
      </sheetData>
      <sheetData sheetId="1792" refreshError="1"/>
      <sheetData sheetId="1793" refreshError="1"/>
      <sheetData sheetId="1794" refreshError="1"/>
      <sheetData sheetId="1795">
        <row r="1">
          <cell r="A1" t="str">
            <v>1월 생산실적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 refreshError="1"/>
      <sheetData sheetId="1990" refreshError="1"/>
      <sheetData sheetId="1991" refreshError="1"/>
      <sheetData sheetId="1992" refreshError="1"/>
      <sheetData sheetId="1993">
        <row r="1">
          <cell r="A1" t="str">
            <v>1월 생산실적</v>
          </cell>
        </row>
      </sheetData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>
        <row r="1">
          <cell r="A1" t="str">
            <v>1월 생산실적</v>
          </cell>
        </row>
      </sheetData>
      <sheetData sheetId="2028">
        <row r="1">
          <cell r="A1" t="str">
            <v>1월 생산실적</v>
          </cell>
        </row>
      </sheetData>
      <sheetData sheetId="2029">
        <row r="1">
          <cell r="A1" t="str">
            <v>1월 생산실적</v>
          </cell>
        </row>
      </sheetData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>
        <row r="1">
          <cell r="A1" t="str">
            <v>1월 생산실적</v>
          </cell>
        </row>
      </sheetData>
      <sheetData sheetId="2049" refreshError="1"/>
      <sheetData sheetId="2050">
        <row r="1">
          <cell r="A1" t="str">
            <v>1월 생산실적</v>
          </cell>
        </row>
      </sheetData>
      <sheetData sheetId="2051">
        <row r="1">
          <cell r="A1" t="str">
            <v>1월 생산실적</v>
          </cell>
        </row>
      </sheetData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>
        <row r="1">
          <cell r="A1" t="str">
            <v>1월 생산실적</v>
          </cell>
        </row>
      </sheetData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>
        <row r="1">
          <cell r="A1" t="str">
            <v>1월 생산실적</v>
          </cell>
        </row>
      </sheetData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 refreshError="1"/>
      <sheetData sheetId="2500" refreshError="1"/>
      <sheetData sheetId="2501" refreshError="1"/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>
        <row r="1">
          <cell r="A1" t="str">
            <v>1월 생산실적</v>
          </cell>
        </row>
      </sheetData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 refreshError="1"/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>
        <row r="1">
          <cell r="A1" t="str">
            <v>1월 생산실적</v>
          </cell>
        </row>
      </sheetData>
      <sheetData sheetId="4483" refreshError="1"/>
      <sheetData sheetId="4484" refreshError="1"/>
      <sheetData sheetId="4485" refreshError="1"/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>
        <row r="1">
          <cell r="A1" t="str">
            <v>1월 생산실적</v>
          </cell>
        </row>
      </sheetData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>
        <row r="1">
          <cell r="A1" t="str">
            <v>1월 생산실적</v>
          </cell>
        </row>
      </sheetData>
      <sheetData sheetId="4592" refreshError="1"/>
      <sheetData sheetId="4593" refreshError="1"/>
      <sheetData sheetId="4594" refreshError="1"/>
      <sheetData sheetId="4595" refreshError="1"/>
      <sheetData sheetId="4596">
        <row r="1">
          <cell r="A1" t="str">
            <v>1월 생산실적</v>
          </cell>
        </row>
      </sheetData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 refreshError="1"/>
      <sheetData sheetId="4606">
        <row r="1">
          <cell r="A1" t="str">
            <v>1월 생산실적</v>
          </cell>
        </row>
      </sheetData>
      <sheetData sheetId="4607" refreshError="1"/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>
        <row r="1">
          <cell r="A1" t="str">
            <v>1월 생산실적</v>
          </cell>
        </row>
      </sheetData>
      <sheetData sheetId="4842">
        <row r="1">
          <cell r="A1" t="str">
            <v>1월 생산실적</v>
          </cell>
        </row>
      </sheetData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 refreshError="1"/>
      <sheetData sheetId="4886">
        <row r="1">
          <cell r="A1" t="str">
            <v>1월 생산실적</v>
          </cell>
        </row>
      </sheetData>
      <sheetData sheetId="4887" refreshError="1"/>
      <sheetData sheetId="4888" refreshError="1"/>
      <sheetData sheetId="4889">
        <row r="1">
          <cell r="A1" t="str">
            <v>1월 생산실적</v>
          </cell>
        </row>
      </sheetData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>
        <row r="1">
          <cell r="A1" t="str">
            <v>1월 생산실적</v>
          </cell>
        </row>
      </sheetData>
      <sheetData sheetId="4920">
        <row r="1">
          <cell r="A1" t="str">
            <v>1월 생산실적</v>
          </cell>
        </row>
      </sheetData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>
        <row r="1">
          <cell r="A1" t="str">
            <v>1월 생산실적</v>
          </cell>
        </row>
      </sheetData>
      <sheetData sheetId="4924">
        <row r="1">
          <cell r="A1" t="str">
            <v>1월 생산실적</v>
          </cell>
        </row>
      </sheetData>
      <sheetData sheetId="4925" refreshError="1"/>
      <sheetData sheetId="4926">
        <row r="1">
          <cell r="A1" t="str">
            <v>1월 생산실적</v>
          </cell>
        </row>
      </sheetData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 refreshError="1"/>
      <sheetData sheetId="4941">
        <row r="1">
          <cell r="A1" t="str">
            <v>1월 생산실적</v>
          </cell>
        </row>
      </sheetData>
      <sheetData sheetId="4942" refreshError="1"/>
      <sheetData sheetId="4943" refreshError="1"/>
      <sheetData sheetId="4944">
        <row r="1">
          <cell r="A1" t="str">
            <v>1월 생산실적</v>
          </cell>
        </row>
      </sheetData>
      <sheetData sheetId="4945" refreshError="1"/>
      <sheetData sheetId="4946">
        <row r="1">
          <cell r="A1" t="str">
            <v>1월 생산실적</v>
          </cell>
        </row>
      </sheetData>
      <sheetData sheetId="4947">
        <row r="1">
          <cell r="A1" t="str">
            <v>1월 생산실적</v>
          </cell>
        </row>
      </sheetData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>
        <row r="1">
          <cell r="A1" t="str">
            <v>1월 생산실적</v>
          </cell>
        </row>
      </sheetData>
      <sheetData sheetId="4952">
        <row r="1">
          <cell r="A1" t="str">
            <v>1월 생산실적</v>
          </cell>
        </row>
      </sheetData>
      <sheetData sheetId="4953">
        <row r="1">
          <cell r="A1" t="str">
            <v>1월 생산실적</v>
          </cell>
        </row>
      </sheetData>
      <sheetData sheetId="4954">
        <row r="1">
          <cell r="A1" t="str">
            <v>1월 생산실적</v>
          </cell>
        </row>
      </sheetData>
      <sheetData sheetId="4955">
        <row r="1">
          <cell r="A1" t="str">
            <v>1월 생산실적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>
        <row r="1">
          <cell r="A1" t="str">
            <v>1월 생산실적</v>
          </cell>
        </row>
      </sheetData>
      <sheetData sheetId="4991">
        <row r="1">
          <cell r="A1" t="str">
            <v>1월 생산실적</v>
          </cell>
        </row>
      </sheetData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>
        <row r="1">
          <cell r="A1" t="str">
            <v>1월 생산실적</v>
          </cell>
        </row>
      </sheetData>
      <sheetData sheetId="5005">
        <row r="1">
          <cell r="A1" t="str">
            <v>1월 생산실적</v>
          </cell>
        </row>
      </sheetData>
      <sheetData sheetId="5006">
        <row r="1">
          <cell r="A1" t="str">
            <v>1월 생산실적</v>
          </cell>
        </row>
      </sheetData>
      <sheetData sheetId="5007">
        <row r="1">
          <cell r="A1" t="str">
            <v>1월 생산실적</v>
          </cell>
        </row>
      </sheetData>
      <sheetData sheetId="5008">
        <row r="1">
          <cell r="A1" t="str">
            <v>1월 생산실적</v>
          </cell>
        </row>
      </sheetData>
      <sheetData sheetId="5009" refreshError="1"/>
      <sheetData sheetId="5010" refreshError="1"/>
      <sheetData sheetId="5011">
        <row r="1">
          <cell r="A1" t="str">
            <v>1월 생산실적</v>
          </cell>
        </row>
      </sheetData>
      <sheetData sheetId="5012" refreshError="1"/>
      <sheetData sheetId="5013">
        <row r="1">
          <cell r="A1" t="str">
            <v>1월 생산실적</v>
          </cell>
        </row>
      </sheetData>
      <sheetData sheetId="5014">
        <row r="1">
          <cell r="A1" t="str">
            <v>1월 생산실적</v>
          </cell>
        </row>
      </sheetData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>
        <row r="1">
          <cell r="A1" t="str">
            <v>1월 생산실적</v>
          </cell>
        </row>
      </sheetData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>
        <row r="1">
          <cell r="A1" t="str">
            <v>1월 생산실적</v>
          </cell>
        </row>
      </sheetData>
      <sheetData sheetId="5053">
        <row r="1">
          <cell r="A1" t="str">
            <v>1월 생산실적</v>
          </cell>
        </row>
      </sheetData>
      <sheetData sheetId="5054">
        <row r="1">
          <cell r="A1" t="str">
            <v>1월 생산실적</v>
          </cell>
        </row>
      </sheetData>
      <sheetData sheetId="5055">
        <row r="1">
          <cell r="A1" t="str">
            <v>1월 생산실적</v>
          </cell>
        </row>
      </sheetData>
      <sheetData sheetId="5056" refreshError="1"/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>
        <row r="1">
          <cell r="A1" t="str">
            <v>1월 생산실적</v>
          </cell>
        </row>
      </sheetData>
      <sheetData sheetId="5060">
        <row r="1">
          <cell r="A1" t="str">
            <v>1월 생산실적</v>
          </cell>
        </row>
      </sheetData>
      <sheetData sheetId="5061">
        <row r="1">
          <cell r="A1" t="str">
            <v>1월 생산실적</v>
          </cell>
        </row>
      </sheetData>
      <sheetData sheetId="5062">
        <row r="1">
          <cell r="A1" t="str">
            <v>1월 생산실적</v>
          </cell>
        </row>
      </sheetData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>
        <row r="1">
          <cell r="A1" t="str">
            <v>1월 생산실적</v>
          </cell>
        </row>
      </sheetData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>
        <row r="1">
          <cell r="A1" t="str">
            <v>1월 생산실적</v>
          </cell>
        </row>
      </sheetData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>
        <row r="1">
          <cell r="A1" t="str">
            <v>1월 생산실적</v>
          </cell>
        </row>
      </sheetData>
      <sheetData sheetId="7176">
        <row r="1">
          <cell r="A1" t="str">
            <v>1월 생산실적</v>
          </cell>
        </row>
      </sheetData>
      <sheetData sheetId="7177">
        <row r="1">
          <cell r="A1" t="str">
            <v>1월 생산실적</v>
          </cell>
        </row>
      </sheetData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>
        <row r="5">
          <cell r="D5" t="str">
            <v>PROCESS PERFORMANCE STUDY</v>
          </cell>
        </row>
      </sheetData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>
        <row r="1">
          <cell r="A1" t="str">
            <v>1월 생산실적</v>
          </cell>
        </row>
      </sheetData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5">
          <cell r="D5" t="str">
            <v>PROCESS PERFORMANCE STUDY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5">
          <cell r="D5" t="str">
            <v>PROCESS PERFORMANCE STUDY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5">
          <cell r="D5" t="str">
            <v>PROCESS PERFORMANCE STUDY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5">
          <cell r="D5" t="str">
            <v>PROCESS PERFORMANCE STUDY</v>
          </cell>
        </row>
      </sheetData>
      <sheetData sheetId="7310">
        <row r="5">
          <cell r="D5" t="str">
            <v>PROCESS PERFORMANCE STUDY</v>
          </cell>
        </row>
      </sheetData>
      <sheetData sheetId="7311">
        <row r="5">
          <cell r="D5" t="str">
            <v>PROCESS PERFORMANCE STUDY</v>
          </cell>
        </row>
      </sheetData>
      <sheetData sheetId="7312">
        <row r="5">
          <cell r="D5" t="str">
            <v>PROCESS PERFORMANCE STUDY</v>
          </cell>
        </row>
      </sheetData>
      <sheetData sheetId="7313">
        <row r="5">
          <cell r="D5" t="str">
            <v>PROCESS PERFORMANCE STUDY</v>
          </cell>
        </row>
      </sheetData>
      <sheetData sheetId="7314">
        <row r="5">
          <cell r="D5" t="str">
            <v>PROCESS PERFORMANCE STUDY</v>
          </cell>
        </row>
      </sheetData>
      <sheetData sheetId="7315">
        <row r="5">
          <cell r="D5" t="str">
            <v>PROCESS PERFORMANCE STUDY</v>
          </cell>
        </row>
      </sheetData>
      <sheetData sheetId="7316">
        <row r="5">
          <cell r="D5" t="str">
            <v>PROCESS PERFORMANCE STUDY</v>
          </cell>
        </row>
      </sheetData>
      <sheetData sheetId="7317">
        <row r="5">
          <cell r="D5" t="str">
            <v>PROCESS PERFORMANCE STUDY</v>
          </cell>
        </row>
      </sheetData>
      <sheetData sheetId="7318">
        <row r="5">
          <cell r="D5" t="str">
            <v>PROCESS PERFORMANCE STUDY</v>
          </cell>
        </row>
      </sheetData>
      <sheetData sheetId="7319">
        <row r="5">
          <cell r="D5" t="str">
            <v>PROCESS PERFORMANCE STUDY</v>
          </cell>
        </row>
      </sheetData>
      <sheetData sheetId="7320">
        <row r="5">
          <cell r="D5" t="str">
            <v>PROCESS PERFORMANCE STUDY</v>
          </cell>
        </row>
      </sheetData>
      <sheetData sheetId="7321">
        <row r="5">
          <cell r="D5" t="str">
            <v>PROCESS PERFORMANCE STUDY</v>
          </cell>
        </row>
      </sheetData>
      <sheetData sheetId="7322">
        <row r="5">
          <cell r="D5" t="str">
            <v>PROCESS PERFORMANCE STUDY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5">
          <cell r="D5" t="str">
            <v>PROCESS PERFORMANCE STUDY</v>
          </cell>
        </row>
      </sheetData>
      <sheetData sheetId="7325">
        <row r="5">
          <cell r="D5" t="str">
            <v>PROCESS PERFORMANCE STUDY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5">
          <cell r="D5" t="str">
            <v>PROCESS PERFORMANCE STUDY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5">
          <cell r="D5" t="str">
            <v>PROCESS PERFORMANCE STUDY</v>
          </cell>
        </row>
      </sheetData>
      <sheetData sheetId="7334">
        <row r="5">
          <cell r="D5" t="str">
            <v>PROCESS PERFORMANCE STUDY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5">
          <cell r="D5" t="str">
            <v>PROCESS PERFORMANCE STUDY</v>
          </cell>
        </row>
      </sheetData>
      <sheetData sheetId="7337">
        <row r="5">
          <cell r="D5" t="str">
            <v>PROCESS PERFORMANCE STUDY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5">
          <cell r="D5" t="str">
            <v>PROCESS PERFORMANCE STUDY</v>
          </cell>
        </row>
      </sheetData>
      <sheetData sheetId="7340">
        <row r="5">
          <cell r="D5" t="str">
            <v>PROCESS PERFORMANCE STUDY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5">
          <cell r="D5" t="str">
            <v>PROCESS PERFORMANCE STUDY</v>
          </cell>
        </row>
      </sheetData>
      <sheetData sheetId="7344">
        <row r="5">
          <cell r="D5" t="str">
            <v>PROCESS PERFORMANCE STUDY</v>
          </cell>
        </row>
      </sheetData>
      <sheetData sheetId="7345">
        <row r="5">
          <cell r="D5" t="str">
            <v>PROCESS PERFORMANCE STUDY</v>
          </cell>
        </row>
      </sheetData>
      <sheetData sheetId="7346">
        <row r="5">
          <cell r="D5" t="str">
            <v>PROCESS PERFORMANCE STUDY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5">
          <cell r="D5" t="str">
            <v>PROCESS PERFORMANCE STUDY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5">
          <cell r="D5" t="str">
            <v>PROCESS PERFORMANCE STUDY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5">
          <cell r="D5" t="str">
            <v>PROCESS PERFORMANCE STUDY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>
        <row r="1">
          <cell r="A1" t="str">
            <v>1월 생산실적</v>
          </cell>
        </row>
      </sheetData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>
        <row r="1">
          <cell r="A1" t="str">
            <v>1월 생산실적</v>
          </cell>
        </row>
      </sheetData>
      <sheetData sheetId="7682">
        <row r="1">
          <cell r="A1" t="str">
            <v>1월 생산실적</v>
          </cell>
        </row>
      </sheetData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>
        <row r="1">
          <cell r="A1" t="str">
            <v>1월 생산실적</v>
          </cell>
        </row>
      </sheetData>
      <sheetData sheetId="7705">
        <row r="1">
          <cell r="A1" t="str">
            <v>1월 생산실적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 refreshError="1"/>
      <sheetData sheetId="7742" refreshError="1"/>
      <sheetData sheetId="7743" refreshError="1"/>
      <sheetData sheetId="7744" refreshError="1"/>
      <sheetData sheetId="7745">
        <row r="1">
          <cell r="A1" t="str">
            <v>1월 생산실적</v>
          </cell>
        </row>
      </sheetData>
      <sheetData sheetId="7746" refreshError="1"/>
      <sheetData sheetId="7747" refreshError="1"/>
      <sheetData sheetId="7748">
        <row r="1">
          <cell r="A1" t="str">
            <v>1월 생산실적</v>
          </cell>
        </row>
      </sheetData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>
        <row r="1">
          <cell r="A1" t="str">
            <v>1월 생산실적</v>
          </cell>
        </row>
      </sheetData>
      <sheetData sheetId="7757">
        <row r="1">
          <cell r="A1" t="str">
            <v>1월 생산실적</v>
          </cell>
        </row>
      </sheetData>
      <sheetData sheetId="7758">
        <row r="1">
          <cell r="A1" t="str">
            <v>1월 생산실적</v>
          </cell>
        </row>
      </sheetData>
      <sheetData sheetId="7759">
        <row r="1">
          <cell r="A1" t="str">
            <v>1월 생산실적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1">
          <cell r="A1" t="str">
            <v>1월 생산실적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1">
          <cell r="A1" t="str">
            <v>1월 생산실적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5">
          <cell r="D5" t="str">
            <v>PROCESS PERFORMANCE STUDY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1">
          <cell r="A1" t="str">
            <v>1월 생산실적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1">
          <cell r="A1" t="str">
            <v>1월 생산실적</v>
          </cell>
        </row>
      </sheetData>
      <sheetData sheetId="7775">
        <row r="5">
          <cell r="D5" t="str">
            <v>PROCESS PERFORMANCE STUDY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1">
          <cell r="A1" t="str">
            <v>1월 생산실적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5">
          <cell r="D5" t="str">
            <v>PROCESS PERFORMANCE STUDY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5">
          <cell r="D5" t="str">
            <v>PROCESS PERFORMANCE STUDY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5">
          <cell r="D5" t="str">
            <v>PROCESS PERFORMANCE STUDY</v>
          </cell>
        </row>
      </sheetData>
      <sheetData sheetId="7799">
        <row r="5">
          <cell r="D5" t="str">
            <v>PROCESS PERFORMANCE STUDY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5">
          <cell r="D5" t="str">
            <v>PROCESS PERFORMANCE STUDY</v>
          </cell>
        </row>
      </sheetData>
      <sheetData sheetId="7802">
        <row r="5">
          <cell r="D5" t="str">
            <v>PROCESS PERFORMANCE STUDY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5">
          <cell r="D5" t="str">
            <v>PROCESS PERFORMANCE STUDY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5">
          <cell r="D5" t="str">
            <v>PROCESS PERFORMANCE STUDY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5">
          <cell r="D5" t="str">
            <v>PROCESS PERFORMANCE STUDY</v>
          </cell>
        </row>
      </sheetData>
      <sheetData sheetId="7848">
        <row r="5">
          <cell r="D5" t="str">
            <v>PROCESS PERFORMANCE STUDY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5">
          <cell r="D5" t="str">
            <v>PROCESS PERFORMANCE STUDY</v>
          </cell>
        </row>
      </sheetData>
      <sheetData sheetId="7851">
        <row r="5">
          <cell r="D5" t="str">
            <v>PROCESS PERFORMANCE STUDY</v>
          </cell>
        </row>
      </sheetData>
      <sheetData sheetId="7852">
        <row r="5">
          <cell r="D5" t="str">
            <v>PROCESS PERFORMANCE STUDY</v>
          </cell>
        </row>
      </sheetData>
      <sheetData sheetId="7853">
        <row r="5">
          <cell r="D5" t="str">
            <v>PROCESS PERFORMANCE STUDY</v>
          </cell>
        </row>
      </sheetData>
      <sheetData sheetId="7854">
        <row r="5">
          <cell r="D5" t="str">
            <v>PROCESS PERFORMANCE STUDY</v>
          </cell>
        </row>
      </sheetData>
      <sheetData sheetId="7855">
        <row r="5">
          <cell r="D5" t="str">
            <v>PROCESS PERFORMANCE STUDY</v>
          </cell>
        </row>
      </sheetData>
      <sheetData sheetId="7856">
        <row r="5">
          <cell r="D5" t="str">
            <v>PROCESS PERFORMANCE STUDY</v>
          </cell>
        </row>
      </sheetData>
      <sheetData sheetId="7857">
        <row r="5">
          <cell r="D5" t="str">
            <v>PROCESS PERFORMANCE STUDY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5">
          <cell r="D5" t="str">
            <v>PROCESS PERFORMANCE STUDY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5">
          <cell r="D5" t="str">
            <v>PROCESS PERFORMANCE STUDY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5">
          <cell r="D5" t="str">
            <v>PROCESS PERFORMANCE STUDY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1">
          <cell r="A1" t="str">
            <v>1월 생산실적</v>
          </cell>
        </row>
      </sheetData>
      <sheetData sheetId="8168">
        <row r="1">
          <cell r="A1" t="str">
            <v>1월 생산실적</v>
          </cell>
        </row>
      </sheetData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1">
          <cell r="A1" t="str">
            <v>1월 생산실적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1">
          <cell r="A1" t="str">
            <v>1월 생산실적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1">
          <cell r="A1" t="str">
            <v>1월 생산실적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1">
          <cell r="A1" t="str">
            <v>1월 생산실적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>
        <row r="1">
          <cell r="A1" t="str">
            <v>1월 생산실적</v>
          </cell>
        </row>
      </sheetData>
      <sheetData sheetId="8197">
        <row r="1">
          <cell r="A1" t="str">
            <v>1월 생산실적</v>
          </cell>
        </row>
      </sheetData>
      <sheetData sheetId="8198">
        <row r="1">
          <cell r="A1" t="str">
            <v>1월 생산실적</v>
          </cell>
        </row>
      </sheetData>
      <sheetData sheetId="8199">
        <row r="1">
          <cell r="A1" t="str">
            <v>1월 생산실적</v>
          </cell>
        </row>
      </sheetData>
      <sheetData sheetId="8200">
        <row r="1">
          <cell r="A1" t="str">
            <v>1월 생산실적</v>
          </cell>
        </row>
      </sheetData>
      <sheetData sheetId="8201">
        <row r="1">
          <cell r="A1" t="str">
            <v>1월 생산실적</v>
          </cell>
        </row>
      </sheetData>
      <sheetData sheetId="8202">
        <row r="1">
          <cell r="A1" t="str">
            <v>1월 생산실적</v>
          </cell>
        </row>
      </sheetData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>
        <row r="1">
          <cell r="A1" t="str">
            <v>1월 생산실적</v>
          </cell>
        </row>
      </sheetData>
      <sheetData sheetId="8206">
        <row r="1">
          <cell r="A1" t="str">
            <v>1월 생산실적</v>
          </cell>
        </row>
      </sheetData>
      <sheetData sheetId="8207">
        <row r="1">
          <cell r="A1" t="str">
            <v>1월 생산실적</v>
          </cell>
        </row>
      </sheetData>
      <sheetData sheetId="8208">
        <row r="1">
          <cell r="A1" t="str">
            <v>1월 생산실적</v>
          </cell>
        </row>
      </sheetData>
      <sheetData sheetId="8209">
        <row r="1">
          <cell r="A1" t="str">
            <v>1월 생산실적</v>
          </cell>
        </row>
      </sheetData>
      <sheetData sheetId="8210">
        <row r="1">
          <cell r="A1" t="str">
            <v>1월 생산실적</v>
          </cell>
        </row>
      </sheetData>
      <sheetData sheetId="8211">
        <row r="1">
          <cell r="A1" t="str">
            <v>1월 생산실적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1">
          <cell r="A1" t="str">
            <v>1월 생산실적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1">
          <cell r="A1" t="str">
            <v>1월 생산실적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1">
          <cell r="A1" t="str">
            <v>1월 생산실적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1">
          <cell r="A1" t="str">
            <v>1월 생산실적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1">
          <cell r="A1" t="str">
            <v>1월 생산실적</v>
          </cell>
        </row>
      </sheetData>
      <sheetData sheetId="8305">
        <row r="1">
          <cell r="A1" t="str">
            <v>1월 생산실적</v>
          </cell>
        </row>
      </sheetData>
      <sheetData sheetId="8306">
        <row r="1">
          <cell r="A1" t="str">
            <v>1월 생산실적</v>
          </cell>
        </row>
      </sheetData>
      <sheetData sheetId="8307">
        <row r="1">
          <cell r="A1" t="str">
            <v>1월 생산실적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1">
          <cell r="A1" t="str">
            <v>1월 생산실적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1">
          <cell r="A1" t="str">
            <v>1월 생산실적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1">
          <cell r="A1" t="str">
            <v>1월 생산실적</v>
          </cell>
        </row>
      </sheetData>
      <sheetData sheetId="8319">
        <row r="1">
          <cell r="A1" t="str">
            <v>1월 생산실적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1">
          <cell r="A1" t="str">
            <v>1월 생산실적</v>
          </cell>
        </row>
      </sheetData>
      <sheetData sheetId="8323">
        <row r="1">
          <cell r="A1" t="str">
            <v>1월 생산실적</v>
          </cell>
        </row>
      </sheetData>
      <sheetData sheetId="8324">
        <row r="1">
          <cell r="A1" t="str">
            <v>1월 생산실적</v>
          </cell>
        </row>
      </sheetData>
      <sheetData sheetId="8325">
        <row r="1">
          <cell r="A1" t="str">
            <v>1월 생산실적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1">
          <cell r="A1" t="str">
            <v>1월 생산실적</v>
          </cell>
        </row>
      </sheetData>
      <sheetData sheetId="8328">
        <row r="1">
          <cell r="A1" t="str">
            <v>1월 생산실적</v>
          </cell>
        </row>
      </sheetData>
      <sheetData sheetId="8329">
        <row r="1">
          <cell r="A1" t="str">
            <v>1월 생산실적</v>
          </cell>
        </row>
      </sheetData>
      <sheetData sheetId="8330">
        <row r="1">
          <cell r="A1" t="str">
            <v>1월 생산실적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1">
          <cell r="A1" t="str">
            <v>1월 생산실적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1">
          <cell r="A1" t="str">
            <v>1월 생산실적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1">
          <cell r="A1" t="str">
            <v>1월 생산실적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1">
          <cell r="A1" t="str">
            <v>1월 생산실적</v>
          </cell>
        </row>
      </sheetData>
      <sheetData sheetId="8368">
        <row r="1">
          <cell r="A1" t="str">
            <v>1월 생산실적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1">
          <cell r="A1" t="str">
            <v>1월 생산실적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>
        <row r="1">
          <cell r="A1" t="str">
            <v>1월 생산실적</v>
          </cell>
        </row>
      </sheetData>
      <sheetData sheetId="8769">
        <row r="1">
          <cell r="A1" t="str">
            <v>1월 생산실적</v>
          </cell>
        </row>
      </sheetData>
      <sheetData sheetId="8770">
        <row r="1">
          <cell r="A1" t="str">
            <v>1월 생산실적</v>
          </cell>
        </row>
      </sheetData>
      <sheetData sheetId="8771">
        <row r="1">
          <cell r="A1" t="str">
            <v>1월 생산실적</v>
          </cell>
        </row>
      </sheetData>
      <sheetData sheetId="8772">
        <row r="1">
          <cell r="A1" t="str">
            <v>1월 생산실적</v>
          </cell>
        </row>
      </sheetData>
      <sheetData sheetId="8773">
        <row r="1">
          <cell r="A1" t="str">
            <v>1월 생산실적</v>
          </cell>
        </row>
      </sheetData>
      <sheetData sheetId="8774">
        <row r="1">
          <cell r="A1" t="str">
            <v>1월 생산실적</v>
          </cell>
        </row>
      </sheetData>
      <sheetData sheetId="8775">
        <row r="1">
          <cell r="A1" t="str">
            <v>1월 생산실적</v>
          </cell>
        </row>
      </sheetData>
      <sheetData sheetId="8776">
        <row r="1">
          <cell r="A1" t="str">
            <v>1월 생산실적</v>
          </cell>
        </row>
      </sheetData>
      <sheetData sheetId="8777">
        <row r="1">
          <cell r="A1" t="str">
            <v>1월 생산실적</v>
          </cell>
        </row>
      </sheetData>
      <sheetData sheetId="8778">
        <row r="1">
          <cell r="A1" t="str">
            <v>1월 생산실적</v>
          </cell>
        </row>
      </sheetData>
      <sheetData sheetId="8779">
        <row r="1">
          <cell r="A1" t="str">
            <v>1월 생산실적</v>
          </cell>
        </row>
      </sheetData>
      <sheetData sheetId="8780">
        <row r="1">
          <cell r="A1" t="str">
            <v>1월 생산실적</v>
          </cell>
        </row>
      </sheetData>
      <sheetData sheetId="8781">
        <row r="1">
          <cell r="A1" t="str">
            <v>1월 생산실적</v>
          </cell>
        </row>
      </sheetData>
      <sheetData sheetId="8782">
        <row r="1">
          <cell r="A1" t="str">
            <v>1월 생산실적</v>
          </cell>
        </row>
      </sheetData>
      <sheetData sheetId="8783">
        <row r="1">
          <cell r="A1" t="str">
            <v>1월 생산실적</v>
          </cell>
        </row>
      </sheetData>
      <sheetData sheetId="8784">
        <row r="1">
          <cell r="A1" t="str">
            <v>1월 생산실적</v>
          </cell>
        </row>
      </sheetData>
      <sheetData sheetId="8785">
        <row r="1">
          <cell r="A1" t="str">
            <v>1월 생산실적</v>
          </cell>
        </row>
      </sheetData>
      <sheetData sheetId="8786">
        <row r="1">
          <cell r="A1" t="str">
            <v>1월 생산실적</v>
          </cell>
        </row>
      </sheetData>
      <sheetData sheetId="8787">
        <row r="1">
          <cell r="A1" t="str">
            <v>1월 생산실적</v>
          </cell>
        </row>
      </sheetData>
      <sheetData sheetId="8788">
        <row r="1">
          <cell r="A1" t="str">
            <v>1월 생산실적</v>
          </cell>
        </row>
      </sheetData>
      <sheetData sheetId="8789">
        <row r="1">
          <cell r="A1" t="str">
            <v>1월 생산실적</v>
          </cell>
        </row>
      </sheetData>
      <sheetData sheetId="8790">
        <row r="1">
          <cell r="A1" t="str">
            <v>1월 생산실적</v>
          </cell>
        </row>
      </sheetData>
      <sheetData sheetId="8791">
        <row r="1">
          <cell r="A1" t="str">
            <v>1월 생산실적</v>
          </cell>
        </row>
      </sheetData>
      <sheetData sheetId="8792">
        <row r="1">
          <cell r="A1" t="str">
            <v>1월 생산실적</v>
          </cell>
        </row>
      </sheetData>
      <sheetData sheetId="8793">
        <row r="1">
          <cell r="A1" t="str">
            <v>1월 생산실적</v>
          </cell>
        </row>
      </sheetData>
      <sheetData sheetId="8794">
        <row r="1">
          <cell r="A1" t="str">
            <v>1월 생산실적</v>
          </cell>
        </row>
      </sheetData>
      <sheetData sheetId="8795">
        <row r="1">
          <cell r="A1" t="str">
            <v>1월 생산실적</v>
          </cell>
        </row>
      </sheetData>
      <sheetData sheetId="8796">
        <row r="1">
          <cell r="A1" t="str">
            <v>1월 생산실적</v>
          </cell>
        </row>
      </sheetData>
      <sheetData sheetId="8797">
        <row r="1">
          <cell r="A1" t="str">
            <v>1월 생산실적</v>
          </cell>
        </row>
      </sheetData>
      <sheetData sheetId="8798">
        <row r="1">
          <cell r="A1" t="str">
            <v>1월 생산실적</v>
          </cell>
        </row>
      </sheetData>
      <sheetData sheetId="8799">
        <row r="1">
          <cell r="A1" t="str">
            <v>1월 생산실적</v>
          </cell>
        </row>
      </sheetData>
      <sheetData sheetId="8800">
        <row r="1">
          <cell r="A1" t="str">
            <v>1월 생산실적</v>
          </cell>
        </row>
      </sheetData>
      <sheetData sheetId="8801">
        <row r="1">
          <cell r="A1" t="str">
            <v>1월 생산실적</v>
          </cell>
        </row>
      </sheetData>
      <sheetData sheetId="8802">
        <row r="1">
          <cell r="A1" t="str">
            <v>1월 생산실적</v>
          </cell>
        </row>
      </sheetData>
      <sheetData sheetId="8803">
        <row r="1">
          <cell r="A1" t="str">
            <v>1월 생산실적</v>
          </cell>
        </row>
      </sheetData>
      <sheetData sheetId="8804">
        <row r="1">
          <cell r="A1" t="str">
            <v>1월 생산실적</v>
          </cell>
        </row>
      </sheetData>
      <sheetData sheetId="8805">
        <row r="1">
          <cell r="A1" t="str">
            <v>1월 생산실적</v>
          </cell>
        </row>
      </sheetData>
      <sheetData sheetId="8806">
        <row r="1">
          <cell r="A1" t="str">
            <v>1월 생산실적</v>
          </cell>
        </row>
      </sheetData>
      <sheetData sheetId="8807">
        <row r="1">
          <cell r="A1" t="str">
            <v>1월 생산실적</v>
          </cell>
        </row>
      </sheetData>
      <sheetData sheetId="8808">
        <row r="1">
          <cell r="A1" t="str">
            <v>1월 생산실적</v>
          </cell>
        </row>
      </sheetData>
      <sheetData sheetId="8809">
        <row r="1">
          <cell r="A1" t="str">
            <v>1월 생산실적</v>
          </cell>
        </row>
      </sheetData>
      <sheetData sheetId="8810">
        <row r="1">
          <cell r="A1" t="str">
            <v>1월 생산실적</v>
          </cell>
        </row>
      </sheetData>
      <sheetData sheetId="8811">
        <row r="1">
          <cell r="A1" t="str">
            <v>1월 생산실적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1">
          <cell r="A1" t="str">
            <v>1월 생산실적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1">
          <cell r="A1" t="str">
            <v>1월 생산실적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>
        <row r="1">
          <cell r="A1" t="str">
            <v>1월 생산실적</v>
          </cell>
        </row>
      </sheetData>
      <sheetData sheetId="8880">
        <row r="1">
          <cell r="A1" t="str">
            <v>1월 생산실적</v>
          </cell>
        </row>
      </sheetData>
      <sheetData sheetId="8881">
        <row r="1">
          <cell r="A1" t="str">
            <v>1월 생산실적</v>
          </cell>
        </row>
      </sheetData>
      <sheetData sheetId="8882">
        <row r="1">
          <cell r="A1" t="str">
            <v>1월 생산실적</v>
          </cell>
        </row>
      </sheetData>
      <sheetData sheetId="8883">
        <row r="1">
          <cell r="A1" t="str">
            <v>1월 생산실적</v>
          </cell>
        </row>
      </sheetData>
      <sheetData sheetId="8884">
        <row r="1">
          <cell r="A1" t="str">
            <v>1월 생산실적</v>
          </cell>
        </row>
      </sheetData>
      <sheetData sheetId="8885">
        <row r="1">
          <cell r="A1" t="str">
            <v>1월 생산실적</v>
          </cell>
        </row>
      </sheetData>
      <sheetData sheetId="8886">
        <row r="1">
          <cell r="A1" t="str">
            <v>1월 생산실적</v>
          </cell>
        </row>
      </sheetData>
      <sheetData sheetId="8887">
        <row r="1">
          <cell r="A1" t="str">
            <v>1월 생산실적</v>
          </cell>
        </row>
      </sheetData>
      <sheetData sheetId="8888">
        <row r="1">
          <cell r="A1" t="str">
            <v>1월 생산실적</v>
          </cell>
        </row>
      </sheetData>
      <sheetData sheetId="8889">
        <row r="1">
          <cell r="A1" t="str">
            <v>1월 생산실적</v>
          </cell>
        </row>
      </sheetData>
      <sheetData sheetId="8890">
        <row r="1">
          <cell r="A1" t="str">
            <v>1월 생산실적</v>
          </cell>
        </row>
      </sheetData>
      <sheetData sheetId="8891">
        <row r="1">
          <cell r="A1" t="str">
            <v>1월 생산실적</v>
          </cell>
        </row>
      </sheetData>
      <sheetData sheetId="8892">
        <row r="1">
          <cell r="A1" t="str">
            <v>1월 생산실적</v>
          </cell>
        </row>
      </sheetData>
      <sheetData sheetId="8893">
        <row r="1">
          <cell r="A1" t="str">
            <v>1월 생산실적</v>
          </cell>
        </row>
      </sheetData>
      <sheetData sheetId="8894">
        <row r="1">
          <cell r="A1" t="str">
            <v>1월 생산실적</v>
          </cell>
        </row>
      </sheetData>
      <sheetData sheetId="8895">
        <row r="1">
          <cell r="A1" t="str">
            <v>1월 생산실적</v>
          </cell>
        </row>
      </sheetData>
      <sheetData sheetId="8896">
        <row r="1">
          <cell r="A1" t="str">
            <v>1월 생산실적</v>
          </cell>
        </row>
      </sheetData>
      <sheetData sheetId="8897">
        <row r="1">
          <cell r="A1" t="str">
            <v>1월 생산실적</v>
          </cell>
        </row>
      </sheetData>
      <sheetData sheetId="8898">
        <row r="1">
          <cell r="A1" t="str">
            <v>1월 생산실적</v>
          </cell>
        </row>
      </sheetData>
      <sheetData sheetId="8899">
        <row r="1">
          <cell r="A1" t="str">
            <v>1월 생산실적</v>
          </cell>
        </row>
      </sheetData>
      <sheetData sheetId="8900">
        <row r="1">
          <cell r="A1" t="str">
            <v>1월 생산실적</v>
          </cell>
        </row>
      </sheetData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>
        <row r="1">
          <cell r="A1" t="str">
            <v>1월 생산실적</v>
          </cell>
        </row>
      </sheetData>
      <sheetData sheetId="8917">
        <row r="1">
          <cell r="A1" t="str">
            <v>1월 생산실적</v>
          </cell>
        </row>
      </sheetData>
      <sheetData sheetId="8918">
        <row r="1">
          <cell r="A1" t="str">
            <v>1월 생산실적</v>
          </cell>
        </row>
      </sheetData>
      <sheetData sheetId="8919">
        <row r="1">
          <cell r="A1" t="str">
            <v>1월 생산실적</v>
          </cell>
        </row>
      </sheetData>
      <sheetData sheetId="8920">
        <row r="1">
          <cell r="A1" t="str">
            <v>1월 생산실적</v>
          </cell>
        </row>
      </sheetData>
      <sheetData sheetId="8921">
        <row r="1">
          <cell r="A1" t="str">
            <v>1월 생산실적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1">
          <cell r="A1" t="str">
            <v>1월 생산실적</v>
          </cell>
        </row>
      </sheetData>
      <sheetData sheetId="8924">
        <row r="1">
          <cell r="A1" t="str">
            <v>1월 생산실적</v>
          </cell>
        </row>
      </sheetData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>
        <row r="1">
          <cell r="A1" t="str">
            <v>1월 생산실적</v>
          </cell>
        </row>
      </sheetData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/>
      <sheetData sheetId="8965">
        <row r="5">
          <cell r="D5" t="str">
            <v>PROCESS PERFORMANCE STUDY</v>
          </cell>
        </row>
      </sheetData>
      <sheetData sheetId="8966">
        <row r="5">
          <cell r="D5" t="str">
            <v>PROCESS PERFORMANCE STUDY</v>
          </cell>
        </row>
      </sheetData>
      <sheetData sheetId="8967" refreshError="1"/>
      <sheetData sheetId="8968">
        <row r="5">
          <cell r="D5" t="str">
            <v>PROCESS PERFORMANCE STUDY</v>
          </cell>
        </row>
      </sheetData>
      <sheetData sheetId="8969" refreshError="1"/>
      <sheetData sheetId="8970" refreshError="1"/>
      <sheetData sheetId="8971" refreshError="1"/>
      <sheetData sheetId="8972">
        <row r="5">
          <cell r="D5" t="str">
            <v>PROCESS PERFORMANCE STUDY</v>
          </cell>
        </row>
      </sheetData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/>
      <sheetData sheetId="9108"/>
      <sheetData sheetId="9109"/>
      <sheetData sheetId="9110"/>
      <sheetData sheetId="911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/>
      <sheetData sheetId="9125"/>
      <sheetData sheetId="9126"/>
      <sheetData sheetId="9127" refreshError="1"/>
      <sheetData sheetId="9128" refreshError="1"/>
      <sheetData sheetId="9129"/>
      <sheetData sheetId="9130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>
        <row r="5">
          <cell r="D5" t="str">
            <v>PROCESS PERFORMANCE STUDY</v>
          </cell>
        </row>
      </sheetData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>
        <row r="6">
          <cell r="A6">
            <v>1</v>
          </cell>
        </row>
      </sheetData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>
        <row r="1">
          <cell r="A1" t="str">
            <v>1월 생산실적</v>
          </cell>
        </row>
      </sheetData>
      <sheetData sheetId="9161"/>
      <sheetData sheetId="9162">
        <row r="1">
          <cell r="A1" t="str">
            <v>1월 생산실적</v>
          </cell>
        </row>
      </sheetData>
      <sheetData sheetId="9163"/>
      <sheetData sheetId="9164">
        <row r="1">
          <cell r="A1" t="str">
            <v>1월 생산실적</v>
          </cell>
        </row>
      </sheetData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/>
      <sheetData sheetId="9315" refreshError="1"/>
      <sheetData sheetId="9316" refreshError="1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/>
      <sheetData sheetId="9354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/>
      <sheetData sheetId="9484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/>
      <sheetData sheetId="10420" refreshError="1"/>
      <sheetData sheetId="10421" refreshError="1"/>
      <sheetData sheetId="10422" refreshError="1"/>
      <sheetData sheetId="10423" refreshError="1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증감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  <sheetName val="법인세등 (2)"/>
      <sheetName val="2.대외공문"/>
      <sheetName val="98연계표"/>
      <sheetName val="반송"/>
      <sheetName val="명단"/>
      <sheetName val="#REF"/>
      <sheetName val="일위총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  <sheetName val="기번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견적갑지(MSS)"/>
      <sheetName val="총괄내역서 (MSS)"/>
      <sheetName val="자재내역서(1G,DECK외)"/>
      <sheetName val="자재내역서(1G상온RACK#1)"/>
      <sheetName val="자재내역서(2G상온RACK#2)"/>
      <sheetName val="자재내역서(2G고온RACK)"/>
      <sheetName val="자재내역서(2G,DECK,충방전)"/>
      <sheetName val="자재내역서(3G상온RACK#3)"/>
      <sheetName val="자재내역서(3G,DECK,충방전)"/>
      <sheetName val="자재코드표"/>
      <sheetName val="MC"/>
      <sheetName val="설계내역서"/>
    </sheetNames>
    <sheetDataSet>
      <sheetData sheetId="0" refreshError="1"/>
      <sheetData sheetId="1" refreshError="1"/>
      <sheetData sheetId="2"/>
      <sheetData sheetId="3">
        <row r="31">
          <cell r="S31">
            <v>68806195.331975996</v>
          </cell>
        </row>
      </sheetData>
      <sheetData sheetId="4">
        <row r="72">
          <cell r="S72">
            <v>280088274.77335739</v>
          </cell>
        </row>
      </sheetData>
      <sheetData sheetId="5">
        <row r="67">
          <cell r="S67">
            <v>119846039.3902254</v>
          </cell>
        </row>
      </sheetData>
      <sheetData sheetId="6">
        <row r="72">
          <cell r="S72">
            <v>198171745.3895928</v>
          </cell>
        </row>
      </sheetData>
      <sheetData sheetId="7">
        <row r="45">
          <cell r="S45">
            <v>51116494.198528796</v>
          </cell>
        </row>
      </sheetData>
      <sheetData sheetId="8">
        <row r="67">
          <cell r="S67">
            <v>357793724.0558688</v>
          </cell>
        </row>
      </sheetData>
      <sheetData sheetId="9">
        <row r="53">
          <cell r="S53">
            <v>135654907.57351199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  <sheetName val="A-100전제"/>
      <sheetName val="찍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O28" sqref="O28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7.6" customHeight="1" x14ac:dyDescent="0.3">
      <c r="A10" s="188" t="s">
        <v>239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</row>
    <row r="11" spans="1:14" x14ac:dyDescent="0.3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x14ac:dyDescent="0.3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spans="1:14" x14ac:dyDescent="0.3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</row>
    <row r="14" spans="1:14" x14ac:dyDescent="0.3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9" spans="3:11" ht="26.25" x14ac:dyDescent="0.3">
      <c r="C19" s="189" t="s">
        <v>240</v>
      </c>
      <c r="D19" s="189"/>
      <c r="E19" s="189"/>
      <c r="F19" s="189"/>
      <c r="G19" s="189"/>
      <c r="H19" s="189"/>
      <c r="I19" s="189"/>
      <c r="J19" s="189"/>
      <c r="K19" s="189"/>
    </row>
    <row r="21" spans="3:11" ht="17.45" customHeight="1" x14ac:dyDescent="0.3">
      <c r="C21" s="196" t="s">
        <v>122</v>
      </c>
      <c r="D21" s="192" t="s">
        <v>189</v>
      </c>
      <c r="E21" s="193"/>
      <c r="F21" s="193"/>
      <c r="G21" s="191"/>
      <c r="H21" s="192" t="s">
        <v>123</v>
      </c>
      <c r="I21" s="191"/>
      <c r="J21" s="192" t="s">
        <v>124</v>
      </c>
      <c r="K21" s="191"/>
    </row>
    <row r="22" spans="3:11" ht="32.450000000000003" customHeight="1" x14ac:dyDescent="0.3">
      <c r="C22" s="197"/>
      <c r="D22" s="198" t="s">
        <v>186</v>
      </c>
      <c r="E22" s="199"/>
      <c r="F22" s="194" t="s">
        <v>126</v>
      </c>
      <c r="G22" s="195"/>
      <c r="H22" s="194" t="s">
        <v>128</v>
      </c>
      <c r="I22" s="195"/>
      <c r="J22" s="194" t="s">
        <v>184</v>
      </c>
      <c r="K22" s="195"/>
    </row>
    <row r="23" spans="3:11" ht="65.45" customHeight="1" x14ac:dyDescent="0.3">
      <c r="C23" s="197"/>
      <c r="D23" s="190"/>
      <c r="E23" s="191"/>
      <c r="F23" s="190"/>
      <c r="G23" s="191"/>
      <c r="H23" s="192"/>
      <c r="I23" s="191"/>
      <c r="J23" s="192"/>
      <c r="K23" s="191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showGridLines="0" topLeftCell="A4" zoomScale="85" zoomScaleNormal="85" zoomScaleSheetLayoutView="75" workbookViewId="0">
      <selection activeCell="N14" sqref="N14"/>
    </sheetView>
  </sheetViews>
  <sheetFormatPr defaultRowHeight="16.5" x14ac:dyDescent="0.3"/>
  <cols>
    <col min="1" max="1" width="3.25" style="2" customWidth="1"/>
    <col min="2" max="5" width="8.75" style="2"/>
    <col min="6" max="6" width="11" style="2" customWidth="1"/>
    <col min="7" max="8" width="8.75" style="2"/>
    <col min="9" max="9" width="15.125" style="2" customWidth="1"/>
    <col min="10" max="11" width="11" style="2" customWidth="1"/>
    <col min="12" max="12" width="20" style="2" customWidth="1"/>
    <col min="13" max="256" width="8.75" style="2"/>
    <col min="257" max="257" width="3.25" style="2" customWidth="1"/>
    <col min="258" max="264" width="8.75" style="2"/>
    <col min="265" max="265" width="15.125" style="2" customWidth="1"/>
    <col min="266" max="267" width="11" style="2" customWidth="1"/>
    <col min="268" max="268" width="12" style="2" customWidth="1"/>
    <col min="269" max="512" width="8.75" style="2"/>
    <col min="513" max="513" width="3.25" style="2" customWidth="1"/>
    <col min="514" max="520" width="8.75" style="2"/>
    <col min="521" max="521" width="15.125" style="2" customWidth="1"/>
    <col min="522" max="523" width="11" style="2" customWidth="1"/>
    <col min="524" max="524" width="12" style="2" customWidth="1"/>
    <col min="525" max="768" width="8.75" style="2"/>
    <col min="769" max="769" width="3.25" style="2" customWidth="1"/>
    <col min="770" max="776" width="8.75" style="2"/>
    <col min="777" max="777" width="15.125" style="2" customWidth="1"/>
    <col min="778" max="779" width="11" style="2" customWidth="1"/>
    <col min="780" max="780" width="12" style="2" customWidth="1"/>
    <col min="781" max="1024" width="8.75" style="2"/>
    <col min="1025" max="1025" width="3.25" style="2" customWidth="1"/>
    <col min="1026" max="1032" width="8.75" style="2"/>
    <col min="1033" max="1033" width="15.125" style="2" customWidth="1"/>
    <col min="1034" max="1035" width="11" style="2" customWidth="1"/>
    <col min="1036" max="1036" width="12" style="2" customWidth="1"/>
    <col min="1037" max="1280" width="8.75" style="2"/>
    <col min="1281" max="1281" width="3.25" style="2" customWidth="1"/>
    <col min="1282" max="1288" width="8.75" style="2"/>
    <col min="1289" max="1289" width="15.125" style="2" customWidth="1"/>
    <col min="1290" max="1291" width="11" style="2" customWidth="1"/>
    <col min="1292" max="1292" width="12" style="2" customWidth="1"/>
    <col min="1293" max="1536" width="8.75" style="2"/>
    <col min="1537" max="1537" width="3.25" style="2" customWidth="1"/>
    <col min="1538" max="1544" width="8.75" style="2"/>
    <col min="1545" max="1545" width="15.125" style="2" customWidth="1"/>
    <col min="1546" max="1547" width="11" style="2" customWidth="1"/>
    <col min="1548" max="1548" width="12" style="2" customWidth="1"/>
    <col min="1549" max="1792" width="8.75" style="2"/>
    <col min="1793" max="1793" width="3.25" style="2" customWidth="1"/>
    <col min="1794" max="1800" width="8.75" style="2"/>
    <col min="1801" max="1801" width="15.125" style="2" customWidth="1"/>
    <col min="1802" max="1803" width="11" style="2" customWidth="1"/>
    <col min="1804" max="1804" width="12" style="2" customWidth="1"/>
    <col min="1805" max="2048" width="8.75" style="2"/>
    <col min="2049" max="2049" width="3.25" style="2" customWidth="1"/>
    <col min="2050" max="2056" width="8.75" style="2"/>
    <col min="2057" max="2057" width="15.125" style="2" customWidth="1"/>
    <col min="2058" max="2059" width="11" style="2" customWidth="1"/>
    <col min="2060" max="2060" width="12" style="2" customWidth="1"/>
    <col min="2061" max="2304" width="8.75" style="2"/>
    <col min="2305" max="2305" width="3.25" style="2" customWidth="1"/>
    <col min="2306" max="2312" width="8.75" style="2"/>
    <col min="2313" max="2313" width="15.125" style="2" customWidth="1"/>
    <col min="2314" max="2315" width="11" style="2" customWidth="1"/>
    <col min="2316" max="2316" width="12" style="2" customWidth="1"/>
    <col min="2317" max="2560" width="8.75" style="2"/>
    <col min="2561" max="2561" width="3.25" style="2" customWidth="1"/>
    <col min="2562" max="2568" width="8.75" style="2"/>
    <col min="2569" max="2569" width="15.125" style="2" customWidth="1"/>
    <col min="2570" max="2571" width="11" style="2" customWidth="1"/>
    <col min="2572" max="2572" width="12" style="2" customWidth="1"/>
    <col min="2573" max="2816" width="8.75" style="2"/>
    <col min="2817" max="2817" width="3.25" style="2" customWidth="1"/>
    <col min="2818" max="2824" width="8.75" style="2"/>
    <col min="2825" max="2825" width="15.125" style="2" customWidth="1"/>
    <col min="2826" max="2827" width="11" style="2" customWidth="1"/>
    <col min="2828" max="2828" width="12" style="2" customWidth="1"/>
    <col min="2829" max="3072" width="8.75" style="2"/>
    <col min="3073" max="3073" width="3.25" style="2" customWidth="1"/>
    <col min="3074" max="3080" width="8.75" style="2"/>
    <col min="3081" max="3081" width="15.125" style="2" customWidth="1"/>
    <col min="3082" max="3083" width="11" style="2" customWidth="1"/>
    <col min="3084" max="3084" width="12" style="2" customWidth="1"/>
    <col min="3085" max="3328" width="8.75" style="2"/>
    <col min="3329" max="3329" width="3.25" style="2" customWidth="1"/>
    <col min="3330" max="3336" width="8.75" style="2"/>
    <col min="3337" max="3337" width="15.125" style="2" customWidth="1"/>
    <col min="3338" max="3339" width="11" style="2" customWidth="1"/>
    <col min="3340" max="3340" width="12" style="2" customWidth="1"/>
    <col min="3341" max="3584" width="8.75" style="2"/>
    <col min="3585" max="3585" width="3.25" style="2" customWidth="1"/>
    <col min="3586" max="3592" width="8.75" style="2"/>
    <col min="3593" max="3593" width="15.125" style="2" customWidth="1"/>
    <col min="3594" max="3595" width="11" style="2" customWidth="1"/>
    <col min="3596" max="3596" width="12" style="2" customWidth="1"/>
    <col min="3597" max="3840" width="8.75" style="2"/>
    <col min="3841" max="3841" width="3.25" style="2" customWidth="1"/>
    <col min="3842" max="3848" width="8.75" style="2"/>
    <col min="3849" max="3849" width="15.125" style="2" customWidth="1"/>
    <col min="3850" max="3851" width="11" style="2" customWidth="1"/>
    <col min="3852" max="3852" width="12" style="2" customWidth="1"/>
    <col min="3853" max="4096" width="8.75" style="2"/>
    <col min="4097" max="4097" width="3.25" style="2" customWidth="1"/>
    <col min="4098" max="4104" width="8.75" style="2"/>
    <col min="4105" max="4105" width="15.125" style="2" customWidth="1"/>
    <col min="4106" max="4107" width="11" style="2" customWidth="1"/>
    <col min="4108" max="4108" width="12" style="2" customWidth="1"/>
    <col min="4109" max="4352" width="8.75" style="2"/>
    <col min="4353" max="4353" width="3.25" style="2" customWidth="1"/>
    <col min="4354" max="4360" width="8.75" style="2"/>
    <col min="4361" max="4361" width="15.125" style="2" customWidth="1"/>
    <col min="4362" max="4363" width="11" style="2" customWidth="1"/>
    <col min="4364" max="4364" width="12" style="2" customWidth="1"/>
    <col min="4365" max="4608" width="8.75" style="2"/>
    <col min="4609" max="4609" width="3.25" style="2" customWidth="1"/>
    <col min="4610" max="4616" width="8.75" style="2"/>
    <col min="4617" max="4617" width="15.125" style="2" customWidth="1"/>
    <col min="4618" max="4619" width="11" style="2" customWidth="1"/>
    <col min="4620" max="4620" width="12" style="2" customWidth="1"/>
    <col min="4621" max="4864" width="8.75" style="2"/>
    <col min="4865" max="4865" width="3.25" style="2" customWidth="1"/>
    <col min="4866" max="4872" width="8.75" style="2"/>
    <col min="4873" max="4873" width="15.125" style="2" customWidth="1"/>
    <col min="4874" max="4875" width="11" style="2" customWidth="1"/>
    <col min="4876" max="4876" width="12" style="2" customWidth="1"/>
    <col min="4877" max="5120" width="8.75" style="2"/>
    <col min="5121" max="5121" width="3.25" style="2" customWidth="1"/>
    <col min="5122" max="5128" width="8.75" style="2"/>
    <col min="5129" max="5129" width="15.125" style="2" customWidth="1"/>
    <col min="5130" max="5131" width="11" style="2" customWidth="1"/>
    <col min="5132" max="5132" width="12" style="2" customWidth="1"/>
    <col min="5133" max="5376" width="8.75" style="2"/>
    <col min="5377" max="5377" width="3.25" style="2" customWidth="1"/>
    <col min="5378" max="5384" width="8.75" style="2"/>
    <col min="5385" max="5385" width="15.125" style="2" customWidth="1"/>
    <col min="5386" max="5387" width="11" style="2" customWidth="1"/>
    <col min="5388" max="5388" width="12" style="2" customWidth="1"/>
    <col min="5389" max="5632" width="8.75" style="2"/>
    <col min="5633" max="5633" width="3.25" style="2" customWidth="1"/>
    <col min="5634" max="5640" width="8.75" style="2"/>
    <col min="5641" max="5641" width="15.125" style="2" customWidth="1"/>
    <col min="5642" max="5643" width="11" style="2" customWidth="1"/>
    <col min="5644" max="5644" width="12" style="2" customWidth="1"/>
    <col min="5645" max="5888" width="8.75" style="2"/>
    <col min="5889" max="5889" width="3.25" style="2" customWidth="1"/>
    <col min="5890" max="5896" width="8.75" style="2"/>
    <col min="5897" max="5897" width="15.125" style="2" customWidth="1"/>
    <col min="5898" max="5899" width="11" style="2" customWidth="1"/>
    <col min="5900" max="5900" width="12" style="2" customWidth="1"/>
    <col min="5901" max="6144" width="8.75" style="2"/>
    <col min="6145" max="6145" width="3.25" style="2" customWidth="1"/>
    <col min="6146" max="6152" width="8.75" style="2"/>
    <col min="6153" max="6153" width="15.125" style="2" customWidth="1"/>
    <col min="6154" max="6155" width="11" style="2" customWidth="1"/>
    <col min="6156" max="6156" width="12" style="2" customWidth="1"/>
    <col min="6157" max="6400" width="8.75" style="2"/>
    <col min="6401" max="6401" width="3.25" style="2" customWidth="1"/>
    <col min="6402" max="6408" width="8.75" style="2"/>
    <col min="6409" max="6409" width="15.125" style="2" customWidth="1"/>
    <col min="6410" max="6411" width="11" style="2" customWidth="1"/>
    <col min="6412" max="6412" width="12" style="2" customWidth="1"/>
    <col min="6413" max="6656" width="8.75" style="2"/>
    <col min="6657" max="6657" width="3.25" style="2" customWidth="1"/>
    <col min="6658" max="6664" width="8.75" style="2"/>
    <col min="6665" max="6665" width="15.125" style="2" customWidth="1"/>
    <col min="6666" max="6667" width="11" style="2" customWidth="1"/>
    <col min="6668" max="6668" width="12" style="2" customWidth="1"/>
    <col min="6669" max="6912" width="8.75" style="2"/>
    <col min="6913" max="6913" width="3.25" style="2" customWidth="1"/>
    <col min="6914" max="6920" width="8.75" style="2"/>
    <col min="6921" max="6921" width="15.125" style="2" customWidth="1"/>
    <col min="6922" max="6923" width="11" style="2" customWidth="1"/>
    <col min="6924" max="6924" width="12" style="2" customWidth="1"/>
    <col min="6925" max="7168" width="8.75" style="2"/>
    <col min="7169" max="7169" width="3.25" style="2" customWidth="1"/>
    <col min="7170" max="7176" width="8.75" style="2"/>
    <col min="7177" max="7177" width="15.125" style="2" customWidth="1"/>
    <col min="7178" max="7179" width="11" style="2" customWidth="1"/>
    <col min="7180" max="7180" width="12" style="2" customWidth="1"/>
    <col min="7181" max="7424" width="8.75" style="2"/>
    <col min="7425" max="7425" width="3.25" style="2" customWidth="1"/>
    <col min="7426" max="7432" width="8.75" style="2"/>
    <col min="7433" max="7433" width="15.125" style="2" customWidth="1"/>
    <col min="7434" max="7435" width="11" style="2" customWidth="1"/>
    <col min="7436" max="7436" width="12" style="2" customWidth="1"/>
    <col min="7437" max="7680" width="8.75" style="2"/>
    <col min="7681" max="7681" width="3.25" style="2" customWidth="1"/>
    <col min="7682" max="7688" width="8.75" style="2"/>
    <col min="7689" max="7689" width="15.125" style="2" customWidth="1"/>
    <col min="7690" max="7691" width="11" style="2" customWidth="1"/>
    <col min="7692" max="7692" width="12" style="2" customWidth="1"/>
    <col min="7693" max="7936" width="8.75" style="2"/>
    <col min="7937" max="7937" width="3.25" style="2" customWidth="1"/>
    <col min="7938" max="7944" width="8.75" style="2"/>
    <col min="7945" max="7945" width="15.125" style="2" customWidth="1"/>
    <col min="7946" max="7947" width="11" style="2" customWidth="1"/>
    <col min="7948" max="7948" width="12" style="2" customWidth="1"/>
    <col min="7949" max="8192" width="8.75" style="2"/>
    <col min="8193" max="8193" width="3.25" style="2" customWidth="1"/>
    <col min="8194" max="8200" width="8.75" style="2"/>
    <col min="8201" max="8201" width="15.125" style="2" customWidth="1"/>
    <col min="8202" max="8203" width="11" style="2" customWidth="1"/>
    <col min="8204" max="8204" width="12" style="2" customWidth="1"/>
    <col min="8205" max="8448" width="8.75" style="2"/>
    <col min="8449" max="8449" width="3.25" style="2" customWidth="1"/>
    <col min="8450" max="8456" width="8.75" style="2"/>
    <col min="8457" max="8457" width="15.125" style="2" customWidth="1"/>
    <col min="8458" max="8459" width="11" style="2" customWidth="1"/>
    <col min="8460" max="8460" width="12" style="2" customWidth="1"/>
    <col min="8461" max="8704" width="8.75" style="2"/>
    <col min="8705" max="8705" width="3.25" style="2" customWidth="1"/>
    <col min="8706" max="8712" width="8.75" style="2"/>
    <col min="8713" max="8713" width="15.125" style="2" customWidth="1"/>
    <col min="8714" max="8715" width="11" style="2" customWidth="1"/>
    <col min="8716" max="8716" width="12" style="2" customWidth="1"/>
    <col min="8717" max="8960" width="8.75" style="2"/>
    <col min="8961" max="8961" width="3.25" style="2" customWidth="1"/>
    <col min="8962" max="8968" width="8.75" style="2"/>
    <col min="8969" max="8969" width="15.125" style="2" customWidth="1"/>
    <col min="8970" max="8971" width="11" style="2" customWidth="1"/>
    <col min="8972" max="8972" width="12" style="2" customWidth="1"/>
    <col min="8973" max="9216" width="8.75" style="2"/>
    <col min="9217" max="9217" width="3.25" style="2" customWidth="1"/>
    <col min="9218" max="9224" width="8.75" style="2"/>
    <col min="9225" max="9225" width="15.125" style="2" customWidth="1"/>
    <col min="9226" max="9227" width="11" style="2" customWidth="1"/>
    <col min="9228" max="9228" width="12" style="2" customWidth="1"/>
    <col min="9229" max="9472" width="8.75" style="2"/>
    <col min="9473" max="9473" width="3.25" style="2" customWidth="1"/>
    <col min="9474" max="9480" width="8.75" style="2"/>
    <col min="9481" max="9481" width="15.125" style="2" customWidth="1"/>
    <col min="9482" max="9483" width="11" style="2" customWidth="1"/>
    <col min="9484" max="9484" width="12" style="2" customWidth="1"/>
    <col min="9485" max="9728" width="8.75" style="2"/>
    <col min="9729" max="9729" width="3.25" style="2" customWidth="1"/>
    <col min="9730" max="9736" width="8.75" style="2"/>
    <col min="9737" max="9737" width="15.125" style="2" customWidth="1"/>
    <col min="9738" max="9739" width="11" style="2" customWidth="1"/>
    <col min="9740" max="9740" width="12" style="2" customWidth="1"/>
    <col min="9741" max="9984" width="8.75" style="2"/>
    <col min="9985" max="9985" width="3.25" style="2" customWidth="1"/>
    <col min="9986" max="9992" width="8.75" style="2"/>
    <col min="9993" max="9993" width="15.125" style="2" customWidth="1"/>
    <col min="9994" max="9995" width="11" style="2" customWidth="1"/>
    <col min="9996" max="9996" width="12" style="2" customWidth="1"/>
    <col min="9997" max="10240" width="8.75" style="2"/>
    <col min="10241" max="10241" width="3.25" style="2" customWidth="1"/>
    <col min="10242" max="10248" width="8.75" style="2"/>
    <col min="10249" max="10249" width="15.125" style="2" customWidth="1"/>
    <col min="10250" max="10251" width="11" style="2" customWidth="1"/>
    <col min="10252" max="10252" width="12" style="2" customWidth="1"/>
    <col min="10253" max="10496" width="8.75" style="2"/>
    <col min="10497" max="10497" width="3.25" style="2" customWidth="1"/>
    <col min="10498" max="10504" width="8.75" style="2"/>
    <col min="10505" max="10505" width="15.125" style="2" customWidth="1"/>
    <col min="10506" max="10507" width="11" style="2" customWidth="1"/>
    <col min="10508" max="10508" width="12" style="2" customWidth="1"/>
    <col min="10509" max="10752" width="8.75" style="2"/>
    <col min="10753" max="10753" width="3.25" style="2" customWidth="1"/>
    <col min="10754" max="10760" width="8.75" style="2"/>
    <col min="10761" max="10761" width="15.125" style="2" customWidth="1"/>
    <col min="10762" max="10763" width="11" style="2" customWidth="1"/>
    <col min="10764" max="10764" width="12" style="2" customWidth="1"/>
    <col min="10765" max="11008" width="8.75" style="2"/>
    <col min="11009" max="11009" width="3.25" style="2" customWidth="1"/>
    <col min="11010" max="11016" width="8.75" style="2"/>
    <col min="11017" max="11017" width="15.125" style="2" customWidth="1"/>
    <col min="11018" max="11019" width="11" style="2" customWidth="1"/>
    <col min="11020" max="11020" width="12" style="2" customWidth="1"/>
    <col min="11021" max="11264" width="8.75" style="2"/>
    <col min="11265" max="11265" width="3.25" style="2" customWidth="1"/>
    <col min="11266" max="11272" width="8.75" style="2"/>
    <col min="11273" max="11273" width="15.125" style="2" customWidth="1"/>
    <col min="11274" max="11275" width="11" style="2" customWidth="1"/>
    <col min="11276" max="11276" width="12" style="2" customWidth="1"/>
    <col min="11277" max="11520" width="8.75" style="2"/>
    <col min="11521" max="11521" width="3.25" style="2" customWidth="1"/>
    <col min="11522" max="11528" width="8.75" style="2"/>
    <col min="11529" max="11529" width="15.125" style="2" customWidth="1"/>
    <col min="11530" max="11531" width="11" style="2" customWidth="1"/>
    <col min="11532" max="11532" width="12" style="2" customWidth="1"/>
    <col min="11533" max="11776" width="8.75" style="2"/>
    <col min="11777" max="11777" width="3.25" style="2" customWidth="1"/>
    <col min="11778" max="11784" width="8.75" style="2"/>
    <col min="11785" max="11785" width="15.125" style="2" customWidth="1"/>
    <col min="11786" max="11787" width="11" style="2" customWidth="1"/>
    <col min="11788" max="11788" width="12" style="2" customWidth="1"/>
    <col min="11789" max="12032" width="8.75" style="2"/>
    <col min="12033" max="12033" width="3.25" style="2" customWidth="1"/>
    <col min="12034" max="12040" width="8.75" style="2"/>
    <col min="12041" max="12041" width="15.125" style="2" customWidth="1"/>
    <col min="12042" max="12043" width="11" style="2" customWidth="1"/>
    <col min="12044" max="12044" width="12" style="2" customWidth="1"/>
    <col min="12045" max="12288" width="8.75" style="2"/>
    <col min="12289" max="12289" width="3.25" style="2" customWidth="1"/>
    <col min="12290" max="12296" width="8.75" style="2"/>
    <col min="12297" max="12297" width="15.125" style="2" customWidth="1"/>
    <col min="12298" max="12299" width="11" style="2" customWidth="1"/>
    <col min="12300" max="12300" width="12" style="2" customWidth="1"/>
    <col min="12301" max="12544" width="8.75" style="2"/>
    <col min="12545" max="12545" width="3.25" style="2" customWidth="1"/>
    <col min="12546" max="12552" width="8.75" style="2"/>
    <col min="12553" max="12553" width="15.125" style="2" customWidth="1"/>
    <col min="12554" max="12555" width="11" style="2" customWidth="1"/>
    <col min="12556" max="12556" width="12" style="2" customWidth="1"/>
    <col min="12557" max="12800" width="8.75" style="2"/>
    <col min="12801" max="12801" width="3.25" style="2" customWidth="1"/>
    <col min="12802" max="12808" width="8.75" style="2"/>
    <col min="12809" max="12809" width="15.125" style="2" customWidth="1"/>
    <col min="12810" max="12811" width="11" style="2" customWidth="1"/>
    <col min="12812" max="12812" width="12" style="2" customWidth="1"/>
    <col min="12813" max="13056" width="8.75" style="2"/>
    <col min="13057" max="13057" width="3.25" style="2" customWidth="1"/>
    <col min="13058" max="13064" width="8.75" style="2"/>
    <col min="13065" max="13065" width="15.125" style="2" customWidth="1"/>
    <col min="13066" max="13067" width="11" style="2" customWidth="1"/>
    <col min="13068" max="13068" width="12" style="2" customWidth="1"/>
    <col min="13069" max="13312" width="8.75" style="2"/>
    <col min="13313" max="13313" width="3.25" style="2" customWidth="1"/>
    <col min="13314" max="13320" width="8.75" style="2"/>
    <col min="13321" max="13321" width="15.125" style="2" customWidth="1"/>
    <col min="13322" max="13323" width="11" style="2" customWidth="1"/>
    <col min="13324" max="13324" width="12" style="2" customWidth="1"/>
    <col min="13325" max="13568" width="8.75" style="2"/>
    <col min="13569" max="13569" width="3.25" style="2" customWidth="1"/>
    <col min="13570" max="13576" width="8.75" style="2"/>
    <col min="13577" max="13577" width="15.125" style="2" customWidth="1"/>
    <col min="13578" max="13579" width="11" style="2" customWidth="1"/>
    <col min="13580" max="13580" width="12" style="2" customWidth="1"/>
    <col min="13581" max="13824" width="8.75" style="2"/>
    <col min="13825" max="13825" width="3.25" style="2" customWidth="1"/>
    <col min="13826" max="13832" width="8.75" style="2"/>
    <col min="13833" max="13833" width="15.125" style="2" customWidth="1"/>
    <col min="13834" max="13835" width="11" style="2" customWidth="1"/>
    <col min="13836" max="13836" width="12" style="2" customWidth="1"/>
    <col min="13837" max="14080" width="8.75" style="2"/>
    <col min="14081" max="14081" width="3.25" style="2" customWidth="1"/>
    <col min="14082" max="14088" width="8.75" style="2"/>
    <col min="14089" max="14089" width="15.125" style="2" customWidth="1"/>
    <col min="14090" max="14091" width="11" style="2" customWidth="1"/>
    <col min="14092" max="14092" width="12" style="2" customWidth="1"/>
    <col min="14093" max="14336" width="8.75" style="2"/>
    <col min="14337" max="14337" width="3.25" style="2" customWidth="1"/>
    <col min="14338" max="14344" width="8.75" style="2"/>
    <col min="14345" max="14345" width="15.125" style="2" customWidth="1"/>
    <col min="14346" max="14347" width="11" style="2" customWidth="1"/>
    <col min="14348" max="14348" width="12" style="2" customWidth="1"/>
    <col min="14349" max="14592" width="8.75" style="2"/>
    <col min="14593" max="14593" width="3.25" style="2" customWidth="1"/>
    <col min="14594" max="14600" width="8.75" style="2"/>
    <col min="14601" max="14601" width="15.125" style="2" customWidth="1"/>
    <col min="14602" max="14603" width="11" style="2" customWidth="1"/>
    <col min="14604" max="14604" width="12" style="2" customWidth="1"/>
    <col min="14605" max="14848" width="8.75" style="2"/>
    <col min="14849" max="14849" width="3.25" style="2" customWidth="1"/>
    <col min="14850" max="14856" width="8.75" style="2"/>
    <col min="14857" max="14857" width="15.125" style="2" customWidth="1"/>
    <col min="14858" max="14859" width="11" style="2" customWidth="1"/>
    <col min="14860" max="14860" width="12" style="2" customWidth="1"/>
    <col min="14861" max="15104" width="8.75" style="2"/>
    <col min="15105" max="15105" width="3.25" style="2" customWidth="1"/>
    <col min="15106" max="15112" width="8.75" style="2"/>
    <col min="15113" max="15113" width="15.125" style="2" customWidth="1"/>
    <col min="15114" max="15115" width="11" style="2" customWidth="1"/>
    <col min="15116" max="15116" width="12" style="2" customWidth="1"/>
    <col min="15117" max="15360" width="8.75" style="2"/>
    <col min="15361" max="15361" width="3.25" style="2" customWidth="1"/>
    <col min="15362" max="15368" width="8.75" style="2"/>
    <col min="15369" max="15369" width="15.125" style="2" customWidth="1"/>
    <col min="15370" max="15371" width="11" style="2" customWidth="1"/>
    <col min="15372" max="15372" width="12" style="2" customWidth="1"/>
    <col min="15373" max="15616" width="8.75" style="2"/>
    <col min="15617" max="15617" width="3.25" style="2" customWidth="1"/>
    <col min="15618" max="15624" width="8.75" style="2"/>
    <col min="15625" max="15625" width="15.125" style="2" customWidth="1"/>
    <col min="15626" max="15627" width="11" style="2" customWidth="1"/>
    <col min="15628" max="15628" width="12" style="2" customWidth="1"/>
    <col min="15629" max="15872" width="8.75" style="2"/>
    <col min="15873" max="15873" width="3.25" style="2" customWidth="1"/>
    <col min="15874" max="15880" width="8.75" style="2"/>
    <col min="15881" max="15881" width="15.125" style="2" customWidth="1"/>
    <col min="15882" max="15883" width="11" style="2" customWidth="1"/>
    <col min="15884" max="15884" width="12" style="2" customWidth="1"/>
    <col min="15885" max="16128" width="8.75" style="2"/>
    <col min="16129" max="16129" width="3.25" style="2" customWidth="1"/>
    <col min="16130" max="16136" width="8.75" style="2"/>
    <col min="16137" max="16137" width="15.125" style="2" customWidth="1"/>
    <col min="16138" max="16139" width="11" style="2" customWidth="1"/>
    <col min="16140" max="16140" width="12" style="2" customWidth="1"/>
    <col min="16141" max="16384" width="8.75" style="2"/>
  </cols>
  <sheetData>
    <row r="2" spans="2:13" x14ac:dyDescent="0.3">
      <c r="B2" s="254" t="s">
        <v>192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2:13" x14ac:dyDescent="0.3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2:13" ht="9" customHeight="1" thickBot="1" x14ac:dyDescent="0.35"/>
    <row r="5" spans="2:13" ht="28.5" customHeight="1" thickTop="1" thickBot="1" x14ac:dyDescent="0.35">
      <c r="B5" s="3" t="s">
        <v>18</v>
      </c>
      <c r="C5" s="255" t="s">
        <v>223</v>
      </c>
      <c r="D5" s="255"/>
      <c r="E5" s="255"/>
      <c r="F5" s="4" t="s">
        <v>19</v>
      </c>
      <c r="G5" s="255" t="s">
        <v>241</v>
      </c>
      <c r="H5" s="255"/>
      <c r="I5" s="4" t="s">
        <v>20</v>
      </c>
      <c r="J5" s="256" t="s">
        <v>243</v>
      </c>
      <c r="K5" s="256"/>
      <c r="L5" s="257"/>
      <c r="M5" s="5"/>
    </row>
    <row r="6" spans="2:13" ht="29.25" customHeight="1" thickBot="1" x14ac:dyDescent="0.35">
      <c r="B6" s="258" t="s">
        <v>21</v>
      </c>
      <c r="C6" s="259"/>
      <c r="D6" s="259"/>
      <c r="E6" s="259"/>
      <c r="F6" s="259"/>
      <c r="G6" s="259"/>
      <c r="H6" s="259"/>
      <c r="I6" s="259" t="s">
        <v>22</v>
      </c>
      <c r="J6" s="259"/>
      <c r="K6" s="259"/>
      <c r="L6" s="260"/>
      <c r="M6" s="5"/>
    </row>
    <row r="7" spans="2:13" ht="21.75" customHeight="1" x14ac:dyDescent="0.3">
      <c r="B7" s="245" t="s">
        <v>23</v>
      </c>
      <c r="C7" s="246"/>
      <c r="D7" s="247">
        <v>85854300</v>
      </c>
      <c r="E7" s="247"/>
      <c r="F7" s="247"/>
      <c r="G7" s="247"/>
      <c r="H7" s="247"/>
      <c r="I7" s="42" t="s">
        <v>24</v>
      </c>
      <c r="J7" s="248" t="s">
        <v>198</v>
      </c>
      <c r="K7" s="249"/>
      <c r="L7" s="250"/>
      <c r="M7" s="5"/>
    </row>
    <row r="8" spans="2:13" ht="21.75" customHeight="1" x14ac:dyDescent="0.3">
      <c r="B8" s="239" t="s">
        <v>25</v>
      </c>
      <c r="C8" s="240"/>
      <c r="D8" s="251" t="s">
        <v>244</v>
      </c>
      <c r="E8" s="243"/>
      <c r="F8" s="243"/>
      <c r="G8" s="243"/>
      <c r="H8" s="243"/>
      <c r="I8" s="43" t="s">
        <v>26</v>
      </c>
      <c r="J8" s="43" t="s">
        <v>27</v>
      </c>
      <c r="K8" s="252" t="s">
        <v>187</v>
      </c>
      <c r="L8" s="253"/>
      <c r="M8" s="5"/>
    </row>
    <row r="9" spans="2:13" ht="21.75" customHeight="1" x14ac:dyDescent="0.3">
      <c r="B9" s="239" t="s">
        <v>28</v>
      </c>
      <c r="C9" s="240"/>
      <c r="D9" s="243" t="s">
        <v>224</v>
      </c>
      <c r="E9" s="243"/>
      <c r="F9" s="243"/>
      <c r="G9" s="243"/>
      <c r="H9" s="243"/>
      <c r="I9" s="217" t="s">
        <v>29</v>
      </c>
      <c r="J9" s="219">
        <v>45523</v>
      </c>
      <c r="K9" s="261" t="s">
        <v>249</v>
      </c>
      <c r="L9" s="262"/>
      <c r="M9" s="5"/>
    </row>
    <row r="10" spans="2:13" ht="21.75" customHeight="1" x14ac:dyDescent="0.3">
      <c r="B10" s="239" t="s">
        <v>30</v>
      </c>
      <c r="C10" s="240"/>
      <c r="D10" s="244" t="s">
        <v>248</v>
      </c>
      <c r="E10" s="244"/>
      <c r="F10" s="244"/>
      <c r="G10" s="244"/>
      <c r="H10" s="244"/>
      <c r="I10" s="218"/>
      <c r="J10" s="220"/>
      <c r="K10" s="263"/>
      <c r="L10" s="264"/>
      <c r="M10" s="5"/>
    </row>
    <row r="11" spans="2:13" ht="21.75" customHeight="1" x14ac:dyDescent="0.3">
      <c r="B11" s="239" t="s">
        <v>31</v>
      </c>
      <c r="C11" s="240"/>
      <c r="D11" s="243" t="s">
        <v>247</v>
      </c>
      <c r="E11" s="243"/>
      <c r="F11" s="243"/>
      <c r="G11" s="243"/>
      <c r="H11" s="243"/>
      <c r="I11" s="217" t="s">
        <v>32</v>
      </c>
      <c r="J11" s="219">
        <v>45523</v>
      </c>
      <c r="K11" s="261" t="s">
        <v>249</v>
      </c>
      <c r="L11" s="262"/>
      <c r="M11" s="5"/>
    </row>
    <row r="12" spans="2:13" ht="21.75" customHeight="1" x14ac:dyDescent="0.3">
      <c r="B12" s="239" t="s">
        <v>33</v>
      </c>
      <c r="C12" s="240"/>
      <c r="D12" s="243">
        <v>20</v>
      </c>
      <c r="E12" s="243"/>
      <c r="F12" s="243"/>
      <c r="G12" s="243"/>
      <c r="H12" s="243"/>
      <c r="I12" s="218"/>
      <c r="J12" s="220"/>
      <c r="K12" s="263"/>
      <c r="L12" s="264"/>
      <c r="M12" s="5"/>
    </row>
    <row r="13" spans="2:13" ht="21.75" customHeight="1" x14ac:dyDescent="0.3">
      <c r="B13" s="239" t="s">
        <v>34</v>
      </c>
      <c r="C13" s="240"/>
      <c r="D13" s="241" t="s">
        <v>246</v>
      </c>
      <c r="E13" s="241"/>
      <c r="F13" s="241"/>
      <c r="G13" s="241"/>
      <c r="H13" s="241"/>
      <c r="I13" s="217" t="s">
        <v>35</v>
      </c>
      <c r="J13" s="219">
        <v>45523</v>
      </c>
      <c r="K13" s="261" t="s">
        <v>249</v>
      </c>
      <c r="L13" s="262"/>
      <c r="M13" s="5"/>
    </row>
    <row r="14" spans="2:13" ht="21.75" customHeight="1" x14ac:dyDescent="0.3">
      <c r="B14" s="239"/>
      <c r="C14" s="240"/>
      <c r="D14" s="242" t="s">
        <v>245</v>
      </c>
      <c r="E14" s="242"/>
      <c r="F14" s="242"/>
      <c r="G14" s="242"/>
      <c r="H14" s="242"/>
      <c r="I14" s="218"/>
      <c r="J14" s="220"/>
      <c r="K14" s="263"/>
      <c r="L14" s="264"/>
      <c r="M14" s="5"/>
    </row>
    <row r="15" spans="2:13" ht="21.75" customHeight="1" x14ac:dyDescent="0.3">
      <c r="B15" s="200" t="s">
        <v>36</v>
      </c>
      <c r="C15" s="201"/>
      <c r="D15" s="43" t="s">
        <v>37</v>
      </c>
      <c r="E15" s="6" t="s">
        <v>250</v>
      </c>
      <c r="F15" s="6" t="s">
        <v>251</v>
      </c>
      <c r="G15" s="6" t="s">
        <v>252</v>
      </c>
      <c r="H15" s="7" t="s">
        <v>253</v>
      </c>
      <c r="I15" s="217" t="s">
        <v>38</v>
      </c>
      <c r="J15" s="219">
        <v>45523</v>
      </c>
      <c r="K15" s="261" t="s">
        <v>249</v>
      </c>
      <c r="L15" s="262"/>
      <c r="M15" s="5"/>
    </row>
    <row r="16" spans="2:13" ht="21.75" customHeight="1" x14ac:dyDescent="0.3">
      <c r="B16" s="202"/>
      <c r="C16" s="203"/>
      <c r="D16" s="43" t="s">
        <v>39</v>
      </c>
      <c r="E16" s="233" t="s">
        <v>289</v>
      </c>
      <c r="F16" s="234"/>
      <c r="G16" s="234"/>
      <c r="H16" s="235"/>
      <c r="I16" s="218"/>
      <c r="J16" s="220"/>
      <c r="K16" s="263"/>
      <c r="L16" s="264"/>
      <c r="M16" s="5"/>
    </row>
    <row r="17" spans="2:13" ht="21.75" customHeight="1" x14ac:dyDescent="0.3">
      <c r="B17" s="202"/>
      <c r="C17" s="203"/>
      <c r="D17" s="43" t="s">
        <v>37</v>
      </c>
      <c r="E17" s="61" t="s">
        <v>257</v>
      </c>
      <c r="F17" s="60" t="s">
        <v>258</v>
      </c>
      <c r="G17" s="62" t="s">
        <v>259</v>
      </c>
      <c r="H17" s="63"/>
      <c r="I17" s="217" t="s">
        <v>40</v>
      </c>
      <c r="J17" s="219">
        <v>45523</v>
      </c>
      <c r="K17" s="261" t="s">
        <v>249</v>
      </c>
      <c r="L17" s="262"/>
      <c r="M17" s="5"/>
    </row>
    <row r="18" spans="2:13" ht="21.75" customHeight="1" x14ac:dyDescent="0.3">
      <c r="B18" s="202"/>
      <c r="C18" s="203"/>
      <c r="D18" s="43" t="s">
        <v>39</v>
      </c>
      <c r="E18" s="233" t="s">
        <v>260</v>
      </c>
      <c r="F18" s="234"/>
      <c r="G18" s="234"/>
      <c r="H18" s="235"/>
      <c r="I18" s="218"/>
      <c r="J18" s="220"/>
      <c r="K18" s="263"/>
      <c r="L18" s="264"/>
      <c r="M18" s="5"/>
    </row>
    <row r="19" spans="2:13" ht="21.75" customHeight="1" x14ac:dyDescent="0.3">
      <c r="B19" s="202"/>
      <c r="C19" s="203"/>
      <c r="D19" s="43" t="s">
        <v>37</v>
      </c>
      <c r="E19" s="61" t="s">
        <v>225</v>
      </c>
      <c r="F19" s="60" t="s">
        <v>254</v>
      </c>
      <c r="G19" s="60" t="s">
        <v>255</v>
      </c>
      <c r="H19" s="64" t="s">
        <v>256</v>
      </c>
      <c r="I19" s="221" t="s">
        <v>42</v>
      </c>
      <c r="J19" s="224"/>
      <c r="K19" s="225"/>
      <c r="L19" s="226"/>
      <c r="M19" s="5"/>
    </row>
    <row r="20" spans="2:13" ht="21.75" customHeight="1" x14ac:dyDescent="0.3">
      <c r="B20" s="215"/>
      <c r="C20" s="216"/>
      <c r="D20" s="43" t="s">
        <v>39</v>
      </c>
      <c r="E20" s="236" t="s">
        <v>261</v>
      </c>
      <c r="F20" s="237"/>
      <c r="G20" s="237"/>
      <c r="H20" s="238"/>
      <c r="I20" s="222"/>
      <c r="J20" s="227"/>
      <c r="K20" s="228"/>
      <c r="L20" s="229"/>
      <c r="M20" s="5"/>
    </row>
    <row r="21" spans="2:13" ht="21.75" customHeight="1" x14ac:dyDescent="0.3">
      <c r="B21" s="200" t="s">
        <v>41</v>
      </c>
      <c r="C21" s="201"/>
      <c r="D21" s="206" t="s">
        <v>290</v>
      </c>
      <c r="E21" s="207"/>
      <c r="F21" s="207"/>
      <c r="G21" s="207"/>
      <c r="H21" s="208"/>
      <c r="I21" s="222"/>
      <c r="J21" s="227"/>
      <c r="K21" s="228"/>
      <c r="L21" s="229"/>
      <c r="M21" s="5"/>
    </row>
    <row r="22" spans="2:13" ht="21.75" customHeight="1" x14ac:dyDescent="0.3">
      <c r="B22" s="202"/>
      <c r="C22" s="203"/>
      <c r="D22" s="209"/>
      <c r="E22" s="210"/>
      <c r="F22" s="210"/>
      <c r="G22" s="210"/>
      <c r="H22" s="211"/>
      <c r="I22" s="222"/>
      <c r="J22" s="227"/>
      <c r="K22" s="228"/>
      <c r="L22" s="229"/>
      <c r="M22" s="5"/>
    </row>
    <row r="23" spans="2:13" ht="21.75" customHeight="1" thickBot="1" x14ac:dyDescent="0.35">
      <c r="B23" s="204"/>
      <c r="C23" s="205"/>
      <c r="D23" s="212"/>
      <c r="E23" s="213"/>
      <c r="F23" s="213"/>
      <c r="G23" s="213"/>
      <c r="H23" s="214"/>
      <c r="I23" s="223"/>
      <c r="J23" s="230"/>
      <c r="K23" s="231"/>
      <c r="L23" s="232"/>
      <c r="M23" s="5"/>
    </row>
    <row r="24" spans="2:13" ht="18" thickTop="1" x14ac:dyDescent="0.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7.25" x14ac:dyDescent="0.3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8" spans="2:13" x14ac:dyDescent="0.3">
      <c r="F28" s="2">
        <v>94439400</v>
      </c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M26" sqref="M26:N26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254" t="s">
        <v>193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17.45" customHeight="1" x14ac:dyDescent="0.3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4" spans="1:14" ht="28.15" customHeight="1" x14ac:dyDescent="0.3">
      <c r="F4" s="197" t="s">
        <v>125</v>
      </c>
      <c r="G4" s="197"/>
      <c r="H4" s="197"/>
      <c r="I4" s="197"/>
    </row>
    <row r="5" spans="1:14" ht="28.15" customHeight="1" x14ac:dyDescent="0.3">
      <c r="F5" s="197" t="s">
        <v>194</v>
      </c>
      <c r="G5" s="197"/>
      <c r="H5" s="197"/>
      <c r="I5" s="197"/>
    </row>
    <row r="6" spans="1:14" ht="28.15" customHeight="1" x14ac:dyDescent="0.3">
      <c r="H6" s="29"/>
    </row>
    <row r="7" spans="1:14" ht="28.15" customHeight="1" x14ac:dyDescent="0.3">
      <c r="F7" s="197" t="s">
        <v>127</v>
      </c>
      <c r="G7" s="197"/>
      <c r="H7" s="197"/>
      <c r="I7" s="197"/>
    </row>
    <row r="8" spans="1:14" ht="28.15" customHeight="1" x14ac:dyDescent="0.3">
      <c r="F8" s="197" t="s">
        <v>263</v>
      </c>
      <c r="G8" s="197"/>
      <c r="H8" s="197"/>
      <c r="I8" s="197"/>
    </row>
    <row r="9" spans="1:14" ht="28.15" customHeight="1" x14ac:dyDescent="0.3">
      <c r="A9" s="197" t="s">
        <v>128</v>
      </c>
      <c r="B9" s="197"/>
      <c r="C9" s="197"/>
      <c r="D9" s="197"/>
      <c r="E9" s="33"/>
      <c r="F9" s="34"/>
      <c r="G9" s="32"/>
      <c r="H9" s="34"/>
      <c r="I9" s="34"/>
      <c r="J9" s="31"/>
      <c r="K9" s="197" t="s">
        <v>172</v>
      </c>
      <c r="L9" s="197"/>
      <c r="M9" s="197"/>
      <c r="N9" s="197"/>
    </row>
    <row r="10" spans="1:14" ht="28.15" customHeight="1" x14ac:dyDescent="0.3">
      <c r="A10" s="197"/>
      <c r="B10" s="197"/>
      <c r="C10" s="197"/>
      <c r="D10" s="197"/>
      <c r="G10" s="30"/>
      <c r="K10" s="197" t="s">
        <v>229</v>
      </c>
      <c r="L10" s="197"/>
      <c r="M10" s="197"/>
      <c r="N10" s="197"/>
    </row>
    <row r="11" spans="1:14" ht="28.15" customHeight="1" x14ac:dyDescent="0.3">
      <c r="C11" s="34"/>
      <c r="D11" s="34"/>
      <c r="E11" s="34"/>
      <c r="F11" s="34"/>
      <c r="G11" s="31"/>
      <c r="H11" s="34"/>
      <c r="I11" s="34"/>
      <c r="J11" s="34"/>
      <c r="K11" s="34"/>
      <c r="L11" s="34"/>
    </row>
    <row r="12" spans="1:14" ht="28.15" customHeight="1" x14ac:dyDescent="0.3">
      <c r="B12" s="31"/>
      <c r="G12" s="31"/>
      <c r="M12" s="33"/>
    </row>
    <row r="13" spans="1:14" ht="28.15" customHeight="1" x14ac:dyDescent="0.3">
      <c r="A13" s="197" t="s">
        <v>195</v>
      </c>
      <c r="B13" s="197"/>
      <c r="C13" s="197"/>
      <c r="D13" s="197"/>
      <c r="F13" s="197" t="s">
        <v>196</v>
      </c>
      <c r="G13" s="197"/>
      <c r="H13" s="197"/>
      <c r="I13" s="197"/>
      <c r="K13" s="197" t="s">
        <v>197</v>
      </c>
      <c r="L13" s="197"/>
      <c r="M13" s="197"/>
      <c r="N13" s="197"/>
    </row>
    <row r="14" spans="1:14" ht="28.15" customHeight="1" x14ac:dyDescent="0.3">
      <c r="A14" s="197" t="s">
        <v>126</v>
      </c>
      <c r="B14" s="197"/>
      <c r="C14" s="197" t="s">
        <v>262</v>
      </c>
      <c r="D14" s="197"/>
      <c r="F14" s="197" t="s">
        <v>126</v>
      </c>
      <c r="G14" s="197"/>
      <c r="H14" s="197" t="s">
        <v>226</v>
      </c>
      <c r="I14" s="197"/>
      <c r="K14" s="197" t="s">
        <v>126</v>
      </c>
      <c r="L14" s="197"/>
      <c r="M14" s="197" t="s">
        <v>284</v>
      </c>
      <c r="N14" s="197"/>
    </row>
    <row r="15" spans="1:14" ht="28.15" customHeight="1" x14ac:dyDescent="0.3">
      <c r="C15" s="29"/>
      <c r="H15" s="29"/>
      <c r="M15" s="29"/>
    </row>
    <row r="16" spans="1:14" ht="28.15" customHeight="1" x14ac:dyDescent="0.3">
      <c r="A16" s="197" t="s">
        <v>227</v>
      </c>
      <c r="B16" s="197"/>
      <c r="C16" s="197" t="s">
        <v>264</v>
      </c>
      <c r="D16" s="197"/>
      <c r="F16" s="197" t="s">
        <v>227</v>
      </c>
      <c r="G16" s="197"/>
      <c r="H16" s="197" t="s">
        <v>274</v>
      </c>
      <c r="I16" s="197"/>
      <c r="K16" s="197" t="s">
        <v>227</v>
      </c>
      <c r="L16" s="197"/>
      <c r="M16" s="197" t="s">
        <v>280</v>
      </c>
      <c r="N16" s="197"/>
    </row>
    <row r="17" spans="1:14" ht="28.15" customHeight="1" x14ac:dyDescent="0.3">
      <c r="A17" s="197" t="s">
        <v>228</v>
      </c>
      <c r="B17" s="197"/>
      <c r="C17" s="197" t="s">
        <v>265</v>
      </c>
      <c r="D17" s="197"/>
      <c r="F17" s="197" t="s">
        <v>228</v>
      </c>
      <c r="G17" s="197"/>
      <c r="H17" s="197" t="s">
        <v>275</v>
      </c>
      <c r="I17" s="197"/>
      <c r="K17" s="197" t="s">
        <v>228</v>
      </c>
      <c r="L17" s="197"/>
      <c r="M17" s="197" t="s">
        <v>285</v>
      </c>
      <c r="N17" s="197"/>
    </row>
    <row r="18" spans="1:14" ht="28.15" customHeight="1" x14ac:dyDescent="0.3">
      <c r="C18" s="29"/>
      <c r="D18" s="66"/>
      <c r="H18" s="29"/>
      <c r="I18" s="66"/>
      <c r="M18" s="29"/>
      <c r="N18" s="66"/>
    </row>
    <row r="19" spans="1:14" ht="28.15" customHeight="1" x14ac:dyDescent="0.3">
      <c r="A19" s="197" t="s">
        <v>227</v>
      </c>
      <c r="B19" s="197"/>
      <c r="C19" s="197" t="s">
        <v>266</v>
      </c>
      <c r="D19" s="197"/>
      <c r="F19" s="197" t="s">
        <v>227</v>
      </c>
      <c r="G19" s="197"/>
      <c r="H19" s="197" t="s">
        <v>276</v>
      </c>
      <c r="I19" s="197"/>
      <c r="K19" s="197" t="s">
        <v>227</v>
      </c>
      <c r="L19" s="197"/>
      <c r="M19" s="197" t="s">
        <v>281</v>
      </c>
      <c r="N19" s="197"/>
    </row>
    <row r="20" spans="1:14" ht="28.15" customHeight="1" x14ac:dyDescent="0.3">
      <c r="A20" s="197" t="s">
        <v>228</v>
      </c>
      <c r="B20" s="197"/>
      <c r="C20" s="197" t="s">
        <v>267</v>
      </c>
      <c r="D20" s="197"/>
      <c r="F20" s="197" t="s">
        <v>228</v>
      </c>
      <c r="G20" s="197"/>
      <c r="H20" s="197" t="s">
        <v>277</v>
      </c>
      <c r="I20" s="197"/>
      <c r="K20" s="197" t="s">
        <v>228</v>
      </c>
      <c r="L20" s="197"/>
      <c r="M20" s="197" t="s">
        <v>286</v>
      </c>
      <c r="N20" s="197"/>
    </row>
    <row r="21" spans="1:14" ht="28.15" customHeight="1" x14ac:dyDescent="0.3">
      <c r="C21" s="29"/>
      <c r="D21" s="66"/>
      <c r="H21" s="29"/>
      <c r="I21" s="66"/>
      <c r="M21" s="29"/>
      <c r="N21" s="66"/>
    </row>
    <row r="22" spans="1:14" ht="28.15" customHeight="1" x14ac:dyDescent="0.3">
      <c r="A22" s="197" t="s">
        <v>227</v>
      </c>
      <c r="B22" s="197"/>
      <c r="C22" s="197" t="s">
        <v>268</v>
      </c>
      <c r="D22" s="197"/>
      <c r="F22" s="197" t="s">
        <v>227</v>
      </c>
      <c r="G22" s="197"/>
      <c r="H22" s="197" t="s">
        <v>278</v>
      </c>
      <c r="I22" s="197"/>
      <c r="K22" s="197" t="s">
        <v>227</v>
      </c>
      <c r="L22" s="197"/>
      <c r="M22" s="197" t="s">
        <v>282</v>
      </c>
      <c r="N22" s="197"/>
    </row>
    <row r="23" spans="1:14" ht="28.15" customHeight="1" x14ac:dyDescent="0.3">
      <c r="A23" s="197" t="s">
        <v>228</v>
      </c>
      <c r="B23" s="197"/>
      <c r="C23" s="197" t="s">
        <v>269</v>
      </c>
      <c r="D23" s="197"/>
      <c r="F23" s="197" t="s">
        <v>228</v>
      </c>
      <c r="G23" s="197"/>
      <c r="H23" s="197" t="s">
        <v>279</v>
      </c>
      <c r="I23" s="197"/>
      <c r="K23" s="197" t="s">
        <v>228</v>
      </c>
      <c r="L23" s="197"/>
      <c r="M23" s="197" t="s">
        <v>287</v>
      </c>
      <c r="N23" s="197"/>
    </row>
    <row r="24" spans="1:14" ht="28.15" customHeight="1" x14ac:dyDescent="0.3">
      <c r="C24" s="29"/>
      <c r="D24" s="66"/>
      <c r="M24" s="29"/>
      <c r="N24" s="66"/>
    </row>
    <row r="25" spans="1:14" ht="28.15" customHeight="1" x14ac:dyDescent="0.3">
      <c r="A25" s="197" t="s">
        <v>227</v>
      </c>
      <c r="B25" s="197"/>
      <c r="C25" s="197" t="s">
        <v>270</v>
      </c>
      <c r="D25" s="197"/>
      <c r="K25" s="197" t="s">
        <v>227</v>
      </c>
      <c r="L25" s="197"/>
      <c r="M25" s="197" t="s">
        <v>283</v>
      </c>
      <c r="N25" s="197"/>
    </row>
    <row r="26" spans="1:14" ht="28.15" customHeight="1" x14ac:dyDescent="0.3">
      <c r="A26" s="197" t="s">
        <v>228</v>
      </c>
      <c r="B26" s="197"/>
      <c r="C26" s="197" t="s">
        <v>273</v>
      </c>
      <c r="D26" s="197"/>
      <c r="K26" s="197" t="s">
        <v>228</v>
      </c>
      <c r="L26" s="197"/>
      <c r="M26" s="197" t="s">
        <v>288</v>
      </c>
      <c r="N26" s="197"/>
    </row>
    <row r="27" spans="1:14" ht="28.15" customHeight="1" x14ac:dyDescent="0.3">
      <c r="C27" s="29"/>
      <c r="D27" s="66"/>
    </row>
    <row r="28" spans="1:14" ht="28.15" customHeight="1" x14ac:dyDescent="0.3">
      <c r="A28" s="197" t="s">
        <v>227</v>
      </c>
      <c r="B28" s="197"/>
      <c r="C28" s="197" t="s">
        <v>271</v>
      </c>
      <c r="D28" s="197"/>
    </row>
    <row r="29" spans="1:14" ht="28.15" customHeight="1" x14ac:dyDescent="0.3">
      <c r="A29" s="197" t="s">
        <v>228</v>
      </c>
      <c r="B29" s="197"/>
      <c r="C29" s="197" t="s">
        <v>272</v>
      </c>
      <c r="D29" s="197"/>
    </row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66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22:B22"/>
    <mergeCell ref="C22:D22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28:B28"/>
    <mergeCell ref="C28:D28"/>
    <mergeCell ref="A29:B29"/>
    <mergeCell ref="C29:D29"/>
    <mergeCell ref="F19:G19"/>
    <mergeCell ref="F23:G23"/>
    <mergeCell ref="A23:B23"/>
    <mergeCell ref="C23:D23"/>
    <mergeCell ref="A25:B25"/>
    <mergeCell ref="C25:D25"/>
    <mergeCell ref="A26:B26"/>
    <mergeCell ref="C26:D26"/>
    <mergeCell ref="A19:B19"/>
    <mergeCell ref="C19:D19"/>
    <mergeCell ref="A20:B20"/>
    <mergeCell ref="C20:D20"/>
    <mergeCell ref="H19:I19"/>
    <mergeCell ref="F20:G20"/>
    <mergeCell ref="H20:I20"/>
    <mergeCell ref="F22:G22"/>
    <mergeCell ref="H22:I22"/>
    <mergeCell ref="K19:L19"/>
    <mergeCell ref="M19:N19"/>
    <mergeCell ref="K20:L20"/>
    <mergeCell ref="M20:N20"/>
    <mergeCell ref="K22:L22"/>
    <mergeCell ref="M22:N22"/>
    <mergeCell ref="K25:L25"/>
    <mergeCell ref="M25:N25"/>
    <mergeCell ref="K26:L26"/>
    <mergeCell ref="M26:N26"/>
    <mergeCell ref="H23:I23"/>
    <mergeCell ref="K23:L23"/>
    <mergeCell ref="M23:N2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X894"/>
  <sheetViews>
    <sheetView showGridLines="0" topLeftCell="D1" zoomScale="70" zoomScaleNormal="70" zoomScaleSheetLayoutView="10" workbookViewId="0">
      <selection activeCell="BP51" sqref="BP51"/>
    </sheetView>
  </sheetViews>
  <sheetFormatPr defaultColWidth="10" defaultRowHeight="12" outlineLevelRow="4" x14ac:dyDescent="0.3"/>
  <cols>
    <col min="1" max="1" width="9.125" style="79" hidden="1" customWidth="1"/>
    <col min="2" max="2" width="9" style="79" hidden="1" customWidth="1"/>
    <col min="3" max="3" width="8.375" style="79" hidden="1" customWidth="1"/>
    <col min="4" max="4" width="12.75" style="78" customWidth="1"/>
    <col min="5" max="9" width="2.75" style="77" customWidth="1"/>
    <col min="10" max="10" width="23.125" style="77" customWidth="1"/>
    <col min="11" max="12" width="2.75" style="77" customWidth="1"/>
    <col min="13" max="13" width="14" style="77" customWidth="1"/>
    <col min="14" max="14" width="0.125" style="77" customWidth="1"/>
    <col min="15" max="15" width="6" style="76" customWidth="1"/>
    <col min="16" max="16" width="3" style="76" customWidth="1"/>
    <col min="17" max="18" width="9.875" style="75" hidden="1" customWidth="1"/>
    <col min="19" max="19" width="7.625" style="71" hidden="1" customWidth="1"/>
    <col min="20" max="20" width="6.375" style="72" hidden="1" customWidth="1"/>
    <col min="21" max="21" width="6.625" style="72" hidden="1" customWidth="1"/>
    <col min="22" max="22" width="5.875" style="72" hidden="1" customWidth="1"/>
    <col min="23" max="23" width="5" style="72" hidden="1" customWidth="1"/>
    <col min="24" max="25" width="9.75" style="75" hidden="1" customWidth="1"/>
    <col min="26" max="26" width="7.5" style="74" hidden="1" customWidth="1"/>
    <col min="27" max="27" width="6" style="73" hidden="1" customWidth="1"/>
    <col min="28" max="28" width="6.125" style="72" hidden="1" customWidth="1"/>
    <col min="29" max="29" width="8.625" style="71" hidden="1" customWidth="1"/>
    <col min="30" max="30" width="5.875" style="70" hidden="1" customWidth="1"/>
    <col min="31" max="31" width="7.75" style="69" hidden="1" customWidth="1"/>
    <col min="32" max="32" width="7.25" style="68" hidden="1" customWidth="1"/>
    <col min="33" max="76" width="1.875" style="67" customWidth="1"/>
    <col min="77" max="77" width="1.75" style="67" customWidth="1"/>
    <col min="78" max="648" width="1.875" style="67" customWidth="1"/>
    <col min="649" max="16384" width="10" style="67"/>
  </cols>
  <sheetData>
    <row r="1" spans="1:648" s="158" customFormat="1" ht="32.25" customHeight="1" x14ac:dyDescent="0.3">
      <c r="A1" s="168"/>
      <c r="B1" s="177"/>
      <c r="C1" s="167"/>
      <c r="D1" s="187" t="s">
        <v>1471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5"/>
      <c r="P1" s="185"/>
      <c r="Q1" s="184"/>
      <c r="R1" s="183"/>
      <c r="S1" s="182"/>
      <c r="T1" s="181"/>
      <c r="U1" s="180"/>
      <c r="V1" s="179"/>
      <c r="W1" s="179"/>
      <c r="X1" s="178"/>
      <c r="Y1" s="178"/>
      <c r="Z1" s="177"/>
      <c r="AA1" s="176"/>
      <c r="AB1" s="175"/>
      <c r="AC1" s="174"/>
      <c r="AD1" s="173"/>
      <c r="AE1" s="172"/>
      <c r="AF1" s="171"/>
      <c r="AG1" s="170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</row>
    <row r="2" spans="1:648" s="158" customFormat="1" ht="15" customHeight="1" x14ac:dyDescent="0.3">
      <c r="A2" s="168"/>
      <c r="B2" s="168"/>
      <c r="C2" s="167"/>
      <c r="D2" s="274"/>
      <c r="E2" s="274"/>
      <c r="F2" s="274"/>
      <c r="G2" s="160"/>
      <c r="H2" s="166"/>
      <c r="I2" s="160"/>
      <c r="J2" s="160"/>
      <c r="K2" s="165"/>
      <c r="L2" s="160"/>
      <c r="M2" s="160"/>
      <c r="N2" s="160"/>
      <c r="O2" s="163"/>
      <c r="P2" s="163"/>
      <c r="Q2" s="160"/>
      <c r="R2" s="160"/>
      <c r="S2" s="163"/>
      <c r="T2" s="164"/>
      <c r="U2" s="164"/>
      <c r="V2" s="164"/>
      <c r="W2" s="164"/>
      <c r="X2" s="160"/>
      <c r="Y2" s="160"/>
      <c r="Z2" s="160"/>
      <c r="AA2" s="160"/>
      <c r="AB2" s="160"/>
      <c r="AC2" s="163"/>
      <c r="AD2" s="162"/>
      <c r="AE2" s="161"/>
      <c r="AF2" s="160" t="e">
        <f t="array" aca="1" ref="AF2" ca="1">xlgantt.CommentOnHeadArea()</f>
        <v>#NAME?</v>
      </c>
      <c r="AG2" s="265" t="s">
        <v>1470</v>
      </c>
      <c r="AH2" s="265"/>
      <c r="AI2" s="265"/>
      <c r="AJ2" s="265"/>
      <c r="AK2" s="265" t="s">
        <v>1469</v>
      </c>
      <c r="AL2" s="265"/>
      <c r="AM2" s="265"/>
      <c r="AN2" s="265"/>
      <c r="AO2" s="265" t="s">
        <v>1468</v>
      </c>
      <c r="AP2" s="265"/>
      <c r="AQ2" s="265"/>
      <c r="AR2" s="265"/>
      <c r="AS2" s="265" t="s">
        <v>1467</v>
      </c>
      <c r="AT2" s="265"/>
      <c r="AU2" s="265"/>
      <c r="AV2" s="265"/>
      <c r="AW2" s="265" t="s">
        <v>1466</v>
      </c>
      <c r="AX2" s="265"/>
      <c r="AY2" s="265"/>
      <c r="AZ2" s="265"/>
      <c r="BA2" s="265" t="s">
        <v>1465</v>
      </c>
      <c r="BB2" s="265"/>
      <c r="BC2" s="265"/>
      <c r="BD2" s="265"/>
      <c r="BE2" s="265" t="s">
        <v>1464</v>
      </c>
      <c r="BF2" s="265"/>
      <c r="BG2" s="265"/>
      <c r="BH2" s="265"/>
      <c r="BI2" s="265" t="s">
        <v>1463</v>
      </c>
      <c r="BJ2" s="265"/>
      <c r="BK2" s="265"/>
      <c r="BL2" s="265"/>
      <c r="BM2" s="265" t="s">
        <v>1462</v>
      </c>
      <c r="BN2" s="265"/>
      <c r="BO2" s="265"/>
      <c r="BP2" s="265"/>
      <c r="BQ2" s="265" t="s">
        <v>1461</v>
      </c>
      <c r="BR2" s="265"/>
      <c r="BS2" s="265"/>
      <c r="BT2" s="265"/>
      <c r="BU2" s="265" t="s">
        <v>1460</v>
      </c>
      <c r="BV2" s="265"/>
      <c r="BW2" s="265"/>
      <c r="BX2" s="265"/>
      <c r="BY2" s="265" t="s">
        <v>1459</v>
      </c>
      <c r="BZ2" s="265"/>
      <c r="CA2" s="265"/>
      <c r="CB2" s="265"/>
      <c r="CC2" s="265" t="s">
        <v>1458</v>
      </c>
      <c r="CD2" s="265"/>
      <c r="CE2" s="265"/>
      <c r="CF2" s="265"/>
      <c r="CG2" s="265" t="s">
        <v>1457</v>
      </c>
      <c r="CH2" s="265"/>
      <c r="CI2" s="265"/>
      <c r="CJ2" s="265"/>
      <c r="CK2" s="265" t="s">
        <v>1456</v>
      </c>
      <c r="CL2" s="265"/>
      <c r="CM2" s="265"/>
      <c r="CN2" s="265"/>
      <c r="CO2" s="265" t="s">
        <v>1455</v>
      </c>
      <c r="CP2" s="265"/>
      <c r="CQ2" s="265"/>
      <c r="CR2" s="265"/>
      <c r="CS2" s="265" t="s">
        <v>1454</v>
      </c>
      <c r="CT2" s="265"/>
      <c r="CU2" s="265"/>
      <c r="CV2" s="265"/>
      <c r="CW2" s="265" t="s">
        <v>1453</v>
      </c>
      <c r="CX2" s="265"/>
      <c r="CY2" s="265"/>
      <c r="CZ2" s="265"/>
      <c r="DA2" s="265" t="s">
        <v>1452</v>
      </c>
      <c r="DB2" s="265"/>
      <c r="DC2" s="265"/>
      <c r="DD2" s="265"/>
      <c r="DE2" s="265" t="s">
        <v>1451</v>
      </c>
      <c r="DF2" s="265"/>
      <c r="DG2" s="265"/>
      <c r="DH2" s="265"/>
      <c r="DI2" s="265" t="s">
        <v>1450</v>
      </c>
      <c r="DJ2" s="265"/>
      <c r="DK2" s="265"/>
      <c r="DL2" s="265"/>
      <c r="DM2" s="265" t="s">
        <v>1449</v>
      </c>
      <c r="DN2" s="265"/>
      <c r="DO2" s="265"/>
      <c r="DP2" s="265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  <c r="IW2" s="159"/>
      <c r="IX2" s="159"/>
      <c r="IY2" s="159"/>
      <c r="IZ2" s="159"/>
      <c r="JA2" s="159"/>
      <c r="JB2" s="159"/>
      <c r="JC2" s="159"/>
      <c r="JD2" s="159"/>
      <c r="JE2" s="159"/>
      <c r="JF2" s="159"/>
      <c r="JG2" s="159"/>
      <c r="JH2" s="159"/>
      <c r="JI2" s="159"/>
      <c r="JJ2" s="159"/>
      <c r="JK2" s="159"/>
      <c r="JL2" s="159"/>
      <c r="JM2" s="159"/>
      <c r="JN2" s="159"/>
      <c r="JO2" s="159"/>
      <c r="JP2" s="159"/>
      <c r="JQ2" s="159"/>
      <c r="JR2" s="159"/>
      <c r="JS2" s="159"/>
      <c r="JT2" s="159"/>
      <c r="JU2" s="159"/>
      <c r="JV2" s="159"/>
      <c r="JW2" s="159"/>
      <c r="JX2" s="159"/>
      <c r="JY2" s="159"/>
      <c r="JZ2" s="159"/>
      <c r="KA2" s="159"/>
      <c r="KB2" s="159"/>
      <c r="KC2" s="159"/>
      <c r="KD2" s="159"/>
      <c r="KE2" s="159"/>
      <c r="KF2" s="159"/>
      <c r="KG2" s="159"/>
      <c r="KH2" s="159"/>
      <c r="KI2" s="159"/>
      <c r="KJ2" s="159"/>
      <c r="KK2" s="159"/>
      <c r="KL2" s="159"/>
      <c r="KM2" s="159"/>
      <c r="KN2" s="159"/>
      <c r="KO2" s="159"/>
      <c r="KP2" s="159"/>
      <c r="KQ2" s="159"/>
      <c r="KR2" s="159"/>
      <c r="KS2" s="159"/>
      <c r="KT2" s="159"/>
      <c r="KU2" s="159"/>
      <c r="KV2" s="159"/>
      <c r="KW2" s="159"/>
      <c r="KX2" s="159"/>
      <c r="KY2" s="159"/>
      <c r="KZ2" s="159"/>
      <c r="LA2" s="159"/>
      <c r="LB2" s="159"/>
      <c r="LC2" s="159"/>
      <c r="LD2" s="159"/>
      <c r="LE2" s="159"/>
      <c r="LF2" s="159"/>
      <c r="LG2" s="159"/>
      <c r="LH2" s="159"/>
      <c r="LI2" s="159"/>
      <c r="LJ2" s="159"/>
      <c r="LK2" s="159"/>
      <c r="LL2" s="159"/>
      <c r="LM2" s="159"/>
      <c r="LN2" s="159"/>
      <c r="LO2" s="159"/>
      <c r="LP2" s="159"/>
      <c r="LQ2" s="159"/>
      <c r="LR2" s="159"/>
      <c r="LS2" s="159"/>
      <c r="LT2" s="159"/>
      <c r="LU2" s="159"/>
      <c r="LV2" s="159"/>
      <c r="LW2" s="159"/>
      <c r="LX2" s="159"/>
      <c r="LY2" s="159"/>
      <c r="LZ2" s="159"/>
      <c r="MA2" s="159"/>
      <c r="MB2" s="159"/>
      <c r="MC2" s="159"/>
      <c r="MD2" s="159"/>
      <c r="ME2" s="159"/>
      <c r="MF2" s="159"/>
      <c r="MG2" s="159"/>
      <c r="MH2" s="159"/>
      <c r="MI2" s="159"/>
      <c r="MJ2" s="159"/>
      <c r="MK2" s="159"/>
      <c r="ML2" s="159"/>
      <c r="MM2" s="159"/>
      <c r="MN2" s="159"/>
      <c r="MO2" s="159"/>
      <c r="MP2" s="159"/>
      <c r="MQ2" s="159"/>
      <c r="MR2" s="159"/>
      <c r="MS2" s="159"/>
      <c r="MT2" s="159"/>
      <c r="MU2" s="159"/>
      <c r="MV2" s="159"/>
      <c r="MW2" s="159"/>
      <c r="MX2" s="159"/>
      <c r="MY2" s="159"/>
      <c r="MZ2" s="159"/>
      <c r="NA2" s="159"/>
      <c r="NB2" s="159"/>
      <c r="NC2" s="159"/>
      <c r="ND2" s="159"/>
      <c r="NE2" s="159"/>
      <c r="NF2" s="159"/>
      <c r="NG2" s="159"/>
      <c r="NH2" s="159"/>
      <c r="NI2" s="159"/>
      <c r="NJ2" s="159"/>
      <c r="NK2" s="159"/>
      <c r="NL2" s="159"/>
      <c r="NM2" s="159"/>
      <c r="NN2" s="159"/>
      <c r="NO2" s="159"/>
      <c r="NP2" s="159"/>
      <c r="NQ2" s="159"/>
      <c r="NR2" s="159"/>
      <c r="NS2" s="159"/>
      <c r="NT2" s="159"/>
      <c r="NU2" s="159"/>
      <c r="NV2" s="159"/>
      <c r="NW2" s="159"/>
      <c r="NX2" s="159"/>
      <c r="NY2" s="159"/>
      <c r="NZ2" s="159"/>
      <c r="OA2" s="159"/>
      <c r="OB2" s="159"/>
      <c r="OC2" s="159"/>
      <c r="OD2" s="159"/>
      <c r="OE2" s="159"/>
      <c r="OF2" s="159"/>
      <c r="OG2" s="159"/>
      <c r="OH2" s="159"/>
      <c r="OI2" s="159"/>
      <c r="OJ2" s="159"/>
      <c r="OK2" s="159"/>
      <c r="OL2" s="159"/>
      <c r="OM2" s="159"/>
      <c r="ON2" s="159"/>
      <c r="OO2" s="159"/>
      <c r="OP2" s="159"/>
      <c r="OQ2" s="159"/>
      <c r="OR2" s="159"/>
      <c r="OS2" s="159"/>
      <c r="OT2" s="159"/>
      <c r="OU2" s="159"/>
      <c r="OV2" s="159"/>
      <c r="OW2" s="159"/>
      <c r="OX2" s="159"/>
      <c r="OY2" s="159"/>
      <c r="OZ2" s="159"/>
      <c r="PA2" s="159"/>
      <c r="PB2" s="159"/>
      <c r="PC2" s="159"/>
      <c r="PD2" s="159"/>
      <c r="PE2" s="159"/>
      <c r="PF2" s="159"/>
      <c r="PG2" s="159"/>
      <c r="PH2" s="159"/>
      <c r="PI2" s="159"/>
      <c r="PJ2" s="159"/>
      <c r="PK2" s="159"/>
      <c r="PL2" s="159"/>
      <c r="PM2" s="159"/>
      <c r="PN2" s="159"/>
      <c r="PO2" s="159"/>
      <c r="PP2" s="159"/>
      <c r="PQ2" s="159"/>
      <c r="PR2" s="159"/>
      <c r="PS2" s="159"/>
      <c r="PT2" s="159"/>
      <c r="PU2" s="159"/>
      <c r="PV2" s="159"/>
      <c r="PW2" s="159"/>
      <c r="PX2" s="159"/>
      <c r="PY2" s="159"/>
      <c r="PZ2" s="159"/>
      <c r="QA2" s="159"/>
      <c r="QB2" s="159"/>
      <c r="QC2" s="159"/>
      <c r="QD2" s="159"/>
      <c r="QE2" s="159"/>
      <c r="QF2" s="159"/>
      <c r="QG2" s="159"/>
      <c r="QH2" s="159"/>
      <c r="QI2" s="159"/>
      <c r="QJ2" s="159"/>
      <c r="QK2" s="159"/>
      <c r="QL2" s="159"/>
      <c r="QM2" s="159"/>
      <c r="QN2" s="159"/>
      <c r="QO2" s="159"/>
      <c r="QP2" s="159"/>
      <c r="QQ2" s="159"/>
      <c r="QR2" s="159"/>
      <c r="QS2" s="159"/>
      <c r="QT2" s="159"/>
      <c r="QU2" s="159"/>
      <c r="QV2" s="159"/>
      <c r="QW2" s="159"/>
      <c r="QX2" s="159"/>
      <c r="QY2" s="159"/>
      <c r="QZ2" s="159"/>
      <c r="RA2" s="159"/>
      <c r="RB2" s="159"/>
      <c r="RC2" s="159"/>
      <c r="RD2" s="159"/>
      <c r="RE2" s="159"/>
      <c r="RF2" s="159"/>
      <c r="RG2" s="159"/>
      <c r="RH2" s="159"/>
      <c r="RI2" s="159"/>
      <c r="RJ2" s="159"/>
      <c r="RK2" s="159"/>
      <c r="RL2" s="159"/>
      <c r="RM2" s="159"/>
      <c r="RN2" s="159"/>
      <c r="RO2" s="159"/>
      <c r="RP2" s="159"/>
      <c r="RQ2" s="159"/>
      <c r="RR2" s="159"/>
      <c r="RS2" s="159"/>
      <c r="RT2" s="159"/>
      <c r="RU2" s="159"/>
      <c r="RV2" s="159"/>
      <c r="RW2" s="159"/>
      <c r="RX2" s="159"/>
      <c r="RY2" s="159"/>
      <c r="RZ2" s="159"/>
      <c r="SA2" s="159"/>
      <c r="SB2" s="159"/>
      <c r="SC2" s="159"/>
      <c r="SD2" s="159"/>
      <c r="SE2" s="159"/>
      <c r="SF2" s="159"/>
      <c r="SG2" s="159"/>
      <c r="SH2" s="159"/>
      <c r="SI2" s="159"/>
      <c r="SJ2" s="159"/>
      <c r="SK2" s="159"/>
      <c r="SL2" s="159"/>
      <c r="SM2" s="159"/>
      <c r="SN2" s="159"/>
      <c r="SO2" s="159"/>
      <c r="SP2" s="159"/>
      <c r="SQ2" s="159"/>
      <c r="SR2" s="159"/>
      <c r="SS2" s="159"/>
      <c r="ST2" s="159"/>
      <c r="SU2" s="159"/>
      <c r="SV2" s="159"/>
      <c r="SW2" s="159"/>
      <c r="SX2" s="159"/>
      <c r="SY2" s="159"/>
      <c r="SZ2" s="159"/>
      <c r="TA2" s="159"/>
      <c r="TB2" s="159"/>
      <c r="TC2" s="159"/>
      <c r="TD2" s="159"/>
      <c r="TE2" s="159"/>
      <c r="TF2" s="159"/>
      <c r="TG2" s="159"/>
      <c r="TH2" s="159"/>
      <c r="TI2" s="159"/>
      <c r="TJ2" s="159"/>
      <c r="TK2" s="159"/>
      <c r="TL2" s="159"/>
      <c r="TM2" s="159"/>
      <c r="TN2" s="159"/>
      <c r="TO2" s="159"/>
      <c r="TP2" s="159"/>
      <c r="TQ2" s="159"/>
      <c r="TR2" s="159"/>
      <c r="TS2" s="159"/>
      <c r="TT2" s="159"/>
      <c r="TU2" s="159"/>
      <c r="TV2" s="159"/>
      <c r="TW2" s="159"/>
      <c r="TX2" s="159"/>
      <c r="TY2" s="159"/>
      <c r="TZ2" s="159"/>
      <c r="UA2" s="159"/>
      <c r="UB2" s="159"/>
      <c r="UC2" s="159"/>
      <c r="UD2" s="159"/>
      <c r="UE2" s="159"/>
      <c r="UF2" s="159"/>
      <c r="UG2" s="159"/>
      <c r="UH2" s="159"/>
      <c r="UI2" s="159"/>
      <c r="UJ2" s="159"/>
      <c r="UK2" s="159"/>
      <c r="UL2" s="159"/>
      <c r="UM2" s="159"/>
      <c r="UN2" s="159"/>
      <c r="UO2" s="159"/>
      <c r="UP2" s="159"/>
      <c r="UQ2" s="159"/>
      <c r="UR2" s="159"/>
      <c r="US2" s="159"/>
      <c r="UT2" s="159"/>
      <c r="UU2" s="159"/>
      <c r="UV2" s="159"/>
      <c r="UW2" s="159"/>
      <c r="UX2" s="159"/>
      <c r="UY2" s="159"/>
      <c r="UZ2" s="159"/>
      <c r="VA2" s="159"/>
      <c r="VB2" s="159"/>
      <c r="VC2" s="159"/>
      <c r="VD2" s="159"/>
      <c r="VE2" s="159"/>
      <c r="VF2" s="159"/>
      <c r="VG2" s="159"/>
      <c r="VH2" s="159"/>
      <c r="VI2" s="159"/>
      <c r="VJ2" s="159"/>
      <c r="VK2" s="159"/>
      <c r="VL2" s="159"/>
      <c r="VM2" s="159"/>
      <c r="VN2" s="159"/>
      <c r="VO2" s="159"/>
      <c r="VP2" s="159"/>
      <c r="VQ2" s="159"/>
      <c r="VR2" s="159"/>
      <c r="VS2" s="159"/>
      <c r="VT2" s="159"/>
      <c r="VU2" s="159"/>
      <c r="VV2" s="159"/>
      <c r="VW2" s="159"/>
      <c r="VX2" s="159"/>
      <c r="VY2" s="159"/>
      <c r="VZ2" s="159"/>
      <c r="WA2" s="159"/>
      <c r="WB2" s="159"/>
      <c r="WC2" s="159"/>
      <c r="WD2" s="159"/>
      <c r="WE2" s="159"/>
      <c r="WF2" s="159"/>
      <c r="WG2" s="159"/>
      <c r="WH2" s="159"/>
      <c r="WI2" s="159"/>
      <c r="WJ2" s="159"/>
      <c r="WK2" s="159"/>
      <c r="WL2" s="159"/>
      <c r="WM2" s="159"/>
      <c r="WN2" s="159"/>
      <c r="WO2" s="159"/>
      <c r="WP2" s="159"/>
      <c r="WQ2" s="159"/>
      <c r="WR2" s="159"/>
      <c r="WS2" s="159"/>
      <c r="WT2" s="159"/>
      <c r="WU2" s="159"/>
      <c r="WV2" s="159"/>
      <c r="WW2" s="159"/>
      <c r="WX2" s="159"/>
      <c r="WY2" s="159"/>
      <c r="WZ2" s="159"/>
      <c r="XA2" s="159"/>
      <c r="XB2" s="159"/>
      <c r="XC2" s="159"/>
      <c r="XD2" s="159"/>
      <c r="XE2" s="159"/>
      <c r="XF2" s="159"/>
      <c r="XG2" s="159"/>
      <c r="XH2" s="159"/>
      <c r="XI2" s="159"/>
      <c r="XJ2" s="159"/>
      <c r="XK2" s="159"/>
      <c r="XL2" s="159"/>
      <c r="XM2" s="159"/>
      <c r="XN2" s="159"/>
      <c r="XO2" s="159"/>
      <c r="XP2" s="159"/>
      <c r="XQ2" s="159"/>
      <c r="XR2" s="159"/>
      <c r="XS2" s="159"/>
      <c r="XT2" s="159"/>
      <c r="XU2" s="159"/>
      <c r="XV2" s="159"/>
      <c r="XW2" s="159"/>
      <c r="XX2" s="159"/>
    </row>
    <row r="3" spans="1:648" s="156" customFormat="1" ht="18.95" customHeight="1" x14ac:dyDescent="0.3">
      <c r="A3" s="266" t="s">
        <v>1448</v>
      </c>
      <c r="B3" s="268" t="s">
        <v>1447</v>
      </c>
      <c r="C3" s="270" t="s">
        <v>1446</v>
      </c>
      <c r="D3" s="271" t="s">
        <v>1445</v>
      </c>
      <c r="E3" s="273" t="s">
        <v>1444</v>
      </c>
      <c r="F3" s="272"/>
      <c r="G3" s="272"/>
      <c r="H3" s="272"/>
      <c r="I3" s="272"/>
      <c r="J3" s="272"/>
      <c r="K3" s="272"/>
      <c r="L3" s="272"/>
      <c r="M3" s="272"/>
      <c r="N3" s="272"/>
      <c r="O3" s="275" t="s">
        <v>1443</v>
      </c>
      <c r="P3" s="157" t="s">
        <v>1442</v>
      </c>
      <c r="Q3" s="275" t="s">
        <v>1441</v>
      </c>
      <c r="R3" s="275" t="s">
        <v>1440</v>
      </c>
      <c r="S3" s="289" t="s">
        <v>1439</v>
      </c>
      <c r="T3" s="277" t="s">
        <v>1438</v>
      </c>
      <c r="U3" s="288" t="s">
        <v>1437</v>
      </c>
      <c r="V3" s="277" t="s">
        <v>1436</v>
      </c>
      <c r="W3" s="277" t="s">
        <v>1435</v>
      </c>
      <c r="X3" s="278" t="s">
        <v>1434</v>
      </c>
      <c r="Y3" s="278" t="s">
        <v>1433</v>
      </c>
      <c r="Z3" s="279" t="s">
        <v>1432</v>
      </c>
      <c r="AA3" s="280" t="s">
        <v>1431</v>
      </c>
      <c r="AB3" s="281" t="s">
        <v>1430</v>
      </c>
      <c r="AC3" s="275" t="s">
        <v>1429</v>
      </c>
      <c r="AD3" s="273" t="s">
        <v>1428</v>
      </c>
      <c r="AE3" s="282" t="s">
        <v>1427</v>
      </c>
      <c r="AF3" s="283" t="s">
        <v>1426</v>
      </c>
      <c r="AG3" s="284" t="s">
        <v>1425</v>
      </c>
      <c r="AH3" s="285"/>
      <c r="AI3" s="285"/>
      <c r="AJ3" s="285"/>
      <c r="AK3" s="284" t="s">
        <v>1424</v>
      </c>
      <c r="AL3" s="285"/>
      <c r="AM3" s="285"/>
      <c r="AN3" s="285"/>
      <c r="AO3" s="284" t="s">
        <v>1423</v>
      </c>
      <c r="AP3" s="285"/>
      <c r="AQ3" s="285"/>
      <c r="AR3" s="285"/>
      <c r="AS3" s="284" t="s">
        <v>1422</v>
      </c>
      <c r="AT3" s="285"/>
      <c r="AU3" s="285"/>
      <c r="AV3" s="285"/>
      <c r="AW3" s="284" t="s">
        <v>1421</v>
      </c>
      <c r="AX3" s="285"/>
      <c r="AY3" s="285"/>
      <c r="AZ3" s="285"/>
      <c r="BA3" s="284" t="s">
        <v>1420</v>
      </c>
      <c r="BB3" s="285"/>
      <c r="BC3" s="285"/>
      <c r="BD3" s="285"/>
      <c r="BE3" s="284" t="s">
        <v>1419</v>
      </c>
      <c r="BF3" s="285"/>
      <c r="BG3" s="285"/>
      <c r="BH3" s="285"/>
      <c r="BI3" s="284" t="s">
        <v>1418</v>
      </c>
      <c r="BJ3" s="285"/>
      <c r="BK3" s="285"/>
      <c r="BL3" s="285"/>
      <c r="BM3" s="284" t="s">
        <v>1417</v>
      </c>
      <c r="BN3" s="285"/>
      <c r="BO3" s="285"/>
      <c r="BP3" s="285"/>
      <c r="BQ3" s="284" t="s">
        <v>1416</v>
      </c>
      <c r="BR3" s="285"/>
      <c r="BS3" s="285"/>
      <c r="BT3" s="285"/>
      <c r="BU3" s="284" t="s">
        <v>1415</v>
      </c>
      <c r="BV3" s="285"/>
      <c r="BW3" s="285"/>
      <c r="BX3" s="285"/>
      <c r="BY3" s="284" t="s">
        <v>1072</v>
      </c>
      <c r="BZ3" s="285"/>
      <c r="CA3" s="285"/>
      <c r="CB3" s="285"/>
      <c r="CC3" s="284" t="s">
        <v>1071</v>
      </c>
      <c r="CD3" s="285"/>
      <c r="CE3" s="285"/>
      <c r="CF3" s="285"/>
      <c r="CG3" s="284" t="s">
        <v>1070</v>
      </c>
      <c r="CH3" s="285"/>
      <c r="CI3" s="285"/>
      <c r="CJ3" s="285"/>
      <c r="CK3" s="284" t="s">
        <v>1069</v>
      </c>
      <c r="CL3" s="285"/>
      <c r="CM3" s="285"/>
      <c r="CN3" s="285"/>
      <c r="CO3" s="284" t="s">
        <v>1068</v>
      </c>
      <c r="CP3" s="285"/>
      <c r="CQ3" s="285"/>
      <c r="CR3" s="285"/>
      <c r="CS3" s="284" t="s">
        <v>1067</v>
      </c>
      <c r="CT3" s="285"/>
      <c r="CU3" s="285"/>
      <c r="CV3" s="285"/>
      <c r="CW3" s="284" t="s">
        <v>1066</v>
      </c>
      <c r="CX3" s="285"/>
      <c r="CY3" s="285"/>
      <c r="CZ3" s="285"/>
      <c r="DA3" s="284" t="s">
        <v>1065</v>
      </c>
      <c r="DB3" s="285"/>
      <c r="DC3" s="285"/>
      <c r="DD3" s="285"/>
      <c r="DE3" s="284" t="s">
        <v>1064</v>
      </c>
      <c r="DF3" s="285"/>
      <c r="DG3" s="285"/>
      <c r="DH3" s="285"/>
      <c r="DI3" s="284" t="s">
        <v>1414</v>
      </c>
      <c r="DJ3" s="285"/>
      <c r="DK3" s="285"/>
      <c r="DL3" s="285"/>
      <c r="DM3" s="284" t="s">
        <v>1413</v>
      </c>
      <c r="DN3" s="285"/>
      <c r="DO3" s="285"/>
      <c r="DP3" s="285"/>
      <c r="DQ3" s="110"/>
    </row>
    <row r="4" spans="1:648" s="151" customFormat="1" ht="6" customHeight="1" x14ac:dyDescent="0.3">
      <c r="A4" s="267"/>
      <c r="B4" s="269"/>
      <c r="C4" s="267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6"/>
      <c r="P4" s="155"/>
      <c r="Q4" s="275"/>
      <c r="R4" s="275"/>
      <c r="S4" s="289"/>
      <c r="T4" s="277"/>
      <c r="U4" s="288"/>
      <c r="V4" s="277"/>
      <c r="W4" s="277"/>
      <c r="X4" s="278"/>
      <c r="Y4" s="278"/>
      <c r="Z4" s="279"/>
      <c r="AA4" s="280"/>
      <c r="AB4" s="281"/>
      <c r="AC4" s="275"/>
      <c r="AD4" s="273"/>
      <c r="AE4" s="282"/>
      <c r="AF4" s="283"/>
      <c r="AG4" s="154">
        <v>44955</v>
      </c>
      <c r="AH4" s="154">
        <v>44962</v>
      </c>
      <c r="AI4" s="154">
        <v>44969</v>
      </c>
      <c r="AJ4" s="154">
        <v>44976</v>
      </c>
      <c r="AK4" s="154">
        <v>44983</v>
      </c>
      <c r="AL4" s="154">
        <v>44990</v>
      </c>
      <c r="AM4" s="154">
        <v>44997</v>
      </c>
      <c r="AN4" s="154">
        <v>45004</v>
      </c>
      <c r="AO4" s="154">
        <v>45011</v>
      </c>
      <c r="AP4" s="154">
        <v>45018</v>
      </c>
      <c r="AQ4" s="154">
        <v>45025</v>
      </c>
      <c r="AR4" s="154">
        <v>45032</v>
      </c>
      <c r="AS4" s="154">
        <v>45039</v>
      </c>
      <c r="AT4" s="154">
        <v>45046</v>
      </c>
      <c r="AU4" s="154">
        <v>45053</v>
      </c>
      <c r="AV4" s="154">
        <v>45060</v>
      </c>
      <c r="AW4" s="154">
        <v>45067</v>
      </c>
      <c r="AX4" s="154">
        <v>45074</v>
      </c>
      <c r="AY4" s="154">
        <v>45081</v>
      </c>
      <c r="AZ4" s="154">
        <v>45088</v>
      </c>
      <c r="BA4" s="154">
        <v>45095</v>
      </c>
      <c r="BB4" s="154">
        <v>45102</v>
      </c>
      <c r="BC4" s="154">
        <v>45109</v>
      </c>
      <c r="BD4" s="154">
        <v>45116</v>
      </c>
      <c r="BE4" s="154">
        <v>45123</v>
      </c>
      <c r="BF4" s="154">
        <v>45130</v>
      </c>
      <c r="BG4" s="154">
        <v>45137</v>
      </c>
      <c r="BH4" s="154">
        <v>45144</v>
      </c>
      <c r="BI4" s="154">
        <v>45151</v>
      </c>
      <c r="BJ4" s="154">
        <v>45158</v>
      </c>
      <c r="BK4" s="154">
        <v>45165</v>
      </c>
      <c r="BL4" s="154">
        <v>45172</v>
      </c>
      <c r="BM4" s="154">
        <v>45179</v>
      </c>
      <c r="BN4" s="154">
        <v>45186</v>
      </c>
      <c r="BO4" s="154">
        <v>45193</v>
      </c>
      <c r="BP4" s="154">
        <v>45200</v>
      </c>
      <c r="BQ4" s="154">
        <v>45207</v>
      </c>
      <c r="BR4" s="154">
        <v>45214</v>
      </c>
      <c r="BS4" s="154">
        <v>45221</v>
      </c>
      <c r="BT4" s="154">
        <v>45228</v>
      </c>
      <c r="BU4" s="154">
        <v>45235</v>
      </c>
      <c r="BV4" s="154">
        <v>45242</v>
      </c>
      <c r="BW4" s="154">
        <v>45249</v>
      </c>
      <c r="BX4" s="154">
        <v>45256</v>
      </c>
      <c r="BY4" s="154">
        <v>45263</v>
      </c>
      <c r="BZ4" s="154">
        <v>45270</v>
      </c>
      <c r="CA4" s="154">
        <v>45277</v>
      </c>
      <c r="CB4" s="154">
        <v>45284</v>
      </c>
      <c r="CC4" s="154">
        <v>45291</v>
      </c>
      <c r="CD4" s="154">
        <v>45298</v>
      </c>
      <c r="CE4" s="154">
        <v>45305</v>
      </c>
      <c r="CF4" s="154">
        <v>45312</v>
      </c>
      <c r="CG4" s="154">
        <v>45319</v>
      </c>
      <c r="CH4" s="154">
        <v>45326</v>
      </c>
      <c r="CI4" s="154">
        <v>45333</v>
      </c>
      <c r="CJ4" s="154">
        <v>45340</v>
      </c>
      <c r="CK4" s="154">
        <v>45347</v>
      </c>
      <c r="CL4" s="154">
        <v>45354</v>
      </c>
      <c r="CM4" s="154">
        <v>45361</v>
      </c>
      <c r="CN4" s="154">
        <v>45368</v>
      </c>
      <c r="CO4" s="154">
        <v>45375</v>
      </c>
      <c r="CP4" s="154">
        <v>45382</v>
      </c>
      <c r="CQ4" s="154">
        <v>45389</v>
      </c>
      <c r="CR4" s="154">
        <v>45396</v>
      </c>
      <c r="CS4" s="154">
        <v>45403</v>
      </c>
      <c r="CT4" s="154">
        <v>45410</v>
      </c>
      <c r="CU4" s="154">
        <v>45417</v>
      </c>
      <c r="CV4" s="154">
        <v>45424</v>
      </c>
      <c r="CW4" s="154">
        <v>45431</v>
      </c>
      <c r="CX4" s="154">
        <v>45438</v>
      </c>
      <c r="CY4" s="154">
        <v>45445</v>
      </c>
      <c r="CZ4" s="154">
        <v>45452</v>
      </c>
      <c r="DA4" s="154">
        <v>45459</v>
      </c>
      <c r="DB4" s="154">
        <v>45466</v>
      </c>
      <c r="DC4" s="154">
        <v>45473</v>
      </c>
      <c r="DD4" s="154">
        <v>45480</v>
      </c>
      <c r="DE4" s="154">
        <v>45487</v>
      </c>
      <c r="DF4" s="154">
        <v>45494</v>
      </c>
      <c r="DG4" s="154">
        <v>45501</v>
      </c>
      <c r="DH4" s="154">
        <v>45508</v>
      </c>
      <c r="DI4" s="154">
        <v>45515</v>
      </c>
      <c r="DJ4" s="154">
        <v>45522</v>
      </c>
      <c r="DK4" s="154">
        <v>45529</v>
      </c>
      <c r="DL4" s="154">
        <v>45536</v>
      </c>
      <c r="DM4" s="154">
        <v>45543</v>
      </c>
      <c r="DN4" s="154">
        <v>45550</v>
      </c>
      <c r="DO4" s="154">
        <v>45557</v>
      </c>
      <c r="DP4" s="154">
        <v>45564</v>
      </c>
      <c r="DQ4" s="153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  <c r="IW4" s="152"/>
      <c r="IX4" s="152"/>
      <c r="IY4" s="152"/>
      <c r="IZ4" s="152"/>
      <c r="JA4" s="152"/>
      <c r="JB4" s="152"/>
      <c r="JC4" s="152"/>
      <c r="JD4" s="152"/>
      <c r="JE4" s="152"/>
      <c r="JF4" s="152"/>
      <c r="JG4" s="152"/>
      <c r="JH4" s="152"/>
      <c r="JI4" s="152"/>
      <c r="JJ4" s="152"/>
      <c r="JK4" s="152"/>
      <c r="JL4" s="152"/>
      <c r="JM4" s="152"/>
      <c r="JN4" s="152"/>
      <c r="JO4" s="152"/>
      <c r="JP4" s="152"/>
      <c r="JQ4" s="152"/>
      <c r="JR4" s="152"/>
      <c r="JS4" s="152"/>
      <c r="JT4" s="152"/>
      <c r="JU4" s="152"/>
      <c r="JV4" s="152"/>
      <c r="JW4" s="152"/>
      <c r="JX4" s="152"/>
      <c r="JY4" s="152"/>
      <c r="JZ4" s="152"/>
      <c r="KA4" s="152"/>
      <c r="KB4" s="152"/>
      <c r="KC4" s="152"/>
      <c r="KD4" s="152"/>
      <c r="KE4" s="152"/>
      <c r="KF4" s="152"/>
      <c r="KG4" s="152"/>
      <c r="KH4" s="152"/>
      <c r="KI4" s="152"/>
      <c r="KJ4" s="152"/>
      <c r="KK4" s="152"/>
      <c r="KL4" s="152"/>
      <c r="KM4" s="152"/>
      <c r="KN4" s="152"/>
      <c r="KO4" s="152"/>
      <c r="KP4" s="152"/>
      <c r="KQ4" s="152"/>
      <c r="KR4" s="152"/>
      <c r="KS4" s="152"/>
      <c r="KT4" s="152"/>
      <c r="KU4" s="152"/>
      <c r="KV4" s="152"/>
      <c r="KW4" s="152"/>
      <c r="KX4" s="152"/>
      <c r="KY4" s="152"/>
      <c r="KZ4" s="152"/>
      <c r="LA4" s="152"/>
      <c r="LB4" s="152"/>
      <c r="LC4" s="152"/>
      <c r="LD4" s="152"/>
      <c r="LE4" s="152"/>
      <c r="LF4" s="152"/>
      <c r="LG4" s="152"/>
      <c r="LH4" s="152"/>
      <c r="LI4" s="152"/>
      <c r="LJ4" s="152"/>
      <c r="LK4" s="152"/>
      <c r="LL4" s="152"/>
      <c r="LM4" s="152"/>
      <c r="LN4" s="152"/>
      <c r="LO4" s="152"/>
      <c r="LP4" s="152"/>
      <c r="LQ4" s="152"/>
      <c r="LR4" s="152"/>
      <c r="LS4" s="152"/>
      <c r="LT4" s="152"/>
      <c r="LU4" s="152"/>
      <c r="LV4" s="152"/>
      <c r="LW4" s="152"/>
      <c r="LX4" s="152"/>
      <c r="LY4" s="152"/>
      <c r="LZ4" s="152"/>
      <c r="MA4" s="152"/>
      <c r="MB4" s="152"/>
      <c r="MC4" s="152"/>
      <c r="MD4" s="152"/>
      <c r="ME4" s="152"/>
      <c r="MF4" s="152"/>
      <c r="MG4" s="152"/>
      <c r="MH4" s="152"/>
      <c r="MI4" s="152"/>
      <c r="MJ4" s="152"/>
      <c r="MK4" s="152"/>
      <c r="ML4" s="152"/>
      <c r="MM4" s="152"/>
      <c r="MN4" s="152"/>
      <c r="MO4" s="152"/>
      <c r="MP4" s="152"/>
      <c r="MQ4" s="152"/>
      <c r="MR4" s="152"/>
      <c r="MS4" s="152"/>
      <c r="MT4" s="152"/>
      <c r="MU4" s="152"/>
      <c r="MV4" s="152"/>
      <c r="MW4" s="152"/>
      <c r="MX4" s="152"/>
      <c r="MY4" s="152"/>
      <c r="MZ4" s="152"/>
      <c r="NA4" s="152"/>
      <c r="NB4" s="152"/>
      <c r="NC4" s="152"/>
      <c r="ND4" s="152"/>
      <c r="NE4" s="152"/>
      <c r="NF4" s="152"/>
      <c r="NG4" s="152"/>
      <c r="NH4" s="152"/>
      <c r="NI4" s="152"/>
      <c r="NJ4" s="152"/>
      <c r="NK4" s="152"/>
      <c r="NL4" s="152"/>
      <c r="NM4" s="152"/>
      <c r="NN4" s="152"/>
      <c r="NO4" s="152"/>
      <c r="NP4" s="152"/>
      <c r="NQ4" s="152"/>
      <c r="NR4" s="152"/>
      <c r="NS4" s="152"/>
      <c r="NT4" s="152"/>
      <c r="NU4" s="152"/>
      <c r="NV4" s="152"/>
      <c r="NW4" s="152"/>
      <c r="NX4" s="152"/>
      <c r="NY4" s="152"/>
      <c r="NZ4" s="152"/>
      <c r="OA4" s="152"/>
      <c r="OB4" s="152"/>
      <c r="OC4" s="152"/>
      <c r="OD4" s="152"/>
      <c r="OE4" s="152"/>
      <c r="OF4" s="152"/>
      <c r="OG4" s="152"/>
      <c r="OH4" s="152"/>
      <c r="OI4" s="152"/>
      <c r="OJ4" s="152"/>
      <c r="OK4" s="152"/>
      <c r="OL4" s="152"/>
      <c r="OM4" s="152"/>
      <c r="ON4" s="152"/>
      <c r="OO4" s="152"/>
      <c r="OP4" s="152"/>
      <c r="OQ4" s="152"/>
      <c r="OR4" s="152"/>
      <c r="OS4" s="152"/>
      <c r="OT4" s="152"/>
      <c r="OU4" s="152"/>
      <c r="OV4" s="152"/>
      <c r="OW4" s="152"/>
      <c r="OX4" s="152"/>
      <c r="OY4" s="152"/>
      <c r="OZ4" s="152"/>
      <c r="PA4" s="152"/>
      <c r="PB4" s="152"/>
      <c r="PC4" s="152"/>
      <c r="PD4" s="152"/>
      <c r="PE4" s="152"/>
      <c r="PF4" s="152"/>
      <c r="PG4" s="152"/>
      <c r="PH4" s="152"/>
      <c r="PI4" s="152"/>
      <c r="PJ4" s="152"/>
      <c r="PK4" s="152"/>
      <c r="PL4" s="152"/>
      <c r="PM4" s="152"/>
      <c r="PN4" s="152"/>
      <c r="PO4" s="152"/>
      <c r="PP4" s="152"/>
      <c r="PQ4" s="152"/>
      <c r="PR4" s="152"/>
      <c r="PS4" s="152"/>
      <c r="PT4" s="152"/>
      <c r="PU4" s="152"/>
      <c r="PV4" s="152"/>
      <c r="PW4" s="152"/>
      <c r="PX4" s="152"/>
      <c r="PY4" s="152"/>
      <c r="PZ4" s="152"/>
      <c r="QA4" s="152"/>
      <c r="QB4" s="152"/>
      <c r="QC4" s="152"/>
      <c r="QD4" s="152"/>
      <c r="QE4" s="152"/>
      <c r="QF4" s="152"/>
      <c r="QG4" s="152"/>
      <c r="QH4" s="152"/>
      <c r="QI4" s="152"/>
      <c r="QJ4" s="152"/>
      <c r="QK4" s="152"/>
      <c r="QL4" s="152"/>
      <c r="QM4" s="152"/>
      <c r="QN4" s="152"/>
      <c r="QO4" s="152"/>
      <c r="QP4" s="152"/>
      <c r="QQ4" s="152"/>
      <c r="QR4" s="152"/>
      <c r="QS4" s="152"/>
      <c r="QT4" s="152"/>
      <c r="QU4" s="152"/>
      <c r="QV4" s="152"/>
      <c r="QW4" s="152"/>
      <c r="QX4" s="152"/>
      <c r="QY4" s="152"/>
      <c r="QZ4" s="152"/>
      <c r="RA4" s="152"/>
      <c r="RB4" s="152"/>
      <c r="RC4" s="152"/>
      <c r="RD4" s="152"/>
      <c r="RE4" s="152"/>
      <c r="RF4" s="152"/>
      <c r="RG4" s="152"/>
      <c r="RH4" s="152"/>
      <c r="RI4" s="152"/>
      <c r="RJ4" s="152"/>
      <c r="RK4" s="152"/>
      <c r="RL4" s="152"/>
      <c r="RM4" s="152"/>
      <c r="RN4" s="152"/>
      <c r="RO4" s="152"/>
      <c r="RP4" s="152"/>
      <c r="RQ4" s="152"/>
      <c r="RR4" s="152"/>
      <c r="RS4" s="152"/>
      <c r="RT4" s="152"/>
      <c r="RU4" s="152"/>
      <c r="RV4" s="152"/>
      <c r="RW4" s="152"/>
      <c r="RX4" s="152"/>
      <c r="RY4" s="152"/>
      <c r="RZ4" s="152"/>
      <c r="SA4" s="152"/>
      <c r="SB4" s="152"/>
      <c r="SC4" s="152"/>
      <c r="SD4" s="152"/>
      <c r="SE4" s="152"/>
      <c r="SF4" s="152"/>
      <c r="SG4" s="152"/>
      <c r="SH4" s="152"/>
      <c r="SI4" s="152"/>
      <c r="SJ4" s="152"/>
      <c r="SK4" s="152"/>
      <c r="SL4" s="152"/>
      <c r="SM4" s="152"/>
      <c r="SN4" s="152"/>
      <c r="SO4" s="152"/>
      <c r="SP4" s="152"/>
      <c r="SQ4" s="152"/>
      <c r="SR4" s="152"/>
      <c r="SS4" s="152"/>
      <c r="ST4" s="152"/>
      <c r="SU4" s="152"/>
      <c r="SV4" s="152"/>
      <c r="SW4" s="152"/>
      <c r="SX4" s="152"/>
      <c r="SY4" s="152"/>
      <c r="SZ4" s="152"/>
      <c r="TA4" s="152"/>
      <c r="TB4" s="152"/>
      <c r="TC4" s="152"/>
      <c r="TD4" s="152"/>
      <c r="TE4" s="152"/>
      <c r="TF4" s="152"/>
      <c r="TG4" s="152"/>
      <c r="TH4" s="152"/>
      <c r="TI4" s="152"/>
      <c r="TJ4" s="152"/>
      <c r="TK4" s="152"/>
      <c r="TL4" s="152"/>
      <c r="TM4" s="152"/>
      <c r="TN4" s="152"/>
      <c r="TO4" s="152"/>
      <c r="TP4" s="152"/>
      <c r="TQ4" s="152"/>
      <c r="TR4" s="152"/>
      <c r="TS4" s="152"/>
      <c r="TT4" s="152"/>
      <c r="TU4" s="152"/>
      <c r="TV4" s="152"/>
      <c r="TW4" s="152"/>
      <c r="TX4" s="152"/>
      <c r="TY4" s="152"/>
      <c r="TZ4" s="152"/>
      <c r="UA4" s="152"/>
      <c r="UB4" s="152"/>
      <c r="UC4" s="152"/>
      <c r="UD4" s="152"/>
      <c r="UE4" s="152"/>
      <c r="UF4" s="152"/>
      <c r="UG4" s="152"/>
      <c r="UH4" s="152"/>
      <c r="UI4" s="152"/>
      <c r="UJ4" s="152"/>
      <c r="UK4" s="152"/>
      <c r="UL4" s="152"/>
      <c r="UM4" s="152"/>
      <c r="UN4" s="152"/>
      <c r="UO4" s="152"/>
      <c r="UP4" s="152"/>
      <c r="UQ4" s="152"/>
      <c r="UR4" s="152"/>
      <c r="US4" s="152"/>
      <c r="UT4" s="152"/>
      <c r="UU4" s="152"/>
      <c r="UV4" s="152"/>
      <c r="UW4" s="152"/>
      <c r="UX4" s="152"/>
      <c r="UY4" s="152"/>
      <c r="UZ4" s="152"/>
      <c r="VA4" s="152"/>
      <c r="VB4" s="152"/>
      <c r="VC4" s="152"/>
      <c r="VD4" s="152"/>
      <c r="VE4" s="152"/>
      <c r="VF4" s="152"/>
      <c r="VG4" s="152"/>
      <c r="VH4" s="152"/>
      <c r="VI4" s="152"/>
      <c r="VJ4" s="152"/>
      <c r="VK4" s="152"/>
      <c r="VL4" s="152"/>
      <c r="VM4" s="152"/>
      <c r="VN4" s="152"/>
      <c r="VO4" s="152"/>
      <c r="VP4" s="152"/>
      <c r="VQ4" s="152"/>
      <c r="VR4" s="152"/>
      <c r="VS4" s="152"/>
      <c r="VT4" s="152"/>
      <c r="VU4" s="152"/>
      <c r="VV4" s="152"/>
      <c r="VW4" s="152"/>
      <c r="VX4" s="152"/>
      <c r="VY4" s="152"/>
      <c r="VZ4" s="152"/>
      <c r="WA4" s="152"/>
      <c r="WB4" s="152"/>
      <c r="WC4" s="152"/>
      <c r="WD4" s="152"/>
      <c r="WE4" s="152"/>
      <c r="WF4" s="152"/>
      <c r="WG4" s="152"/>
      <c r="WH4" s="152"/>
      <c r="WI4" s="152"/>
      <c r="WJ4" s="152"/>
      <c r="WK4" s="152"/>
      <c r="WL4" s="152"/>
      <c r="WM4" s="152"/>
      <c r="WN4" s="152"/>
      <c r="WO4" s="152"/>
      <c r="WP4" s="152"/>
      <c r="WQ4" s="152"/>
      <c r="WR4" s="152"/>
      <c r="WS4" s="152"/>
      <c r="WT4" s="152"/>
      <c r="WU4" s="152"/>
      <c r="WV4" s="152"/>
      <c r="WW4" s="152"/>
      <c r="WX4" s="152"/>
      <c r="WY4" s="152"/>
      <c r="WZ4" s="152"/>
      <c r="XA4" s="152"/>
      <c r="XB4" s="152"/>
      <c r="XC4" s="152"/>
      <c r="XD4" s="152"/>
      <c r="XE4" s="152"/>
      <c r="XF4" s="152"/>
      <c r="XG4" s="152"/>
      <c r="XH4" s="152"/>
      <c r="XI4" s="152"/>
      <c r="XJ4" s="152"/>
      <c r="XK4" s="152"/>
      <c r="XL4" s="152"/>
      <c r="XM4" s="152"/>
      <c r="XN4" s="152"/>
      <c r="XO4" s="152"/>
      <c r="XP4" s="152"/>
      <c r="XQ4" s="152"/>
      <c r="XR4" s="152"/>
      <c r="XS4" s="152"/>
      <c r="XT4" s="152"/>
      <c r="XU4" s="152"/>
      <c r="XV4" s="152"/>
      <c r="XW4" s="152"/>
      <c r="XX4" s="152"/>
    </row>
    <row r="5" spans="1:648" ht="15" customHeight="1" x14ac:dyDescent="0.3">
      <c r="A5" s="100"/>
      <c r="B5" s="100" t="s">
        <v>298</v>
      </c>
      <c r="C5" s="99">
        <v>1</v>
      </c>
      <c r="D5" s="98" t="s">
        <v>1063</v>
      </c>
      <c r="E5" s="77" t="s">
        <v>1412</v>
      </c>
      <c r="Q5" s="97">
        <v>44958</v>
      </c>
      <c r="R5" s="97">
        <v>45046</v>
      </c>
      <c r="T5" s="72">
        <v>529</v>
      </c>
      <c r="U5" s="72">
        <v>274</v>
      </c>
      <c r="V5" s="72">
        <v>89</v>
      </c>
      <c r="W5" s="72">
        <v>43</v>
      </c>
      <c r="Z5" s="74">
        <v>0</v>
      </c>
      <c r="AA5" s="73">
        <v>0</v>
      </c>
      <c r="AE5" s="96">
        <v>0.51795841209829863</v>
      </c>
      <c r="AF5" s="109">
        <v>4.1493383742911151E-2</v>
      </c>
      <c r="AG5" s="94"/>
      <c r="AH5" s="94" t="str">
        <f>"" &amp; TEXT(AF5,"#0.00%") &amp; " "</f>
        <v xml:space="preserve">4.15% </v>
      </c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 t="str">
        <f>" " &amp; "설계" &amp; " " &amp; IF(Q5="","",TEXT(Q5,"M/D-")) &amp; IF(R5="","",TEXT(R5,"M/D")) &amp; " "</f>
        <v xml:space="preserve"> 설계 2/1-4/30 </v>
      </c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</row>
    <row r="6" spans="1:648" ht="15" customHeight="1" outlineLevel="1" x14ac:dyDescent="0.3">
      <c r="A6" s="100"/>
      <c r="B6" s="100" t="s">
        <v>298</v>
      </c>
      <c r="C6" s="99">
        <v>2</v>
      </c>
      <c r="D6" s="98" t="s">
        <v>1061</v>
      </c>
      <c r="F6" s="77" t="s">
        <v>242</v>
      </c>
      <c r="Q6" s="97">
        <v>44958</v>
      </c>
      <c r="R6" s="97">
        <v>45046</v>
      </c>
      <c r="T6" s="72">
        <v>529</v>
      </c>
      <c r="U6" s="72">
        <v>274</v>
      </c>
      <c r="V6" s="72">
        <v>89</v>
      </c>
      <c r="W6" s="72">
        <v>43</v>
      </c>
      <c r="Z6" s="74">
        <v>0</v>
      </c>
      <c r="AA6" s="73">
        <v>0</v>
      </c>
      <c r="AE6" s="96">
        <v>0.51795841209829863</v>
      </c>
      <c r="AF6" s="109">
        <v>4.1493383742911151E-2</v>
      </c>
      <c r="AG6" s="94"/>
      <c r="AH6" s="94" t="str">
        <f>"" &amp; TEXT(AF6,"#0.00%") &amp; " "</f>
        <v xml:space="preserve">4.15% </v>
      </c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 t="str">
        <f>" " &amp; "BOSK TN" &amp; " " &amp; IF(Q6="","",TEXT(Q6,"M/D-")) &amp; IF(R6="","",TEXT(R6,"M/D")) &amp; " "</f>
        <v xml:space="preserve"> BOSK TN 2/1-4/30 </v>
      </c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</row>
    <row r="7" spans="1:648" ht="15" customHeight="1" outlineLevel="2" x14ac:dyDescent="0.3">
      <c r="A7" s="100"/>
      <c r="B7" s="100"/>
      <c r="C7" s="99">
        <v>3</v>
      </c>
      <c r="D7" s="98" t="s">
        <v>1060</v>
      </c>
      <c r="G7" s="77" t="s">
        <v>1411</v>
      </c>
      <c r="Q7" s="97">
        <v>44958</v>
      </c>
      <c r="R7" s="97">
        <v>44985</v>
      </c>
      <c r="T7" s="72">
        <v>28</v>
      </c>
      <c r="U7" s="72">
        <v>28</v>
      </c>
      <c r="V7" s="72">
        <v>28</v>
      </c>
      <c r="W7" s="72">
        <v>28</v>
      </c>
      <c r="AA7" s="73">
        <v>0</v>
      </c>
      <c r="AB7" s="72">
        <v>1</v>
      </c>
      <c r="AE7" s="96">
        <v>1</v>
      </c>
      <c r="AF7" s="108">
        <v>0.11</v>
      </c>
      <c r="AG7" s="94" t="str">
        <f>"      " &amp; TEXT(AF7,"#0.00%") &amp; " "</f>
        <v xml:space="preserve">      11.00% </v>
      </c>
      <c r="AH7" s="94"/>
      <c r="AI7" s="94"/>
      <c r="AJ7" s="94"/>
      <c r="AK7" s="94" t="str">
        <f>"   " &amp; "Layout" &amp; " " &amp; IF(Q7="","",TEXT(Q7,"M/D-")) &amp; IF(R7="","",TEXT(R7,"M/D")) &amp; " "</f>
        <v xml:space="preserve">   Layout 2/1-2/28 </v>
      </c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</row>
    <row r="8" spans="1:648" ht="15" customHeight="1" outlineLevel="2" x14ac:dyDescent="0.3">
      <c r="A8" s="100"/>
      <c r="B8" s="100" t="s">
        <v>298</v>
      </c>
      <c r="C8" s="99">
        <v>3</v>
      </c>
      <c r="D8" s="98" t="s">
        <v>1012</v>
      </c>
      <c r="G8" s="77" t="s">
        <v>640</v>
      </c>
      <c r="Q8" s="97">
        <v>44958</v>
      </c>
      <c r="R8" s="97">
        <v>45031</v>
      </c>
      <c r="T8" s="72">
        <v>127</v>
      </c>
      <c r="U8" s="72">
        <v>86</v>
      </c>
      <c r="V8" s="72">
        <v>74</v>
      </c>
      <c r="W8" s="72">
        <v>43</v>
      </c>
      <c r="Z8" s="74">
        <v>0</v>
      </c>
      <c r="AA8" s="73">
        <v>0</v>
      </c>
      <c r="AE8" s="96">
        <v>0.67716535433070868</v>
      </c>
      <c r="AF8" s="109">
        <v>5.2834645669291344E-2</v>
      </c>
      <c r="AG8" s="94"/>
      <c r="AH8" s="94" t="str">
        <f>"" &amp; TEXT(AF8,"#0.00%") &amp; " "</f>
        <v xml:space="preserve">5.28% </v>
      </c>
      <c r="AI8" s="94"/>
      <c r="AJ8" s="94"/>
      <c r="AK8" s="94"/>
      <c r="AL8" s="94"/>
      <c r="AM8" s="94"/>
      <c r="AN8" s="94"/>
      <c r="AO8" s="94"/>
      <c r="AP8" s="94"/>
      <c r="AQ8" s="94"/>
      <c r="AR8" s="94" t="str">
        <f>"" &amp; "Rack" &amp; " " &amp; IF(Q8="","",TEXT(Q8,"M/D-")) &amp; IF(R8="","",TEXT(R8,"M/D")) &amp; " "</f>
        <v xml:space="preserve">Rack 2/1-4/15 </v>
      </c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</row>
    <row r="9" spans="1:648" ht="15" customHeight="1" outlineLevel="3" x14ac:dyDescent="0.3">
      <c r="A9" s="100"/>
      <c r="B9" s="100"/>
      <c r="C9" s="99">
        <v>4</v>
      </c>
      <c r="D9" s="98" t="s">
        <v>1011</v>
      </c>
      <c r="H9" s="77" t="s">
        <v>1390</v>
      </c>
      <c r="Q9" s="97">
        <v>45017</v>
      </c>
      <c r="R9" s="97">
        <v>45026</v>
      </c>
      <c r="T9" s="72">
        <v>10</v>
      </c>
      <c r="U9" s="72">
        <v>0</v>
      </c>
      <c r="V9" s="72">
        <v>10</v>
      </c>
      <c r="W9" s="72">
        <v>0</v>
      </c>
      <c r="AA9" s="73">
        <v>0</v>
      </c>
      <c r="AB9" s="72">
        <v>1</v>
      </c>
      <c r="AE9" s="96">
        <v>0</v>
      </c>
      <c r="AF9" s="95">
        <v>0</v>
      </c>
      <c r="AG9" s="94"/>
      <c r="AH9" s="94"/>
      <c r="AI9" s="94"/>
      <c r="AJ9" s="94"/>
      <c r="AK9" s="94"/>
      <c r="AL9" s="94"/>
      <c r="AM9" s="94"/>
      <c r="AN9" s="94"/>
      <c r="AO9" s="94" t="str">
        <f>"      " &amp; TEXT(AF9,"#0.00%") &amp; " " &amp; "DR" &amp; " " &amp; IF(Q9="","",TEXT(Q9,"M/D-")) &amp; IF(R9="","",TEXT(R9,"M/D")) &amp; " "</f>
        <v xml:space="preserve">      0.00% DR 4/1-4/10 </v>
      </c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</row>
    <row r="10" spans="1:648" ht="15" customHeight="1" outlineLevel="3" x14ac:dyDescent="0.3">
      <c r="A10" s="100"/>
      <c r="B10" s="100" t="s">
        <v>298</v>
      </c>
      <c r="C10" s="99">
        <v>4</v>
      </c>
      <c r="D10" s="98" t="s">
        <v>1010</v>
      </c>
      <c r="H10" s="77" t="s">
        <v>1410</v>
      </c>
      <c r="Q10" s="97">
        <v>44958</v>
      </c>
      <c r="R10" s="97">
        <v>45031</v>
      </c>
      <c r="T10" s="72">
        <v>117</v>
      </c>
      <c r="U10" s="72">
        <v>86</v>
      </c>
      <c r="V10" s="72">
        <v>74</v>
      </c>
      <c r="W10" s="72">
        <v>43</v>
      </c>
      <c r="Z10" s="74">
        <v>0</v>
      </c>
      <c r="AA10" s="73">
        <v>0</v>
      </c>
      <c r="AE10" s="96">
        <v>0.7350427350427351</v>
      </c>
      <c r="AF10" s="109">
        <v>5.7350427350427356E-2</v>
      </c>
      <c r="AG10" s="94"/>
      <c r="AH10" s="94" t="str">
        <f>"" &amp; TEXT(AF10,"#0.00%") &amp; " "</f>
        <v xml:space="preserve">5.74% </v>
      </c>
      <c r="AI10" s="94"/>
      <c r="AJ10" s="94"/>
      <c r="AK10" s="94"/>
      <c r="AL10" s="94"/>
      <c r="AM10" s="94"/>
      <c r="AN10" s="94"/>
      <c r="AO10" s="94"/>
      <c r="AP10" s="94"/>
      <c r="AQ10" s="94"/>
      <c r="AR10" s="94" t="str">
        <f>"" &amp; "Aging 창고" &amp; " " &amp; IF(Q10="","",TEXT(Q10,"M/D-")) &amp; IF(R10="","",TEXT(R10,"M/D")) &amp; " "</f>
        <v xml:space="preserve">Aging 창고 2/1-4/15 </v>
      </c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</row>
    <row r="11" spans="1:648" ht="15" customHeight="1" outlineLevel="4" x14ac:dyDescent="0.3">
      <c r="A11" s="100"/>
      <c r="B11" s="100"/>
      <c r="C11" s="99">
        <v>5</v>
      </c>
      <c r="D11" s="98" t="s">
        <v>1409</v>
      </c>
      <c r="I11" s="77" t="s">
        <v>1408</v>
      </c>
      <c r="Q11" s="97">
        <v>44958</v>
      </c>
      <c r="R11" s="97">
        <v>45000</v>
      </c>
      <c r="T11" s="72">
        <v>43</v>
      </c>
      <c r="U11" s="72">
        <v>43</v>
      </c>
      <c r="V11" s="72">
        <v>43</v>
      </c>
      <c r="W11" s="72">
        <v>43</v>
      </c>
      <c r="AA11" s="73">
        <v>0</v>
      </c>
      <c r="AB11" s="72">
        <v>1</v>
      </c>
      <c r="AE11" s="96">
        <v>1</v>
      </c>
      <c r="AF11" s="108">
        <v>7.0000000000000007E-2</v>
      </c>
      <c r="AG11" s="94" t="str">
        <f>"      " &amp; TEXT(AF11,"#0.00%") &amp; " "</f>
        <v xml:space="preserve">      7.00% </v>
      </c>
      <c r="AH11" s="94"/>
      <c r="AI11" s="94"/>
      <c r="AJ11" s="94"/>
      <c r="AK11" s="94"/>
      <c r="AL11" s="94"/>
      <c r="AM11" s="94" t="str">
        <f>"    " &amp; "Layout 확정 및 기초설계" &amp; " " &amp; IF(Q11="","",TEXT(Q11,"M/D-")) &amp; IF(R11="","",TEXT(R11,"M/D")) &amp; " "</f>
        <v xml:space="preserve">    Layout 확정 및 기초설계 2/1-3/15 </v>
      </c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</row>
    <row r="12" spans="1:648" ht="15" customHeight="1" outlineLevel="4" x14ac:dyDescent="0.3">
      <c r="A12" s="100"/>
      <c r="B12" s="100"/>
      <c r="C12" s="99">
        <v>5</v>
      </c>
      <c r="D12" s="98" t="s">
        <v>1407</v>
      </c>
      <c r="I12" s="77" t="s">
        <v>1406</v>
      </c>
      <c r="Q12" s="97">
        <v>44958</v>
      </c>
      <c r="R12" s="97">
        <v>45031</v>
      </c>
      <c r="T12" s="72">
        <v>74</v>
      </c>
      <c r="U12" s="72">
        <v>43</v>
      </c>
      <c r="V12" s="72">
        <v>74</v>
      </c>
      <c r="W12" s="72">
        <v>43</v>
      </c>
      <c r="AA12" s="73">
        <v>0</v>
      </c>
      <c r="AB12" s="72">
        <v>1</v>
      </c>
      <c r="AE12" s="96">
        <v>0.58108108108108103</v>
      </c>
      <c r="AF12" s="108">
        <v>0.05</v>
      </c>
      <c r="AG12" s="94"/>
      <c r="AH12" s="94" t="str">
        <f>"" &amp; TEXT(AF12,"#0.00%") &amp; " "</f>
        <v xml:space="preserve">5.00% </v>
      </c>
      <c r="AI12" s="94"/>
      <c r="AJ12" s="94"/>
      <c r="AK12" s="94"/>
      <c r="AL12" s="94"/>
      <c r="AM12" s="94"/>
      <c r="AN12" s="94"/>
      <c r="AO12" s="94"/>
      <c r="AP12" s="94"/>
      <c r="AQ12" s="94"/>
      <c r="AR12" s="94" t="str">
        <f>"" &amp; "상세설계" &amp; " " &amp; IF(Q12="","",TEXT(Q12,"M/D-")) &amp; IF(R12="","",TEXT(R12,"M/D")) &amp; " "</f>
        <v xml:space="preserve">상세설계 2/1-4/15 </v>
      </c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</row>
    <row r="13" spans="1:648" ht="15" customHeight="1" outlineLevel="2" x14ac:dyDescent="0.3">
      <c r="A13" s="100"/>
      <c r="B13" s="100" t="s">
        <v>298</v>
      </c>
      <c r="C13" s="99">
        <v>3</v>
      </c>
      <c r="D13" s="98" t="s">
        <v>958</v>
      </c>
      <c r="G13" s="77" t="s">
        <v>1272</v>
      </c>
      <c r="Q13" s="97">
        <v>44958</v>
      </c>
      <c r="R13" s="97">
        <v>45046</v>
      </c>
      <c r="T13" s="72">
        <v>359</v>
      </c>
      <c r="U13" s="72">
        <v>160</v>
      </c>
      <c r="V13" s="72">
        <v>89</v>
      </c>
      <c r="W13" s="72">
        <v>43</v>
      </c>
      <c r="Z13" s="74">
        <v>0</v>
      </c>
      <c r="AA13" s="73">
        <v>0</v>
      </c>
      <c r="AE13" s="96">
        <v>0.44568245125348188</v>
      </c>
      <c r="AF13" s="109">
        <v>3.3871866295264626E-2</v>
      </c>
      <c r="AG13" s="94" t="str">
        <f>"      " &amp; TEXT(AF13,"#0.00%") &amp; " "</f>
        <v xml:space="preserve">      3.39% </v>
      </c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 t="str">
        <f>" " &amp; "MSC Crane" &amp; " " &amp; IF(Q13="","",TEXT(Q13,"M/D-")) &amp; IF(R13="","",TEXT(R13,"M/D")) &amp; " "</f>
        <v xml:space="preserve"> MSC Crane 2/1-4/30 </v>
      </c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</row>
    <row r="14" spans="1:648" ht="15" customHeight="1" outlineLevel="3" x14ac:dyDescent="0.3">
      <c r="A14" s="100"/>
      <c r="B14" s="100"/>
      <c r="C14" s="99">
        <v>4</v>
      </c>
      <c r="D14" s="98" t="s">
        <v>957</v>
      </c>
      <c r="H14" s="77" t="s">
        <v>1405</v>
      </c>
      <c r="P14" s="105"/>
      <c r="Q14" s="97">
        <v>44972</v>
      </c>
      <c r="R14" s="97">
        <v>44985</v>
      </c>
      <c r="S14" s="75"/>
      <c r="T14" s="111">
        <v>14</v>
      </c>
      <c r="U14" s="72">
        <v>14</v>
      </c>
      <c r="V14" s="72">
        <v>14</v>
      </c>
      <c r="W14" s="72">
        <v>14</v>
      </c>
      <c r="X14" s="72"/>
      <c r="Z14" s="75"/>
      <c r="AA14" s="74">
        <v>0</v>
      </c>
      <c r="AB14" s="73">
        <v>1</v>
      </c>
      <c r="AC14" s="72"/>
      <c r="AE14" s="96">
        <v>1</v>
      </c>
      <c r="AF14" s="108">
        <v>0</v>
      </c>
      <c r="AG14" s="94"/>
      <c r="AH14" s="94"/>
      <c r="AI14" s="94" t="str">
        <f>"   " &amp; TEXT(AF14,"#0.00%") &amp; " " &amp; "장납기 구매품 발주(모터류)" &amp; " " &amp; IF(Q14="","",TEXT(Q14,"M/D-")) &amp; IF(R14="","",TEXT(R14,"M/D")) &amp; " "</f>
        <v xml:space="preserve">   0.00% 장납기 구매품 발주(모터류) 2/15-2/28 </v>
      </c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</row>
    <row r="15" spans="1:648" ht="15" customHeight="1" outlineLevel="3" x14ac:dyDescent="0.3">
      <c r="A15" s="100"/>
      <c r="B15" s="100"/>
      <c r="C15" s="99">
        <v>4</v>
      </c>
      <c r="D15" s="98" t="s">
        <v>956</v>
      </c>
      <c r="H15" s="77" t="s">
        <v>1390</v>
      </c>
      <c r="Q15" s="97">
        <v>45017</v>
      </c>
      <c r="R15" s="97">
        <v>45031</v>
      </c>
      <c r="T15" s="72">
        <v>15</v>
      </c>
      <c r="U15" s="72">
        <v>0</v>
      </c>
      <c r="V15" s="72">
        <v>15</v>
      </c>
      <c r="W15" s="72">
        <v>0</v>
      </c>
      <c r="AA15" s="73">
        <v>0</v>
      </c>
      <c r="AB15" s="72">
        <v>1</v>
      </c>
      <c r="AE15" s="96">
        <v>0</v>
      </c>
      <c r="AF15" s="95">
        <v>0</v>
      </c>
      <c r="AG15" s="94"/>
      <c r="AH15" s="94"/>
      <c r="AI15" s="94"/>
      <c r="AJ15" s="94"/>
      <c r="AK15" s="94"/>
      <c r="AL15" s="94"/>
      <c r="AM15" s="94"/>
      <c r="AN15" s="94"/>
      <c r="AO15" s="94" t="str">
        <f>"      " &amp; TEXT(AF15,"#0.00%") &amp; " " &amp; "DR" &amp; " " &amp; IF(Q15="","",TEXT(Q15,"M/D-")) &amp; IF(R15="","",TEXT(R15,"M/D")) &amp; " "</f>
        <v xml:space="preserve">      0.00% DR 4/1-4/15 </v>
      </c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</row>
    <row r="16" spans="1:648" ht="15" customHeight="1" outlineLevel="3" x14ac:dyDescent="0.3">
      <c r="A16" s="100"/>
      <c r="B16" s="100" t="s">
        <v>298</v>
      </c>
      <c r="C16" s="99">
        <v>4</v>
      </c>
      <c r="D16" s="98" t="s">
        <v>955</v>
      </c>
      <c r="H16" s="77" t="s">
        <v>1404</v>
      </c>
      <c r="Q16" s="97">
        <v>44958</v>
      </c>
      <c r="R16" s="97">
        <v>45046</v>
      </c>
      <c r="T16" s="72">
        <v>165</v>
      </c>
      <c r="U16" s="72">
        <v>73</v>
      </c>
      <c r="V16" s="72">
        <v>89</v>
      </c>
      <c r="W16" s="72">
        <v>43</v>
      </c>
      <c r="Z16" s="74">
        <v>0</v>
      </c>
      <c r="AA16" s="73">
        <v>0</v>
      </c>
      <c r="AE16" s="96">
        <v>0.44242424242424244</v>
      </c>
      <c r="AF16" s="109">
        <v>3.6848484848484846E-2</v>
      </c>
      <c r="AG16" s="94" t="str">
        <f>"      " &amp; TEXT(AF16,"#0.00%") &amp; " "</f>
        <v xml:space="preserve">      3.68% </v>
      </c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 t="str">
        <f>" " &amp; "상온/고온 Aging, 충방전" &amp; " " &amp; IF(Q16="","",TEXT(Q16,"M/D-")) &amp; IF(R16="","",TEXT(R16,"M/D")) &amp; " "</f>
        <v xml:space="preserve"> 상온/고온 Aging, 충방전 2/1-4/30 </v>
      </c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</row>
    <row r="17" spans="1:121" ht="15" customHeight="1" outlineLevel="4" x14ac:dyDescent="0.3">
      <c r="A17" s="100"/>
      <c r="B17" s="100"/>
      <c r="C17" s="99">
        <v>5</v>
      </c>
      <c r="D17" s="98" t="s">
        <v>1403</v>
      </c>
      <c r="I17" s="77" t="s">
        <v>1398</v>
      </c>
      <c r="Q17" s="97">
        <v>44958</v>
      </c>
      <c r="R17" s="97">
        <v>44972</v>
      </c>
      <c r="T17" s="72">
        <v>15</v>
      </c>
      <c r="U17" s="72">
        <v>15</v>
      </c>
      <c r="V17" s="72">
        <v>15</v>
      </c>
      <c r="W17" s="72">
        <v>15</v>
      </c>
      <c r="AA17" s="73">
        <v>0</v>
      </c>
      <c r="AB17" s="72">
        <v>1</v>
      </c>
      <c r="AE17" s="96">
        <v>1</v>
      </c>
      <c r="AF17" s="108">
        <v>0.2</v>
      </c>
      <c r="AG17" s="94" t="str">
        <f>"      " &amp; TEXT(AF17,"#0.00%") &amp; " " &amp; "Concept (R/Sketch)" &amp; " " &amp; IF(Q17="","",TEXT(Q17,"M/D-")) &amp; IF(R17="","",TEXT(R17,"M/D")) &amp; " "</f>
        <v xml:space="preserve">      20.00% Concept (R/Sketch) 2/1-2/15 </v>
      </c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</row>
    <row r="18" spans="1:121" ht="15" customHeight="1" outlineLevel="4" x14ac:dyDescent="0.3">
      <c r="A18" s="100"/>
      <c r="B18" s="100"/>
      <c r="C18" s="99">
        <v>5</v>
      </c>
      <c r="D18" s="98" t="s">
        <v>1402</v>
      </c>
      <c r="I18" s="77" t="s">
        <v>1396</v>
      </c>
      <c r="Q18" s="97">
        <v>44958</v>
      </c>
      <c r="R18" s="97">
        <v>44985</v>
      </c>
      <c r="T18" s="72">
        <v>28</v>
      </c>
      <c r="U18" s="72">
        <v>28</v>
      </c>
      <c r="V18" s="72">
        <v>28</v>
      </c>
      <c r="W18" s="72">
        <v>28</v>
      </c>
      <c r="AA18" s="73">
        <v>0</v>
      </c>
      <c r="AB18" s="72">
        <v>1</v>
      </c>
      <c r="AE18" s="96">
        <v>1</v>
      </c>
      <c r="AF18" s="108">
        <v>0.11</v>
      </c>
      <c r="AG18" s="94" t="str">
        <f>"      " &amp; TEXT(AF18,"#0.00%") &amp; " "</f>
        <v xml:space="preserve">      11.00% </v>
      </c>
      <c r="AH18" s="94"/>
      <c r="AI18" s="94"/>
      <c r="AJ18" s="94"/>
      <c r="AK18" s="94" t="str">
        <f>"   " &amp; "Assy" &amp; " " &amp; IF(Q18="","",TEXT(Q18,"M/D-")) &amp; IF(R18="","",TEXT(R18,"M/D")) &amp; " "</f>
        <v xml:space="preserve">   Assy 2/1-2/28 </v>
      </c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</row>
    <row r="19" spans="1:121" ht="15" customHeight="1" outlineLevel="4" x14ac:dyDescent="0.3">
      <c r="A19" s="100"/>
      <c r="B19" s="100"/>
      <c r="C19" s="99">
        <v>5</v>
      </c>
      <c r="D19" s="98" t="s">
        <v>1401</v>
      </c>
      <c r="I19" s="77" t="s">
        <v>1394</v>
      </c>
      <c r="Q19" s="97">
        <v>44986</v>
      </c>
      <c r="R19" s="97">
        <v>45046</v>
      </c>
      <c r="T19" s="72">
        <v>61</v>
      </c>
      <c r="U19" s="72">
        <v>15</v>
      </c>
      <c r="V19" s="72">
        <v>61</v>
      </c>
      <c r="W19" s="72">
        <v>15</v>
      </c>
      <c r="AA19" s="73">
        <v>0</v>
      </c>
      <c r="AB19" s="72">
        <v>1</v>
      </c>
      <c r="AE19" s="96">
        <v>0.24590163934426229</v>
      </c>
      <c r="AF19" s="108">
        <v>0</v>
      </c>
      <c r="AG19" s="94"/>
      <c r="AH19" s="94"/>
      <c r="AI19" s="94"/>
      <c r="AJ19" s="94"/>
      <c r="AK19" s="94" t="str">
        <f>"   " &amp; TEXT(AF19,"#0.00%") &amp; " "</f>
        <v xml:space="preserve">   0.00% </v>
      </c>
      <c r="AL19" s="94"/>
      <c r="AM19" s="94"/>
      <c r="AN19" s="94"/>
      <c r="AO19" s="94"/>
      <c r="AP19" s="94"/>
      <c r="AQ19" s="94"/>
      <c r="AR19" s="94"/>
      <c r="AS19" s="94"/>
      <c r="AT19" s="94" t="str">
        <f>" " &amp; "Part - (Main Frame)" &amp; " " &amp; IF(Q19="","",TEXT(Q19,"M/D-")) &amp; IF(R19="","",TEXT(R19,"M/D")) &amp; " "</f>
        <v xml:space="preserve"> Part - (Main Frame) 3/1-4/30 </v>
      </c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</row>
    <row r="20" spans="1:121" ht="15" customHeight="1" outlineLevel="4" x14ac:dyDescent="0.3">
      <c r="A20" s="100"/>
      <c r="B20" s="100"/>
      <c r="C20" s="99">
        <v>5</v>
      </c>
      <c r="D20" s="98" t="s">
        <v>1400</v>
      </c>
      <c r="I20" s="77" t="s">
        <v>1392</v>
      </c>
      <c r="Q20" s="97">
        <v>44986</v>
      </c>
      <c r="R20" s="97">
        <v>45046</v>
      </c>
      <c r="T20" s="72">
        <v>61</v>
      </c>
      <c r="U20" s="72">
        <v>15</v>
      </c>
      <c r="V20" s="72">
        <v>61</v>
      </c>
      <c r="W20" s="72">
        <v>15</v>
      </c>
      <c r="AA20" s="73">
        <v>0</v>
      </c>
      <c r="AB20" s="72">
        <v>1</v>
      </c>
      <c r="AE20" s="96">
        <v>0.24590163934426229</v>
      </c>
      <c r="AF20" s="108">
        <v>0</v>
      </c>
      <c r="AG20" s="94"/>
      <c r="AH20" s="94"/>
      <c r="AI20" s="94"/>
      <c r="AJ20" s="94"/>
      <c r="AK20" s="94" t="str">
        <f>"   " &amp; TEXT(AF20,"#0.00%") &amp; " "</f>
        <v xml:space="preserve">   0.00% </v>
      </c>
      <c r="AL20" s="94"/>
      <c r="AM20" s="94"/>
      <c r="AN20" s="94"/>
      <c r="AO20" s="94"/>
      <c r="AP20" s="94"/>
      <c r="AQ20" s="94"/>
      <c r="AR20" s="94"/>
      <c r="AS20" s="94"/>
      <c r="AT20" s="94" t="str">
        <f>" " &amp; "Part - (Carriage/Fork)" &amp; " " &amp; IF(Q20="","",TEXT(Q20,"M/D-")) &amp; IF(R20="","",TEXT(R20,"M/D")) &amp; " "</f>
        <v xml:space="preserve"> Part - (Carriage/Fork) 3/1-4/30 </v>
      </c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</row>
    <row r="21" spans="1:121" ht="15" customHeight="1" outlineLevel="3" x14ac:dyDescent="0.3">
      <c r="A21" s="100"/>
      <c r="B21" s="100" t="s">
        <v>298</v>
      </c>
      <c r="C21" s="99">
        <v>4</v>
      </c>
      <c r="D21" s="98" t="s">
        <v>954</v>
      </c>
      <c r="H21" s="77" t="s">
        <v>1345</v>
      </c>
      <c r="Q21" s="97">
        <v>44958</v>
      </c>
      <c r="R21" s="97">
        <v>45046</v>
      </c>
      <c r="T21" s="72">
        <v>165</v>
      </c>
      <c r="U21" s="72">
        <v>73</v>
      </c>
      <c r="V21" s="72">
        <v>89</v>
      </c>
      <c r="W21" s="72">
        <v>43</v>
      </c>
      <c r="Z21" s="74">
        <v>0</v>
      </c>
      <c r="AA21" s="73">
        <v>0</v>
      </c>
      <c r="AE21" s="96">
        <v>0.44242424242424244</v>
      </c>
      <c r="AF21" s="109">
        <v>3.6848484848484846E-2</v>
      </c>
      <c r="AG21" s="94" t="str">
        <f>"      " &amp; TEXT(AF21,"#0.00%") &amp; " "</f>
        <v xml:space="preserve">      3.68% </v>
      </c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 t="str">
        <f>" " &amp; "PPC" &amp; " " &amp; IF(Q21="","",TEXT(Q21,"M/D-")) &amp; IF(R21="","",TEXT(R21,"M/D")) &amp; " "</f>
        <v xml:space="preserve"> PPC 2/1-4/30 </v>
      </c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</row>
    <row r="22" spans="1:121" ht="15" customHeight="1" outlineLevel="4" x14ac:dyDescent="0.3">
      <c r="A22" s="100"/>
      <c r="B22" s="100"/>
      <c r="C22" s="99">
        <v>5</v>
      </c>
      <c r="D22" s="98" t="s">
        <v>1399</v>
      </c>
      <c r="I22" s="77" t="s">
        <v>1398</v>
      </c>
      <c r="Q22" s="97">
        <v>44958</v>
      </c>
      <c r="R22" s="97">
        <v>44972</v>
      </c>
      <c r="T22" s="72">
        <v>15</v>
      </c>
      <c r="U22" s="72">
        <v>15</v>
      </c>
      <c r="V22" s="72">
        <v>15</v>
      </c>
      <c r="W22" s="72">
        <v>15</v>
      </c>
      <c r="AA22" s="73">
        <v>0</v>
      </c>
      <c r="AB22" s="72">
        <v>1</v>
      </c>
      <c r="AE22" s="96">
        <v>1</v>
      </c>
      <c r="AF22" s="108">
        <v>0.2</v>
      </c>
      <c r="AG22" s="94" t="str">
        <f>"      " &amp; TEXT(AF22,"#0.00%") &amp; " " &amp; "Concept (R/Sketch)" &amp; " " &amp; IF(Q22="","",TEXT(Q22,"M/D-")) &amp; IF(R22="","",TEXT(R22,"M/D")) &amp; " "</f>
        <v xml:space="preserve">      20.00% Concept (R/Sketch) 2/1-2/15 </v>
      </c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</row>
    <row r="23" spans="1:121" ht="15" customHeight="1" outlineLevel="4" x14ac:dyDescent="0.3">
      <c r="A23" s="100"/>
      <c r="B23" s="100"/>
      <c r="C23" s="99">
        <v>5</v>
      </c>
      <c r="D23" s="98" t="s">
        <v>1397</v>
      </c>
      <c r="I23" s="77" t="s">
        <v>1396</v>
      </c>
      <c r="Q23" s="97">
        <v>44958</v>
      </c>
      <c r="R23" s="97">
        <v>44985</v>
      </c>
      <c r="T23" s="72">
        <v>28</v>
      </c>
      <c r="U23" s="72">
        <v>28</v>
      </c>
      <c r="V23" s="72">
        <v>28</v>
      </c>
      <c r="W23" s="72">
        <v>28</v>
      </c>
      <c r="AA23" s="73">
        <v>0</v>
      </c>
      <c r="AB23" s="72">
        <v>1</v>
      </c>
      <c r="AE23" s="96">
        <v>1</v>
      </c>
      <c r="AF23" s="108">
        <v>0.11</v>
      </c>
      <c r="AG23" s="94" t="str">
        <f>"      " &amp; TEXT(AF23,"#0.00%") &amp; " "</f>
        <v xml:space="preserve">      11.00% </v>
      </c>
      <c r="AH23" s="94"/>
      <c r="AI23" s="94"/>
      <c r="AJ23" s="94"/>
      <c r="AK23" s="94" t="str">
        <f>"   " &amp; "Assy" &amp; " " &amp; IF(Q23="","",TEXT(Q23,"M/D-")) &amp; IF(R23="","",TEXT(R23,"M/D")) &amp; " "</f>
        <v xml:space="preserve">   Assy 2/1-2/28 </v>
      </c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</row>
    <row r="24" spans="1:121" ht="15" customHeight="1" outlineLevel="4" x14ac:dyDescent="0.3">
      <c r="A24" s="100"/>
      <c r="B24" s="100"/>
      <c r="C24" s="99">
        <v>5</v>
      </c>
      <c r="D24" s="98" t="s">
        <v>1395</v>
      </c>
      <c r="I24" s="77" t="s">
        <v>1394</v>
      </c>
      <c r="Q24" s="97">
        <v>44986</v>
      </c>
      <c r="R24" s="97">
        <v>45046</v>
      </c>
      <c r="T24" s="72">
        <v>61</v>
      </c>
      <c r="U24" s="72">
        <v>15</v>
      </c>
      <c r="V24" s="72">
        <v>61</v>
      </c>
      <c r="W24" s="72">
        <v>15</v>
      </c>
      <c r="AA24" s="73">
        <v>0</v>
      </c>
      <c r="AB24" s="72">
        <v>1</v>
      </c>
      <c r="AE24" s="96">
        <v>0.24590163934426229</v>
      </c>
      <c r="AF24" s="108">
        <v>0</v>
      </c>
      <c r="AG24" s="94"/>
      <c r="AH24" s="94"/>
      <c r="AI24" s="94"/>
      <c r="AJ24" s="94"/>
      <c r="AK24" s="94" t="str">
        <f>"   " &amp; TEXT(AF24,"#0.00%") &amp; " "</f>
        <v xml:space="preserve">   0.00% </v>
      </c>
      <c r="AL24" s="94"/>
      <c r="AM24" s="94"/>
      <c r="AN24" s="94"/>
      <c r="AO24" s="94"/>
      <c r="AP24" s="94"/>
      <c r="AQ24" s="94"/>
      <c r="AR24" s="94"/>
      <c r="AS24" s="94"/>
      <c r="AT24" s="94" t="str">
        <f>" " &amp; "Part - (Main Frame)" &amp; " " &amp; IF(Q24="","",TEXT(Q24,"M/D-")) &amp; IF(R24="","",TEXT(R24,"M/D")) &amp; " "</f>
        <v xml:space="preserve"> Part - (Main Frame) 3/1-4/30 </v>
      </c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</row>
    <row r="25" spans="1:121" ht="15" customHeight="1" outlineLevel="4" x14ac:dyDescent="0.3">
      <c r="A25" s="100"/>
      <c r="B25" s="100"/>
      <c r="C25" s="99">
        <v>5</v>
      </c>
      <c r="D25" s="98" t="s">
        <v>1393</v>
      </c>
      <c r="I25" s="77" t="s">
        <v>1392</v>
      </c>
      <c r="Q25" s="97">
        <v>44986</v>
      </c>
      <c r="R25" s="97">
        <v>45046</v>
      </c>
      <c r="T25" s="72">
        <v>61</v>
      </c>
      <c r="U25" s="72">
        <v>15</v>
      </c>
      <c r="V25" s="72">
        <v>61</v>
      </c>
      <c r="W25" s="72">
        <v>15</v>
      </c>
      <c r="AA25" s="73">
        <v>0</v>
      </c>
      <c r="AB25" s="72">
        <v>1</v>
      </c>
      <c r="AE25" s="96">
        <v>0.24590163934426229</v>
      </c>
      <c r="AF25" s="108">
        <v>0</v>
      </c>
      <c r="AG25" s="94"/>
      <c r="AH25" s="94"/>
      <c r="AI25" s="94"/>
      <c r="AJ25" s="94"/>
      <c r="AK25" s="94" t="str">
        <f>"   " &amp; TEXT(AF25,"#0.00%") &amp; " "</f>
        <v xml:space="preserve">   0.00% </v>
      </c>
      <c r="AL25" s="94"/>
      <c r="AM25" s="94"/>
      <c r="AN25" s="94"/>
      <c r="AO25" s="94"/>
      <c r="AP25" s="94"/>
      <c r="AQ25" s="94"/>
      <c r="AR25" s="94"/>
      <c r="AS25" s="94"/>
      <c r="AT25" s="94" t="str">
        <f>" " &amp; "Part - (Carriage/Fork)" &amp; " " &amp; IF(Q25="","",TEXT(Q25,"M/D-")) &amp; IF(R25="","",TEXT(R25,"M/D")) &amp; " "</f>
        <v xml:space="preserve"> Part - (Carriage/Fork) 3/1-4/30 </v>
      </c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</row>
    <row r="26" spans="1:121" ht="15" customHeight="1" outlineLevel="2" x14ac:dyDescent="0.3">
      <c r="A26" s="100"/>
      <c r="B26" s="100" t="s">
        <v>298</v>
      </c>
      <c r="C26" s="99">
        <v>3</v>
      </c>
      <c r="D26" s="98" t="s">
        <v>890</v>
      </c>
      <c r="G26" s="77" t="s">
        <v>1391</v>
      </c>
      <c r="Q26" s="97">
        <v>45017</v>
      </c>
      <c r="R26" s="97">
        <v>45031</v>
      </c>
      <c r="T26" s="72">
        <v>15</v>
      </c>
      <c r="U26" s="72">
        <v>0</v>
      </c>
      <c r="V26" s="72">
        <v>15</v>
      </c>
      <c r="W26" s="72">
        <v>0</v>
      </c>
      <c r="Z26" s="74">
        <v>0</v>
      </c>
      <c r="AA26" s="73">
        <v>0</v>
      </c>
      <c r="AE26" s="96">
        <v>0</v>
      </c>
      <c r="AF26" s="101">
        <v>0</v>
      </c>
      <c r="AG26" s="94"/>
      <c r="AH26" s="94"/>
      <c r="AI26" s="94"/>
      <c r="AJ26" s="94"/>
      <c r="AK26" s="94"/>
      <c r="AL26" s="94"/>
      <c r="AM26" s="94"/>
      <c r="AN26" s="94"/>
      <c r="AO26" s="94" t="str">
        <f>"      " &amp; TEXT(AF26,"#0.00%") &amp; " " &amp; "Conveyor" &amp; " " &amp; IF(Q26="","",TEXT(Q26,"M/D-")) &amp; IF(R26="","",TEXT(R26,"M/D")) &amp; " "</f>
        <v xml:space="preserve">      0.00% Conveyor 4/1-4/15 </v>
      </c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</row>
    <row r="27" spans="1:121" ht="15" customHeight="1" outlineLevel="3" x14ac:dyDescent="0.3">
      <c r="A27" s="100"/>
      <c r="B27" s="100"/>
      <c r="C27" s="99">
        <v>4</v>
      </c>
      <c r="D27" s="98" t="s">
        <v>888</v>
      </c>
      <c r="H27" s="77" t="s">
        <v>1390</v>
      </c>
      <c r="Q27" s="97">
        <v>45017</v>
      </c>
      <c r="R27" s="97">
        <v>45031</v>
      </c>
      <c r="T27" s="72">
        <v>15</v>
      </c>
      <c r="U27" s="72">
        <v>0</v>
      </c>
      <c r="V27" s="72">
        <v>15</v>
      </c>
      <c r="W27" s="72">
        <v>0</v>
      </c>
      <c r="AA27" s="73">
        <v>0</v>
      </c>
      <c r="AB27" s="72">
        <v>1</v>
      </c>
      <c r="AE27" s="96">
        <v>0</v>
      </c>
      <c r="AF27" s="95">
        <v>0</v>
      </c>
      <c r="AG27" s="94"/>
      <c r="AH27" s="94"/>
      <c r="AI27" s="94"/>
      <c r="AJ27" s="94"/>
      <c r="AK27" s="94"/>
      <c r="AL27" s="94"/>
      <c r="AM27" s="94"/>
      <c r="AN27" s="94"/>
      <c r="AO27" s="94" t="str">
        <f>"      " &amp; TEXT(AF27,"#0.00%") &amp; " " &amp; "DR" &amp; " " &amp; IF(Q27="","",TEXT(Q27,"M/D-")) &amp; IF(R27="","",TEXT(R27,"M/D")) &amp; " "</f>
        <v xml:space="preserve">      0.00% DR 4/1-4/15 </v>
      </c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</row>
    <row r="28" spans="1:121" ht="15" customHeight="1" x14ac:dyDescent="0.3">
      <c r="A28" s="100"/>
      <c r="B28" s="100" t="s">
        <v>298</v>
      </c>
      <c r="C28" s="99">
        <v>1</v>
      </c>
      <c r="D28" s="98" t="s">
        <v>505</v>
      </c>
      <c r="E28" s="77" t="s">
        <v>1389</v>
      </c>
      <c r="Q28" s="97">
        <v>44972</v>
      </c>
      <c r="R28" s="97">
        <v>45260</v>
      </c>
      <c r="T28" s="72">
        <v>24917</v>
      </c>
      <c r="U28" s="72">
        <v>812</v>
      </c>
      <c r="V28" s="72">
        <v>289</v>
      </c>
      <c r="W28" s="72">
        <v>29</v>
      </c>
      <c r="Z28" s="74">
        <v>0</v>
      </c>
      <c r="AA28" s="73">
        <v>0</v>
      </c>
      <c r="AE28" s="96">
        <v>3.2588192800096318E-2</v>
      </c>
      <c r="AF28" s="109">
        <v>0</v>
      </c>
      <c r="AG28" s="94"/>
      <c r="AH28" s="94"/>
      <c r="AI28" s="94" t="str">
        <f>"   " &amp; TEXT(AF28,"#0.00%") &amp; " "</f>
        <v xml:space="preserve">   0.00% </v>
      </c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 t="str">
        <f>"     " &amp; "제작" &amp; " " &amp; IF(Q28="","",TEXT(Q28,"M/D-")) &amp; IF(R28="","",TEXT(R28,"M/D")) &amp; " "</f>
        <v xml:space="preserve">     제작 2/15-11/30 </v>
      </c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</row>
    <row r="29" spans="1:121" ht="15" customHeight="1" outlineLevel="1" x14ac:dyDescent="0.3">
      <c r="A29" s="100"/>
      <c r="B29" s="100" t="s">
        <v>298</v>
      </c>
      <c r="C29" s="99">
        <v>2</v>
      </c>
      <c r="D29" s="98" t="s">
        <v>503</v>
      </c>
      <c r="F29" s="77" t="s">
        <v>242</v>
      </c>
      <c r="Q29" s="97">
        <v>44972</v>
      </c>
      <c r="R29" s="97">
        <v>45260</v>
      </c>
      <c r="T29" s="72">
        <v>24917</v>
      </c>
      <c r="U29" s="72">
        <v>812</v>
      </c>
      <c r="V29" s="72">
        <v>289</v>
      </c>
      <c r="W29" s="72">
        <v>29</v>
      </c>
      <c r="Z29" s="74">
        <v>0</v>
      </c>
      <c r="AA29" s="73">
        <v>0</v>
      </c>
      <c r="AE29" s="96">
        <v>3.2588192800096318E-2</v>
      </c>
      <c r="AF29" s="109">
        <v>0</v>
      </c>
      <c r="AG29" s="94"/>
      <c r="AH29" s="94"/>
      <c r="AI29" s="94" t="str">
        <f>"   " &amp; TEXT(AF29,"#0.00%") &amp; " "</f>
        <v xml:space="preserve">   0.00% </v>
      </c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 t="str">
        <f>"     " &amp; "BOSK TN" &amp; " " &amp; IF(Q29="","",TEXT(Q29,"M/D-")) &amp; IF(R29="","",TEXT(R29,"M/D")) &amp; " "</f>
        <v xml:space="preserve">     BOSK TN 2/15-11/30 </v>
      </c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</row>
    <row r="30" spans="1:121" ht="15" customHeight="1" outlineLevel="2" x14ac:dyDescent="0.3">
      <c r="A30" s="100"/>
      <c r="B30" s="100" t="s">
        <v>298</v>
      </c>
      <c r="C30" s="99">
        <v>3</v>
      </c>
      <c r="D30" s="98" t="s">
        <v>501</v>
      </c>
      <c r="G30" s="77" t="s">
        <v>640</v>
      </c>
      <c r="O30" s="105"/>
      <c r="P30" s="105"/>
      <c r="Q30" s="75">
        <v>45017</v>
      </c>
      <c r="R30" s="75">
        <v>45199</v>
      </c>
      <c r="T30" s="72">
        <v>7682</v>
      </c>
      <c r="U30" s="72">
        <v>0</v>
      </c>
      <c r="V30" s="72">
        <v>183</v>
      </c>
      <c r="W30" s="72">
        <v>0</v>
      </c>
      <c r="Z30" s="74">
        <v>0</v>
      </c>
      <c r="AA30" s="73">
        <v>0</v>
      </c>
      <c r="AE30" s="96">
        <v>0</v>
      </c>
      <c r="AF30" s="101">
        <v>0</v>
      </c>
      <c r="AG30" s="94"/>
      <c r="AH30" s="94"/>
      <c r="AI30" s="94"/>
      <c r="AJ30" s="94"/>
      <c r="AK30" s="94"/>
      <c r="AL30" s="94"/>
      <c r="AM30" s="94"/>
      <c r="AN30" s="94"/>
      <c r="AO30" s="94" t="str">
        <f>"      " &amp; TEXT(AF30,"#0.00%") &amp; " "</f>
        <v xml:space="preserve">      0.00% </v>
      </c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 t="str">
        <f>"" &amp; "Rack" &amp; " " &amp; IF(Q30="","",TEXT(Q30,"M/D-")) &amp; IF(R30="","",TEXT(R30,"M/D")) &amp; " "</f>
        <v xml:space="preserve">Rack 4/1-9/30 </v>
      </c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</row>
    <row r="31" spans="1:121" ht="15" customHeight="1" outlineLevel="3" x14ac:dyDescent="0.3">
      <c r="A31" s="100"/>
      <c r="B31" s="100" t="s">
        <v>298</v>
      </c>
      <c r="C31" s="99">
        <v>4</v>
      </c>
      <c r="D31" s="98" t="s">
        <v>498</v>
      </c>
      <c r="H31" s="77" t="s">
        <v>1388</v>
      </c>
      <c r="O31" s="105"/>
      <c r="P31" s="105"/>
      <c r="Q31" s="75">
        <v>45017</v>
      </c>
      <c r="R31" s="75">
        <v>45137</v>
      </c>
      <c r="T31" s="72">
        <v>637</v>
      </c>
      <c r="U31" s="72">
        <v>0</v>
      </c>
      <c r="V31" s="72">
        <v>121</v>
      </c>
      <c r="W31" s="72">
        <v>0</v>
      </c>
      <c r="Z31" s="74">
        <v>0</v>
      </c>
      <c r="AA31" s="73">
        <v>0</v>
      </c>
      <c r="AE31" s="96">
        <v>0</v>
      </c>
      <c r="AF31" s="101">
        <v>0</v>
      </c>
      <c r="AG31" s="94"/>
      <c r="AH31" s="94"/>
      <c r="AI31" s="94"/>
      <c r="AJ31" s="94"/>
      <c r="AK31" s="94"/>
      <c r="AL31" s="94"/>
      <c r="AM31" s="94"/>
      <c r="AN31" s="94"/>
      <c r="AO31" s="94" t="str">
        <f>"      " &amp; TEXT(AF31,"#0.00%") &amp; " "</f>
        <v xml:space="preserve">      0.00% </v>
      </c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 t="str">
        <f>" " &amp; "상온#1 Aging, FCH (Deck&amp;Accessory)" &amp; " " &amp; IF(Q31="","",TEXT(Q31,"M/D-")) &amp; IF(R31="","",TEXT(R31,"M/D")) &amp; " "</f>
        <v xml:space="preserve"> 상온#1 Aging, FCH (Deck&amp;Accessory) 4/1-7/30 </v>
      </c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</row>
    <row r="32" spans="1:121" ht="15" customHeight="1" outlineLevel="4" x14ac:dyDescent="0.3">
      <c r="A32" s="100"/>
      <c r="B32" s="100"/>
      <c r="C32" s="99">
        <v>5</v>
      </c>
      <c r="D32" s="98" t="s">
        <v>1387</v>
      </c>
      <c r="I32" s="77" t="s">
        <v>1361</v>
      </c>
      <c r="O32" s="105">
        <v>1</v>
      </c>
      <c r="P32" s="105"/>
      <c r="Q32" s="75">
        <v>45017</v>
      </c>
      <c r="R32" s="75">
        <v>45107</v>
      </c>
      <c r="S32" s="71">
        <f>R32-Q32</f>
        <v>90</v>
      </c>
      <c r="T32" s="72">
        <v>455</v>
      </c>
      <c r="U32" s="72">
        <v>0</v>
      </c>
      <c r="V32" s="72">
        <v>91</v>
      </c>
      <c r="W32" s="72">
        <v>0</v>
      </c>
      <c r="AA32" s="73">
        <v>0</v>
      </c>
      <c r="AB32" s="72">
        <v>5</v>
      </c>
      <c r="AE32" s="96">
        <v>0</v>
      </c>
      <c r="AF32" s="95">
        <v>0</v>
      </c>
      <c r="AG32" s="94"/>
      <c r="AH32" s="94"/>
      <c r="AI32" s="94"/>
      <c r="AJ32" s="94"/>
      <c r="AK32" s="94"/>
      <c r="AL32" s="94"/>
      <c r="AM32" s="94"/>
      <c r="AN32" s="94"/>
      <c r="AO32" s="94" t="str">
        <f>"      " &amp; TEXT(AF32,"#0.00%") &amp; " "</f>
        <v xml:space="preserve">      0.00% </v>
      </c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 t="str">
        <f>"      " &amp; "단품 및 Post 생산/제작" &amp; " " &amp; IF(Q32="","",TEXT(Q32,"M/D-")) &amp; IF(R32="","",TEXT(R32,"M/D")) &amp; " "</f>
        <v xml:space="preserve">      단품 및 Post 생산/제작 4/1-6/30 </v>
      </c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</row>
    <row r="33" spans="1:121" ht="15" customHeight="1" outlineLevel="4" x14ac:dyDescent="0.3">
      <c r="A33" s="100"/>
      <c r="B33" s="100"/>
      <c r="C33" s="99">
        <v>5</v>
      </c>
      <c r="D33" s="98" t="s">
        <v>1386</v>
      </c>
      <c r="I33" s="77" t="s">
        <v>1359</v>
      </c>
      <c r="O33" s="105">
        <v>1</v>
      </c>
      <c r="P33" s="105"/>
      <c r="Q33" s="75">
        <v>45047</v>
      </c>
      <c r="R33" s="75">
        <v>45137</v>
      </c>
      <c r="S33" s="71">
        <f>R33-Q33</f>
        <v>90</v>
      </c>
      <c r="T33" s="72">
        <v>182</v>
      </c>
      <c r="U33" s="72">
        <v>0</v>
      </c>
      <c r="V33" s="72">
        <v>91</v>
      </c>
      <c r="W33" s="72">
        <v>0</v>
      </c>
      <c r="AA33" s="73">
        <v>0</v>
      </c>
      <c r="AB33" s="72">
        <v>2</v>
      </c>
      <c r="AE33" s="96">
        <v>0</v>
      </c>
      <c r="AF33" s="95">
        <v>0</v>
      </c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 t="str">
        <f>" " &amp; TEXT(AF33,"#0.00%") &amp; " "</f>
        <v xml:space="preserve"> 0.00% </v>
      </c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 t="str">
        <f>" " &amp; "1차조립" &amp; " " &amp; IF(Q33="","",TEXT(Q33,"M/D-")) &amp; IF(R33="","",TEXT(R33,"M/D")) &amp; " "</f>
        <v xml:space="preserve"> 1차조립 5/1-7/30 </v>
      </c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</row>
    <row r="34" spans="1:121" ht="15" customHeight="1" outlineLevel="3" x14ac:dyDescent="0.3">
      <c r="A34" s="100"/>
      <c r="B34" s="100" t="s">
        <v>298</v>
      </c>
      <c r="C34" s="99">
        <v>4</v>
      </c>
      <c r="D34" s="98" t="s">
        <v>496</v>
      </c>
      <c r="H34" s="77" t="s">
        <v>1385</v>
      </c>
      <c r="O34" s="105"/>
      <c r="P34" s="105"/>
      <c r="Q34" s="75">
        <v>45017</v>
      </c>
      <c r="R34" s="75">
        <v>45137</v>
      </c>
      <c r="T34" s="72">
        <v>637</v>
      </c>
      <c r="U34" s="72">
        <v>0</v>
      </c>
      <c r="V34" s="72">
        <v>121</v>
      </c>
      <c r="W34" s="72">
        <v>0</v>
      </c>
      <c r="Z34" s="74">
        <v>0</v>
      </c>
      <c r="AA34" s="73">
        <v>0</v>
      </c>
      <c r="AE34" s="96">
        <v>0</v>
      </c>
      <c r="AF34" s="101">
        <v>0</v>
      </c>
      <c r="AG34" s="94"/>
      <c r="AH34" s="94"/>
      <c r="AI34" s="94"/>
      <c r="AJ34" s="94"/>
      <c r="AK34" s="94"/>
      <c r="AL34" s="94"/>
      <c r="AM34" s="94"/>
      <c r="AN34" s="94"/>
      <c r="AO34" s="94" t="str">
        <f>"      " &amp; TEXT(AF34,"#0.00%") &amp; " "</f>
        <v xml:space="preserve">      0.00% </v>
      </c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 t="str">
        <f>" " &amp; "고온#1 Aging (Deck&amp;Accessory)" &amp; " " &amp; IF(Q34="","",TEXT(Q34,"M/D-")) &amp; IF(R34="","",TEXT(R34,"M/D")) &amp; " "</f>
        <v xml:space="preserve"> 고온#1 Aging (Deck&amp;Accessory) 4/1-7/30 </v>
      </c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</row>
    <row r="35" spans="1:121" ht="15" customHeight="1" outlineLevel="4" x14ac:dyDescent="0.3">
      <c r="A35" s="100"/>
      <c r="B35" s="100"/>
      <c r="C35" s="99">
        <v>5</v>
      </c>
      <c r="D35" s="98" t="s">
        <v>1384</v>
      </c>
      <c r="I35" s="77" t="s">
        <v>1361</v>
      </c>
      <c r="O35" s="105">
        <v>2</v>
      </c>
      <c r="P35" s="105"/>
      <c r="Q35" s="75">
        <v>45017</v>
      </c>
      <c r="R35" s="75">
        <v>45107</v>
      </c>
      <c r="S35" s="71">
        <f>R35-Q35</f>
        <v>90</v>
      </c>
      <c r="T35" s="72">
        <v>455</v>
      </c>
      <c r="U35" s="72">
        <v>0</v>
      </c>
      <c r="V35" s="72">
        <v>91</v>
      </c>
      <c r="W35" s="72">
        <v>0</v>
      </c>
      <c r="AA35" s="73">
        <v>0</v>
      </c>
      <c r="AB35" s="72">
        <v>5</v>
      </c>
      <c r="AE35" s="96">
        <v>0</v>
      </c>
      <c r="AF35" s="95">
        <v>0</v>
      </c>
      <c r="AG35" s="94"/>
      <c r="AH35" s="94"/>
      <c r="AI35" s="94"/>
      <c r="AJ35" s="94"/>
      <c r="AK35" s="94"/>
      <c r="AL35" s="94"/>
      <c r="AM35" s="94"/>
      <c r="AN35" s="94"/>
      <c r="AO35" s="94" t="str">
        <f>"      " &amp; TEXT(AF35,"#0.00%") &amp; " "</f>
        <v xml:space="preserve">      0.00% </v>
      </c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 t="str">
        <f>"      " &amp; "단품 및 Post 생산/제작" &amp; " " &amp; IF(Q35="","",TEXT(Q35,"M/D-")) &amp; IF(R35="","",TEXT(R35,"M/D")) &amp; " "</f>
        <v xml:space="preserve">      단품 및 Post 생산/제작 4/1-6/30 </v>
      </c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</row>
    <row r="36" spans="1:121" ht="15" customHeight="1" outlineLevel="4" x14ac:dyDescent="0.3">
      <c r="A36" s="100"/>
      <c r="B36" s="100"/>
      <c r="C36" s="99">
        <v>5</v>
      </c>
      <c r="D36" s="98" t="s">
        <v>1383</v>
      </c>
      <c r="I36" s="77" t="s">
        <v>1359</v>
      </c>
      <c r="O36" s="105">
        <v>2</v>
      </c>
      <c r="P36" s="105"/>
      <c r="Q36" s="75">
        <v>45047</v>
      </c>
      <c r="R36" s="75">
        <v>45137</v>
      </c>
      <c r="S36" s="71">
        <f>R36-Q36</f>
        <v>90</v>
      </c>
      <c r="T36" s="72">
        <v>182</v>
      </c>
      <c r="U36" s="72">
        <v>0</v>
      </c>
      <c r="V36" s="72">
        <v>91</v>
      </c>
      <c r="W36" s="72">
        <v>0</v>
      </c>
      <c r="AA36" s="73">
        <v>0</v>
      </c>
      <c r="AB36" s="72">
        <v>2</v>
      </c>
      <c r="AE36" s="96">
        <v>0</v>
      </c>
      <c r="AF36" s="95">
        <v>0</v>
      </c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 t="str">
        <f>" " &amp; TEXT(AF36,"#0.00%") &amp; " "</f>
        <v xml:space="preserve"> 0.00% </v>
      </c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 t="str">
        <f>" " &amp; "1차조립" &amp; " " &amp; IF(Q36="","",TEXT(Q36,"M/D-")) &amp; IF(R36="","",TEXT(R36,"M/D")) &amp; " "</f>
        <v xml:space="preserve"> 1차조립 5/1-7/30 </v>
      </c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</row>
    <row r="37" spans="1:121" ht="15" customHeight="1" outlineLevel="3" x14ac:dyDescent="0.3">
      <c r="A37" s="100"/>
      <c r="B37" s="100" t="s">
        <v>298</v>
      </c>
      <c r="C37" s="99">
        <v>4</v>
      </c>
      <c r="D37" s="98" t="s">
        <v>494</v>
      </c>
      <c r="H37" s="77" t="s">
        <v>1382</v>
      </c>
      <c r="O37" s="105"/>
      <c r="P37" s="105"/>
      <c r="Q37" s="75">
        <v>45031</v>
      </c>
      <c r="R37" s="75">
        <v>45153</v>
      </c>
      <c r="T37" s="72">
        <v>646</v>
      </c>
      <c r="U37" s="72">
        <v>0</v>
      </c>
      <c r="V37" s="72">
        <v>123</v>
      </c>
      <c r="W37" s="72">
        <v>0</v>
      </c>
      <c r="Z37" s="74">
        <v>0</v>
      </c>
      <c r="AA37" s="73">
        <v>0</v>
      </c>
      <c r="AE37" s="96">
        <v>0</v>
      </c>
      <c r="AF37" s="101">
        <v>0</v>
      </c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 t="str">
        <f>"      " &amp; TEXT(AF37,"#0.00%") &amp; " "</f>
        <v xml:space="preserve">      0.00% </v>
      </c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 t="str">
        <f>"   " &amp; "PPC (Deck&amp;Accessory)" &amp; " " &amp; IF(Q37="","",TEXT(Q37,"M/D-")) &amp; IF(R37="","",TEXT(R37,"M/D")) &amp; " "</f>
        <v xml:space="preserve">   PPC (Deck&amp;Accessory) 4/15-8/15 </v>
      </c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</row>
    <row r="38" spans="1:121" ht="15" customHeight="1" outlineLevel="4" x14ac:dyDescent="0.3">
      <c r="A38" s="100"/>
      <c r="B38" s="100"/>
      <c r="C38" s="99">
        <v>5</v>
      </c>
      <c r="D38" s="98" t="s">
        <v>1381</v>
      </c>
      <c r="I38" s="77" t="s">
        <v>1361</v>
      </c>
      <c r="O38" s="105">
        <v>3</v>
      </c>
      <c r="P38" s="105"/>
      <c r="Q38" s="75">
        <v>45031</v>
      </c>
      <c r="R38" s="75">
        <v>45122</v>
      </c>
      <c r="S38" s="71">
        <f>R38-Q38</f>
        <v>91</v>
      </c>
      <c r="T38" s="72">
        <v>460</v>
      </c>
      <c r="U38" s="72">
        <v>0</v>
      </c>
      <c r="V38" s="72">
        <v>92</v>
      </c>
      <c r="W38" s="72">
        <v>0</v>
      </c>
      <c r="AA38" s="73">
        <v>0</v>
      </c>
      <c r="AB38" s="72">
        <v>5</v>
      </c>
      <c r="AE38" s="96">
        <v>0</v>
      </c>
      <c r="AF38" s="95">
        <v>0</v>
      </c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 t="str">
        <f>"      " &amp; TEXT(AF38,"#0.00%") &amp; " "</f>
        <v xml:space="preserve">      0.00% </v>
      </c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 t="str">
        <f>"" &amp; "단품 및 Post 생산/제작" &amp; " " &amp; IF(Q38="","",TEXT(Q38,"M/D-")) &amp; IF(R38="","",TEXT(R38,"M/D")) &amp; " "</f>
        <v xml:space="preserve">단품 및 Post 생산/제작 4/15-7/15 </v>
      </c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</row>
    <row r="39" spans="1:121" ht="15" customHeight="1" outlineLevel="4" x14ac:dyDescent="0.3">
      <c r="A39" s="100"/>
      <c r="B39" s="100"/>
      <c r="C39" s="99">
        <v>5</v>
      </c>
      <c r="D39" s="98" t="s">
        <v>1380</v>
      </c>
      <c r="I39" s="77" t="s">
        <v>1359</v>
      </c>
      <c r="O39" s="105">
        <v>3</v>
      </c>
      <c r="P39" s="105"/>
      <c r="Q39" s="75">
        <v>45061</v>
      </c>
      <c r="R39" s="75">
        <v>45153</v>
      </c>
      <c r="S39" s="71">
        <f>R39-Q39</f>
        <v>92</v>
      </c>
      <c r="T39" s="72">
        <v>186</v>
      </c>
      <c r="U39" s="72">
        <v>0</v>
      </c>
      <c r="V39" s="72">
        <v>93</v>
      </c>
      <c r="W39" s="72">
        <v>0</v>
      </c>
      <c r="AA39" s="73">
        <v>0</v>
      </c>
      <c r="AB39" s="72">
        <v>2</v>
      </c>
      <c r="AE39" s="96">
        <v>0</v>
      </c>
      <c r="AF39" s="95">
        <v>0</v>
      </c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 t="str">
        <f>" " &amp; TEXT(AF39,"#0.00%") &amp; " "</f>
        <v xml:space="preserve"> 0.00% </v>
      </c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 t="str">
        <f>"   " &amp; "1차조립" &amp; " " &amp; IF(Q39="","",TEXT(Q39,"M/D-")) &amp; IF(R39="","",TEXT(R39,"M/D")) &amp; " "</f>
        <v xml:space="preserve">   1차조립 5/15-8/15 </v>
      </c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</row>
    <row r="40" spans="1:121" ht="15" customHeight="1" outlineLevel="3" x14ac:dyDescent="0.3">
      <c r="A40" s="100"/>
      <c r="B40" s="100" t="s">
        <v>298</v>
      </c>
      <c r="C40" s="99">
        <v>4</v>
      </c>
      <c r="D40" s="98" t="s">
        <v>492</v>
      </c>
      <c r="H40" s="77" t="s">
        <v>1379</v>
      </c>
      <c r="O40" s="105"/>
      <c r="P40" s="105"/>
      <c r="Q40" s="75">
        <v>45031</v>
      </c>
      <c r="R40" s="75">
        <v>45153</v>
      </c>
      <c r="T40" s="72">
        <v>646</v>
      </c>
      <c r="U40" s="72">
        <v>0</v>
      </c>
      <c r="V40" s="72">
        <v>123</v>
      </c>
      <c r="W40" s="72">
        <v>0</v>
      </c>
      <c r="Z40" s="74">
        <v>0</v>
      </c>
      <c r="AA40" s="73">
        <v>0</v>
      </c>
      <c r="AE40" s="96">
        <v>0</v>
      </c>
      <c r="AF40" s="101">
        <v>0</v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 t="str">
        <f>"      " &amp; TEXT(AF40,"#0.00%") &amp; " "</f>
        <v xml:space="preserve">      0.00% </v>
      </c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 t="str">
        <f>"   " &amp; "충방전 (Deck&amp;Accessory)" &amp; " " &amp; IF(Q40="","",TEXT(Q40,"M/D-")) &amp; IF(R40="","",TEXT(R40,"M/D")) &amp; " "</f>
        <v xml:space="preserve">   충방전 (Deck&amp;Accessory) 4/15-8/15 </v>
      </c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</row>
    <row r="41" spans="1:121" ht="15" customHeight="1" outlineLevel="4" x14ac:dyDescent="0.3">
      <c r="A41" s="100"/>
      <c r="B41" s="100"/>
      <c r="C41" s="99">
        <v>5</v>
      </c>
      <c r="D41" s="98" t="s">
        <v>1378</v>
      </c>
      <c r="I41" s="77" t="s">
        <v>1361</v>
      </c>
      <c r="O41" s="105">
        <v>4</v>
      </c>
      <c r="P41" s="105"/>
      <c r="Q41" s="75">
        <v>45031</v>
      </c>
      <c r="R41" s="75">
        <v>45122</v>
      </c>
      <c r="S41" s="71">
        <f>R41-Q41</f>
        <v>91</v>
      </c>
      <c r="T41" s="72">
        <v>460</v>
      </c>
      <c r="U41" s="72">
        <v>0</v>
      </c>
      <c r="V41" s="72">
        <v>92</v>
      </c>
      <c r="W41" s="72">
        <v>0</v>
      </c>
      <c r="AA41" s="73">
        <v>0</v>
      </c>
      <c r="AB41" s="72">
        <v>5</v>
      </c>
      <c r="AE41" s="96">
        <v>0</v>
      </c>
      <c r="AF41" s="95">
        <v>0</v>
      </c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 t="str">
        <f>"      " &amp; TEXT(AF41,"#0.00%") &amp; " "</f>
        <v xml:space="preserve">      0.00% </v>
      </c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 t="str">
        <f>"" &amp; "단품 및 Post 생산/제작" &amp; " " &amp; IF(Q41="","",TEXT(Q41,"M/D-")) &amp; IF(R41="","",TEXT(R41,"M/D")) &amp; " "</f>
        <v xml:space="preserve">단품 및 Post 생산/제작 4/15-7/15 </v>
      </c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</row>
    <row r="42" spans="1:121" ht="15" customHeight="1" outlineLevel="4" x14ac:dyDescent="0.3">
      <c r="A42" s="100"/>
      <c r="B42" s="100"/>
      <c r="C42" s="99">
        <v>5</v>
      </c>
      <c r="D42" s="98" t="s">
        <v>1377</v>
      </c>
      <c r="I42" s="77" t="s">
        <v>1359</v>
      </c>
      <c r="O42" s="105">
        <v>4</v>
      </c>
      <c r="P42" s="105"/>
      <c r="Q42" s="75">
        <v>45061</v>
      </c>
      <c r="R42" s="75">
        <v>45153</v>
      </c>
      <c r="S42" s="71">
        <f>R42-Q42</f>
        <v>92</v>
      </c>
      <c r="T42" s="72">
        <v>186</v>
      </c>
      <c r="U42" s="72">
        <v>0</v>
      </c>
      <c r="V42" s="72">
        <v>93</v>
      </c>
      <c r="W42" s="72">
        <v>0</v>
      </c>
      <c r="AA42" s="73">
        <v>0</v>
      </c>
      <c r="AB42" s="72">
        <v>2</v>
      </c>
      <c r="AE42" s="96">
        <v>0</v>
      </c>
      <c r="AF42" s="95">
        <v>0</v>
      </c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 t="str">
        <f>" " &amp; TEXT(AF42,"#0.00%") &amp; " "</f>
        <v xml:space="preserve"> 0.00% </v>
      </c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 t="str">
        <f>"   " &amp; "1차조립" &amp; " " &amp; IF(Q42="","",TEXT(Q42,"M/D-")) &amp; IF(R42="","",TEXT(R42,"M/D")) &amp; " "</f>
        <v xml:space="preserve">   1차조립 5/15-8/15 </v>
      </c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</row>
    <row r="43" spans="1:121" ht="15" customHeight="1" outlineLevel="3" x14ac:dyDescent="0.3">
      <c r="A43" s="100"/>
      <c r="B43" s="100" t="s">
        <v>298</v>
      </c>
      <c r="C43" s="99">
        <v>4</v>
      </c>
      <c r="D43" s="98" t="s">
        <v>490</v>
      </c>
      <c r="H43" s="77" t="s">
        <v>1369</v>
      </c>
      <c r="O43" s="105"/>
      <c r="P43" s="105"/>
      <c r="Q43" s="75">
        <v>45031</v>
      </c>
      <c r="R43" s="75">
        <v>45168</v>
      </c>
      <c r="T43" s="72">
        <v>751</v>
      </c>
      <c r="U43" s="72">
        <v>0</v>
      </c>
      <c r="V43" s="72">
        <v>138</v>
      </c>
      <c r="W43" s="72">
        <v>0</v>
      </c>
      <c r="Z43" s="74">
        <v>0</v>
      </c>
      <c r="AA43" s="73">
        <v>0</v>
      </c>
      <c r="AE43" s="96">
        <v>0</v>
      </c>
      <c r="AF43" s="101">
        <v>0</v>
      </c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 t="str">
        <f>"      " &amp; TEXT(AF43,"#0.00%") &amp; " "</f>
        <v xml:space="preserve">      0.00% </v>
      </c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 t="str">
        <f>"    " &amp; "고온#2 Aging (Deck&amp;Accessory)" &amp; " " &amp; IF(Q43="","",TEXT(Q43,"M/D-")) &amp; IF(R43="","",TEXT(R43,"M/D")) &amp; " "</f>
        <v xml:space="preserve">    고온#2 Aging (Deck&amp;Accessory) 4/15-8/30 </v>
      </c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</row>
    <row r="44" spans="1:121" ht="15" customHeight="1" outlineLevel="4" x14ac:dyDescent="0.3">
      <c r="A44" s="100"/>
      <c r="B44" s="100"/>
      <c r="C44" s="99">
        <v>5</v>
      </c>
      <c r="D44" s="98" t="s">
        <v>1376</v>
      </c>
      <c r="I44" s="77" t="s">
        <v>1361</v>
      </c>
      <c r="O44" s="105">
        <v>5</v>
      </c>
      <c r="P44" s="105"/>
      <c r="Q44" s="75">
        <v>45031</v>
      </c>
      <c r="R44" s="75">
        <v>45137</v>
      </c>
      <c r="S44" s="71">
        <f>R44-Q44</f>
        <v>106</v>
      </c>
      <c r="T44" s="72">
        <v>535</v>
      </c>
      <c r="U44" s="72">
        <v>0</v>
      </c>
      <c r="V44" s="72">
        <v>107</v>
      </c>
      <c r="W44" s="72">
        <v>0</v>
      </c>
      <c r="AA44" s="73">
        <v>0</v>
      </c>
      <c r="AB44" s="72">
        <v>5</v>
      </c>
      <c r="AE44" s="96">
        <v>0</v>
      </c>
      <c r="AF44" s="95">
        <v>0</v>
      </c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 t="str">
        <f>"      " &amp; TEXT(AF44,"#0.00%") &amp; " "</f>
        <v xml:space="preserve">      0.00% </v>
      </c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 t="str">
        <f>" " &amp; "단품 및 Post 생산/제작" &amp; " " &amp; IF(Q44="","",TEXT(Q44,"M/D-")) &amp; IF(R44="","",TEXT(R44,"M/D")) &amp; " "</f>
        <v xml:space="preserve"> 단품 및 Post 생산/제작 4/15-7/30 </v>
      </c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</row>
    <row r="45" spans="1:121" ht="15" customHeight="1" outlineLevel="4" x14ac:dyDescent="0.3">
      <c r="A45" s="100"/>
      <c r="B45" s="100"/>
      <c r="C45" s="99">
        <v>5</v>
      </c>
      <c r="D45" s="98" t="s">
        <v>1375</v>
      </c>
      <c r="I45" s="77" t="s">
        <v>1359</v>
      </c>
      <c r="O45" s="105">
        <v>5</v>
      </c>
      <c r="P45" s="105"/>
      <c r="Q45" s="75">
        <v>45061</v>
      </c>
      <c r="R45" s="75">
        <v>45168</v>
      </c>
      <c r="S45" s="71">
        <f>R45-Q45</f>
        <v>107</v>
      </c>
      <c r="T45" s="72">
        <v>216</v>
      </c>
      <c r="U45" s="72">
        <v>0</v>
      </c>
      <c r="V45" s="72">
        <v>108</v>
      </c>
      <c r="W45" s="72">
        <v>0</v>
      </c>
      <c r="AA45" s="73">
        <v>0</v>
      </c>
      <c r="AB45" s="72">
        <v>2</v>
      </c>
      <c r="AE45" s="96">
        <v>0</v>
      </c>
      <c r="AF45" s="95">
        <v>0</v>
      </c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 t="str">
        <f>" " &amp; TEXT(AF45,"#0.00%") &amp; " "</f>
        <v xml:space="preserve"> 0.00% </v>
      </c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 t="str">
        <f>"    " &amp; "1차조립" &amp; " " &amp; IF(Q45="","",TEXT(Q45,"M/D-")) &amp; IF(R45="","",TEXT(R45,"M/D")) &amp; " "</f>
        <v xml:space="preserve">    1차조립 5/15-8/30 </v>
      </c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</row>
    <row r="46" spans="1:121" ht="15" customHeight="1" outlineLevel="3" x14ac:dyDescent="0.3">
      <c r="A46" s="100"/>
      <c r="B46" s="100" t="s">
        <v>298</v>
      </c>
      <c r="C46" s="99">
        <v>4</v>
      </c>
      <c r="D46" s="98" t="s">
        <v>488</v>
      </c>
      <c r="H46" s="77" t="s">
        <v>1366</v>
      </c>
      <c r="O46" s="105"/>
      <c r="P46" s="105"/>
      <c r="Q46" s="75">
        <v>45031</v>
      </c>
      <c r="R46" s="75">
        <v>45168</v>
      </c>
      <c r="T46" s="72">
        <v>751</v>
      </c>
      <c r="U46" s="72">
        <v>0</v>
      </c>
      <c r="V46" s="72">
        <v>138</v>
      </c>
      <c r="W46" s="72">
        <v>0</v>
      </c>
      <c r="Z46" s="74">
        <v>0</v>
      </c>
      <c r="AA46" s="73">
        <v>0</v>
      </c>
      <c r="AE46" s="96">
        <v>0</v>
      </c>
      <c r="AF46" s="101">
        <v>0</v>
      </c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 t="str">
        <f>"      " &amp; TEXT(AF46,"#0.00%") &amp; " "</f>
        <v xml:space="preserve">      0.00% </v>
      </c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 t="str">
        <f>"    " &amp; "상온#2 Aging (Deck&amp;Accessory)" &amp; " " &amp; IF(Q46="","",TEXT(Q46,"M/D-")) &amp; IF(R46="","",TEXT(R46,"M/D")) &amp; " "</f>
        <v xml:space="preserve">    상온#2 Aging (Deck&amp;Accessory) 4/15-8/30 </v>
      </c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</row>
    <row r="47" spans="1:121" ht="15" customHeight="1" outlineLevel="4" x14ac:dyDescent="0.3">
      <c r="A47" s="100"/>
      <c r="B47" s="100"/>
      <c r="C47" s="99">
        <v>5</v>
      </c>
      <c r="D47" s="98" t="s">
        <v>1374</v>
      </c>
      <c r="I47" s="77" t="s">
        <v>1361</v>
      </c>
      <c r="O47" s="105">
        <v>6</v>
      </c>
      <c r="P47" s="105"/>
      <c r="Q47" s="75">
        <v>45031</v>
      </c>
      <c r="R47" s="75">
        <v>45137</v>
      </c>
      <c r="S47" s="71">
        <f>R47-Q47</f>
        <v>106</v>
      </c>
      <c r="T47" s="72">
        <v>535</v>
      </c>
      <c r="U47" s="72">
        <v>0</v>
      </c>
      <c r="V47" s="72">
        <v>107</v>
      </c>
      <c r="W47" s="72">
        <v>0</v>
      </c>
      <c r="AA47" s="73">
        <v>0</v>
      </c>
      <c r="AB47" s="72">
        <v>5</v>
      </c>
      <c r="AE47" s="96">
        <v>0</v>
      </c>
      <c r="AF47" s="95">
        <v>0</v>
      </c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 t="str">
        <f>"      " &amp; TEXT(AF47,"#0.00%") &amp; " "</f>
        <v xml:space="preserve">      0.00% </v>
      </c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 t="str">
        <f>" " &amp; "단품 및 Post 생산/제작" &amp; " " &amp; IF(Q47="","",TEXT(Q47,"M/D-")) &amp; IF(R47="","",TEXT(R47,"M/D")) &amp; " "</f>
        <v xml:space="preserve"> 단품 및 Post 생산/제작 4/15-7/30 </v>
      </c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</row>
    <row r="48" spans="1:121" ht="15" customHeight="1" outlineLevel="4" x14ac:dyDescent="0.3">
      <c r="A48" s="100"/>
      <c r="B48" s="100"/>
      <c r="C48" s="99">
        <v>5</v>
      </c>
      <c r="D48" s="98" t="s">
        <v>1373</v>
      </c>
      <c r="I48" s="77" t="s">
        <v>1359</v>
      </c>
      <c r="O48" s="105">
        <v>6</v>
      </c>
      <c r="P48" s="105"/>
      <c r="Q48" s="75">
        <v>45061</v>
      </c>
      <c r="R48" s="75">
        <v>45168</v>
      </c>
      <c r="S48" s="71">
        <f>R48-Q48</f>
        <v>107</v>
      </c>
      <c r="T48" s="72">
        <v>216</v>
      </c>
      <c r="U48" s="72">
        <v>0</v>
      </c>
      <c r="V48" s="72">
        <v>108</v>
      </c>
      <c r="W48" s="72">
        <v>0</v>
      </c>
      <c r="AA48" s="73">
        <v>0</v>
      </c>
      <c r="AB48" s="72">
        <v>2</v>
      </c>
      <c r="AE48" s="96">
        <v>0</v>
      </c>
      <c r="AF48" s="95">
        <v>0</v>
      </c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 t="str">
        <f>" " &amp; TEXT(AF48,"#0.00%") &amp; " "</f>
        <v xml:space="preserve"> 0.00% </v>
      </c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 t="str">
        <f>"    " &amp; "1차조립" &amp; " " &amp; IF(Q48="","",TEXT(Q48,"M/D-")) &amp; IF(R48="","",TEXT(R48,"M/D")) &amp; " "</f>
        <v xml:space="preserve">    1차조립 5/15-8/30 </v>
      </c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</row>
    <row r="49" spans="1:121" ht="15" customHeight="1" outlineLevel="3" x14ac:dyDescent="0.3">
      <c r="A49" s="100"/>
      <c r="B49" s="100" t="s">
        <v>298</v>
      </c>
      <c r="C49" s="99">
        <v>4</v>
      </c>
      <c r="D49" s="98" t="s">
        <v>487</v>
      </c>
      <c r="H49" s="77" t="s">
        <v>1363</v>
      </c>
      <c r="O49" s="105"/>
      <c r="P49" s="105"/>
      <c r="Q49" s="75">
        <v>45031</v>
      </c>
      <c r="R49" s="75">
        <v>45168</v>
      </c>
      <c r="T49" s="72">
        <v>751</v>
      </c>
      <c r="U49" s="72">
        <v>0</v>
      </c>
      <c r="V49" s="72">
        <v>138</v>
      </c>
      <c r="W49" s="72">
        <v>0</v>
      </c>
      <c r="Z49" s="74">
        <v>0</v>
      </c>
      <c r="AA49" s="73">
        <v>0</v>
      </c>
      <c r="AE49" s="96">
        <v>0</v>
      </c>
      <c r="AF49" s="101">
        <v>0</v>
      </c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 t="str">
        <f>"      " &amp; TEXT(AF49,"#0.00%") &amp; " "</f>
        <v xml:space="preserve">      0.00% </v>
      </c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 t="str">
        <f>"    " &amp; "공Tray Buffer" &amp; " " &amp; IF(Q49="","",TEXT(Q49,"M/D-")) &amp; IF(R49="","",TEXT(R49,"M/D")) &amp; " "</f>
        <v xml:space="preserve">    공Tray Buffer 4/15-8/30 </v>
      </c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</row>
    <row r="50" spans="1:121" ht="15" customHeight="1" outlineLevel="4" x14ac:dyDescent="0.3">
      <c r="A50" s="100"/>
      <c r="B50" s="100"/>
      <c r="C50" s="99">
        <v>5</v>
      </c>
      <c r="D50" s="98" t="s">
        <v>1372</v>
      </c>
      <c r="I50" s="77" t="s">
        <v>1361</v>
      </c>
      <c r="O50" s="105">
        <v>6</v>
      </c>
      <c r="P50" s="105"/>
      <c r="Q50" s="75">
        <v>45031</v>
      </c>
      <c r="R50" s="75">
        <v>45137</v>
      </c>
      <c r="S50" s="71">
        <f>R50-Q50</f>
        <v>106</v>
      </c>
      <c r="T50" s="72">
        <v>535</v>
      </c>
      <c r="U50" s="72">
        <v>0</v>
      </c>
      <c r="V50" s="72">
        <v>107</v>
      </c>
      <c r="W50" s="72">
        <v>0</v>
      </c>
      <c r="AA50" s="73">
        <v>0</v>
      </c>
      <c r="AB50" s="72">
        <v>5</v>
      </c>
      <c r="AE50" s="96">
        <v>0</v>
      </c>
      <c r="AF50" s="95">
        <v>0</v>
      </c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 t="str">
        <f>"      " &amp; TEXT(AF50,"#0.00%") &amp; " "</f>
        <v xml:space="preserve">      0.00% </v>
      </c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 t="str">
        <f>" " &amp; "단품 및 Post 생산/제작" &amp; " " &amp; IF(Q50="","",TEXT(Q50,"M/D-")) &amp; IF(R50="","",TEXT(R50,"M/D")) &amp; " "</f>
        <v xml:space="preserve"> 단품 및 Post 생산/제작 4/15-7/30 </v>
      </c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</row>
    <row r="51" spans="1:121" ht="15" customHeight="1" outlineLevel="4" x14ac:dyDescent="0.3">
      <c r="A51" s="100"/>
      <c r="B51" s="100"/>
      <c r="C51" s="99">
        <v>5</v>
      </c>
      <c r="D51" s="98" t="s">
        <v>1371</v>
      </c>
      <c r="I51" s="77" t="s">
        <v>1359</v>
      </c>
      <c r="O51" s="105">
        <v>6</v>
      </c>
      <c r="P51" s="105"/>
      <c r="Q51" s="75">
        <v>45061</v>
      </c>
      <c r="R51" s="75">
        <v>45168</v>
      </c>
      <c r="S51" s="71">
        <f>R51-Q51</f>
        <v>107</v>
      </c>
      <c r="T51" s="72">
        <v>216</v>
      </c>
      <c r="U51" s="72">
        <v>0</v>
      </c>
      <c r="V51" s="72">
        <v>108</v>
      </c>
      <c r="W51" s="72">
        <v>0</v>
      </c>
      <c r="AA51" s="73">
        <v>0</v>
      </c>
      <c r="AB51" s="72">
        <v>2</v>
      </c>
      <c r="AE51" s="96">
        <v>0</v>
      </c>
      <c r="AF51" s="95">
        <v>0</v>
      </c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 t="str">
        <f>" " &amp; TEXT(AF51,"#0.00%") &amp; " "</f>
        <v xml:space="preserve"> 0.00% </v>
      </c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 t="str">
        <f>"    " &amp; "1차조립" &amp; " " &amp; IF(Q51="","",TEXT(Q51,"M/D-")) &amp; IF(R51="","",TEXT(R51,"M/D")) &amp; " "</f>
        <v xml:space="preserve">    1차조립 5/15-8/30 </v>
      </c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</row>
    <row r="52" spans="1:121" ht="15" customHeight="1" outlineLevel="3" x14ac:dyDescent="0.3">
      <c r="A52" s="100"/>
      <c r="B52" s="100" t="s">
        <v>298</v>
      </c>
      <c r="C52" s="99">
        <v>4</v>
      </c>
      <c r="D52" s="138" t="s">
        <v>486</v>
      </c>
      <c r="E52" s="114"/>
      <c r="F52" s="114"/>
      <c r="G52" s="114"/>
      <c r="H52" s="114" t="s">
        <v>1358</v>
      </c>
      <c r="I52" s="114"/>
      <c r="J52" s="114"/>
      <c r="K52" s="114"/>
      <c r="L52" s="114"/>
      <c r="M52" s="114"/>
      <c r="N52" s="114"/>
      <c r="O52" s="150"/>
      <c r="P52" s="150"/>
      <c r="Q52" s="135">
        <v>45139</v>
      </c>
      <c r="R52" s="135">
        <v>45199</v>
      </c>
      <c r="S52" s="131"/>
      <c r="T52" s="132">
        <v>305</v>
      </c>
      <c r="U52" s="132">
        <v>0</v>
      </c>
      <c r="V52" s="132">
        <v>61</v>
      </c>
      <c r="W52" s="132">
        <v>0</v>
      </c>
      <c r="X52" s="135"/>
      <c r="Y52" s="135"/>
      <c r="Z52" s="134">
        <v>0</v>
      </c>
      <c r="AA52" s="133">
        <v>0</v>
      </c>
      <c r="AB52" s="132"/>
      <c r="AC52" s="131"/>
      <c r="AD52" s="130"/>
      <c r="AE52" s="129">
        <v>0</v>
      </c>
      <c r="AF52" s="101">
        <v>0</v>
      </c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 t="str">
        <f>"  " &amp; TEXT(AF52,"#0.00%") &amp; " "</f>
        <v xml:space="preserve">  0.00% </v>
      </c>
      <c r="BH52" s="94"/>
      <c r="BI52" s="94"/>
      <c r="BJ52" s="94"/>
      <c r="BK52" s="94"/>
      <c r="BL52" s="94"/>
      <c r="BM52" s="94"/>
      <c r="BN52" s="94"/>
      <c r="BO52" s="94"/>
      <c r="BP52" s="94" t="str">
        <f>"" &amp; "RACK 기타 마감자재" &amp; " " &amp; IF(Q52="","",TEXT(Q52,"M/D-")) &amp; IF(R52="","",TEXT(R52,"M/D")) &amp; " "</f>
        <v xml:space="preserve">RACK 기타 마감자재 8/1-9/30 </v>
      </c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</row>
    <row r="53" spans="1:121" ht="15" customHeight="1" outlineLevel="4" x14ac:dyDescent="0.3">
      <c r="A53" s="100"/>
      <c r="B53" s="100"/>
      <c r="C53" s="99">
        <v>5</v>
      </c>
      <c r="D53" s="98" t="s">
        <v>1370</v>
      </c>
      <c r="I53" s="77" t="s">
        <v>1356</v>
      </c>
      <c r="O53" s="105"/>
      <c r="P53" s="105"/>
      <c r="Q53" s="75">
        <v>45139</v>
      </c>
      <c r="R53" s="75">
        <v>45199</v>
      </c>
      <c r="S53" s="71">
        <f>R53-Q53</f>
        <v>60</v>
      </c>
      <c r="T53" s="72">
        <v>305</v>
      </c>
      <c r="U53" s="72">
        <v>0</v>
      </c>
      <c r="V53" s="72">
        <v>61</v>
      </c>
      <c r="W53" s="72">
        <v>0</v>
      </c>
      <c r="AA53" s="73">
        <v>0</v>
      </c>
      <c r="AB53" s="72">
        <v>5</v>
      </c>
      <c r="AE53" s="96">
        <v>0</v>
      </c>
      <c r="AF53" s="95">
        <v>0</v>
      </c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 t="str">
        <f>"  " &amp; TEXT(AF53,"#0.00%") &amp; " "</f>
        <v xml:space="preserve">  0.00% </v>
      </c>
      <c r="BH53" s="94"/>
      <c r="BI53" s="94"/>
      <c r="BJ53" s="94"/>
      <c r="BK53" s="94"/>
      <c r="BL53" s="94"/>
      <c r="BM53" s="94"/>
      <c r="BN53" s="94"/>
      <c r="BO53" s="94"/>
      <c r="BP53" s="94" t="str">
        <f>"" &amp; "단품 및 제작" &amp; " " &amp; IF(Q53="","",TEXT(Q53,"M/D-")) &amp; IF(R53="","",TEXT(R53,"M/D")) &amp; " "</f>
        <v xml:space="preserve">단품 및 제작 8/1-9/30 </v>
      </c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</row>
    <row r="54" spans="1:121" ht="15" customHeight="1" outlineLevel="3" x14ac:dyDescent="0.3">
      <c r="A54" s="100"/>
      <c r="B54" s="100" t="s">
        <v>298</v>
      </c>
      <c r="C54" s="99">
        <v>4</v>
      </c>
      <c r="D54" s="98" t="s">
        <v>485</v>
      </c>
      <c r="H54" s="77" t="s">
        <v>1369</v>
      </c>
      <c r="O54" s="105"/>
      <c r="P54" s="105"/>
      <c r="Q54" s="75">
        <v>45031</v>
      </c>
      <c r="R54" s="75">
        <v>45168</v>
      </c>
      <c r="T54" s="72">
        <v>751</v>
      </c>
      <c r="U54" s="72">
        <v>0</v>
      </c>
      <c r="V54" s="72">
        <v>138</v>
      </c>
      <c r="W54" s="72">
        <v>0</v>
      </c>
      <c r="Z54" s="74">
        <v>0</v>
      </c>
      <c r="AA54" s="73">
        <v>0</v>
      </c>
      <c r="AE54" s="96">
        <v>0</v>
      </c>
      <c r="AF54" s="101">
        <v>0</v>
      </c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 t="str">
        <f>"      " &amp; TEXT(AF54,"#0.00%") &amp; " "</f>
        <v xml:space="preserve">      0.00% </v>
      </c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 t="str">
        <f>"    " &amp; "고온#2 Aging (Deck&amp;Accessory)" &amp; " " &amp; IF(Q54="","",TEXT(Q54,"M/D-")) &amp; IF(R54="","",TEXT(R54,"M/D")) &amp; " "</f>
        <v xml:space="preserve">    고온#2 Aging (Deck&amp;Accessory) 4/15-8/30 </v>
      </c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</row>
    <row r="55" spans="1:121" ht="15" customHeight="1" outlineLevel="4" x14ac:dyDescent="0.3">
      <c r="A55" s="100"/>
      <c r="B55" s="100"/>
      <c r="C55" s="99">
        <v>5</v>
      </c>
      <c r="D55" s="98" t="s">
        <v>1368</v>
      </c>
      <c r="I55" s="77" t="s">
        <v>1361</v>
      </c>
      <c r="O55" s="105">
        <v>5</v>
      </c>
      <c r="P55" s="105"/>
      <c r="Q55" s="75">
        <v>45031</v>
      </c>
      <c r="R55" s="75">
        <v>45137</v>
      </c>
      <c r="S55" s="71">
        <f>R55-Q55</f>
        <v>106</v>
      </c>
      <c r="T55" s="72">
        <v>535</v>
      </c>
      <c r="U55" s="72">
        <v>0</v>
      </c>
      <c r="V55" s="72">
        <v>107</v>
      </c>
      <c r="W55" s="72">
        <v>0</v>
      </c>
      <c r="AA55" s="73">
        <v>0</v>
      </c>
      <c r="AB55" s="72">
        <v>5</v>
      </c>
      <c r="AE55" s="96">
        <v>0</v>
      </c>
      <c r="AF55" s="95">
        <v>0</v>
      </c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 t="str">
        <f>"      " &amp; TEXT(AF55,"#0.00%") &amp; " "</f>
        <v xml:space="preserve">      0.00% </v>
      </c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 t="str">
        <f>" " &amp; "단품 및 Post 생산/제작" &amp; " " &amp; IF(Q55="","",TEXT(Q55,"M/D-")) &amp; IF(R55="","",TEXT(R55,"M/D")) &amp; " "</f>
        <v xml:space="preserve"> 단품 및 Post 생산/제작 4/15-7/30 </v>
      </c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</row>
    <row r="56" spans="1:121" ht="15" customHeight="1" outlineLevel="4" x14ac:dyDescent="0.3">
      <c r="A56" s="100"/>
      <c r="B56" s="100"/>
      <c r="C56" s="99">
        <v>5</v>
      </c>
      <c r="D56" s="98" t="s">
        <v>1367</v>
      </c>
      <c r="I56" s="77" t="s">
        <v>1359</v>
      </c>
      <c r="O56" s="105">
        <v>5</v>
      </c>
      <c r="P56" s="105"/>
      <c r="Q56" s="75">
        <v>45061</v>
      </c>
      <c r="R56" s="75">
        <v>45168</v>
      </c>
      <c r="S56" s="71">
        <f>R56-Q56</f>
        <v>107</v>
      </c>
      <c r="T56" s="72">
        <v>216</v>
      </c>
      <c r="U56" s="72">
        <v>0</v>
      </c>
      <c r="V56" s="72">
        <v>108</v>
      </c>
      <c r="W56" s="72">
        <v>0</v>
      </c>
      <c r="AA56" s="73">
        <v>0</v>
      </c>
      <c r="AB56" s="72">
        <v>2</v>
      </c>
      <c r="AE56" s="96">
        <v>0</v>
      </c>
      <c r="AF56" s="95">
        <v>0</v>
      </c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 t="str">
        <f>" " &amp; TEXT(AF56,"#0.00%") &amp; " "</f>
        <v xml:space="preserve"> 0.00% </v>
      </c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 t="str">
        <f>"    " &amp; "1차조립" &amp; " " &amp; IF(Q56="","",TEXT(Q56,"M/D-")) &amp; IF(R56="","",TEXT(R56,"M/D")) &amp; " "</f>
        <v xml:space="preserve">    1차조립 5/15-8/30 </v>
      </c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</row>
    <row r="57" spans="1:121" ht="15" customHeight="1" outlineLevel="3" x14ac:dyDescent="0.3">
      <c r="A57" s="100"/>
      <c r="B57" s="100" t="s">
        <v>298</v>
      </c>
      <c r="C57" s="99">
        <v>4</v>
      </c>
      <c r="D57" s="98" t="s">
        <v>484</v>
      </c>
      <c r="H57" s="77" t="s">
        <v>1366</v>
      </c>
      <c r="O57" s="105"/>
      <c r="P57" s="105"/>
      <c r="Q57" s="75">
        <v>45031</v>
      </c>
      <c r="R57" s="75">
        <v>45168</v>
      </c>
      <c r="T57" s="72">
        <v>751</v>
      </c>
      <c r="U57" s="72">
        <v>0</v>
      </c>
      <c r="V57" s="72">
        <v>138</v>
      </c>
      <c r="W57" s="72">
        <v>0</v>
      </c>
      <c r="Z57" s="74">
        <v>0</v>
      </c>
      <c r="AA57" s="73">
        <v>0</v>
      </c>
      <c r="AE57" s="96">
        <v>0</v>
      </c>
      <c r="AF57" s="101">
        <v>0</v>
      </c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 t="str">
        <f>"      " &amp; TEXT(AF57,"#0.00%") &amp; " "</f>
        <v xml:space="preserve">      0.00% </v>
      </c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 t="str">
        <f>"    " &amp; "상온#2 Aging (Deck&amp;Accessory)" &amp; " " &amp; IF(Q57="","",TEXT(Q57,"M/D-")) &amp; IF(R57="","",TEXT(R57,"M/D")) &amp; " "</f>
        <v xml:space="preserve">    상온#2 Aging (Deck&amp;Accessory) 4/15-8/30 </v>
      </c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</row>
    <row r="58" spans="1:121" ht="15" customHeight="1" outlineLevel="4" x14ac:dyDescent="0.3">
      <c r="A58" s="100"/>
      <c r="B58" s="100"/>
      <c r="C58" s="99">
        <v>5</v>
      </c>
      <c r="D58" s="98" t="s">
        <v>1365</v>
      </c>
      <c r="I58" s="77" t="s">
        <v>1361</v>
      </c>
      <c r="O58" s="105">
        <v>6</v>
      </c>
      <c r="P58" s="105"/>
      <c r="Q58" s="75">
        <v>45031</v>
      </c>
      <c r="R58" s="75">
        <v>45137</v>
      </c>
      <c r="S58" s="71">
        <f>R58-Q58</f>
        <v>106</v>
      </c>
      <c r="T58" s="72">
        <v>535</v>
      </c>
      <c r="U58" s="72">
        <v>0</v>
      </c>
      <c r="V58" s="72">
        <v>107</v>
      </c>
      <c r="W58" s="72">
        <v>0</v>
      </c>
      <c r="AA58" s="73">
        <v>0</v>
      </c>
      <c r="AB58" s="72">
        <v>5</v>
      </c>
      <c r="AE58" s="96">
        <v>0</v>
      </c>
      <c r="AF58" s="95">
        <v>0</v>
      </c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 t="str">
        <f>"      " &amp; TEXT(AF58,"#0.00%") &amp; " "</f>
        <v xml:space="preserve">      0.00% </v>
      </c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 t="str">
        <f>" " &amp; "단품 및 Post 생산/제작" &amp; " " &amp; IF(Q58="","",TEXT(Q58,"M/D-")) &amp; IF(R58="","",TEXT(R58,"M/D")) &amp; " "</f>
        <v xml:space="preserve"> 단품 및 Post 생산/제작 4/15-7/30 </v>
      </c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</row>
    <row r="59" spans="1:121" ht="15" customHeight="1" outlineLevel="4" x14ac:dyDescent="0.3">
      <c r="A59" s="100"/>
      <c r="B59" s="100"/>
      <c r="C59" s="99">
        <v>5</v>
      </c>
      <c r="D59" s="98" t="s">
        <v>1364</v>
      </c>
      <c r="I59" s="77" t="s">
        <v>1359</v>
      </c>
      <c r="O59" s="105">
        <v>6</v>
      </c>
      <c r="P59" s="105"/>
      <c r="Q59" s="75">
        <v>45061</v>
      </c>
      <c r="R59" s="75">
        <v>45168</v>
      </c>
      <c r="S59" s="71">
        <f>R59-Q59</f>
        <v>107</v>
      </c>
      <c r="T59" s="72">
        <v>216</v>
      </c>
      <c r="U59" s="72">
        <v>0</v>
      </c>
      <c r="V59" s="72">
        <v>108</v>
      </c>
      <c r="W59" s="72">
        <v>0</v>
      </c>
      <c r="AA59" s="73">
        <v>0</v>
      </c>
      <c r="AB59" s="72">
        <v>2</v>
      </c>
      <c r="AE59" s="96">
        <v>0</v>
      </c>
      <c r="AF59" s="95">
        <v>0</v>
      </c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 t="str">
        <f>" " &amp; TEXT(AF59,"#0.00%") &amp; " "</f>
        <v xml:space="preserve"> 0.00% </v>
      </c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 t="str">
        <f>"    " &amp; "1차조립" &amp; " " &amp; IF(Q59="","",TEXT(Q59,"M/D-")) &amp; IF(R59="","",TEXT(R59,"M/D")) &amp; " "</f>
        <v xml:space="preserve">    1차조립 5/15-8/30 </v>
      </c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</row>
    <row r="60" spans="1:121" ht="15" customHeight="1" outlineLevel="3" x14ac:dyDescent="0.3">
      <c r="A60" s="100"/>
      <c r="B60" s="100" t="s">
        <v>298</v>
      </c>
      <c r="C60" s="99">
        <v>4</v>
      </c>
      <c r="D60" s="98" t="s">
        <v>483</v>
      </c>
      <c r="H60" s="77" t="s">
        <v>1363</v>
      </c>
      <c r="O60" s="105"/>
      <c r="P60" s="105"/>
      <c r="Q60" s="75">
        <v>45031</v>
      </c>
      <c r="R60" s="75">
        <v>45168</v>
      </c>
      <c r="T60" s="72">
        <v>751</v>
      </c>
      <c r="U60" s="72">
        <v>0</v>
      </c>
      <c r="V60" s="72">
        <v>138</v>
      </c>
      <c r="W60" s="72">
        <v>0</v>
      </c>
      <c r="Z60" s="74">
        <v>0</v>
      </c>
      <c r="AA60" s="73">
        <v>0</v>
      </c>
      <c r="AE60" s="96">
        <v>0</v>
      </c>
      <c r="AF60" s="101">
        <v>0</v>
      </c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 t="str">
        <f>"      " &amp; TEXT(AF60,"#0.00%") &amp; " "</f>
        <v xml:space="preserve">      0.00% </v>
      </c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 t="str">
        <f>"    " &amp; "공Tray Buffer" &amp; " " &amp; IF(Q60="","",TEXT(Q60,"M/D-")) &amp; IF(R60="","",TEXT(R60,"M/D")) &amp; " "</f>
        <v xml:space="preserve">    공Tray Buffer 4/15-8/30 </v>
      </c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</row>
    <row r="61" spans="1:121" ht="15" customHeight="1" outlineLevel="4" x14ac:dyDescent="0.3">
      <c r="A61" s="100"/>
      <c r="B61" s="100"/>
      <c r="C61" s="99">
        <v>5</v>
      </c>
      <c r="D61" s="98" t="s">
        <v>1362</v>
      </c>
      <c r="I61" s="77" t="s">
        <v>1361</v>
      </c>
      <c r="O61" s="105">
        <v>6</v>
      </c>
      <c r="P61" s="105"/>
      <c r="Q61" s="75">
        <v>45031</v>
      </c>
      <c r="R61" s="75">
        <v>45137</v>
      </c>
      <c r="S61" s="71">
        <f>R61-Q61</f>
        <v>106</v>
      </c>
      <c r="T61" s="72">
        <v>535</v>
      </c>
      <c r="U61" s="72">
        <v>0</v>
      </c>
      <c r="V61" s="72">
        <v>107</v>
      </c>
      <c r="W61" s="72">
        <v>0</v>
      </c>
      <c r="AA61" s="73">
        <v>0</v>
      </c>
      <c r="AB61" s="72">
        <v>5</v>
      </c>
      <c r="AE61" s="96">
        <v>0</v>
      </c>
      <c r="AF61" s="95">
        <v>0</v>
      </c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 t="str">
        <f>"      " &amp; TEXT(AF61,"#0.00%") &amp; " "</f>
        <v xml:space="preserve">      0.00% </v>
      </c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 t="str">
        <f>" " &amp; "단품 및 Post 생산/제작" &amp; " " &amp; IF(Q61="","",TEXT(Q61,"M/D-")) &amp; IF(R61="","",TEXT(R61,"M/D")) &amp; " "</f>
        <v xml:space="preserve"> 단품 및 Post 생산/제작 4/15-7/30 </v>
      </c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</row>
    <row r="62" spans="1:121" ht="15" customHeight="1" outlineLevel="4" x14ac:dyDescent="0.3">
      <c r="A62" s="100"/>
      <c r="B62" s="100"/>
      <c r="C62" s="99">
        <v>5</v>
      </c>
      <c r="D62" s="98" t="s">
        <v>1360</v>
      </c>
      <c r="I62" s="77" t="s">
        <v>1359</v>
      </c>
      <c r="O62" s="105">
        <v>6</v>
      </c>
      <c r="P62" s="105"/>
      <c r="Q62" s="75">
        <v>45061</v>
      </c>
      <c r="R62" s="75">
        <v>45168</v>
      </c>
      <c r="S62" s="71">
        <f>R62-Q62</f>
        <v>107</v>
      </c>
      <c r="T62" s="72">
        <v>216</v>
      </c>
      <c r="U62" s="72">
        <v>0</v>
      </c>
      <c r="V62" s="72">
        <v>108</v>
      </c>
      <c r="W62" s="72">
        <v>0</v>
      </c>
      <c r="AA62" s="73">
        <v>0</v>
      </c>
      <c r="AB62" s="72">
        <v>2</v>
      </c>
      <c r="AE62" s="96">
        <v>0</v>
      </c>
      <c r="AF62" s="95">
        <v>0</v>
      </c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 t="str">
        <f>" " &amp; TEXT(AF62,"#0.00%") &amp; " "</f>
        <v xml:space="preserve"> 0.00% </v>
      </c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 t="str">
        <f>"    " &amp; "1차조립" &amp; " " &amp; IF(Q62="","",TEXT(Q62,"M/D-")) &amp; IF(R62="","",TEXT(R62,"M/D")) &amp; " "</f>
        <v xml:space="preserve">    1차조립 5/15-8/30 </v>
      </c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</row>
    <row r="63" spans="1:121" ht="15" customHeight="1" outlineLevel="3" x14ac:dyDescent="0.3">
      <c r="A63" s="100"/>
      <c r="B63" s="100" t="s">
        <v>298</v>
      </c>
      <c r="C63" s="99">
        <v>4</v>
      </c>
      <c r="D63" s="138" t="s">
        <v>482</v>
      </c>
      <c r="E63" s="114"/>
      <c r="F63" s="114"/>
      <c r="G63" s="114"/>
      <c r="H63" s="114" t="s">
        <v>1358</v>
      </c>
      <c r="I63" s="114"/>
      <c r="J63" s="114"/>
      <c r="K63" s="114"/>
      <c r="L63" s="114"/>
      <c r="M63" s="114"/>
      <c r="N63" s="114"/>
      <c r="O63" s="150"/>
      <c r="P63" s="150"/>
      <c r="Q63" s="135">
        <v>45139</v>
      </c>
      <c r="R63" s="135">
        <v>45199</v>
      </c>
      <c r="S63" s="131"/>
      <c r="T63" s="132">
        <v>305</v>
      </c>
      <c r="U63" s="132">
        <v>0</v>
      </c>
      <c r="V63" s="132">
        <v>61</v>
      </c>
      <c r="W63" s="132">
        <v>0</v>
      </c>
      <c r="X63" s="135"/>
      <c r="Y63" s="135"/>
      <c r="Z63" s="134">
        <v>0</v>
      </c>
      <c r="AA63" s="133">
        <v>0</v>
      </c>
      <c r="AB63" s="132"/>
      <c r="AC63" s="131"/>
      <c r="AD63" s="130"/>
      <c r="AE63" s="129">
        <v>0</v>
      </c>
      <c r="AF63" s="101">
        <v>0</v>
      </c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 t="str">
        <f>"  " &amp; TEXT(AF63,"#0.00%") &amp; " "</f>
        <v xml:space="preserve">  0.00% </v>
      </c>
      <c r="BH63" s="94"/>
      <c r="BI63" s="94"/>
      <c r="BJ63" s="94"/>
      <c r="BK63" s="94"/>
      <c r="BL63" s="94"/>
      <c r="BM63" s="94"/>
      <c r="BN63" s="94"/>
      <c r="BO63" s="94"/>
      <c r="BP63" s="94" t="str">
        <f>"" &amp; "RACK 기타 마감자재" &amp; " " &amp; IF(Q63="","",TEXT(Q63,"M/D-")) &amp; IF(R63="","",TEXT(R63,"M/D")) &amp; " "</f>
        <v xml:space="preserve">RACK 기타 마감자재 8/1-9/30 </v>
      </c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</row>
    <row r="64" spans="1:121" ht="15" customHeight="1" outlineLevel="4" x14ac:dyDescent="0.3">
      <c r="A64" s="100"/>
      <c r="B64" s="100"/>
      <c r="C64" s="99">
        <v>5</v>
      </c>
      <c r="D64" s="98" t="s">
        <v>1357</v>
      </c>
      <c r="I64" s="77" t="s">
        <v>1356</v>
      </c>
      <c r="O64" s="105"/>
      <c r="P64" s="105"/>
      <c r="Q64" s="75">
        <v>45139</v>
      </c>
      <c r="R64" s="75">
        <v>45199</v>
      </c>
      <c r="S64" s="71">
        <f>R64-Q64</f>
        <v>60</v>
      </c>
      <c r="T64" s="72">
        <v>305</v>
      </c>
      <c r="U64" s="72">
        <v>0</v>
      </c>
      <c r="V64" s="72">
        <v>61</v>
      </c>
      <c r="W64" s="72">
        <v>0</v>
      </c>
      <c r="AA64" s="73">
        <v>0</v>
      </c>
      <c r="AB64" s="72">
        <v>5</v>
      </c>
      <c r="AE64" s="96">
        <v>0</v>
      </c>
      <c r="AF64" s="95">
        <v>0</v>
      </c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 t="str">
        <f>"  " &amp; TEXT(AF64,"#0.00%") &amp; " "</f>
        <v xml:space="preserve">  0.00% </v>
      </c>
      <c r="BH64" s="94"/>
      <c r="BI64" s="94"/>
      <c r="BJ64" s="94"/>
      <c r="BK64" s="94"/>
      <c r="BL64" s="94"/>
      <c r="BM64" s="94"/>
      <c r="BN64" s="94"/>
      <c r="BO64" s="94"/>
      <c r="BP64" s="94" t="str">
        <f>"" &amp; "단품 및 제작" &amp; " " &amp; IF(Q64="","",TEXT(Q64,"M/D-")) &amp; IF(R64="","",TEXT(R64,"M/D")) &amp; " "</f>
        <v xml:space="preserve">단품 및 제작 8/1-9/30 </v>
      </c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</row>
    <row r="65" spans="1:121" ht="15" customHeight="1" outlineLevel="2" x14ac:dyDescent="0.3">
      <c r="A65" s="100"/>
      <c r="B65" s="100" t="s">
        <v>298</v>
      </c>
      <c r="C65" s="99">
        <v>3</v>
      </c>
      <c r="D65" s="98" t="s">
        <v>471</v>
      </c>
      <c r="G65" s="77" t="s">
        <v>1166</v>
      </c>
      <c r="Q65" s="75">
        <v>44972</v>
      </c>
      <c r="R65" s="75">
        <v>45260</v>
      </c>
      <c r="T65" s="72">
        <v>9359</v>
      </c>
      <c r="U65" s="72">
        <v>406</v>
      </c>
      <c r="V65" s="72">
        <v>289</v>
      </c>
      <c r="W65" s="72">
        <v>29</v>
      </c>
      <c r="Z65" s="74">
        <v>0</v>
      </c>
      <c r="AA65" s="73">
        <v>0</v>
      </c>
      <c r="AE65" s="96">
        <v>4.3380703066566939E-2</v>
      </c>
      <c r="AF65" s="109">
        <v>0</v>
      </c>
      <c r="AG65" s="94"/>
      <c r="AH65" s="94"/>
      <c r="AI65" s="94" t="str">
        <f>"   " &amp; TEXT(AF65,"#0.00%") &amp; " "</f>
        <v xml:space="preserve">   0.00% </v>
      </c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 t="str">
        <f>"     " &amp; "MSC Crane(FR)" &amp; " " &amp; IF(Q65="","",TEXT(Q65,"M/D-")) &amp; IF(R65="","",TEXT(R65,"M/D")) &amp; " "</f>
        <v xml:space="preserve">     MSC Crane(FR) 2/15-11/30 </v>
      </c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</row>
    <row r="66" spans="1:121" ht="15" customHeight="1" outlineLevel="3" x14ac:dyDescent="0.3">
      <c r="A66" s="149"/>
      <c r="B66" s="149" t="s">
        <v>298</v>
      </c>
      <c r="C66" s="148">
        <v>4</v>
      </c>
      <c r="D66" s="138" t="s">
        <v>468</v>
      </c>
      <c r="E66" s="147"/>
      <c r="F66" s="147"/>
      <c r="G66" s="147"/>
      <c r="H66" s="114" t="s">
        <v>1355</v>
      </c>
      <c r="I66" s="147"/>
      <c r="J66" s="147"/>
      <c r="K66" s="147"/>
      <c r="L66" s="147"/>
      <c r="M66" s="147"/>
      <c r="N66" s="147"/>
      <c r="O66" s="146"/>
      <c r="P66" s="146"/>
      <c r="Q66" s="145">
        <v>44972</v>
      </c>
      <c r="R66" s="145">
        <v>45260</v>
      </c>
      <c r="S66" s="141"/>
      <c r="T66" s="142">
        <v>1337</v>
      </c>
      <c r="U66" s="142">
        <v>58</v>
      </c>
      <c r="V66" s="142">
        <v>289</v>
      </c>
      <c r="W66" s="142">
        <v>29</v>
      </c>
      <c r="X66" s="145"/>
      <c r="Y66" s="145"/>
      <c r="Z66" s="144">
        <v>0</v>
      </c>
      <c r="AA66" s="143">
        <v>0</v>
      </c>
      <c r="AB66" s="142"/>
      <c r="AC66" s="141"/>
      <c r="AD66" s="140"/>
      <c r="AE66" s="139">
        <v>4.3380703066566939E-2</v>
      </c>
      <c r="AF66" s="109">
        <v>0</v>
      </c>
      <c r="AG66" s="94"/>
      <c r="AH66" s="94"/>
      <c r="AI66" s="94" t="str">
        <f>"   " &amp; TEXT(AF66,"#0.00%") &amp; " "</f>
        <v xml:space="preserve">   0.00% </v>
      </c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 t="str">
        <f>"     " &amp; "상온#1 Aging" &amp; " " &amp; IF(Q66="","",TEXT(Q66,"M/D-")) &amp; IF(R66="","",TEXT(R66,"M/D")) &amp; " "</f>
        <v xml:space="preserve">     상온#1 Aging 2/15-11/30 </v>
      </c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</row>
    <row r="67" spans="1:121" ht="15" customHeight="1" outlineLevel="4" x14ac:dyDescent="0.3">
      <c r="A67" s="100"/>
      <c r="B67" s="100"/>
      <c r="C67" s="99">
        <v>5</v>
      </c>
      <c r="D67" s="98" t="s">
        <v>1354</v>
      </c>
      <c r="I67" s="77" t="s">
        <v>1286</v>
      </c>
      <c r="Q67" s="75">
        <v>44972</v>
      </c>
      <c r="R67" s="75">
        <v>45153</v>
      </c>
      <c r="S67" s="71">
        <f>R67-Q67</f>
        <v>181</v>
      </c>
      <c r="T67" s="72">
        <v>364</v>
      </c>
      <c r="U67" s="72">
        <v>58</v>
      </c>
      <c r="V67" s="72">
        <v>182</v>
      </c>
      <c r="W67" s="72">
        <v>29</v>
      </c>
      <c r="AA67" s="73">
        <v>0</v>
      </c>
      <c r="AB67" s="72">
        <v>2</v>
      </c>
      <c r="AE67" s="96">
        <v>0.15934065934065933</v>
      </c>
      <c r="AF67" s="108">
        <v>0</v>
      </c>
      <c r="AG67" s="94"/>
      <c r="AH67" s="94"/>
      <c r="AI67" s="94" t="str">
        <f>"   " &amp; TEXT(AF67,"#0.00%") &amp; " "</f>
        <v xml:space="preserve">   0.00% </v>
      </c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 t="str">
        <f>"   " &amp; "장납기 구매품 발주 및 입고" &amp; " " &amp; IF(Q67="","",TEXT(Q67,"M/D-")) &amp; IF(R67="","",TEXT(R67,"M/D")) &amp; " "</f>
        <v xml:space="preserve">   장납기 구매품 발주 및 입고 2/15-8/15 </v>
      </c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</row>
    <row r="68" spans="1:121" ht="15" customHeight="1" outlineLevel="4" x14ac:dyDescent="0.3">
      <c r="A68" s="100"/>
      <c r="B68" s="100"/>
      <c r="C68" s="99">
        <v>5</v>
      </c>
      <c r="D68" s="98" t="s">
        <v>1353</v>
      </c>
      <c r="I68" s="77" t="s">
        <v>1322</v>
      </c>
      <c r="Q68" s="75">
        <v>45017</v>
      </c>
      <c r="R68" s="97">
        <v>45137</v>
      </c>
      <c r="S68" s="71">
        <f>R68-Q68</f>
        <v>120</v>
      </c>
      <c r="T68" s="72">
        <v>363</v>
      </c>
      <c r="U68" s="72">
        <v>0</v>
      </c>
      <c r="V68" s="72">
        <v>121</v>
      </c>
      <c r="W68" s="72">
        <v>0</v>
      </c>
      <c r="AA68" s="73">
        <v>0</v>
      </c>
      <c r="AB68" s="72">
        <v>3</v>
      </c>
      <c r="AE68" s="96">
        <v>0</v>
      </c>
      <c r="AF68" s="95">
        <v>0</v>
      </c>
      <c r="AG68" s="94"/>
      <c r="AH68" s="94"/>
      <c r="AI68" s="94"/>
      <c r="AJ68" s="94"/>
      <c r="AK68" s="94"/>
      <c r="AL68" s="94"/>
      <c r="AM68" s="94"/>
      <c r="AN68" s="94"/>
      <c r="AO68" s="94" t="str">
        <f>"      " &amp; TEXT(AF68,"#0.00%") &amp; " "</f>
        <v xml:space="preserve">      0.00% </v>
      </c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 t="str">
        <f>" " &amp; "단품제작" &amp; " " &amp; IF(Q68="","",TEXT(Q68,"M/D-")) &amp; IF(R68="","",TEXT(R68,"M/D")) &amp; " "</f>
        <v xml:space="preserve"> 단품제작 4/1-7/30 </v>
      </c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</row>
    <row r="69" spans="1:121" ht="15" customHeight="1" outlineLevel="4" x14ac:dyDescent="0.3">
      <c r="A69" s="100"/>
      <c r="B69" s="100"/>
      <c r="C69" s="99">
        <v>5</v>
      </c>
      <c r="D69" s="98" t="s">
        <v>1352</v>
      </c>
      <c r="I69" s="77" t="s">
        <v>1282</v>
      </c>
      <c r="Q69" s="75">
        <v>45078</v>
      </c>
      <c r="R69" s="97">
        <v>45199</v>
      </c>
      <c r="S69" s="71">
        <f>R69-Q69</f>
        <v>121</v>
      </c>
      <c r="T69" s="72">
        <v>488</v>
      </c>
      <c r="U69" s="72">
        <v>0</v>
      </c>
      <c r="V69" s="72">
        <v>122</v>
      </c>
      <c r="W69" s="72">
        <v>0</v>
      </c>
      <c r="AA69" s="73">
        <v>0</v>
      </c>
      <c r="AB69" s="72">
        <v>4</v>
      </c>
      <c r="AE69" s="96">
        <v>0</v>
      </c>
      <c r="AF69" s="95">
        <v>0</v>
      </c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 t="str">
        <f>"    " &amp; TEXT(AF69,"#0.00%") &amp; " "</f>
        <v xml:space="preserve">    0.00% </v>
      </c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 t="str">
        <f>"" &amp; "기구조립" &amp; " " &amp; IF(Q69="","",TEXT(Q69,"M/D-")) &amp; IF(R69="","",TEXT(R69,"M/D")) &amp; " "</f>
        <v xml:space="preserve">기구조립 6/1-9/30 </v>
      </c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</row>
    <row r="70" spans="1:121" ht="15" customHeight="1" outlineLevel="4" x14ac:dyDescent="0.3">
      <c r="A70" s="100"/>
      <c r="B70" s="100"/>
      <c r="C70" s="99">
        <v>5</v>
      </c>
      <c r="D70" s="98" t="s">
        <v>1351</v>
      </c>
      <c r="I70" s="77" t="s">
        <v>1280</v>
      </c>
      <c r="Q70" s="75">
        <v>45139</v>
      </c>
      <c r="R70" s="97">
        <v>45260</v>
      </c>
      <c r="S70" s="71">
        <f>R70-Q70</f>
        <v>121</v>
      </c>
      <c r="T70" s="72">
        <v>122</v>
      </c>
      <c r="U70" s="72">
        <v>0</v>
      </c>
      <c r="V70" s="72">
        <v>122</v>
      </c>
      <c r="W70" s="72">
        <v>0</v>
      </c>
      <c r="AA70" s="73">
        <v>0</v>
      </c>
      <c r="AB70" s="72">
        <v>1</v>
      </c>
      <c r="AE70" s="96">
        <v>0</v>
      </c>
      <c r="AF70" s="95">
        <v>0</v>
      </c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 t="str">
        <f>"  " &amp; TEXT(AF70,"#0.00%") &amp; " "</f>
        <v xml:space="preserve">  0.00% </v>
      </c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 t="str">
        <f>"     " &amp; "전장조립" &amp; " " &amp; IF(Q70="","",TEXT(Q70,"M/D-")) &amp; IF(R70="","",TEXT(R70,"M/D")) &amp; " "</f>
        <v xml:space="preserve">     전장조립 8/1-11/30 </v>
      </c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</row>
    <row r="71" spans="1:121" ht="15" customHeight="1" outlineLevel="3" x14ac:dyDescent="0.3">
      <c r="A71" s="149"/>
      <c r="B71" s="149" t="s">
        <v>298</v>
      </c>
      <c r="C71" s="148">
        <v>4</v>
      </c>
      <c r="D71" s="138" t="s">
        <v>467</v>
      </c>
      <c r="E71" s="147"/>
      <c r="F71" s="147"/>
      <c r="G71" s="147"/>
      <c r="H71" s="114" t="s">
        <v>1350</v>
      </c>
      <c r="I71" s="147"/>
      <c r="J71" s="147"/>
      <c r="K71" s="147"/>
      <c r="L71" s="147"/>
      <c r="M71" s="147"/>
      <c r="N71" s="147"/>
      <c r="O71" s="146"/>
      <c r="P71" s="146"/>
      <c r="Q71" s="145">
        <v>44972</v>
      </c>
      <c r="R71" s="97">
        <v>45260</v>
      </c>
      <c r="S71" s="141"/>
      <c r="T71" s="142">
        <v>1337</v>
      </c>
      <c r="U71" s="142">
        <v>58</v>
      </c>
      <c r="V71" s="142">
        <v>289</v>
      </c>
      <c r="W71" s="142">
        <v>29</v>
      </c>
      <c r="X71" s="145"/>
      <c r="Y71" s="145"/>
      <c r="Z71" s="144">
        <v>0</v>
      </c>
      <c r="AA71" s="143">
        <v>0</v>
      </c>
      <c r="AB71" s="142"/>
      <c r="AC71" s="141"/>
      <c r="AD71" s="140"/>
      <c r="AE71" s="139">
        <v>4.3380703066566939E-2</v>
      </c>
      <c r="AF71" s="109">
        <v>0</v>
      </c>
      <c r="AG71" s="94"/>
      <c r="AH71" s="94"/>
      <c r="AI71" s="94" t="str">
        <f>"   " &amp; TEXT(AF71,"#0.00%") &amp; " "</f>
        <v xml:space="preserve">   0.00% </v>
      </c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 t="str">
        <f>"     " &amp; "고온#1 Aging" &amp; " " &amp; IF(Q71="","",TEXT(Q71,"M/D-")) &amp; IF(R71="","",TEXT(R71,"M/D")) &amp; " "</f>
        <v xml:space="preserve">     고온#1 Aging 2/15-11/30 </v>
      </c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</row>
    <row r="72" spans="1:121" ht="15" customHeight="1" outlineLevel="4" x14ac:dyDescent="0.3">
      <c r="A72" s="100"/>
      <c r="B72" s="100"/>
      <c r="C72" s="99">
        <v>5</v>
      </c>
      <c r="D72" s="98" t="s">
        <v>1349</v>
      </c>
      <c r="I72" s="77" t="s">
        <v>1286</v>
      </c>
      <c r="Q72" s="75">
        <v>44972</v>
      </c>
      <c r="R72" s="97">
        <v>45153</v>
      </c>
      <c r="S72" s="71">
        <f>R72-Q72</f>
        <v>181</v>
      </c>
      <c r="T72" s="72">
        <v>364</v>
      </c>
      <c r="U72" s="72">
        <v>58</v>
      </c>
      <c r="V72" s="72">
        <v>182</v>
      </c>
      <c r="W72" s="72">
        <v>29</v>
      </c>
      <c r="AA72" s="73">
        <v>0</v>
      </c>
      <c r="AB72" s="72">
        <v>2</v>
      </c>
      <c r="AE72" s="96">
        <v>0.15934065934065933</v>
      </c>
      <c r="AF72" s="108">
        <v>0</v>
      </c>
      <c r="AG72" s="94"/>
      <c r="AH72" s="94"/>
      <c r="AI72" s="94" t="str">
        <f>"   " &amp; TEXT(AF72,"#0.00%") &amp; " "</f>
        <v xml:space="preserve">   0.00% </v>
      </c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 t="str">
        <f>"   " &amp; "장납기 구매품 발주 및 입고" &amp; " " &amp; IF(Q72="","",TEXT(Q72,"M/D-")) &amp; IF(R72="","",TEXT(R72,"M/D")) &amp; " "</f>
        <v xml:space="preserve">   장납기 구매품 발주 및 입고 2/15-8/15 </v>
      </c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</row>
    <row r="73" spans="1:121" ht="15" customHeight="1" outlineLevel="4" x14ac:dyDescent="0.3">
      <c r="A73" s="100"/>
      <c r="B73" s="100"/>
      <c r="C73" s="99">
        <v>5</v>
      </c>
      <c r="D73" s="98" t="s">
        <v>1348</v>
      </c>
      <c r="I73" s="77" t="s">
        <v>1322</v>
      </c>
      <c r="Q73" s="75">
        <v>45017</v>
      </c>
      <c r="R73" s="97">
        <v>45137</v>
      </c>
      <c r="S73" s="71">
        <f>R73-Q73</f>
        <v>120</v>
      </c>
      <c r="T73" s="72">
        <v>363</v>
      </c>
      <c r="U73" s="72">
        <v>0</v>
      </c>
      <c r="V73" s="72">
        <v>121</v>
      </c>
      <c r="W73" s="72">
        <v>0</v>
      </c>
      <c r="AA73" s="73">
        <v>0</v>
      </c>
      <c r="AB73" s="72">
        <v>3</v>
      </c>
      <c r="AE73" s="96">
        <v>0</v>
      </c>
      <c r="AF73" s="95">
        <v>0</v>
      </c>
      <c r="AG73" s="94"/>
      <c r="AH73" s="94"/>
      <c r="AI73" s="94"/>
      <c r="AJ73" s="94"/>
      <c r="AK73" s="94"/>
      <c r="AL73" s="94"/>
      <c r="AM73" s="94"/>
      <c r="AN73" s="94"/>
      <c r="AO73" s="94" t="str">
        <f>"      " &amp; TEXT(AF73,"#0.00%") &amp; " "</f>
        <v xml:space="preserve">      0.00% </v>
      </c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 t="str">
        <f>" " &amp; "단품제작" &amp; " " &amp; IF(Q73="","",TEXT(Q73,"M/D-")) &amp; IF(R73="","",TEXT(R73,"M/D")) &amp; " "</f>
        <v xml:space="preserve"> 단품제작 4/1-7/30 </v>
      </c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</row>
    <row r="74" spans="1:121" ht="15" customHeight="1" outlineLevel="4" x14ac:dyDescent="0.3">
      <c r="A74" s="100"/>
      <c r="B74" s="100"/>
      <c r="C74" s="99">
        <v>5</v>
      </c>
      <c r="D74" s="98" t="s">
        <v>1347</v>
      </c>
      <c r="I74" s="77" t="s">
        <v>1282</v>
      </c>
      <c r="Q74" s="75">
        <v>45078</v>
      </c>
      <c r="R74" s="97">
        <v>45199</v>
      </c>
      <c r="S74" s="71">
        <f>R74-Q74</f>
        <v>121</v>
      </c>
      <c r="T74" s="72">
        <v>488</v>
      </c>
      <c r="U74" s="72">
        <v>0</v>
      </c>
      <c r="V74" s="72">
        <v>122</v>
      </c>
      <c r="W74" s="72">
        <v>0</v>
      </c>
      <c r="AA74" s="73">
        <v>0</v>
      </c>
      <c r="AB74" s="72">
        <v>4</v>
      </c>
      <c r="AE74" s="96">
        <v>0</v>
      </c>
      <c r="AF74" s="95">
        <v>0</v>
      </c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 t="str">
        <f>"    " &amp; TEXT(AF74,"#0.00%") &amp; " "</f>
        <v xml:space="preserve">    0.00% </v>
      </c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 t="str">
        <f>"" &amp; "기구조립" &amp; " " &amp; IF(Q74="","",TEXT(Q74,"M/D-")) &amp; IF(R74="","",TEXT(R74,"M/D")) &amp; " "</f>
        <v xml:space="preserve">기구조립 6/1-9/30 </v>
      </c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</row>
    <row r="75" spans="1:121" ht="15" customHeight="1" outlineLevel="4" x14ac:dyDescent="0.3">
      <c r="A75" s="100"/>
      <c r="B75" s="100"/>
      <c r="C75" s="99">
        <v>5</v>
      </c>
      <c r="D75" s="98" t="s">
        <v>1346</v>
      </c>
      <c r="I75" s="77" t="s">
        <v>1280</v>
      </c>
      <c r="Q75" s="75">
        <v>45139</v>
      </c>
      <c r="R75" s="97">
        <v>45260</v>
      </c>
      <c r="S75" s="71">
        <f>R75-Q75</f>
        <v>121</v>
      </c>
      <c r="T75" s="72">
        <v>122</v>
      </c>
      <c r="U75" s="72">
        <v>0</v>
      </c>
      <c r="V75" s="72">
        <v>122</v>
      </c>
      <c r="W75" s="72">
        <v>0</v>
      </c>
      <c r="AA75" s="73">
        <v>0</v>
      </c>
      <c r="AB75" s="72">
        <v>1</v>
      </c>
      <c r="AE75" s="96">
        <v>0</v>
      </c>
      <c r="AF75" s="95">
        <v>0</v>
      </c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 t="str">
        <f>"  " &amp; TEXT(AF75,"#0.00%") &amp; " "</f>
        <v xml:space="preserve">  0.00% </v>
      </c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 t="str">
        <f>"     " &amp; "전장조립" &amp; " " &amp; IF(Q75="","",TEXT(Q75,"M/D-")) &amp; IF(R75="","",TEXT(R75,"M/D")) &amp; " "</f>
        <v xml:space="preserve">     전장조립 8/1-11/30 </v>
      </c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</row>
    <row r="76" spans="1:121" ht="15" customHeight="1" outlineLevel="3" x14ac:dyDescent="0.3">
      <c r="A76" s="149"/>
      <c r="B76" s="149" t="s">
        <v>298</v>
      </c>
      <c r="C76" s="148">
        <v>4</v>
      </c>
      <c r="D76" s="138" t="s">
        <v>466</v>
      </c>
      <c r="E76" s="147"/>
      <c r="F76" s="147"/>
      <c r="G76" s="147"/>
      <c r="H76" s="114" t="s">
        <v>1345</v>
      </c>
      <c r="I76" s="147"/>
      <c r="J76" s="147"/>
      <c r="K76" s="147"/>
      <c r="L76" s="147"/>
      <c r="M76" s="147"/>
      <c r="N76" s="147"/>
      <c r="O76" s="146"/>
      <c r="P76" s="146"/>
      <c r="Q76" s="145">
        <v>44972</v>
      </c>
      <c r="R76" s="97">
        <v>45260</v>
      </c>
      <c r="S76" s="141"/>
      <c r="T76" s="142">
        <v>1337</v>
      </c>
      <c r="U76" s="142">
        <v>58</v>
      </c>
      <c r="V76" s="142">
        <v>289</v>
      </c>
      <c r="W76" s="142">
        <v>29</v>
      </c>
      <c r="X76" s="145"/>
      <c r="Y76" s="145"/>
      <c r="Z76" s="144">
        <v>0</v>
      </c>
      <c r="AA76" s="143">
        <v>0</v>
      </c>
      <c r="AB76" s="142"/>
      <c r="AC76" s="141"/>
      <c r="AD76" s="140"/>
      <c r="AE76" s="139">
        <v>4.3380703066566939E-2</v>
      </c>
      <c r="AF76" s="109">
        <v>0</v>
      </c>
      <c r="AG76" s="94"/>
      <c r="AH76" s="94"/>
      <c r="AI76" s="94" t="str">
        <f>"   " &amp; TEXT(AF76,"#0.00%") &amp; " "</f>
        <v xml:space="preserve">   0.00% </v>
      </c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 t="str">
        <f>"     " &amp; "PPC" &amp; " " &amp; IF(Q76="","",TEXT(Q76,"M/D-")) &amp; IF(R76="","",TEXT(R76,"M/D")) &amp; " "</f>
        <v xml:space="preserve">     PPC 2/15-11/30 </v>
      </c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</row>
    <row r="77" spans="1:121" ht="15" customHeight="1" outlineLevel="4" x14ac:dyDescent="0.3">
      <c r="A77" s="100"/>
      <c r="B77" s="100"/>
      <c r="C77" s="99">
        <v>5</v>
      </c>
      <c r="D77" s="98" t="s">
        <v>1344</v>
      </c>
      <c r="I77" s="77" t="s">
        <v>1286</v>
      </c>
      <c r="Q77" s="75">
        <v>44972</v>
      </c>
      <c r="R77" s="97">
        <v>45153</v>
      </c>
      <c r="S77" s="71">
        <f>R77-Q77</f>
        <v>181</v>
      </c>
      <c r="T77" s="72">
        <v>364</v>
      </c>
      <c r="U77" s="72">
        <v>58</v>
      </c>
      <c r="V77" s="72">
        <v>182</v>
      </c>
      <c r="W77" s="72">
        <v>29</v>
      </c>
      <c r="AA77" s="73">
        <v>0</v>
      </c>
      <c r="AB77" s="72">
        <v>2</v>
      </c>
      <c r="AE77" s="96">
        <v>0.15934065934065933</v>
      </c>
      <c r="AF77" s="108">
        <v>0</v>
      </c>
      <c r="AG77" s="94"/>
      <c r="AH77" s="94"/>
      <c r="AI77" s="94" t="str">
        <f>"   " &amp; TEXT(AF77,"#0.00%") &amp; " "</f>
        <v xml:space="preserve">   0.00% </v>
      </c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 t="str">
        <f>"   " &amp; "장납기 구매품 발주 및 입고" &amp; " " &amp; IF(Q77="","",TEXT(Q77,"M/D-")) &amp; IF(R77="","",TEXT(R77,"M/D")) &amp; " "</f>
        <v xml:space="preserve">   장납기 구매품 발주 및 입고 2/15-8/15 </v>
      </c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</row>
    <row r="78" spans="1:121" ht="15" customHeight="1" outlineLevel="4" x14ac:dyDescent="0.3">
      <c r="A78" s="100"/>
      <c r="B78" s="100"/>
      <c r="C78" s="99">
        <v>5</v>
      </c>
      <c r="D78" s="98" t="s">
        <v>1343</v>
      </c>
      <c r="I78" s="77" t="s">
        <v>1322</v>
      </c>
      <c r="Q78" s="75">
        <v>45017</v>
      </c>
      <c r="R78" s="97">
        <v>45137</v>
      </c>
      <c r="S78" s="71">
        <f>R78-Q78</f>
        <v>120</v>
      </c>
      <c r="T78" s="72">
        <v>363</v>
      </c>
      <c r="U78" s="72">
        <v>0</v>
      </c>
      <c r="V78" s="72">
        <v>121</v>
      </c>
      <c r="W78" s="72">
        <v>0</v>
      </c>
      <c r="AA78" s="73">
        <v>0</v>
      </c>
      <c r="AB78" s="72">
        <v>3</v>
      </c>
      <c r="AE78" s="96">
        <v>0</v>
      </c>
      <c r="AF78" s="95">
        <v>0</v>
      </c>
      <c r="AG78" s="94"/>
      <c r="AH78" s="94"/>
      <c r="AI78" s="94"/>
      <c r="AJ78" s="94"/>
      <c r="AK78" s="94"/>
      <c r="AL78" s="94"/>
      <c r="AM78" s="94"/>
      <c r="AN78" s="94"/>
      <c r="AO78" s="94" t="str">
        <f>"      " &amp; TEXT(AF78,"#0.00%") &amp; " "</f>
        <v xml:space="preserve">      0.00% </v>
      </c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 t="str">
        <f>" " &amp; "단품제작" &amp; " " &amp; IF(Q78="","",TEXT(Q78,"M/D-")) &amp; IF(R78="","",TEXT(R78,"M/D")) &amp; " "</f>
        <v xml:space="preserve"> 단품제작 4/1-7/30 </v>
      </c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</row>
    <row r="79" spans="1:121" ht="15" customHeight="1" outlineLevel="4" x14ac:dyDescent="0.3">
      <c r="A79" s="100"/>
      <c r="B79" s="100"/>
      <c r="C79" s="99">
        <v>5</v>
      </c>
      <c r="D79" s="98" t="s">
        <v>1342</v>
      </c>
      <c r="I79" s="77" t="s">
        <v>1282</v>
      </c>
      <c r="Q79" s="75">
        <v>45078</v>
      </c>
      <c r="R79" s="97">
        <v>45199</v>
      </c>
      <c r="S79" s="71">
        <f>R79-Q79</f>
        <v>121</v>
      </c>
      <c r="T79" s="72">
        <v>488</v>
      </c>
      <c r="U79" s="72">
        <v>0</v>
      </c>
      <c r="V79" s="72">
        <v>122</v>
      </c>
      <c r="W79" s="72">
        <v>0</v>
      </c>
      <c r="AA79" s="73">
        <v>0</v>
      </c>
      <c r="AB79" s="72">
        <v>4</v>
      </c>
      <c r="AE79" s="96">
        <v>0</v>
      </c>
      <c r="AF79" s="95">
        <v>0</v>
      </c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 t="str">
        <f>"    " &amp; TEXT(AF79,"#0.00%") &amp; " "</f>
        <v xml:space="preserve">    0.00% </v>
      </c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 t="str">
        <f>"" &amp; "기구조립" &amp; " " &amp; IF(Q79="","",TEXT(Q79,"M/D-")) &amp; IF(R79="","",TEXT(R79,"M/D")) &amp; " "</f>
        <v xml:space="preserve">기구조립 6/1-9/30 </v>
      </c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</row>
    <row r="80" spans="1:121" ht="15" customHeight="1" outlineLevel="4" x14ac:dyDescent="0.3">
      <c r="A80" s="100"/>
      <c r="B80" s="100"/>
      <c r="C80" s="99">
        <v>5</v>
      </c>
      <c r="D80" s="98" t="s">
        <v>1341</v>
      </c>
      <c r="I80" s="77" t="s">
        <v>1280</v>
      </c>
      <c r="Q80" s="75">
        <v>45139</v>
      </c>
      <c r="R80" s="97">
        <v>45260</v>
      </c>
      <c r="S80" s="71">
        <f>R80-Q80</f>
        <v>121</v>
      </c>
      <c r="T80" s="72">
        <v>122</v>
      </c>
      <c r="U80" s="72">
        <v>0</v>
      </c>
      <c r="V80" s="72">
        <v>122</v>
      </c>
      <c r="W80" s="72">
        <v>0</v>
      </c>
      <c r="AA80" s="73">
        <v>0</v>
      </c>
      <c r="AB80" s="72">
        <v>1</v>
      </c>
      <c r="AE80" s="96">
        <v>0</v>
      </c>
      <c r="AF80" s="95">
        <v>0</v>
      </c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 t="str">
        <f>"  " &amp; TEXT(AF80,"#0.00%") &amp; " "</f>
        <v xml:space="preserve">  0.00% </v>
      </c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 t="str">
        <f>"     " &amp; "전장조립" &amp; " " &amp; IF(Q80="","",TEXT(Q80,"M/D-")) &amp; IF(R80="","",TEXT(R80,"M/D")) &amp; " "</f>
        <v xml:space="preserve">     전장조립 8/1-11/30 </v>
      </c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</row>
    <row r="81" spans="1:121" ht="15" customHeight="1" outlineLevel="3" x14ac:dyDescent="0.3">
      <c r="A81" s="100"/>
      <c r="B81" s="100" t="s">
        <v>298</v>
      </c>
      <c r="C81" s="99">
        <v>4</v>
      </c>
      <c r="D81" s="98" t="s">
        <v>465</v>
      </c>
      <c r="H81" s="77" t="s">
        <v>1340</v>
      </c>
      <c r="Q81" s="75">
        <v>44972</v>
      </c>
      <c r="R81" s="97">
        <v>45260</v>
      </c>
      <c r="T81" s="72">
        <v>1337</v>
      </c>
      <c r="U81" s="72">
        <v>58</v>
      </c>
      <c r="V81" s="72">
        <v>289</v>
      </c>
      <c r="W81" s="72">
        <v>29</v>
      </c>
      <c r="Z81" s="74">
        <v>0</v>
      </c>
      <c r="AA81" s="73">
        <v>0</v>
      </c>
      <c r="AE81" s="96">
        <v>4.3380703066566939E-2</v>
      </c>
      <c r="AF81" s="109">
        <v>0</v>
      </c>
      <c r="AG81" s="94"/>
      <c r="AH81" s="94"/>
      <c r="AI81" s="94" t="str">
        <f>"   " &amp; TEXT(AF81,"#0.00%") &amp; " "</f>
        <v xml:space="preserve">   0.00% </v>
      </c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 t="str">
        <f>"     " &amp; "충방전" &amp; " " &amp; IF(Q81="","",TEXT(Q81,"M/D-")) &amp; IF(R81="","",TEXT(R81,"M/D")) &amp; " "</f>
        <v xml:space="preserve">     충방전 2/15-11/30 </v>
      </c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</row>
    <row r="82" spans="1:121" ht="15" customHeight="1" outlineLevel="4" x14ac:dyDescent="0.3">
      <c r="A82" s="100"/>
      <c r="B82" s="100"/>
      <c r="C82" s="99">
        <v>5</v>
      </c>
      <c r="D82" s="98" t="s">
        <v>1339</v>
      </c>
      <c r="I82" s="77" t="s">
        <v>1286</v>
      </c>
      <c r="Q82" s="75">
        <v>44972</v>
      </c>
      <c r="R82" s="97">
        <v>45153</v>
      </c>
      <c r="S82" s="71">
        <f>R82-Q82</f>
        <v>181</v>
      </c>
      <c r="T82" s="72">
        <v>364</v>
      </c>
      <c r="U82" s="72">
        <v>58</v>
      </c>
      <c r="V82" s="72">
        <v>182</v>
      </c>
      <c r="W82" s="72">
        <v>29</v>
      </c>
      <c r="AA82" s="73">
        <v>0</v>
      </c>
      <c r="AB82" s="72">
        <v>2</v>
      </c>
      <c r="AE82" s="96">
        <v>0.15934065934065933</v>
      </c>
      <c r="AF82" s="108">
        <v>0</v>
      </c>
      <c r="AG82" s="94"/>
      <c r="AH82" s="94"/>
      <c r="AI82" s="94" t="str">
        <f>"   " &amp; TEXT(AF82,"#0.00%") &amp; " "</f>
        <v xml:space="preserve">   0.00% </v>
      </c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 t="str">
        <f>"   " &amp; "장납기 구매품 발주 및 입고" &amp; " " &amp; IF(Q82="","",TEXT(Q82,"M/D-")) &amp; IF(R82="","",TEXT(R82,"M/D")) &amp; " "</f>
        <v xml:space="preserve">   장납기 구매품 발주 및 입고 2/15-8/15 </v>
      </c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</row>
    <row r="83" spans="1:121" ht="15" customHeight="1" outlineLevel="4" x14ac:dyDescent="0.3">
      <c r="A83" s="100"/>
      <c r="B83" s="100"/>
      <c r="C83" s="99">
        <v>5</v>
      </c>
      <c r="D83" s="98" t="s">
        <v>1338</v>
      </c>
      <c r="I83" s="77" t="s">
        <v>1322</v>
      </c>
      <c r="Q83" s="75">
        <v>45017</v>
      </c>
      <c r="R83" s="97">
        <v>45137</v>
      </c>
      <c r="S83" s="71">
        <f>R83-Q83</f>
        <v>120</v>
      </c>
      <c r="T83" s="72">
        <v>363</v>
      </c>
      <c r="U83" s="72">
        <v>0</v>
      </c>
      <c r="V83" s="72">
        <v>121</v>
      </c>
      <c r="W83" s="72">
        <v>0</v>
      </c>
      <c r="AA83" s="73">
        <v>0</v>
      </c>
      <c r="AB83" s="72">
        <v>3</v>
      </c>
      <c r="AE83" s="96">
        <v>0</v>
      </c>
      <c r="AF83" s="95">
        <v>0</v>
      </c>
      <c r="AG83" s="94"/>
      <c r="AH83" s="94"/>
      <c r="AI83" s="94"/>
      <c r="AJ83" s="94"/>
      <c r="AK83" s="94"/>
      <c r="AL83" s="94"/>
      <c r="AM83" s="94"/>
      <c r="AN83" s="94"/>
      <c r="AO83" s="94" t="str">
        <f>"      " &amp; TEXT(AF83,"#0.00%") &amp; " "</f>
        <v xml:space="preserve">      0.00% </v>
      </c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 t="str">
        <f>" " &amp; "단품제작" &amp; " " &amp; IF(Q83="","",TEXT(Q83,"M/D-")) &amp; IF(R83="","",TEXT(R83,"M/D")) &amp; " "</f>
        <v xml:space="preserve"> 단품제작 4/1-7/30 </v>
      </c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</row>
    <row r="84" spans="1:121" ht="15" customHeight="1" outlineLevel="4" x14ac:dyDescent="0.3">
      <c r="A84" s="100"/>
      <c r="B84" s="100"/>
      <c r="C84" s="99">
        <v>5</v>
      </c>
      <c r="D84" s="98" t="s">
        <v>1337</v>
      </c>
      <c r="I84" s="77" t="s">
        <v>1282</v>
      </c>
      <c r="Q84" s="75">
        <v>45078</v>
      </c>
      <c r="R84" s="97">
        <v>45199</v>
      </c>
      <c r="S84" s="71">
        <f>R84-Q84</f>
        <v>121</v>
      </c>
      <c r="T84" s="72">
        <v>488</v>
      </c>
      <c r="U84" s="72">
        <v>0</v>
      </c>
      <c r="V84" s="72">
        <v>122</v>
      </c>
      <c r="W84" s="72">
        <v>0</v>
      </c>
      <c r="AA84" s="73">
        <v>0</v>
      </c>
      <c r="AB84" s="72">
        <v>4</v>
      </c>
      <c r="AE84" s="96">
        <v>0</v>
      </c>
      <c r="AF84" s="95">
        <v>0</v>
      </c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 t="str">
        <f>"    " &amp; TEXT(AF84,"#0.00%") &amp; " "</f>
        <v xml:space="preserve">    0.00% </v>
      </c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 t="str">
        <f>"" &amp; "기구조립" &amp; " " &amp; IF(Q84="","",TEXT(Q84,"M/D-")) &amp; IF(R84="","",TEXT(R84,"M/D")) &amp; " "</f>
        <v xml:space="preserve">기구조립 6/1-9/30 </v>
      </c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</row>
    <row r="85" spans="1:121" ht="15" customHeight="1" outlineLevel="4" x14ac:dyDescent="0.3">
      <c r="A85" s="100"/>
      <c r="B85" s="100"/>
      <c r="C85" s="99">
        <v>5</v>
      </c>
      <c r="D85" s="98" t="s">
        <v>1336</v>
      </c>
      <c r="I85" s="77" t="s">
        <v>1280</v>
      </c>
      <c r="Q85" s="75">
        <v>45139</v>
      </c>
      <c r="R85" s="97">
        <v>45260</v>
      </c>
      <c r="S85" s="71">
        <f>R85-Q85</f>
        <v>121</v>
      </c>
      <c r="T85" s="72">
        <v>122</v>
      </c>
      <c r="U85" s="72">
        <v>0</v>
      </c>
      <c r="V85" s="72">
        <v>122</v>
      </c>
      <c r="W85" s="72">
        <v>0</v>
      </c>
      <c r="AA85" s="73">
        <v>0</v>
      </c>
      <c r="AB85" s="72">
        <v>1</v>
      </c>
      <c r="AE85" s="96">
        <v>0</v>
      </c>
      <c r="AF85" s="95">
        <v>0</v>
      </c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 t="str">
        <f>"  " &amp; TEXT(AF85,"#0.00%") &amp; " "</f>
        <v xml:space="preserve">  0.00% </v>
      </c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 t="str">
        <f>"     " &amp; "전장조립" &amp; " " &amp; IF(Q85="","",TEXT(Q85,"M/D-")) &amp; IF(R85="","",TEXT(R85,"M/D")) &amp; " "</f>
        <v xml:space="preserve">     전장조립 8/1-11/30 </v>
      </c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</row>
    <row r="86" spans="1:121" ht="15" customHeight="1" outlineLevel="3" x14ac:dyDescent="0.3">
      <c r="A86" s="100"/>
      <c r="B86" s="100" t="s">
        <v>298</v>
      </c>
      <c r="C86" s="99">
        <v>4</v>
      </c>
      <c r="D86" s="98" t="s">
        <v>464</v>
      </c>
      <c r="H86" s="77" t="s">
        <v>1335</v>
      </c>
      <c r="Q86" s="75">
        <v>44972</v>
      </c>
      <c r="R86" s="97">
        <v>45260</v>
      </c>
      <c r="T86" s="72">
        <v>1337</v>
      </c>
      <c r="U86" s="72">
        <v>58</v>
      </c>
      <c r="V86" s="72">
        <v>289</v>
      </c>
      <c r="W86" s="72">
        <v>29</v>
      </c>
      <c r="Z86" s="74">
        <v>0</v>
      </c>
      <c r="AA86" s="73">
        <v>0</v>
      </c>
      <c r="AE86" s="96">
        <v>4.3380703066566939E-2</v>
      </c>
      <c r="AF86" s="109">
        <v>0</v>
      </c>
      <c r="AG86" s="94"/>
      <c r="AH86" s="94"/>
      <c r="AI86" s="94" t="str">
        <f>"   " &amp; TEXT(AF86,"#0.00%") &amp; " "</f>
        <v xml:space="preserve">   0.00% </v>
      </c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 t="str">
        <f>"     " &amp; "고온#2 Aging" &amp; " " &amp; IF(Q86="","",TEXT(Q86,"M/D-")) &amp; IF(R86="","",TEXT(R86,"M/D")) &amp; " "</f>
        <v xml:space="preserve">     고온#2 Aging 2/15-11/30 </v>
      </c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</row>
    <row r="87" spans="1:121" ht="15" customHeight="1" outlineLevel="4" x14ac:dyDescent="0.3">
      <c r="A87" s="100"/>
      <c r="B87" s="100"/>
      <c r="C87" s="99">
        <v>5</v>
      </c>
      <c r="D87" s="98" t="s">
        <v>1334</v>
      </c>
      <c r="I87" s="77" t="s">
        <v>1286</v>
      </c>
      <c r="Q87" s="75">
        <v>44972</v>
      </c>
      <c r="R87" s="97">
        <v>45153</v>
      </c>
      <c r="S87" s="71">
        <f>R87-Q87</f>
        <v>181</v>
      </c>
      <c r="T87" s="72">
        <v>364</v>
      </c>
      <c r="U87" s="72">
        <v>58</v>
      </c>
      <c r="V87" s="72">
        <v>182</v>
      </c>
      <c r="W87" s="72">
        <v>29</v>
      </c>
      <c r="AA87" s="73">
        <v>0</v>
      </c>
      <c r="AB87" s="72">
        <v>2</v>
      </c>
      <c r="AE87" s="96">
        <v>0.15934065934065933</v>
      </c>
      <c r="AF87" s="108">
        <v>0</v>
      </c>
      <c r="AG87" s="94"/>
      <c r="AH87" s="94"/>
      <c r="AI87" s="94" t="str">
        <f>"   " &amp; TEXT(AF87,"#0.00%") &amp; " "</f>
        <v xml:space="preserve">   0.00% </v>
      </c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 t="str">
        <f>"   " &amp; "장납기 구매품 발주 및 입고" &amp; " " &amp; IF(Q87="","",TEXT(Q87,"M/D-")) &amp; IF(R87="","",TEXT(R87,"M/D")) &amp; " "</f>
        <v xml:space="preserve">   장납기 구매품 발주 및 입고 2/15-8/15 </v>
      </c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</row>
    <row r="88" spans="1:121" ht="15" customHeight="1" outlineLevel="4" x14ac:dyDescent="0.3">
      <c r="A88" s="100"/>
      <c r="B88" s="100"/>
      <c r="C88" s="99">
        <v>5</v>
      </c>
      <c r="D88" s="98" t="s">
        <v>1333</v>
      </c>
      <c r="I88" s="77" t="s">
        <v>1322</v>
      </c>
      <c r="Q88" s="75">
        <v>45017</v>
      </c>
      <c r="R88" s="97">
        <v>45137</v>
      </c>
      <c r="S88" s="71">
        <f>R88-Q88</f>
        <v>120</v>
      </c>
      <c r="T88" s="72">
        <v>363</v>
      </c>
      <c r="U88" s="72">
        <v>0</v>
      </c>
      <c r="V88" s="72">
        <v>121</v>
      </c>
      <c r="W88" s="72">
        <v>0</v>
      </c>
      <c r="AA88" s="73">
        <v>0</v>
      </c>
      <c r="AB88" s="72">
        <v>3</v>
      </c>
      <c r="AE88" s="96">
        <v>0</v>
      </c>
      <c r="AF88" s="95">
        <v>0</v>
      </c>
      <c r="AG88" s="94"/>
      <c r="AH88" s="94"/>
      <c r="AI88" s="94"/>
      <c r="AJ88" s="94"/>
      <c r="AK88" s="94"/>
      <c r="AL88" s="94"/>
      <c r="AM88" s="94"/>
      <c r="AN88" s="94"/>
      <c r="AO88" s="94" t="str">
        <f>"      " &amp; TEXT(AF88,"#0.00%") &amp; " "</f>
        <v xml:space="preserve">      0.00% </v>
      </c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 t="str">
        <f>" " &amp; "단품제작" &amp; " " &amp; IF(Q88="","",TEXT(Q88,"M/D-")) &amp; IF(R88="","",TEXT(R88,"M/D")) &amp; " "</f>
        <v xml:space="preserve"> 단품제작 4/1-7/30 </v>
      </c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</row>
    <row r="89" spans="1:121" ht="15" customHeight="1" outlineLevel="4" x14ac:dyDescent="0.3">
      <c r="A89" s="100"/>
      <c r="B89" s="100"/>
      <c r="C89" s="99">
        <v>5</v>
      </c>
      <c r="D89" s="98" t="s">
        <v>1332</v>
      </c>
      <c r="I89" s="77" t="s">
        <v>1282</v>
      </c>
      <c r="Q89" s="75">
        <v>45078</v>
      </c>
      <c r="R89" s="97">
        <v>45199</v>
      </c>
      <c r="S89" s="71">
        <f>R89-Q89</f>
        <v>121</v>
      </c>
      <c r="T89" s="72">
        <v>488</v>
      </c>
      <c r="U89" s="72">
        <v>0</v>
      </c>
      <c r="V89" s="72">
        <v>122</v>
      </c>
      <c r="W89" s="72">
        <v>0</v>
      </c>
      <c r="AA89" s="73">
        <v>0</v>
      </c>
      <c r="AB89" s="72">
        <v>4</v>
      </c>
      <c r="AE89" s="96">
        <v>0</v>
      </c>
      <c r="AF89" s="95">
        <v>0</v>
      </c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 t="str">
        <f>"    " &amp; TEXT(AF89,"#0.00%") &amp; " "</f>
        <v xml:space="preserve">    0.00% </v>
      </c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 t="str">
        <f>"" &amp; "기구조립" &amp; " " &amp; IF(Q89="","",TEXT(Q89,"M/D-")) &amp; IF(R89="","",TEXT(R89,"M/D")) &amp; " "</f>
        <v xml:space="preserve">기구조립 6/1-9/30 </v>
      </c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</row>
    <row r="90" spans="1:121" ht="15" customHeight="1" outlineLevel="4" x14ac:dyDescent="0.3">
      <c r="A90" s="100"/>
      <c r="B90" s="100"/>
      <c r="C90" s="99">
        <v>5</v>
      </c>
      <c r="D90" s="98" t="s">
        <v>1331</v>
      </c>
      <c r="I90" s="77" t="s">
        <v>1280</v>
      </c>
      <c r="Q90" s="75">
        <v>45139</v>
      </c>
      <c r="R90" s="97">
        <v>45260</v>
      </c>
      <c r="S90" s="71">
        <f>R90-Q90</f>
        <v>121</v>
      </c>
      <c r="T90" s="72">
        <v>122</v>
      </c>
      <c r="U90" s="72">
        <v>0</v>
      </c>
      <c r="V90" s="72">
        <v>122</v>
      </c>
      <c r="W90" s="72">
        <v>0</v>
      </c>
      <c r="AA90" s="73">
        <v>0</v>
      </c>
      <c r="AB90" s="72">
        <v>1</v>
      </c>
      <c r="AE90" s="96">
        <v>0</v>
      </c>
      <c r="AF90" s="95">
        <v>0</v>
      </c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 t="str">
        <f>"  " &amp; TEXT(AF90,"#0.00%") &amp; " "</f>
        <v xml:space="preserve">  0.00% </v>
      </c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 t="str">
        <f>"     " &amp; "전장조립" &amp; " " &amp; IF(Q90="","",TEXT(Q90,"M/D-")) &amp; IF(R90="","",TEXT(R90,"M/D")) &amp; " "</f>
        <v xml:space="preserve">     전장조립 8/1-11/30 </v>
      </c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</row>
    <row r="91" spans="1:121" ht="15" customHeight="1" outlineLevel="3" x14ac:dyDescent="0.3">
      <c r="A91" s="100"/>
      <c r="B91" s="100" t="s">
        <v>298</v>
      </c>
      <c r="C91" s="99">
        <v>4</v>
      </c>
      <c r="D91" s="98" t="s">
        <v>463</v>
      </c>
      <c r="H91" s="77" t="s">
        <v>1330</v>
      </c>
      <c r="Q91" s="75">
        <v>44972</v>
      </c>
      <c r="R91" s="97">
        <v>45260</v>
      </c>
      <c r="T91" s="72">
        <v>1337</v>
      </c>
      <c r="U91" s="72">
        <v>58</v>
      </c>
      <c r="V91" s="72">
        <v>289</v>
      </c>
      <c r="W91" s="72">
        <v>29</v>
      </c>
      <c r="Z91" s="74">
        <v>0</v>
      </c>
      <c r="AA91" s="73">
        <v>0</v>
      </c>
      <c r="AE91" s="96">
        <v>4.3380703066566939E-2</v>
      </c>
      <c r="AF91" s="109">
        <v>0</v>
      </c>
      <c r="AG91" s="94"/>
      <c r="AH91" s="94"/>
      <c r="AI91" s="94" t="str">
        <f>"   " &amp; TEXT(AF91,"#0.00%") &amp; " "</f>
        <v xml:space="preserve">   0.00% </v>
      </c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 t="str">
        <f>"     " &amp; "상온#2 Aging" &amp; " " &amp; IF(Q91="","",TEXT(Q91,"M/D-")) &amp; IF(R91="","",TEXT(R91,"M/D")) &amp; " "</f>
        <v xml:space="preserve">     상온#2 Aging 2/15-11/30 </v>
      </c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</row>
    <row r="92" spans="1:121" ht="15" customHeight="1" outlineLevel="4" x14ac:dyDescent="0.3">
      <c r="A92" s="100"/>
      <c r="B92" s="100"/>
      <c r="C92" s="99">
        <v>5</v>
      </c>
      <c r="D92" s="98" t="s">
        <v>1329</v>
      </c>
      <c r="I92" s="77" t="s">
        <v>1286</v>
      </c>
      <c r="Q92" s="75">
        <v>44972</v>
      </c>
      <c r="R92" s="97">
        <v>45153</v>
      </c>
      <c r="S92" s="71">
        <f>R92-Q92</f>
        <v>181</v>
      </c>
      <c r="T92" s="72">
        <v>364</v>
      </c>
      <c r="U92" s="72">
        <v>58</v>
      </c>
      <c r="V92" s="72">
        <v>182</v>
      </c>
      <c r="W92" s="72">
        <v>29</v>
      </c>
      <c r="AA92" s="73">
        <v>0</v>
      </c>
      <c r="AB92" s="72">
        <v>2</v>
      </c>
      <c r="AE92" s="96">
        <v>0.15934065934065933</v>
      </c>
      <c r="AF92" s="108">
        <v>0</v>
      </c>
      <c r="AG92" s="94"/>
      <c r="AH92" s="94"/>
      <c r="AI92" s="94" t="str">
        <f>"   " &amp; TEXT(AF92,"#0.00%") &amp; " "</f>
        <v xml:space="preserve">   0.00% </v>
      </c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 t="str">
        <f>"   " &amp; "장납기 구매품 발주 및 입고" &amp; " " &amp; IF(Q92="","",TEXT(Q92,"M/D-")) &amp; IF(R92="","",TEXT(R92,"M/D")) &amp; " "</f>
        <v xml:space="preserve">   장납기 구매품 발주 및 입고 2/15-8/15 </v>
      </c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</row>
    <row r="93" spans="1:121" ht="15" customHeight="1" outlineLevel="4" x14ac:dyDescent="0.3">
      <c r="A93" s="100"/>
      <c r="B93" s="100"/>
      <c r="C93" s="99">
        <v>5</v>
      </c>
      <c r="D93" s="98" t="s">
        <v>1328</v>
      </c>
      <c r="I93" s="77" t="s">
        <v>1322</v>
      </c>
      <c r="Q93" s="75">
        <v>45017</v>
      </c>
      <c r="R93" s="97">
        <v>45137</v>
      </c>
      <c r="S93" s="71">
        <f>R93-Q93</f>
        <v>120</v>
      </c>
      <c r="T93" s="72">
        <v>363</v>
      </c>
      <c r="U93" s="72">
        <v>0</v>
      </c>
      <c r="V93" s="72">
        <v>121</v>
      </c>
      <c r="W93" s="72">
        <v>0</v>
      </c>
      <c r="AA93" s="73">
        <v>0</v>
      </c>
      <c r="AB93" s="72">
        <v>3</v>
      </c>
      <c r="AE93" s="96">
        <v>0</v>
      </c>
      <c r="AF93" s="95">
        <v>0</v>
      </c>
      <c r="AG93" s="94"/>
      <c r="AH93" s="94"/>
      <c r="AI93" s="94"/>
      <c r="AJ93" s="94"/>
      <c r="AK93" s="94"/>
      <c r="AL93" s="94"/>
      <c r="AM93" s="94"/>
      <c r="AN93" s="94"/>
      <c r="AO93" s="94" t="str">
        <f>"      " &amp; TEXT(AF93,"#0.00%") &amp; " "</f>
        <v xml:space="preserve">      0.00% </v>
      </c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 t="str">
        <f>" " &amp; "단품제작" &amp; " " &amp; IF(Q93="","",TEXT(Q93,"M/D-")) &amp; IF(R93="","",TEXT(R93,"M/D")) &amp; " "</f>
        <v xml:space="preserve"> 단품제작 4/1-7/30 </v>
      </c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</row>
    <row r="94" spans="1:121" ht="15" customHeight="1" outlineLevel="4" x14ac:dyDescent="0.3">
      <c r="A94" s="100"/>
      <c r="B94" s="100"/>
      <c r="C94" s="99">
        <v>5</v>
      </c>
      <c r="D94" s="98" t="s">
        <v>1327</v>
      </c>
      <c r="I94" s="77" t="s">
        <v>1282</v>
      </c>
      <c r="Q94" s="75">
        <v>45078</v>
      </c>
      <c r="R94" s="97">
        <v>45199</v>
      </c>
      <c r="S94" s="71">
        <f>R94-Q94</f>
        <v>121</v>
      </c>
      <c r="T94" s="72">
        <v>488</v>
      </c>
      <c r="U94" s="72">
        <v>0</v>
      </c>
      <c r="V94" s="72">
        <v>122</v>
      </c>
      <c r="W94" s="72">
        <v>0</v>
      </c>
      <c r="AA94" s="73">
        <v>0</v>
      </c>
      <c r="AB94" s="72">
        <v>4</v>
      </c>
      <c r="AE94" s="96">
        <v>0</v>
      </c>
      <c r="AF94" s="95">
        <v>0</v>
      </c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 t="str">
        <f>"    " &amp; TEXT(AF94,"#0.00%") &amp; " "</f>
        <v xml:space="preserve">    0.00% </v>
      </c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 t="str">
        <f>"" &amp; "기구조립" &amp; " " &amp; IF(Q94="","",TEXT(Q94,"M/D-")) &amp; IF(R94="","",TEXT(R94,"M/D")) &amp; " "</f>
        <v xml:space="preserve">기구조립 6/1-9/30 </v>
      </c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</row>
    <row r="95" spans="1:121" ht="15" customHeight="1" outlineLevel="4" x14ac:dyDescent="0.3">
      <c r="A95" s="100"/>
      <c r="B95" s="100"/>
      <c r="C95" s="99">
        <v>5</v>
      </c>
      <c r="D95" s="98" t="s">
        <v>1326</v>
      </c>
      <c r="I95" s="77" t="s">
        <v>1280</v>
      </c>
      <c r="Q95" s="75">
        <v>45139</v>
      </c>
      <c r="R95" s="97">
        <v>45260</v>
      </c>
      <c r="S95" s="71">
        <f>R95-Q95</f>
        <v>121</v>
      </c>
      <c r="T95" s="72">
        <v>122</v>
      </c>
      <c r="U95" s="72">
        <v>0</v>
      </c>
      <c r="V95" s="72">
        <v>122</v>
      </c>
      <c r="W95" s="72">
        <v>0</v>
      </c>
      <c r="AA95" s="73">
        <v>0</v>
      </c>
      <c r="AB95" s="72">
        <v>1</v>
      </c>
      <c r="AE95" s="96">
        <v>0</v>
      </c>
      <c r="AF95" s="95">
        <v>0</v>
      </c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 t="str">
        <f>"  " &amp; TEXT(AF95,"#0.00%") &amp; " "</f>
        <v xml:space="preserve">  0.00% </v>
      </c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 t="str">
        <f>"     " &amp; "전장조립" &amp; " " &amp; IF(Q95="","",TEXT(Q95,"M/D-")) &amp; IF(R95="","",TEXT(R95,"M/D")) &amp; " "</f>
        <v xml:space="preserve">     전장조립 8/1-11/30 </v>
      </c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94"/>
      <c r="DP95" s="94"/>
      <c r="DQ95" s="94"/>
    </row>
    <row r="96" spans="1:121" ht="15" customHeight="1" outlineLevel="3" x14ac:dyDescent="0.3">
      <c r="A96" s="100"/>
      <c r="B96" s="100" t="s">
        <v>298</v>
      </c>
      <c r="C96" s="99">
        <v>4</v>
      </c>
      <c r="D96" s="98" t="s">
        <v>462</v>
      </c>
      <c r="H96" s="77" t="s">
        <v>1325</v>
      </c>
      <c r="Q96" s="75">
        <v>44972</v>
      </c>
      <c r="R96" s="97">
        <v>45260</v>
      </c>
      <c r="T96" s="72">
        <v>1337</v>
      </c>
      <c r="U96" s="72">
        <v>58</v>
      </c>
      <c r="V96" s="72">
        <v>289</v>
      </c>
      <c r="W96" s="72">
        <v>29</v>
      </c>
      <c r="Z96" s="74">
        <v>0</v>
      </c>
      <c r="AA96" s="73">
        <v>0</v>
      </c>
      <c r="AE96" s="96">
        <v>4.3380703066566939E-2</v>
      </c>
      <c r="AF96" s="109">
        <v>0</v>
      </c>
      <c r="AG96" s="94"/>
      <c r="AH96" s="94"/>
      <c r="AI96" s="94" t="str">
        <f>"   " &amp; TEXT(AF96,"#0.00%") &amp; " "</f>
        <v xml:space="preserve">   0.00% </v>
      </c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 t="str">
        <f>"     " &amp; "공 Tray Buffer" &amp; " " &amp; IF(Q96="","",TEXT(Q96,"M/D-")) &amp; IF(R96="","",TEXT(R96,"M/D")) &amp; " "</f>
        <v xml:space="preserve">     공 Tray Buffer 2/15-11/30 </v>
      </c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</row>
    <row r="97" spans="1:121" ht="15" customHeight="1" outlineLevel="4" x14ac:dyDescent="0.3">
      <c r="A97" s="100"/>
      <c r="B97" s="100"/>
      <c r="C97" s="99">
        <v>5</v>
      </c>
      <c r="D97" s="98" t="s">
        <v>1324</v>
      </c>
      <c r="I97" s="77" t="s">
        <v>1286</v>
      </c>
      <c r="Q97" s="75">
        <v>44972</v>
      </c>
      <c r="R97" s="97">
        <v>45153</v>
      </c>
      <c r="S97" s="71">
        <f>R97-Q97</f>
        <v>181</v>
      </c>
      <c r="T97" s="72">
        <v>364</v>
      </c>
      <c r="U97" s="72">
        <v>58</v>
      </c>
      <c r="V97" s="72">
        <v>182</v>
      </c>
      <c r="W97" s="72">
        <v>29</v>
      </c>
      <c r="AA97" s="73">
        <v>0</v>
      </c>
      <c r="AB97" s="72">
        <v>2</v>
      </c>
      <c r="AE97" s="96">
        <v>0.15934065934065933</v>
      </c>
      <c r="AF97" s="108">
        <v>0</v>
      </c>
      <c r="AG97" s="94"/>
      <c r="AH97" s="94"/>
      <c r="AI97" s="94" t="str">
        <f>"   " &amp; TEXT(AF97,"#0.00%") &amp; " "</f>
        <v xml:space="preserve">   0.00% </v>
      </c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 t="str">
        <f>"   " &amp; "장납기 구매품 발주 및 입고" &amp; " " &amp; IF(Q97="","",TEXT(Q97,"M/D-")) &amp; IF(R97="","",TEXT(R97,"M/D")) &amp; " "</f>
        <v xml:space="preserve">   장납기 구매품 발주 및 입고 2/15-8/15 </v>
      </c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4"/>
    </row>
    <row r="98" spans="1:121" ht="15" customHeight="1" outlineLevel="4" x14ac:dyDescent="0.3">
      <c r="A98" s="100"/>
      <c r="B98" s="100"/>
      <c r="C98" s="99">
        <v>5</v>
      </c>
      <c r="D98" s="98" t="s">
        <v>1323</v>
      </c>
      <c r="I98" s="77" t="s">
        <v>1322</v>
      </c>
      <c r="Q98" s="75">
        <v>45017</v>
      </c>
      <c r="R98" s="97">
        <v>45137</v>
      </c>
      <c r="S98" s="71">
        <f>R98-Q98</f>
        <v>120</v>
      </c>
      <c r="T98" s="72">
        <v>363</v>
      </c>
      <c r="U98" s="72">
        <v>0</v>
      </c>
      <c r="V98" s="72">
        <v>121</v>
      </c>
      <c r="W98" s="72">
        <v>0</v>
      </c>
      <c r="AA98" s="73">
        <v>0</v>
      </c>
      <c r="AB98" s="72">
        <v>3</v>
      </c>
      <c r="AE98" s="96">
        <v>0</v>
      </c>
      <c r="AF98" s="95">
        <v>0</v>
      </c>
      <c r="AG98" s="94"/>
      <c r="AH98" s="94"/>
      <c r="AI98" s="94"/>
      <c r="AJ98" s="94"/>
      <c r="AK98" s="94"/>
      <c r="AL98" s="94"/>
      <c r="AM98" s="94"/>
      <c r="AN98" s="94"/>
      <c r="AO98" s="94" t="str">
        <f>"      " &amp; TEXT(AF98,"#0.00%") &amp; " "</f>
        <v xml:space="preserve">      0.00% </v>
      </c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 t="str">
        <f>" " &amp; "단품제작" &amp; " " &amp; IF(Q98="","",TEXT(Q98,"M/D-")) &amp; IF(R98="","",TEXT(R98,"M/D")) &amp; " "</f>
        <v xml:space="preserve"> 단품제작 4/1-7/30 </v>
      </c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4"/>
      <c r="DF98" s="94"/>
      <c r="DG98" s="94"/>
      <c r="DH98" s="94"/>
      <c r="DI98" s="94"/>
      <c r="DJ98" s="94"/>
      <c r="DK98" s="94"/>
      <c r="DL98" s="94"/>
      <c r="DM98" s="94"/>
      <c r="DN98" s="94"/>
      <c r="DO98" s="94"/>
      <c r="DP98" s="94"/>
      <c r="DQ98" s="94"/>
    </row>
    <row r="99" spans="1:121" ht="15" customHeight="1" outlineLevel="4" x14ac:dyDescent="0.3">
      <c r="A99" s="100"/>
      <c r="B99" s="100"/>
      <c r="C99" s="99">
        <v>5</v>
      </c>
      <c r="D99" s="98" t="s">
        <v>1321</v>
      </c>
      <c r="I99" s="77" t="s">
        <v>1282</v>
      </c>
      <c r="Q99" s="75">
        <v>45078</v>
      </c>
      <c r="R99" s="97">
        <v>45199</v>
      </c>
      <c r="S99" s="71">
        <f>R99-Q99</f>
        <v>121</v>
      </c>
      <c r="T99" s="72">
        <v>488</v>
      </c>
      <c r="U99" s="72">
        <v>0</v>
      </c>
      <c r="V99" s="72">
        <v>122</v>
      </c>
      <c r="W99" s="72">
        <v>0</v>
      </c>
      <c r="AA99" s="73">
        <v>0</v>
      </c>
      <c r="AB99" s="72">
        <v>4</v>
      </c>
      <c r="AE99" s="96">
        <v>0</v>
      </c>
      <c r="AF99" s="95">
        <v>0</v>
      </c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 t="str">
        <f>"    " &amp; TEXT(AF99,"#0.00%") &amp; " "</f>
        <v xml:space="preserve">    0.00% </v>
      </c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 t="str">
        <f>"" &amp; "기구조립" &amp; " " &amp; IF(Q99="","",TEXT(Q99,"M/D-")) &amp; IF(R99="","",TEXT(R99,"M/D")) &amp; " "</f>
        <v xml:space="preserve">기구조립 6/1-9/30 </v>
      </c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4"/>
      <c r="DG99" s="94"/>
      <c r="DH99" s="94"/>
      <c r="DI99" s="94"/>
      <c r="DJ99" s="94"/>
      <c r="DK99" s="94"/>
      <c r="DL99" s="94"/>
      <c r="DM99" s="94"/>
      <c r="DN99" s="94"/>
      <c r="DO99" s="94"/>
      <c r="DP99" s="94"/>
      <c r="DQ99" s="94"/>
    </row>
    <row r="100" spans="1:121" ht="15" customHeight="1" outlineLevel="4" x14ac:dyDescent="0.3">
      <c r="A100" s="100"/>
      <c r="B100" s="100"/>
      <c r="C100" s="99">
        <v>5</v>
      </c>
      <c r="D100" s="98" t="s">
        <v>1320</v>
      </c>
      <c r="I100" s="77" t="s">
        <v>1280</v>
      </c>
      <c r="Q100" s="75">
        <v>45139</v>
      </c>
      <c r="R100" s="97">
        <v>45260</v>
      </c>
      <c r="S100" s="71">
        <f>R100-Q100</f>
        <v>121</v>
      </c>
      <c r="T100" s="72">
        <v>122</v>
      </c>
      <c r="U100" s="72">
        <v>0</v>
      </c>
      <c r="V100" s="72">
        <v>122</v>
      </c>
      <c r="W100" s="72">
        <v>0</v>
      </c>
      <c r="AA100" s="73">
        <v>0</v>
      </c>
      <c r="AB100" s="72">
        <v>1</v>
      </c>
      <c r="AE100" s="96">
        <v>0</v>
      </c>
      <c r="AF100" s="95">
        <v>0</v>
      </c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 t="str">
        <f>"  " &amp; TEXT(AF100,"#0.00%") &amp; " "</f>
        <v xml:space="preserve">  0.00% </v>
      </c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 t="str">
        <f>"     " &amp; "전장조립" &amp; " " &amp; IF(Q100="","",TEXT(Q100,"M/D-")) &amp; IF(R100="","",TEXT(R100,"M/D")) &amp; " "</f>
        <v xml:space="preserve">     전장조립 8/1-11/30 </v>
      </c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</row>
    <row r="101" spans="1:121" ht="15" customHeight="1" outlineLevel="2" x14ac:dyDescent="0.3">
      <c r="A101" s="100"/>
      <c r="B101" s="100" t="s">
        <v>298</v>
      </c>
      <c r="C101" s="99">
        <v>3</v>
      </c>
      <c r="D101" s="98" t="s">
        <v>453</v>
      </c>
      <c r="G101" s="77" t="s">
        <v>1319</v>
      </c>
      <c r="Q101" s="75">
        <v>44972</v>
      </c>
      <c r="R101" s="97">
        <v>45260</v>
      </c>
      <c r="T101" s="72">
        <v>7876</v>
      </c>
      <c r="U101" s="72">
        <v>406</v>
      </c>
      <c r="V101" s="72">
        <v>289</v>
      </c>
      <c r="W101" s="72">
        <v>29</v>
      </c>
      <c r="Z101" s="74">
        <v>0</v>
      </c>
      <c r="AA101" s="73">
        <v>0</v>
      </c>
      <c r="AE101" s="96">
        <v>5.1549009649568309E-2</v>
      </c>
      <c r="AF101" s="109">
        <v>0</v>
      </c>
      <c r="AG101" s="94"/>
      <c r="AH101" s="94"/>
      <c r="AI101" s="94" t="str">
        <f>"   " &amp; TEXT(AF101,"#0.00%") &amp; " "</f>
        <v xml:space="preserve">   0.00% </v>
      </c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 t="str">
        <f>"     " &amp; "Conveyor &amp; Deck" &amp; " " &amp; IF(Q101="","",TEXT(Q101,"M/D-")) &amp; IF(R101="","",TEXT(R101,"M/D")) &amp; " "</f>
        <v xml:space="preserve">     Conveyor &amp; Deck 2/15-11/30 </v>
      </c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  <c r="DF101" s="94"/>
      <c r="DG101" s="94"/>
      <c r="DH101" s="94"/>
      <c r="DI101" s="94"/>
      <c r="DJ101" s="94"/>
      <c r="DK101" s="94"/>
      <c r="DL101" s="94"/>
      <c r="DM101" s="94"/>
      <c r="DN101" s="94"/>
      <c r="DO101" s="94"/>
      <c r="DP101" s="94"/>
      <c r="DQ101" s="94"/>
    </row>
    <row r="102" spans="1:121" ht="15" customHeight="1" outlineLevel="3" x14ac:dyDescent="0.3">
      <c r="A102" s="100"/>
      <c r="B102" s="100" t="s">
        <v>298</v>
      </c>
      <c r="C102" s="99">
        <v>4</v>
      </c>
      <c r="D102" s="98" t="s">
        <v>450</v>
      </c>
      <c r="H102" s="77" t="s">
        <v>1318</v>
      </c>
      <c r="Q102" s="75">
        <v>44972</v>
      </c>
      <c r="R102" s="97">
        <v>45214</v>
      </c>
      <c r="T102" s="72">
        <v>1100</v>
      </c>
      <c r="U102" s="72">
        <v>58</v>
      </c>
      <c r="V102" s="72">
        <v>243</v>
      </c>
      <c r="W102" s="72">
        <v>29</v>
      </c>
      <c r="Z102" s="74">
        <v>0</v>
      </c>
      <c r="AA102" s="73">
        <v>0</v>
      </c>
      <c r="AE102" s="96">
        <v>5.2727272727272727E-2</v>
      </c>
      <c r="AF102" s="109">
        <v>0</v>
      </c>
      <c r="AG102" s="94"/>
      <c r="AH102" s="94"/>
      <c r="AI102" s="94" t="str">
        <f>"   " &amp; TEXT(AF102,"#0.00%") &amp; " "</f>
        <v xml:space="preserve">   0.00% </v>
      </c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 t="str">
        <f>" " &amp; "조립동 CV" &amp; " " &amp; IF(Q102="","",TEXT(Q102,"M/D-")) &amp; IF(R102="","",TEXT(R102,"M/D")) &amp; " "</f>
        <v xml:space="preserve"> 조립동 CV 2/15-10/15 </v>
      </c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  <c r="DF102" s="94"/>
      <c r="DG102" s="94"/>
      <c r="DH102" s="94"/>
      <c r="DI102" s="94"/>
      <c r="DJ102" s="94"/>
      <c r="DK102" s="94"/>
      <c r="DL102" s="94"/>
      <c r="DM102" s="94"/>
      <c r="DN102" s="94"/>
      <c r="DO102" s="94"/>
      <c r="DP102" s="94"/>
      <c r="DQ102" s="94"/>
    </row>
    <row r="103" spans="1:121" ht="15" customHeight="1" outlineLevel="4" x14ac:dyDescent="0.3">
      <c r="A103" s="100"/>
      <c r="B103" s="100"/>
      <c r="C103" s="99">
        <v>5</v>
      </c>
      <c r="D103" s="98" t="s">
        <v>1317</v>
      </c>
      <c r="I103" s="77" t="s">
        <v>1286</v>
      </c>
      <c r="Q103" s="75">
        <v>44972</v>
      </c>
      <c r="R103" s="97">
        <v>45168</v>
      </c>
      <c r="S103" s="71">
        <f>R103-Q103</f>
        <v>196</v>
      </c>
      <c r="T103" s="72">
        <v>394</v>
      </c>
      <c r="U103" s="72">
        <v>58</v>
      </c>
      <c r="V103" s="72">
        <v>197</v>
      </c>
      <c r="W103" s="72">
        <v>29</v>
      </c>
      <c r="AA103" s="73">
        <v>0</v>
      </c>
      <c r="AB103" s="72">
        <v>2</v>
      </c>
      <c r="AE103" s="96">
        <v>0.14720812182741116</v>
      </c>
      <c r="AF103" s="108">
        <v>0</v>
      </c>
      <c r="AG103" s="94"/>
      <c r="AH103" s="94"/>
      <c r="AI103" s="94" t="str">
        <f>"   " &amp; TEXT(AF103,"#0.00%") &amp; " "</f>
        <v xml:space="preserve">   0.00% </v>
      </c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 t="str">
        <f>"    " &amp; "장납기 구매품 발주 및 입고" &amp; " " &amp; IF(Q103="","",TEXT(Q103,"M/D-")) &amp; IF(R103="","",TEXT(R103,"M/D")) &amp; " "</f>
        <v xml:space="preserve">    장납기 구매품 발주 및 입고 2/15-8/30 </v>
      </c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  <c r="DF103" s="94"/>
      <c r="DG103" s="94"/>
      <c r="DH103" s="94"/>
      <c r="DI103" s="94"/>
      <c r="DJ103" s="94"/>
      <c r="DK103" s="94"/>
      <c r="DL103" s="94"/>
      <c r="DM103" s="94"/>
      <c r="DN103" s="94"/>
      <c r="DO103" s="94"/>
      <c r="DP103" s="94"/>
      <c r="DQ103" s="94"/>
    </row>
    <row r="104" spans="1:121" ht="15" customHeight="1" outlineLevel="4" x14ac:dyDescent="0.3">
      <c r="A104" s="100"/>
      <c r="B104" s="100"/>
      <c r="C104" s="99">
        <v>5</v>
      </c>
      <c r="D104" s="98" t="s">
        <v>1316</v>
      </c>
      <c r="I104" s="77" t="s">
        <v>1284</v>
      </c>
      <c r="Q104" s="75">
        <v>45017</v>
      </c>
      <c r="R104" s="97">
        <v>45076</v>
      </c>
      <c r="S104" s="71">
        <f>R104-Q104</f>
        <v>59</v>
      </c>
      <c r="T104" s="72">
        <v>120</v>
      </c>
      <c r="U104" s="72">
        <v>0</v>
      </c>
      <c r="V104" s="72">
        <v>60</v>
      </c>
      <c r="W104" s="72">
        <v>0</v>
      </c>
      <c r="AA104" s="73">
        <v>0</v>
      </c>
      <c r="AB104" s="72">
        <v>2</v>
      </c>
      <c r="AE104" s="96">
        <v>0</v>
      </c>
      <c r="AF104" s="95">
        <v>0</v>
      </c>
      <c r="AG104" s="94"/>
      <c r="AH104" s="94"/>
      <c r="AI104" s="94"/>
      <c r="AJ104" s="94"/>
      <c r="AK104" s="94"/>
      <c r="AL104" s="94"/>
      <c r="AM104" s="94"/>
      <c r="AN104" s="94"/>
      <c r="AO104" s="94" t="str">
        <f>"      " &amp; TEXT(AF104,"#0.00%") &amp; " "</f>
        <v xml:space="preserve">      0.00% </v>
      </c>
      <c r="AP104" s="94"/>
      <c r="AQ104" s="94"/>
      <c r="AR104" s="94"/>
      <c r="AS104" s="94"/>
      <c r="AT104" s="94"/>
      <c r="AU104" s="94"/>
      <c r="AV104" s="94"/>
      <c r="AW104" s="94"/>
      <c r="AX104" s="94" t="str">
        <f>"   " &amp; "가공품 발주 및 입고" &amp; " " &amp; IF(Q104="","",TEXT(Q104,"M/D-")) &amp; IF(R104="","",TEXT(R104,"M/D")) &amp; " "</f>
        <v xml:space="preserve">   가공품 발주 및 입고 4/1-5/30 </v>
      </c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  <c r="DF104" s="94"/>
      <c r="DG104" s="94"/>
      <c r="DH104" s="94"/>
      <c r="DI104" s="94"/>
      <c r="DJ104" s="94"/>
      <c r="DK104" s="94"/>
      <c r="DL104" s="94"/>
      <c r="DM104" s="94"/>
      <c r="DN104" s="94"/>
      <c r="DO104" s="94"/>
      <c r="DP104" s="94"/>
      <c r="DQ104" s="94"/>
    </row>
    <row r="105" spans="1:121" ht="15" customHeight="1" outlineLevel="4" x14ac:dyDescent="0.3">
      <c r="A105" s="100"/>
      <c r="B105" s="100"/>
      <c r="C105" s="99">
        <v>5</v>
      </c>
      <c r="D105" s="98" t="s">
        <v>1315</v>
      </c>
      <c r="I105" s="77" t="s">
        <v>1282</v>
      </c>
      <c r="Q105" s="75">
        <v>45061</v>
      </c>
      <c r="R105" s="97">
        <v>45184</v>
      </c>
      <c r="S105" s="71">
        <f>R105-Q105</f>
        <v>123</v>
      </c>
      <c r="T105" s="72">
        <v>496</v>
      </c>
      <c r="U105" s="72">
        <v>0</v>
      </c>
      <c r="V105" s="72">
        <v>124</v>
      </c>
      <c r="W105" s="72">
        <v>0</v>
      </c>
      <c r="AA105" s="73">
        <v>0</v>
      </c>
      <c r="AB105" s="72">
        <v>4</v>
      </c>
      <c r="AE105" s="96">
        <v>0</v>
      </c>
      <c r="AF105" s="95">
        <v>0</v>
      </c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 t="str">
        <f>" " &amp; TEXT(AF105,"#0.00%") &amp; " "</f>
        <v xml:space="preserve"> 0.00% </v>
      </c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 t="str">
        <f>"      " &amp; "기구조립" &amp; " " &amp; IF(Q105="","",TEXT(Q105,"M/D-")) &amp; IF(R105="","",TEXT(R105,"M/D")) &amp; " "</f>
        <v xml:space="preserve">      기구조립 5/15-9/15 </v>
      </c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  <c r="DF105" s="94"/>
      <c r="DG105" s="94"/>
      <c r="DH105" s="94"/>
      <c r="DI105" s="94"/>
      <c r="DJ105" s="94"/>
      <c r="DK105" s="94"/>
      <c r="DL105" s="94"/>
      <c r="DM105" s="94"/>
      <c r="DN105" s="94"/>
      <c r="DO105" s="94"/>
      <c r="DP105" s="94"/>
      <c r="DQ105" s="94"/>
    </row>
    <row r="106" spans="1:121" ht="15" customHeight="1" outlineLevel="4" x14ac:dyDescent="0.3">
      <c r="A106" s="100"/>
      <c r="B106" s="100"/>
      <c r="C106" s="99">
        <v>5</v>
      </c>
      <c r="D106" s="98" t="s">
        <v>1314</v>
      </c>
      <c r="I106" s="77" t="s">
        <v>1280</v>
      </c>
      <c r="Q106" s="75">
        <v>45170</v>
      </c>
      <c r="R106" s="97">
        <v>45214</v>
      </c>
      <c r="S106" s="71">
        <f>R106-Q106</f>
        <v>44</v>
      </c>
      <c r="T106" s="72">
        <v>90</v>
      </c>
      <c r="U106" s="72">
        <v>0</v>
      </c>
      <c r="V106" s="72">
        <v>45</v>
      </c>
      <c r="W106" s="72">
        <v>0</v>
      </c>
      <c r="AA106" s="73">
        <v>0</v>
      </c>
      <c r="AB106" s="72">
        <v>2</v>
      </c>
      <c r="AE106" s="96">
        <v>0</v>
      </c>
      <c r="AF106" s="95">
        <v>0</v>
      </c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 t="str">
        <f>"     " &amp; TEXT(AF106,"#0.00%") &amp; " "</f>
        <v xml:space="preserve">     0.00% </v>
      </c>
      <c r="BL106" s="94"/>
      <c r="BM106" s="94"/>
      <c r="BN106" s="94"/>
      <c r="BO106" s="94"/>
      <c r="BP106" s="94"/>
      <c r="BQ106" s="94"/>
      <c r="BR106" s="94" t="str">
        <f>" " &amp; "전장조립" &amp; " " &amp; IF(Q106="","",TEXT(Q106,"M/D-")) &amp; IF(R106="","",TEXT(R106,"M/D")) &amp; " "</f>
        <v xml:space="preserve"> 전장조립 9/1-10/15 </v>
      </c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  <c r="DF106" s="94"/>
      <c r="DG106" s="94"/>
      <c r="DH106" s="94"/>
      <c r="DI106" s="94"/>
      <c r="DJ106" s="94"/>
      <c r="DK106" s="94"/>
      <c r="DL106" s="94"/>
      <c r="DM106" s="94"/>
      <c r="DN106" s="94"/>
      <c r="DO106" s="94"/>
      <c r="DP106" s="94"/>
      <c r="DQ106" s="94"/>
    </row>
    <row r="107" spans="1:121" ht="15" customHeight="1" outlineLevel="3" x14ac:dyDescent="0.3">
      <c r="A107" s="100"/>
      <c r="B107" s="100" t="s">
        <v>298</v>
      </c>
      <c r="C107" s="99">
        <v>4</v>
      </c>
      <c r="D107" s="98" t="s">
        <v>449</v>
      </c>
      <c r="H107" s="77" t="s">
        <v>1313</v>
      </c>
      <c r="Q107" s="75">
        <v>44972</v>
      </c>
      <c r="R107" s="97">
        <v>45214</v>
      </c>
      <c r="T107" s="72">
        <v>1100</v>
      </c>
      <c r="U107" s="72">
        <v>58</v>
      </c>
      <c r="V107" s="72">
        <v>243</v>
      </c>
      <c r="W107" s="72">
        <v>29</v>
      </c>
      <c r="Z107" s="74">
        <v>0</v>
      </c>
      <c r="AA107" s="73">
        <v>0</v>
      </c>
      <c r="AE107" s="96">
        <v>5.2727272727272727E-2</v>
      </c>
      <c r="AF107" s="109">
        <v>0</v>
      </c>
      <c r="AG107" s="94"/>
      <c r="AH107" s="94"/>
      <c r="AI107" s="94" t="str">
        <f>"   " &amp; TEXT(AF107,"#0.00%") &amp; " "</f>
        <v xml:space="preserve">   0.00% </v>
      </c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 t="str">
        <f>" " &amp; "1F 상온#1,고온#1 Aging" &amp; " " &amp; IF(Q107="","",TEXT(Q107,"M/D-")) &amp; IF(R107="","",TEXT(R107,"M/D")) &amp; " "</f>
        <v xml:space="preserve"> 1F 상온#1,고온#1 Aging 2/15-10/15 </v>
      </c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4"/>
      <c r="DM107" s="94"/>
      <c r="DN107" s="94"/>
      <c r="DO107" s="94"/>
      <c r="DP107" s="94"/>
      <c r="DQ107" s="94"/>
    </row>
    <row r="108" spans="1:121" ht="15" customHeight="1" outlineLevel="4" x14ac:dyDescent="0.3">
      <c r="A108" s="100"/>
      <c r="B108" s="100"/>
      <c r="C108" s="99">
        <v>5</v>
      </c>
      <c r="D108" s="98" t="s">
        <v>1312</v>
      </c>
      <c r="I108" s="77" t="s">
        <v>1286</v>
      </c>
      <c r="Q108" s="75">
        <v>44972</v>
      </c>
      <c r="R108" s="97">
        <v>45168</v>
      </c>
      <c r="S108" s="71">
        <f>R108-Q108</f>
        <v>196</v>
      </c>
      <c r="T108" s="72">
        <v>394</v>
      </c>
      <c r="U108" s="72">
        <v>58</v>
      </c>
      <c r="V108" s="72">
        <v>197</v>
      </c>
      <c r="W108" s="72">
        <v>29</v>
      </c>
      <c r="AA108" s="73">
        <v>0</v>
      </c>
      <c r="AB108" s="72">
        <v>2</v>
      </c>
      <c r="AE108" s="96">
        <v>0.14720812182741116</v>
      </c>
      <c r="AF108" s="108">
        <v>0</v>
      </c>
      <c r="AG108" s="94"/>
      <c r="AH108" s="94"/>
      <c r="AI108" s="94" t="str">
        <f>"   " &amp; TEXT(AF108,"#0.00%") &amp; " "</f>
        <v xml:space="preserve">   0.00% </v>
      </c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 t="str">
        <f>"    " &amp; "장납기 구매품 발주 및 입고" &amp; " " &amp; IF(Q108="","",TEXT(Q108,"M/D-")) &amp; IF(R108="","",TEXT(R108,"M/D")) &amp; " "</f>
        <v xml:space="preserve">    장납기 구매품 발주 및 입고 2/15-8/30 </v>
      </c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  <c r="DF108" s="94"/>
      <c r="DG108" s="94"/>
      <c r="DH108" s="94"/>
      <c r="DI108" s="94"/>
      <c r="DJ108" s="94"/>
      <c r="DK108" s="94"/>
      <c r="DL108" s="94"/>
      <c r="DM108" s="94"/>
      <c r="DN108" s="94"/>
      <c r="DO108" s="94"/>
      <c r="DP108" s="94"/>
      <c r="DQ108" s="94"/>
    </row>
    <row r="109" spans="1:121" ht="15" customHeight="1" outlineLevel="4" x14ac:dyDescent="0.3">
      <c r="A109" s="100"/>
      <c r="B109" s="100"/>
      <c r="C109" s="99">
        <v>5</v>
      </c>
      <c r="D109" s="98" t="s">
        <v>1311</v>
      </c>
      <c r="I109" s="77" t="s">
        <v>1284</v>
      </c>
      <c r="Q109" s="75">
        <v>45017</v>
      </c>
      <c r="R109" s="97">
        <v>45076</v>
      </c>
      <c r="S109" s="71">
        <f>R109-Q109</f>
        <v>59</v>
      </c>
      <c r="T109" s="72">
        <v>120</v>
      </c>
      <c r="U109" s="72">
        <v>0</v>
      </c>
      <c r="V109" s="72">
        <v>60</v>
      </c>
      <c r="W109" s="72">
        <v>0</v>
      </c>
      <c r="AA109" s="73">
        <v>0</v>
      </c>
      <c r="AB109" s="72">
        <v>2</v>
      </c>
      <c r="AE109" s="96">
        <v>0</v>
      </c>
      <c r="AF109" s="95">
        <v>0</v>
      </c>
      <c r="AG109" s="94"/>
      <c r="AH109" s="94"/>
      <c r="AI109" s="94"/>
      <c r="AJ109" s="94"/>
      <c r="AK109" s="94"/>
      <c r="AL109" s="94"/>
      <c r="AM109" s="94"/>
      <c r="AN109" s="94"/>
      <c r="AO109" s="94" t="str">
        <f>"      " &amp; TEXT(AF109,"#0.00%") &amp; " "</f>
        <v xml:space="preserve">      0.00% </v>
      </c>
      <c r="AP109" s="94"/>
      <c r="AQ109" s="94"/>
      <c r="AR109" s="94"/>
      <c r="AS109" s="94"/>
      <c r="AT109" s="94"/>
      <c r="AU109" s="94"/>
      <c r="AV109" s="94"/>
      <c r="AW109" s="94"/>
      <c r="AX109" s="94" t="str">
        <f>"   " &amp; "가공품 발주 및 입고" &amp; " " &amp; IF(Q109="","",TEXT(Q109,"M/D-")) &amp; IF(R109="","",TEXT(R109,"M/D")) &amp; " "</f>
        <v xml:space="preserve">   가공품 발주 및 입고 4/1-5/30 </v>
      </c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94"/>
      <c r="DK109" s="94"/>
      <c r="DL109" s="94"/>
      <c r="DM109" s="94"/>
      <c r="DN109" s="94"/>
      <c r="DO109" s="94"/>
      <c r="DP109" s="94"/>
      <c r="DQ109" s="94"/>
    </row>
    <row r="110" spans="1:121" ht="15" customHeight="1" outlineLevel="4" x14ac:dyDescent="0.3">
      <c r="A110" s="100"/>
      <c r="B110" s="100"/>
      <c r="C110" s="99">
        <v>5</v>
      </c>
      <c r="D110" s="98" t="s">
        <v>1310</v>
      </c>
      <c r="I110" s="77" t="s">
        <v>1282</v>
      </c>
      <c r="Q110" s="75">
        <v>45061</v>
      </c>
      <c r="R110" s="97">
        <v>45184</v>
      </c>
      <c r="S110" s="71">
        <f>R110-Q110</f>
        <v>123</v>
      </c>
      <c r="T110" s="72">
        <v>496</v>
      </c>
      <c r="U110" s="72">
        <v>0</v>
      </c>
      <c r="V110" s="72">
        <v>124</v>
      </c>
      <c r="W110" s="72">
        <v>0</v>
      </c>
      <c r="AA110" s="73">
        <v>0</v>
      </c>
      <c r="AB110" s="72">
        <v>4</v>
      </c>
      <c r="AE110" s="96">
        <v>0</v>
      </c>
      <c r="AF110" s="95">
        <v>0</v>
      </c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 t="str">
        <f>" " &amp; TEXT(AF110,"#0.00%") &amp; " "</f>
        <v xml:space="preserve"> 0.00% </v>
      </c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 t="str">
        <f>"      " &amp; "기구조립" &amp; " " &amp; IF(Q110="","",TEXT(Q110,"M/D-")) &amp; IF(R110="","",TEXT(R110,"M/D")) &amp; " "</f>
        <v xml:space="preserve">      기구조립 5/15-9/15 </v>
      </c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  <c r="DF110" s="94"/>
      <c r="DG110" s="94"/>
      <c r="DH110" s="94"/>
      <c r="DI110" s="94"/>
      <c r="DJ110" s="94"/>
      <c r="DK110" s="94"/>
      <c r="DL110" s="94"/>
      <c r="DM110" s="94"/>
      <c r="DN110" s="94"/>
      <c r="DO110" s="94"/>
      <c r="DP110" s="94"/>
      <c r="DQ110" s="94"/>
    </row>
    <row r="111" spans="1:121" ht="15" customHeight="1" outlineLevel="4" x14ac:dyDescent="0.3">
      <c r="A111" s="100"/>
      <c r="B111" s="100"/>
      <c r="C111" s="99">
        <v>5</v>
      </c>
      <c r="D111" s="98" t="s">
        <v>1309</v>
      </c>
      <c r="I111" s="77" t="s">
        <v>1280</v>
      </c>
      <c r="Q111" s="75">
        <v>45170</v>
      </c>
      <c r="R111" s="97">
        <v>45214</v>
      </c>
      <c r="S111" s="71">
        <f>R111-Q111</f>
        <v>44</v>
      </c>
      <c r="T111" s="72">
        <v>90</v>
      </c>
      <c r="U111" s="72">
        <v>0</v>
      </c>
      <c r="V111" s="72">
        <v>45</v>
      </c>
      <c r="W111" s="72">
        <v>0</v>
      </c>
      <c r="AA111" s="73">
        <v>0</v>
      </c>
      <c r="AB111" s="72">
        <v>2</v>
      </c>
      <c r="AE111" s="96">
        <v>0</v>
      </c>
      <c r="AF111" s="95">
        <v>0</v>
      </c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 t="str">
        <f>"     " &amp; TEXT(AF111,"#0.00%") &amp; " "</f>
        <v xml:space="preserve">     0.00% </v>
      </c>
      <c r="BL111" s="94"/>
      <c r="BM111" s="94"/>
      <c r="BN111" s="94"/>
      <c r="BO111" s="94"/>
      <c r="BP111" s="94"/>
      <c r="BQ111" s="94"/>
      <c r="BR111" s="94" t="str">
        <f>" " &amp; "전장조립" &amp; " " &amp; IF(Q111="","",TEXT(Q111,"M/D-")) &amp; IF(R111="","",TEXT(R111,"M/D")) &amp; " "</f>
        <v xml:space="preserve"> 전장조립 9/1-10/15 </v>
      </c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  <c r="DF111" s="94"/>
      <c r="DG111" s="94"/>
      <c r="DH111" s="94"/>
      <c r="DI111" s="94"/>
      <c r="DJ111" s="94"/>
      <c r="DK111" s="94"/>
      <c r="DL111" s="94"/>
      <c r="DM111" s="94"/>
      <c r="DN111" s="94"/>
      <c r="DO111" s="94"/>
      <c r="DP111" s="94"/>
      <c r="DQ111" s="94"/>
    </row>
    <row r="112" spans="1:121" ht="15" customHeight="1" outlineLevel="3" x14ac:dyDescent="0.3">
      <c r="A112" s="100"/>
      <c r="B112" s="100" t="s">
        <v>298</v>
      </c>
      <c r="C112" s="99">
        <v>4</v>
      </c>
      <c r="D112" s="98" t="s">
        <v>448</v>
      </c>
      <c r="H112" s="77" t="s">
        <v>1308</v>
      </c>
      <c r="Q112" s="75">
        <v>44972</v>
      </c>
      <c r="R112" s="97">
        <v>45214</v>
      </c>
      <c r="T112" s="72">
        <v>1100</v>
      </c>
      <c r="U112" s="72">
        <v>58</v>
      </c>
      <c r="V112" s="72">
        <v>243</v>
      </c>
      <c r="W112" s="72">
        <v>29</v>
      </c>
      <c r="Z112" s="74">
        <v>0</v>
      </c>
      <c r="AA112" s="73">
        <v>0</v>
      </c>
      <c r="AE112" s="96">
        <v>5.2727272727272727E-2</v>
      </c>
      <c r="AF112" s="109">
        <v>0</v>
      </c>
      <c r="AG112" s="94"/>
      <c r="AH112" s="94"/>
      <c r="AI112" s="94" t="str">
        <f>"   " &amp; TEXT(AF112,"#0.00%") &amp; " "</f>
        <v xml:space="preserve">   0.00% </v>
      </c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 t="str">
        <f>" " &amp; "1F PPC CV" &amp; " " &amp; IF(Q112="","",TEXT(Q112,"M/D-")) &amp; IF(R112="","",TEXT(R112,"M/D")) &amp; " "</f>
        <v xml:space="preserve"> 1F PPC CV 2/15-10/15 </v>
      </c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  <c r="DF112" s="94"/>
      <c r="DG112" s="94"/>
      <c r="DH112" s="94"/>
      <c r="DI112" s="94"/>
      <c r="DJ112" s="94"/>
      <c r="DK112" s="94"/>
      <c r="DL112" s="94"/>
      <c r="DM112" s="94"/>
      <c r="DN112" s="94"/>
      <c r="DO112" s="94"/>
      <c r="DP112" s="94"/>
      <c r="DQ112" s="94"/>
    </row>
    <row r="113" spans="1:121" ht="15" customHeight="1" outlineLevel="4" x14ac:dyDescent="0.3">
      <c r="A113" s="100"/>
      <c r="B113" s="100"/>
      <c r="C113" s="99">
        <v>5</v>
      </c>
      <c r="D113" s="98" t="s">
        <v>1307</v>
      </c>
      <c r="I113" s="77" t="s">
        <v>1286</v>
      </c>
      <c r="Q113" s="75">
        <v>44972</v>
      </c>
      <c r="R113" s="97">
        <v>45168</v>
      </c>
      <c r="S113" s="71">
        <f>R113-Q113</f>
        <v>196</v>
      </c>
      <c r="T113" s="72">
        <v>394</v>
      </c>
      <c r="U113" s="72">
        <v>58</v>
      </c>
      <c r="V113" s="72">
        <v>197</v>
      </c>
      <c r="W113" s="72">
        <v>29</v>
      </c>
      <c r="AA113" s="73">
        <v>0</v>
      </c>
      <c r="AB113" s="72">
        <v>2</v>
      </c>
      <c r="AE113" s="96">
        <v>0.14720812182741116</v>
      </c>
      <c r="AF113" s="108">
        <v>0</v>
      </c>
      <c r="AG113" s="94"/>
      <c r="AH113" s="94"/>
      <c r="AI113" s="94" t="str">
        <f>"   " &amp; TEXT(AF113,"#0.00%") &amp; " "</f>
        <v xml:space="preserve">   0.00% </v>
      </c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 t="str">
        <f>"    " &amp; "장납기 구매품 발주 및 입고" &amp; " " &amp; IF(Q113="","",TEXT(Q113,"M/D-")) &amp; IF(R113="","",TEXT(R113,"M/D")) &amp; " "</f>
        <v xml:space="preserve">    장납기 구매품 발주 및 입고 2/15-8/30 </v>
      </c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  <c r="DF113" s="94"/>
      <c r="DG113" s="94"/>
      <c r="DH113" s="94"/>
      <c r="DI113" s="94"/>
      <c r="DJ113" s="94"/>
      <c r="DK113" s="94"/>
      <c r="DL113" s="94"/>
      <c r="DM113" s="94"/>
      <c r="DN113" s="94"/>
      <c r="DO113" s="94"/>
      <c r="DP113" s="94"/>
      <c r="DQ113" s="94"/>
    </row>
    <row r="114" spans="1:121" ht="15" customHeight="1" outlineLevel="4" x14ac:dyDescent="0.3">
      <c r="A114" s="100"/>
      <c r="B114" s="100"/>
      <c r="C114" s="99">
        <v>5</v>
      </c>
      <c r="D114" s="98" t="s">
        <v>1306</v>
      </c>
      <c r="I114" s="77" t="s">
        <v>1284</v>
      </c>
      <c r="Q114" s="75">
        <v>45017</v>
      </c>
      <c r="R114" s="97">
        <v>45076</v>
      </c>
      <c r="S114" s="71">
        <f>R114-Q114</f>
        <v>59</v>
      </c>
      <c r="T114" s="72">
        <v>120</v>
      </c>
      <c r="U114" s="72">
        <v>0</v>
      </c>
      <c r="V114" s="72">
        <v>60</v>
      </c>
      <c r="W114" s="72">
        <v>0</v>
      </c>
      <c r="AA114" s="73">
        <v>0</v>
      </c>
      <c r="AB114" s="72">
        <v>2</v>
      </c>
      <c r="AE114" s="96">
        <v>0</v>
      </c>
      <c r="AF114" s="95">
        <v>0</v>
      </c>
      <c r="AG114" s="94"/>
      <c r="AH114" s="94"/>
      <c r="AI114" s="94"/>
      <c r="AJ114" s="94"/>
      <c r="AK114" s="94"/>
      <c r="AL114" s="94"/>
      <c r="AM114" s="94"/>
      <c r="AN114" s="94"/>
      <c r="AO114" s="94" t="str">
        <f>"      " &amp; TEXT(AF114,"#0.00%") &amp; " "</f>
        <v xml:space="preserve">      0.00% </v>
      </c>
      <c r="AP114" s="94"/>
      <c r="AQ114" s="94"/>
      <c r="AR114" s="94"/>
      <c r="AS114" s="94"/>
      <c r="AT114" s="94"/>
      <c r="AU114" s="94"/>
      <c r="AV114" s="94"/>
      <c r="AW114" s="94"/>
      <c r="AX114" s="94" t="str">
        <f>"   " &amp; "가공품 발주 및 입고" &amp; " " &amp; IF(Q114="","",TEXT(Q114,"M/D-")) &amp; IF(R114="","",TEXT(R114,"M/D")) &amp; " "</f>
        <v xml:space="preserve">   가공품 발주 및 입고 4/1-5/30 </v>
      </c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  <c r="DF114" s="94"/>
      <c r="DG114" s="94"/>
      <c r="DH114" s="94"/>
      <c r="DI114" s="94"/>
      <c r="DJ114" s="94"/>
      <c r="DK114" s="94"/>
      <c r="DL114" s="94"/>
      <c r="DM114" s="94"/>
      <c r="DN114" s="94"/>
      <c r="DO114" s="94"/>
      <c r="DP114" s="94"/>
      <c r="DQ114" s="94"/>
    </row>
    <row r="115" spans="1:121" ht="15" customHeight="1" outlineLevel="4" x14ac:dyDescent="0.3">
      <c r="A115" s="100"/>
      <c r="B115" s="100"/>
      <c r="C115" s="99">
        <v>5</v>
      </c>
      <c r="D115" s="98" t="s">
        <v>1305</v>
      </c>
      <c r="I115" s="77" t="s">
        <v>1282</v>
      </c>
      <c r="Q115" s="75">
        <v>45061</v>
      </c>
      <c r="R115" s="97">
        <v>45184</v>
      </c>
      <c r="S115" s="71">
        <f>R115-Q115</f>
        <v>123</v>
      </c>
      <c r="T115" s="72">
        <v>496</v>
      </c>
      <c r="U115" s="72">
        <v>0</v>
      </c>
      <c r="V115" s="72">
        <v>124</v>
      </c>
      <c r="W115" s="72">
        <v>0</v>
      </c>
      <c r="AA115" s="73">
        <v>0</v>
      </c>
      <c r="AB115" s="72">
        <v>4</v>
      </c>
      <c r="AE115" s="96">
        <v>0</v>
      </c>
      <c r="AF115" s="95">
        <v>0</v>
      </c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 t="str">
        <f>" " &amp; TEXT(AF115,"#0.00%") &amp; " "</f>
        <v xml:space="preserve"> 0.00% </v>
      </c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 t="str">
        <f>"      " &amp; "기구조립" &amp; " " &amp; IF(Q115="","",TEXT(Q115,"M/D-")) &amp; IF(R115="","",TEXT(R115,"M/D")) &amp; " "</f>
        <v xml:space="preserve">      기구조립 5/15-9/15 </v>
      </c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  <c r="DF115" s="94"/>
      <c r="DG115" s="94"/>
      <c r="DH115" s="94"/>
      <c r="DI115" s="94"/>
      <c r="DJ115" s="94"/>
      <c r="DK115" s="94"/>
      <c r="DL115" s="94"/>
      <c r="DM115" s="94"/>
      <c r="DN115" s="94"/>
      <c r="DO115" s="94"/>
      <c r="DP115" s="94"/>
      <c r="DQ115" s="94"/>
    </row>
    <row r="116" spans="1:121" ht="15" customHeight="1" outlineLevel="4" x14ac:dyDescent="0.3">
      <c r="A116" s="100"/>
      <c r="B116" s="100"/>
      <c r="C116" s="99">
        <v>5</v>
      </c>
      <c r="D116" s="98" t="s">
        <v>1304</v>
      </c>
      <c r="I116" s="77" t="s">
        <v>1280</v>
      </c>
      <c r="Q116" s="75">
        <v>45170</v>
      </c>
      <c r="R116" s="97">
        <v>45214</v>
      </c>
      <c r="S116" s="71">
        <f>R116-Q116</f>
        <v>44</v>
      </c>
      <c r="T116" s="72">
        <v>90</v>
      </c>
      <c r="U116" s="72">
        <v>0</v>
      </c>
      <c r="V116" s="72">
        <v>45</v>
      </c>
      <c r="W116" s="72">
        <v>0</v>
      </c>
      <c r="AA116" s="73">
        <v>0</v>
      </c>
      <c r="AB116" s="72">
        <v>2</v>
      </c>
      <c r="AE116" s="96">
        <v>0</v>
      </c>
      <c r="AF116" s="95">
        <v>0</v>
      </c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 t="str">
        <f>"     " &amp; TEXT(AF116,"#0.00%") &amp; " "</f>
        <v xml:space="preserve">     0.00% </v>
      </c>
      <c r="BL116" s="94"/>
      <c r="BM116" s="94"/>
      <c r="BN116" s="94"/>
      <c r="BO116" s="94"/>
      <c r="BP116" s="94"/>
      <c r="BQ116" s="94"/>
      <c r="BR116" s="94" t="str">
        <f>" " &amp; "전장조립" &amp; " " &amp; IF(Q116="","",TEXT(Q116,"M/D-")) &amp; IF(R116="","",TEXT(R116,"M/D")) &amp; " "</f>
        <v xml:space="preserve"> 전장조립 9/1-10/15 </v>
      </c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  <c r="DF116" s="94"/>
      <c r="DG116" s="94"/>
      <c r="DH116" s="94"/>
      <c r="DI116" s="94"/>
      <c r="DJ116" s="94"/>
      <c r="DK116" s="94"/>
      <c r="DL116" s="94"/>
      <c r="DM116" s="94"/>
      <c r="DN116" s="94"/>
      <c r="DO116" s="94"/>
      <c r="DP116" s="94"/>
      <c r="DQ116" s="94"/>
    </row>
    <row r="117" spans="1:121" ht="15" customHeight="1" outlineLevel="3" x14ac:dyDescent="0.3">
      <c r="A117" s="100"/>
      <c r="B117" s="100" t="s">
        <v>298</v>
      </c>
      <c r="C117" s="99">
        <v>4</v>
      </c>
      <c r="D117" s="98" t="s">
        <v>447</v>
      </c>
      <c r="H117" s="77" t="s">
        <v>1303</v>
      </c>
      <c r="Q117" s="75">
        <v>44972</v>
      </c>
      <c r="R117" s="97">
        <v>45260</v>
      </c>
      <c r="T117" s="72">
        <v>1144</v>
      </c>
      <c r="U117" s="72">
        <v>58</v>
      </c>
      <c r="V117" s="72">
        <v>289</v>
      </c>
      <c r="W117" s="72">
        <v>29</v>
      </c>
      <c r="Z117" s="74">
        <v>0</v>
      </c>
      <c r="AA117" s="73">
        <v>0</v>
      </c>
      <c r="AE117" s="96">
        <v>5.0699300699300696E-2</v>
      </c>
      <c r="AF117" s="109">
        <v>0</v>
      </c>
      <c r="AG117" s="94"/>
      <c r="AH117" s="94"/>
      <c r="AI117" s="94" t="str">
        <f>"   " &amp; TEXT(AF117,"#0.00%") &amp; " "</f>
        <v xml:space="preserve">   0.00% </v>
      </c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 t="str">
        <f>"     " &amp; "1F 충방전 CV" &amp; " " &amp; IF(Q117="","",TEXT(Q117,"M/D-")) &amp; IF(R117="","",TEXT(R117,"M/D")) &amp; " "</f>
        <v xml:space="preserve">     1F 충방전 CV 2/15-11/30 </v>
      </c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</row>
    <row r="118" spans="1:121" ht="15" customHeight="1" outlineLevel="4" x14ac:dyDescent="0.3">
      <c r="A118" s="100"/>
      <c r="B118" s="100"/>
      <c r="C118" s="99">
        <v>5</v>
      </c>
      <c r="D118" s="98" t="s">
        <v>1302</v>
      </c>
      <c r="I118" s="77" t="s">
        <v>1286</v>
      </c>
      <c r="Q118" s="75">
        <v>44972</v>
      </c>
      <c r="R118" s="97">
        <v>45168</v>
      </c>
      <c r="S118" s="71">
        <f>R118-Q118</f>
        <v>196</v>
      </c>
      <c r="T118" s="72">
        <v>394</v>
      </c>
      <c r="U118" s="72">
        <v>58</v>
      </c>
      <c r="V118" s="72">
        <v>197</v>
      </c>
      <c r="W118" s="72">
        <v>29</v>
      </c>
      <c r="AA118" s="73">
        <v>0</v>
      </c>
      <c r="AB118" s="72">
        <v>2</v>
      </c>
      <c r="AE118" s="96">
        <v>0.14720812182741116</v>
      </c>
      <c r="AF118" s="108">
        <v>0</v>
      </c>
      <c r="AG118" s="94"/>
      <c r="AH118" s="94"/>
      <c r="AI118" s="94" t="str">
        <f>"   " &amp; TEXT(AF118,"#0.00%") &amp; " "</f>
        <v xml:space="preserve">   0.00% </v>
      </c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 t="str">
        <f>"    " &amp; "장납기 구매품 발주 및 입고" &amp; " " &amp; IF(Q118="","",TEXT(Q118,"M/D-")) &amp; IF(R118="","",TEXT(R118,"M/D")) &amp; " "</f>
        <v xml:space="preserve">    장납기 구매품 발주 및 입고 2/15-8/30 </v>
      </c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</row>
    <row r="119" spans="1:121" ht="15" customHeight="1" outlineLevel="4" x14ac:dyDescent="0.3">
      <c r="A119" s="100"/>
      <c r="B119" s="100"/>
      <c r="C119" s="99">
        <v>5</v>
      </c>
      <c r="D119" s="98" t="s">
        <v>1301</v>
      </c>
      <c r="I119" s="77" t="s">
        <v>1284</v>
      </c>
      <c r="Q119" s="75">
        <v>45031</v>
      </c>
      <c r="R119" s="97">
        <v>45107</v>
      </c>
      <c r="S119" s="71">
        <f>R119-Q119</f>
        <v>76</v>
      </c>
      <c r="T119" s="72">
        <v>154</v>
      </c>
      <c r="U119" s="72">
        <v>0</v>
      </c>
      <c r="V119" s="72">
        <v>77</v>
      </c>
      <c r="W119" s="72">
        <v>0</v>
      </c>
      <c r="AA119" s="73">
        <v>0</v>
      </c>
      <c r="AB119" s="72">
        <v>2</v>
      </c>
      <c r="AE119" s="96">
        <v>0</v>
      </c>
      <c r="AF119" s="95">
        <v>0</v>
      </c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 t="str">
        <f>"      " &amp; TEXT(AF119,"#0.00%") &amp; " "</f>
        <v xml:space="preserve">      0.00% </v>
      </c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 t="str">
        <f>"      " &amp; "가공품 발주 및 입고" &amp; " " &amp; IF(Q119="","",TEXT(Q119,"M/D-")) &amp; IF(R119="","",TEXT(R119,"M/D")) &amp; " "</f>
        <v xml:space="preserve">      가공품 발주 및 입고 4/15-6/30 </v>
      </c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</row>
    <row r="120" spans="1:121" ht="15" customHeight="1" outlineLevel="4" x14ac:dyDescent="0.3">
      <c r="A120" s="100"/>
      <c r="B120" s="100"/>
      <c r="C120" s="99">
        <v>5</v>
      </c>
      <c r="D120" s="98" t="s">
        <v>1300</v>
      </c>
      <c r="I120" s="77" t="s">
        <v>1282</v>
      </c>
      <c r="Q120" s="75">
        <v>45092</v>
      </c>
      <c r="R120" s="97">
        <v>45214</v>
      </c>
      <c r="S120" s="71">
        <f>R120-Q120</f>
        <v>122</v>
      </c>
      <c r="T120" s="72">
        <v>492</v>
      </c>
      <c r="U120" s="72">
        <v>0</v>
      </c>
      <c r="V120" s="72">
        <v>123</v>
      </c>
      <c r="W120" s="72">
        <v>0</v>
      </c>
      <c r="AA120" s="73">
        <v>0</v>
      </c>
      <c r="AB120" s="72">
        <v>4</v>
      </c>
      <c r="AE120" s="96">
        <v>0</v>
      </c>
      <c r="AF120" s="95">
        <v>0</v>
      </c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 t="str">
        <f>"    " &amp; TEXT(AF120,"#0.00%") &amp; " "</f>
        <v xml:space="preserve">    0.00% </v>
      </c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 t="str">
        <f>" " &amp; "기구조립" &amp; " " &amp; IF(Q120="","",TEXT(Q120,"M/D-")) &amp; IF(R120="","",TEXT(R120,"M/D")) &amp; " "</f>
        <v xml:space="preserve"> 기구조립 6/15-10/15 </v>
      </c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/>
      <c r="DN120" s="94"/>
      <c r="DO120" s="94"/>
      <c r="DP120" s="94"/>
      <c r="DQ120" s="94"/>
    </row>
    <row r="121" spans="1:121" ht="15" customHeight="1" outlineLevel="4" x14ac:dyDescent="0.3">
      <c r="A121" s="100"/>
      <c r="B121" s="100"/>
      <c r="C121" s="99">
        <v>5</v>
      </c>
      <c r="D121" s="98" t="s">
        <v>1299</v>
      </c>
      <c r="I121" s="77" t="s">
        <v>1280</v>
      </c>
      <c r="Q121" s="75">
        <v>45209</v>
      </c>
      <c r="R121" s="97">
        <v>45260</v>
      </c>
      <c r="S121" s="71">
        <f>R121-Q121</f>
        <v>51</v>
      </c>
      <c r="T121" s="72">
        <v>104</v>
      </c>
      <c r="U121" s="72">
        <v>0</v>
      </c>
      <c r="V121" s="72">
        <v>52</v>
      </c>
      <c r="W121" s="72">
        <v>0</v>
      </c>
      <c r="AA121" s="73">
        <v>0</v>
      </c>
      <c r="AB121" s="72">
        <v>2</v>
      </c>
      <c r="AE121" s="96">
        <v>0</v>
      </c>
      <c r="AF121" s="95">
        <v>0</v>
      </c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 t="str">
        <f>"  " &amp; TEXT(AF121,"#0.00%") &amp; " "</f>
        <v xml:space="preserve">  0.00% </v>
      </c>
      <c r="BR121" s="94"/>
      <c r="BS121" s="94"/>
      <c r="BT121" s="94"/>
      <c r="BU121" s="94"/>
      <c r="BV121" s="94"/>
      <c r="BW121" s="94"/>
      <c r="BX121" s="94" t="str">
        <f>"     " &amp; "전장조립" &amp; " " &amp; IF(Q121="","",TEXT(Q121,"M/D-")) &amp; IF(R121="","",TEXT(R121,"M/D")) &amp; " "</f>
        <v xml:space="preserve">     전장조립 10/10-11/30 </v>
      </c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</row>
    <row r="122" spans="1:121" ht="15" customHeight="1" outlineLevel="3" x14ac:dyDescent="0.3">
      <c r="A122" s="100"/>
      <c r="B122" s="100" t="s">
        <v>298</v>
      </c>
      <c r="C122" s="99">
        <v>4</v>
      </c>
      <c r="D122" s="98" t="s">
        <v>446</v>
      </c>
      <c r="H122" s="77" t="s">
        <v>1298</v>
      </c>
      <c r="Q122" s="75">
        <v>44972</v>
      </c>
      <c r="R122" s="97">
        <v>45260</v>
      </c>
      <c r="T122" s="72">
        <v>1144</v>
      </c>
      <c r="U122" s="72">
        <v>58</v>
      </c>
      <c r="V122" s="72">
        <v>289</v>
      </c>
      <c r="W122" s="72">
        <v>29</v>
      </c>
      <c r="Z122" s="74">
        <v>0</v>
      </c>
      <c r="AA122" s="73">
        <v>0</v>
      </c>
      <c r="AE122" s="96">
        <v>5.0699300699300696E-2</v>
      </c>
      <c r="AF122" s="109">
        <v>0</v>
      </c>
      <c r="AG122" s="94"/>
      <c r="AH122" s="94"/>
      <c r="AI122" s="94" t="str">
        <f>"   " &amp; TEXT(AF122,"#0.00%") &amp; " "</f>
        <v xml:space="preserve">   0.00% </v>
      </c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 t="str">
        <f>"     " &amp; "1F 고온#2, 상온#2 Aging (Folding CV)" &amp; " " &amp; IF(Q122="","",TEXT(Q122,"M/D-")) &amp; IF(R122="","",TEXT(R122,"M/D")) &amp; " "</f>
        <v xml:space="preserve">     1F 고온#2, 상온#2 Aging (Folding CV) 2/15-11/30 </v>
      </c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</row>
    <row r="123" spans="1:121" ht="15" customHeight="1" outlineLevel="4" x14ac:dyDescent="0.3">
      <c r="A123" s="100"/>
      <c r="B123" s="100"/>
      <c r="C123" s="99">
        <v>5</v>
      </c>
      <c r="D123" s="98" t="s">
        <v>1297</v>
      </c>
      <c r="I123" s="77" t="s">
        <v>1286</v>
      </c>
      <c r="Q123" s="75">
        <v>44972</v>
      </c>
      <c r="R123" s="97">
        <v>45168</v>
      </c>
      <c r="S123" s="71">
        <f>R123-Q123</f>
        <v>196</v>
      </c>
      <c r="T123" s="72">
        <v>394</v>
      </c>
      <c r="U123" s="72">
        <v>58</v>
      </c>
      <c r="V123" s="72">
        <v>197</v>
      </c>
      <c r="W123" s="72">
        <v>29</v>
      </c>
      <c r="AA123" s="73">
        <v>0</v>
      </c>
      <c r="AB123" s="72">
        <v>2</v>
      </c>
      <c r="AE123" s="96">
        <v>0.14720812182741116</v>
      </c>
      <c r="AF123" s="108">
        <v>0</v>
      </c>
      <c r="AG123" s="94"/>
      <c r="AH123" s="94"/>
      <c r="AI123" s="94" t="str">
        <f>"   " &amp; TEXT(AF123,"#0.00%") &amp; " "</f>
        <v xml:space="preserve">   0.00% </v>
      </c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 t="str">
        <f>"    " &amp; "장납기 구매품 발주 및 입고" &amp; " " &amp; IF(Q123="","",TEXT(Q123,"M/D-")) &amp; IF(R123="","",TEXT(R123,"M/D")) &amp; " "</f>
        <v xml:space="preserve">    장납기 구매품 발주 및 입고 2/15-8/30 </v>
      </c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</row>
    <row r="124" spans="1:121" ht="15" customHeight="1" outlineLevel="4" x14ac:dyDescent="0.3">
      <c r="A124" s="100"/>
      <c r="B124" s="100"/>
      <c r="C124" s="99">
        <v>5</v>
      </c>
      <c r="D124" s="98" t="s">
        <v>1296</v>
      </c>
      <c r="I124" s="77" t="s">
        <v>1284</v>
      </c>
      <c r="Q124" s="75">
        <v>45031</v>
      </c>
      <c r="R124" s="97">
        <v>45107</v>
      </c>
      <c r="S124" s="71">
        <f>R124-Q124</f>
        <v>76</v>
      </c>
      <c r="T124" s="72">
        <v>154</v>
      </c>
      <c r="U124" s="72">
        <v>0</v>
      </c>
      <c r="V124" s="72">
        <v>77</v>
      </c>
      <c r="W124" s="72">
        <v>0</v>
      </c>
      <c r="AA124" s="73">
        <v>0</v>
      </c>
      <c r="AB124" s="72">
        <v>2</v>
      </c>
      <c r="AE124" s="96">
        <v>0</v>
      </c>
      <c r="AF124" s="95">
        <v>0</v>
      </c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 t="str">
        <f>"      " &amp; TEXT(AF124,"#0.00%") &amp; " "</f>
        <v xml:space="preserve">      0.00% </v>
      </c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 t="str">
        <f>"      " &amp; "가공품 발주 및 입고" &amp; " " &amp; IF(Q124="","",TEXT(Q124,"M/D-")) &amp; IF(R124="","",TEXT(R124,"M/D")) &amp; " "</f>
        <v xml:space="preserve">      가공품 발주 및 입고 4/15-6/30 </v>
      </c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</row>
    <row r="125" spans="1:121" ht="15" customHeight="1" outlineLevel="4" x14ac:dyDescent="0.3">
      <c r="A125" s="100"/>
      <c r="B125" s="100"/>
      <c r="C125" s="99">
        <v>5</v>
      </c>
      <c r="D125" s="98" t="s">
        <v>1295</v>
      </c>
      <c r="I125" s="77" t="s">
        <v>1282</v>
      </c>
      <c r="Q125" s="75">
        <v>45092</v>
      </c>
      <c r="R125" s="97">
        <v>45214</v>
      </c>
      <c r="S125" s="71">
        <f>R125-Q125</f>
        <v>122</v>
      </c>
      <c r="T125" s="72">
        <v>492</v>
      </c>
      <c r="U125" s="72">
        <v>0</v>
      </c>
      <c r="V125" s="72">
        <v>123</v>
      </c>
      <c r="W125" s="72">
        <v>0</v>
      </c>
      <c r="AA125" s="73">
        <v>0</v>
      </c>
      <c r="AB125" s="72">
        <v>4</v>
      </c>
      <c r="AE125" s="96">
        <v>0</v>
      </c>
      <c r="AF125" s="95">
        <v>0</v>
      </c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 t="str">
        <f>"    " &amp; TEXT(AF125,"#0.00%") &amp; " "</f>
        <v xml:space="preserve">    0.00% </v>
      </c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 t="str">
        <f>" " &amp; "기구조립" &amp; " " &amp; IF(Q125="","",TEXT(Q125,"M/D-")) &amp; IF(R125="","",TEXT(R125,"M/D")) &amp; " "</f>
        <v xml:space="preserve"> 기구조립 6/15-10/15 </v>
      </c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</row>
    <row r="126" spans="1:121" ht="15" customHeight="1" outlineLevel="4" x14ac:dyDescent="0.3">
      <c r="A126" s="100"/>
      <c r="B126" s="100"/>
      <c r="C126" s="99">
        <v>5</v>
      </c>
      <c r="D126" s="98" t="s">
        <v>1294</v>
      </c>
      <c r="I126" s="77" t="s">
        <v>1280</v>
      </c>
      <c r="Q126" s="75">
        <v>45209</v>
      </c>
      <c r="R126" s="97">
        <v>45260</v>
      </c>
      <c r="S126" s="71">
        <f>R126-Q126</f>
        <v>51</v>
      </c>
      <c r="T126" s="72">
        <v>104</v>
      </c>
      <c r="U126" s="72">
        <v>0</v>
      </c>
      <c r="V126" s="72">
        <v>52</v>
      </c>
      <c r="W126" s="72">
        <v>0</v>
      </c>
      <c r="AA126" s="73">
        <v>0</v>
      </c>
      <c r="AB126" s="72">
        <v>2</v>
      </c>
      <c r="AE126" s="96">
        <v>0</v>
      </c>
      <c r="AF126" s="95">
        <v>0</v>
      </c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 t="str">
        <f>"  " &amp; TEXT(AF126,"#0.00%") &amp; " "</f>
        <v xml:space="preserve">  0.00% </v>
      </c>
      <c r="BR126" s="94"/>
      <c r="BS126" s="94"/>
      <c r="BT126" s="94"/>
      <c r="BU126" s="94"/>
      <c r="BV126" s="94"/>
      <c r="BW126" s="94"/>
      <c r="BX126" s="94" t="str">
        <f>"     " &amp; "전장조립" &amp; " " &amp; IF(Q126="","",TEXT(Q126,"M/D-")) &amp; IF(R126="","",TEXT(R126,"M/D")) &amp; " "</f>
        <v xml:space="preserve">     전장조립 10/10-11/30 </v>
      </c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  <c r="DF126" s="94"/>
      <c r="DG126" s="94"/>
      <c r="DH126" s="94"/>
      <c r="DI126" s="94"/>
      <c r="DJ126" s="94"/>
      <c r="DK126" s="94"/>
      <c r="DL126" s="94"/>
      <c r="DM126" s="94"/>
      <c r="DN126" s="94"/>
      <c r="DO126" s="94"/>
      <c r="DP126" s="94"/>
      <c r="DQ126" s="94"/>
    </row>
    <row r="127" spans="1:121" ht="15" customHeight="1" outlineLevel="3" x14ac:dyDescent="0.3">
      <c r="A127" s="100"/>
      <c r="B127" s="100" t="s">
        <v>298</v>
      </c>
      <c r="C127" s="99">
        <v>4</v>
      </c>
      <c r="D127" s="138" t="s">
        <v>445</v>
      </c>
      <c r="E127" s="114"/>
      <c r="F127" s="114"/>
      <c r="G127" s="114"/>
      <c r="H127" s="114" t="s">
        <v>1293</v>
      </c>
      <c r="I127" s="114"/>
      <c r="J127" s="114"/>
      <c r="K127" s="114"/>
      <c r="L127" s="114"/>
      <c r="M127" s="114"/>
      <c r="N127" s="114"/>
      <c r="O127" s="137"/>
      <c r="P127" s="137"/>
      <c r="Q127" s="135">
        <v>44972</v>
      </c>
      <c r="R127" s="136">
        <v>45260</v>
      </c>
      <c r="S127" s="131"/>
      <c r="T127" s="132">
        <v>1144</v>
      </c>
      <c r="U127" s="132">
        <v>58</v>
      </c>
      <c r="V127" s="132">
        <v>289</v>
      </c>
      <c r="W127" s="132">
        <v>29</v>
      </c>
      <c r="X127" s="135"/>
      <c r="Y127" s="135"/>
      <c r="Z127" s="134">
        <v>0</v>
      </c>
      <c r="AA127" s="133">
        <v>0</v>
      </c>
      <c r="AB127" s="132"/>
      <c r="AC127" s="131"/>
      <c r="AD127" s="130"/>
      <c r="AE127" s="129">
        <v>5.0699300699300696E-2</v>
      </c>
      <c r="AF127" s="109">
        <v>0</v>
      </c>
      <c r="AG127" s="94"/>
      <c r="AH127" s="94"/>
      <c r="AI127" s="94" t="str">
        <f>"   " &amp; TEXT(AF127,"#0.00%") &amp; " "</f>
        <v xml:space="preserve">   0.00% </v>
      </c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 t="str">
        <f>"     " &amp; "2F 상온#1, 고온#1 Aging (Degasssing CV)" &amp; " " &amp; IF(Q127="","",TEXT(Q127,"M/D-")) &amp; IF(R127="","",TEXT(R127,"M/D")) &amp; " "</f>
        <v xml:space="preserve">     2F 상온#1, 고온#1 Aging (Degasssing CV) 2/15-11/30 </v>
      </c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</row>
    <row r="128" spans="1:121" ht="15" customHeight="1" outlineLevel="4" x14ac:dyDescent="0.3">
      <c r="A128" s="100"/>
      <c r="B128" s="100"/>
      <c r="C128" s="99">
        <v>5</v>
      </c>
      <c r="D128" s="98" t="s">
        <v>1292</v>
      </c>
      <c r="I128" s="77" t="s">
        <v>1286</v>
      </c>
      <c r="Q128" s="75">
        <v>44972</v>
      </c>
      <c r="R128" s="97">
        <v>45168</v>
      </c>
      <c r="S128" s="71">
        <f>R128-Q128</f>
        <v>196</v>
      </c>
      <c r="T128" s="72">
        <v>394</v>
      </c>
      <c r="U128" s="72">
        <v>58</v>
      </c>
      <c r="V128" s="72">
        <v>197</v>
      </c>
      <c r="W128" s="72">
        <v>29</v>
      </c>
      <c r="AA128" s="73">
        <v>0</v>
      </c>
      <c r="AB128" s="72">
        <v>2</v>
      </c>
      <c r="AE128" s="96">
        <v>0.14720812182741116</v>
      </c>
      <c r="AF128" s="108">
        <v>0</v>
      </c>
      <c r="AG128" s="94"/>
      <c r="AH128" s="94"/>
      <c r="AI128" s="94" t="str">
        <f>"   " &amp; TEXT(AF128,"#0.00%") &amp; " "</f>
        <v xml:space="preserve">   0.00% </v>
      </c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 t="str">
        <f>"    " &amp; "장납기 구매품 발주 및 입고" &amp; " " &amp; IF(Q128="","",TEXT(Q128,"M/D-")) &amp; IF(R128="","",TEXT(R128,"M/D")) &amp; " "</f>
        <v xml:space="preserve">    장납기 구매품 발주 및 입고 2/15-8/30 </v>
      </c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  <c r="DL128" s="94"/>
      <c r="DM128" s="94"/>
      <c r="DN128" s="94"/>
      <c r="DO128" s="94"/>
      <c r="DP128" s="94"/>
      <c r="DQ128" s="94"/>
    </row>
    <row r="129" spans="1:121" ht="15" customHeight="1" outlineLevel="4" x14ac:dyDescent="0.3">
      <c r="A129" s="100"/>
      <c r="B129" s="100"/>
      <c r="C129" s="99">
        <v>5</v>
      </c>
      <c r="D129" s="98" t="s">
        <v>1291</v>
      </c>
      <c r="I129" s="77" t="s">
        <v>1284</v>
      </c>
      <c r="Q129" s="75">
        <v>45031</v>
      </c>
      <c r="R129" s="97">
        <v>45107</v>
      </c>
      <c r="S129" s="71">
        <f>R129-Q129</f>
        <v>76</v>
      </c>
      <c r="T129" s="72">
        <v>154</v>
      </c>
      <c r="U129" s="72">
        <v>0</v>
      </c>
      <c r="V129" s="72">
        <v>77</v>
      </c>
      <c r="W129" s="72">
        <v>0</v>
      </c>
      <c r="AA129" s="73">
        <v>0</v>
      </c>
      <c r="AB129" s="72">
        <v>2</v>
      </c>
      <c r="AE129" s="96">
        <v>0</v>
      </c>
      <c r="AF129" s="95">
        <v>0</v>
      </c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 t="str">
        <f>"      " &amp; TEXT(AF129,"#0.00%") &amp; " "</f>
        <v xml:space="preserve">      0.00% </v>
      </c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 t="str">
        <f>"      " &amp; "가공품 발주 및 입고" &amp; " " &amp; IF(Q129="","",TEXT(Q129,"M/D-")) &amp; IF(R129="","",TEXT(R129,"M/D")) &amp; " "</f>
        <v xml:space="preserve">      가공품 발주 및 입고 4/15-6/30 </v>
      </c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  <c r="DF129" s="94"/>
      <c r="DG129" s="94"/>
      <c r="DH129" s="94"/>
      <c r="DI129" s="94"/>
      <c r="DJ129" s="94"/>
      <c r="DK129" s="94"/>
      <c r="DL129" s="94"/>
      <c r="DM129" s="94"/>
      <c r="DN129" s="94"/>
      <c r="DO129" s="94"/>
      <c r="DP129" s="94"/>
      <c r="DQ129" s="94"/>
    </row>
    <row r="130" spans="1:121" ht="15" customHeight="1" outlineLevel="4" x14ac:dyDescent="0.3">
      <c r="A130" s="100"/>
      <c r="B130" s="100"/>
      <c r="C130" s="99">
        <v>5</v>
      </c>
      <c r="D130" s="98" t="s">
        <v>1290</v>
      </c>
      <c r="I130" s="77" t="s">
        <v>1282</v>
      </c>
      <c r="Q130" s="75">
        <v>45092</v>
      </c>
      <c r="R130" s="97">
        <v>45214</v>
      </c>
      <c r="S130" s="71">
        <f>R130-Q130</f>
        <v>122</v>
      </c>
      <c r="T130" s="72">
        <v>492</v>
      </c>
      <c r="U130" s="72">
        <v>0</v>
      </c>
      <c r="V130" s="72">
        <v>123</v>
      </c>
      <c r="W130" s="72">
        <v>0</v>
      </c>
      <c r="AA130" s="73">
        <v>0</v>
      </c>
      <c r="AB130" s="72">
        <v>4</v>
      </c>
      <c r="AE130" s="96">
        <v>0</v>
      </c>
      <c r="AF130" s="95">
        <v>0</v>
      </c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 t="str">
        <f>"    " &amp; TEXT(AF130,"#0.00%") &amp; " "</f>
        <v xml:space="preserve">    0.00% </v>
      </c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 t="str">
        <f>" " &amp; "기구조립" &amp; " " &amp; IF(Q130="","",TEXT(Q130,"M/D-")) &amp; IF(R130="","",TEXT(R130,"M/D")) &amp; " "</f>
        <v xml:space="preserve"> 기구조립 6/15-10/15 </v>
      </c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4"/>
    </row>
    <row r="131" spans="1:121" ht="15" customHeight="1" outlineLevel="4" x14ac:dyDescent="0.3">
      <c r="A131" s="100"/>
      <c r="B131" s="100"/>
      <c r="C131" s="99">
        <v>5</v>
      </c>
      <c r="D131" s="98" t="s">
        <v>1289</v>
      </c>
      <c r="I131" s="77" t="s">
        <v>1280</v>
      </c>
      <c r="Q131" s="75">
        <v>45209</v>
      </c>
      <c r="R131" s="97">
        <v>45260</v>
      </c>
      <c r="S131" s="71">
        <f>R131-Q131</f>
        <v>51</v>
      </c>
      <c r="T131" s="72">
        <v>104</v>
      </c>
      <c r="U131" s="72">
        <v>0</v>
      </c>
      <c r="V131" s="72">
        <v>52</v>
      </c>
      <c r="W131" s="72">
        <v>0</v>
      </c>
      <c r="AA131" s="73">
        <v>0</v>
      </c>
      <c r="AB131" s="72">
        <v>2</v>
      </c>
      <c r="AE131" s="96">
        <v>0</v>
      </c>
      <c r="AF131" s="95">
        <v>0</v>
      </c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 t="str">
        <f>"  " &amp; TEXT(AF131,"#0.00%") &amp; " "</f>
        <v xml:space="preserve">  0.00% </v>
      </c>
      <c r="BR131" s="94"/>
      <c r="BS131" s="94"/>
      <c r="BT131" s="94"/>
      <c r="BU131" s="94"/>
      <c r="BV131" s="94"/>
      <c r="BW131" s="94"/>
      <c r="BX131" s="94" t="str">
        <f>"     " &amp; "전장조립" &amp; " " &amp; IF(Q131="","",TEXT(Q131,"M/D-")) &amp; IF(R131="","",TEXT(R131,"M/D")) &amp; " "</f>
        <v xml:space="preserve">     전장조립 10/10-11/30 </v>
      </c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</row>
    <row r="132" spans="1:121" ht="15" customHeight="1" outlineLevel="3" x14ac:dyDescent="0.3">
      <c r="A132" s="100"/>
      <c r="B132" s="100" t="s">
        <v>298</v>
      </c>
      <c r="C132" s="99">
        <v>4</v>
      </c>
      <c r="D132" s="138" t="s">
        <v>444</v>
      </c>
      <c r="E132" s="114"/>
      <c r="F132" s="114"/>
      <c r="G132" s="114"/>
      <c r="H132" s="114" t="s">
        <v>1288</v>
      </c>
      <c r="I132" s="114"/>
      <c r="J132" s="114"/>
      <c r="K132" s="114"/>
      <c r="L132" s="114"/>
      <c r="M132" s="114"/>
      <c r="N132" s="114"/>
      <c r="O132" s="137"/>
      <c r="P132" s="137"/>
      <c r="Q132" s="135">
        <v>44972</v>
      </c>
      <c r="R132" s="136">
        <v>45260</v>
      </c>
      <c r="S132" s="131"/>
      <c r="T132" s="132">
        <v>1144</v>
      </c>
      <c r="U132" s="132">
        <v>58</v>
      </c>
      <c r="V132" s="132">
        <v>289</v>
      </c>
      <c r="W132" s="132">
        <v>29</v>
      </c>
      <c r="X132" s="135"/>
      <c r="Y132" s="135"/>
      <c r="Z132" s="134">
        <v>0</v>
      </c>
      <c r="AA132" s="133">
        <v>0</v>
      </c>
      <c r="AB132" s="132"/>
      <c r="AC132" s="131"/>
      <c r="AD132" s="130"/>
      <c r="AE132" s="129">
        <v>5.0699300699300696E-2</v>
      </c>
      <c r="AF132" s="109">
        <v>0</v>
      </c>
      <c r="AG132" s="94"/>
      <c r="AH132" s="94"/>
      <c r="AI132" s="94" t="str">
        <f>"   " &amp; TEXT(AF132,"#0.00%") &amp; " "</f>
        <v xml:space="preserve">   0.00% </v>
      </c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 t="str">
        <f>"     " &amp; "2F 고온#2, 상온#2 Aging (Degasssing CV)" &amp; " " &amp; IF(Q132="","",TEXT(Q132,"M/D-")) &amp; IF(R132="","",TEXT(R132,"M/D")) &amp; " "</f>
        <v xml:space="preserve">     2F 고온#2, 상온#2 Aging (Degasssing CV) 2/15-11/30 </v>
      </c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94"/>
    </row>
    <row r="133" spans="1:121" ht="15" customHeight="1" outlineLevel="4" x14ac:dyDescent="0.3">
      <c r="A133" s="100"/>
      <c r="B133" s="100"/>
      <c r="C133" s="99">
        <v>5</v>
      </c>
      <c r="D133" s="98" t="s">
        <v>1287</v>
      </c>
      <c r="I133" s="77" t="s">
        <v>1286</v>
      </c>
      <c r="Q133" s="75">
        <v>44972</v>
      </c>
      <c r="R133" s="97">
        <v>45168</v>
      </c>
      <c r="S133" s="71">
        <f>R133-Q133</f>
        <v>196</v>
      </c>
      <c r="T133" s="72">
        <v>394</v>
      </c>
      <c r="U133" s="72">
        <v>58</v>
      </c>
      <c r="V133" s="72">
        <v>197</v>
      </c>
      <c r="W133" s="72">
        <v>29</v>
      </c>
      <c r="AA133" s="73">
        <v>0</v>
      </c>
      <c r="AB133" s="72">
        <v>2</v>
      </c>
      <c r="AE133" s="96">
        <v>0.14720812182741116</v>
      </c>
      <c r="AF133" s="108">
        <v>0</v>
      </c>
      <c r="AG133" s="94"/>
      <c r="AH133" s="94"/>
      <c r="AI133" s="94" t="str">
        <f>"   " &amp; TEXT(AF133,"#0.00%") &amp; " "</f>
        <v xml:space="preserve">   0.00% </v>
      </c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 t="str">
        <f>"    " &amp; "장납기 구매품 발주 및 입고" &amp; " " &amp; IF(Q133="","",TEXT(Q133,"M/D-")) &amp; IF(R133="","",TEXT(R133,"M/D")) &amp; " "</f>
        <v xml:space="preserve">    장납기 구매품 발주 및 입고 2/15-8/30 </v>
      </c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4"/>
      <c r="DE133" s="94"/>
      <c r="DF133" s="94"/>
      <c r="DG133" s="94"/>
      <c r="DH133" s="94"/>
      <c r="DI133" s="94"/>
      <c r="DJ133" s="94"/>
      <c r="DK133" s="94"/>
      <c r="DL133" s="94"/>
      <c r="DM133" s="94"/>
      <c r="DN133" s="94"/>
      <c r="DO133" s="94"/>
      <c r="DP133" s="94"/>
      <c r="DQ133" s="94"/>
    </row>
    <row r="134" spans="1:121" ht="15" customHeight="1" outlineLevel="4" x14ac:dyDescent="0.3">
      <c r="A134" s="100"/>
      <c r="B134" s="100"/>
      <c r="C134" s="99">
        <v>5</v>
      </c>
      <c r="D134" s="98" t="s">
        <v>1285</v>
      </c>
      <c r="I134" s="77" t="s">
        <v>1284</v>
      </c>
      <c r="Q134" s="75">
        <v>45031</v>
      </c>
      <c r="R134" s="97">
        <v>45107</v>
      </c>
      <c r="S134" s="71">
        <f>R134-Q134</f>
        <v>76</v>
      </c>
      <c r="T134" s="72">
        <v>154</v>
      </c>
      <c r="U134" s="72">
        <v>0</v>
      </c>
      <c r="V134" s="72">
        <v>77</v>
      </c>
      <c r="W134" s="72">
        <v>0</v>
      </c>
      <c r="AA134" s="73">
        <v>0</v>
      </c>
      <c r="AB134" s="72">
        <v>2</v>
      </c>
      <c r="AE134" s="96">
        <v>0</v>
      </c>
      <c r="AF134" s="95">
        <v>0</v>
      </c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 t="str">
        <f>"      " &amp; TEXT(AF134,"#0.00%") &amp; " "</f>
        <v xml:space="preserve">      0.00% </v>
      </c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 t="str">
        <f>"      " &amp; "가공품 발주 및 입고" &amp; " " &amp; IF(Q134="","",TEXT(Q134,"M/D-")) &amp; IF(R134="","",TEXT(R134,"M/D")) &amp; " "</f>
        <v xml:space="preserve">      가공품 발주 및 입고 4/15-6/30 </v>
      </c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94"/>
    </row>
    <row r="135" spans="1:121" ht="15" customHeight="1" outlineLevel="4" x14ac:dyDescent="0.3">
      <c r="A135" s="100"/>
      <c r="B135" s="100"/>
      <c r="C135" s="99">
        <v>5</v>
      </c>
      <c r="D135" s="98" t="s">
        <v>1283</v>
      </c>
      <c r="I135" s="77" t="s">
        <v>1282</v>
      </c>
      <c r="Q135" s="75">
        <v>45092</v>
      </c>
      <c r="R135" s="97">
        <v>45214</v>
      </c>
      <c r="S135" s="71">
        <f>R135-Q135</f>
        <v>122</v>
      </c>
      <c r="T135" s="72">
        <v>492</v>
      </c>
      <c r="U135" s="72">
        <v>0</v>
      </c>
      <c r="V135" s="72">
        <v>123</v>
      </c>
      <c r="W135" s="72">
        <v>0</v>
      </c>
      <c r="AA135" s="73">
        <v>0</v>
      </c>
      <c r="AB135" s="72">
        <v>4</v>
      </c>
      <c r="AE135" s="96">
        <v>0</v>
      </c>
      <c r="AF135" s="95">
        <v>0</v>
      </c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 t="str">
        <f>"    " &amp; TEXT(AF135,"#0.00%") &amp; " "</f>
        <v xml:space="preserve">    0.00% </v>
      </c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 t="str">
        <f>" " &amp; "기구조립" &amp; " " &amp; IF(Q135="","",TEXT(Q135,"M/D-")) &amp; IF(R135="","",TEXT(R135,"M/D")) &amp; " "</f>
        <v xml:space="preserve"> 기구조립 6/15-10/15 </v>
      </c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  <c r="DA135" s="94"/>
      <c r="DB135" s="94"/>
      <c r="DC135" s="94"/>
      <c r="DD135" s="94"/>
      <c r="DE135" s="94"/>
      <c r="DF135" s="94"/>
      <c r="DG135" s="94"/>
      <c r="DH135" s="94"/>
      <c r="DI135" s="94"/>
      <c r="DJ135" s="94"/>
      <c r="DK135" s="94"/>
      <c r="DL135" s="94"/>
      <c r="DM135" s="94"/>
      <c r="DN135" s="94"/>
      <c r="DO135" s="94"/>
      <c r="DP135" s="94"/>
      <c r="DQ135" s="94"/>
    </row>
    <row r="136" spans="1:121" ht="15" customHeight="1" outlineLevel="4" x14ac:dyDescent="0.3">
      <c r="A136" s="100"/>
      <c r="B136" s="100"/>
      <c r="C136" s="99">
        <v>5</v>
      </c>
      <c r="D136" s="98" t="s">
        <v>1281</v>
      </c>
      <c r="I136" s="77" t="s">
        <v>1280</v>
      </c>
      <c r="Q136" s="75">
        <v>45209</v>
      </c>
      <c r="R136" s="97">
        <v>45260</v>
      </c>
      <c r="S136" s="71">
        <f>R136-Q136</f>
        <v>51</v>
      </c>
      <c r="T136" s="72">
        <v>104</v>
      </c>
      <c r="U136" s="72">
        <v>0</v>
      </c>
      <c r="V136" s="72">
        <v>52</v>
      </c>
      <c r="W136" s="72">
        <v>0</v>
      </c>
      <c r="AA136" s="73">
        <v>0</v>
      </c>
      <c r="AB136" s="72">
        <v>2</v>
      </c>
      <c r="AE136" s="96">
        <v>0</v>
      </c>
      <c r="AF136" s="95">
        <v>0</v>
      </c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 t="str">
        <f>"  " &amp; TEXT(AF136,"#0.00%") &amp; " "</f>
        <v xml:space="preserve">  0.00% </v>
      </c>
      <c r="BR136" s="94"/>
      <c r="BS136" s="94"/>
      <c r="BT136" s="94"/>
      <c r="BU136" s="94"/>
      <c r="BV136" s="94"/>
      <c r="BW136" s="94"/>
      <c r="BX136" s="94" t="str">
        <f>"     " &amp; "전장조립" &amp; " " &amp; IF(Q136="","",TEXT(Q136,"M/D-")) &amp; IF(R136="","",TEXT(R136,"M/D")) &amp; " "</f>
        <v xml:space="preserve">     전장조립 10/10-11/30 </v>
      </c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  <c r="DD136" s="94"/>
      <c r="DE136" s="94"/>
      <c r="DF136" s="94"/>
      <c r="DG136" s="94"/>
      <c r="DH136" s="94"/>
      <c r="DI136" s="94"/>
      <c r="DJ136" s="94"/>
      <c r="DK136" s="94"/>
      <c r="DL136" s="94"/>
      <c r="DM136" s="94"/>
      <c r="DN136" s="94"/>
      <c r="DO136" s="94"/>
      <c r="DP136" s="94"/>
      <c r="DQ136" s="94"/>
    </row>
    <row r="137" spans="1:121" ht="15" customHeight="1" x14ac:dyDescent="0.3">
      <c r="A137" s="100"/>
      <c r="B137" s="100" t="s">
        <v>298</v>
      </c>
      <c r="C137" s="99">
        <v>1</v>
      </c>
      <c r="D137" s="98" t="s">
        <v>1279</v>
      </c>
      <c r="E137" s="77" t="s">
        <v>1255</v>
      </c>
      <c r="Q137" s="75">
        <v>45170</v>
      </c>
      <c r="R137" s="97">
        <v>45260</v>
      </c>
      <c r="T137" s="72">
        <v>393</v>
      </c>
      <c r="U137" s="72">
        <v>0</v>
      </c>
      <c r="V137" s="72">
        <v>91</v>
      </c>
      <c r="W137" s="72">
        <v>0</v>
      </c>
      <c r="Z137" s="74">
        <v>0</v>
      </c>
      <c r="AA137" s="73">
        <v>0</v>
      </c>
      <c r="AE137" s="96">
        <v>0</v>
      </c>
      <c r="AF137" s="101">
        <v>0</v>
      </c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 t="str">
        <f t="shared" ref="BK137:BK144" si="0">"     " &amp; TEXT(AF137,"#0.00%") &amp; " "</f>
        <v xml:space="preserve">     0.00% </v>
      </c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 t="str">
        <f>"     " &amp; "FAT" &amp; " " &amp; IF(Q137="","",TEXT(Q137,"M/D-")) &amp; IF(R137="","",TEXT(R137,"M/D")) &amp; " "</f>
        <v xml:space="preserve">     FAT 9/1-11/30 </v>
      </c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4"/>
    </row>
    <row r="138" spans="1:121" ht="15" customHeight="1" outlineLevel="1" x14ac:dyDescent="0.3">
      <c r="A138" s="100"/>
      <c r="B138" s="100" t="s">
        <v>298</v>
      </c>
      <c r="C138" s="99">
        <v>2</v>
      </c>
      <c r="D138" s="98" t="s">
        <v>1278</v>
      </c>
      <c r="F138" s="77" t="s">
        <v>242</v>
      </c>
      <c r="Q138" s="75">
        <v>45170</v>
      </c>
      <c r="R138" s="97">
        <v>45260</v>
      </c>
      <c r="T138" s="72">
        <v>393</v>
      </c>
      <c r="U138" s="72">
        <v>0</v>
      </c>
      <c r="V138" s="72">
        <v>91</v>
      </c>
      <c r="W138" s="72">
        <v>0</v>
      </c>
      <c r="Z138" s="74">
        <v>0</v>
      </c>
      <c r="AA138" s="73">
        <v>0</v>
      </c>
      <c r="AE138" s="96">
        <v>0</v>
      </c>
      <c r="AF138" s="101">
        <v>0</v>
      </c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 t="str">
        <f t="shared" si="0"/>
        <v xml:space="preserve">     0.00% </v>
      </c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 t="str">
        <f>"     " &amp; "BOSK TN" &amp; " " &amp; IF(Q138="","",TEXT(Q138,"M/D-")) &amp; IF(R138="","",TEXT(R138,"M/D")) &amp; " "</f>
        <v xml:space="preserve">     BOSK TN 9/1-11/30 </v>
      </c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  <c r="DA138" s="94"/>
      <c r="DB138" s="94"/>
      <c r="DC138" s="94"/>
      <c r="DD138" s="94"/>
      <c r="DE138" s="94"/>
      <c r="DF138" s="94"/>
      <c r="DG138" s="94"/>
      <c r="DH138" s="94"/>
      <c r="DI138" s="94"/>
      <c r="DJ138" s="94"/>
      <c r="DK138" s="94"/>
      <c r="DL138" s="94"/>
      <c r="DM138" s="94"/>
      <c r="DN138" s="94"/>
      <c r="DO138" s="94"/>
      <c r="DP138" s="94"/>
      <c r="DQ138" s="94"/>
    </row>
    <row r="139" spans="1:121" ht="15" customHeight="1" outlineLevel="2" x14ac:dyDescent="0.3">
      <c r="A139" s="100"/>
      <c r="B139" s="100" t="s">
        <v>298</v>
      </c>
      <c r="C139" s="99">
        <v>3</v>
      </c>
      <c r="D139" s="98" t="s">
        <v>1277</v>
      </c>
      <c r="G139" s="127" t="s">
        <v>640</v>
      </c>
      <c r="O139" s="105"/>
      <c r="P139" s="105"/>
      <c r="Q139" s="75">
        <v>45170</v>
      </c>
      <c r="R139" s="97">
        <v>45199</v>
      </c>
      <c r="T139" s="72">
        <v>30</v>
      </c>
      <c r="U139" s="72">
        <v>0</v>
      </c>
      <c r="V139" s="72">
        <v>30</v>
      </c>
      <c r="W139" s="72">
        <v>0</v>
      </c>
      <c r="Z139" s="74">
        <v>0</v>
      </c>
      <c r="AA139" s="73">
        <v>0</v>
      </c>
      <c r="AC139" s="111"/>
      <c r="AE139" s="96">
        <v>0</v>
      </c>
      <c r="AF139" s="101">
        <v>0</v>
      </c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 t="str">
        <f t="shared" si="0"/>
        <v xml:space="preserve">     0.00% </v>
      </c>
      <c r="BL139" s="94"/>
      <c r="BM139" s="94"/>
      <c r="BN139" s="94"/>
      <c r="BO139" s="94"/>
      <c r="BP139" s="94" t="str">
        <f>"" &amp; "Rack" &amp; " " &amp; IF(Q139="","",TEXT(Q139,"M/D-")) &amp; IF(R139="","",TEXT(R139,"M/D")) &amp; " "</f>
        <v xml:space="preserve">Rack 9/1-9/30 </v>
      </c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4"/>
      <c r="DE139" s="94"/>
      <c r="DF139" s="94"/>
      <c r="DG139" s="94"/>
      <c r="DH139" s="94"/>
      <c r="DI139" s="94"/>
      <c r="DJ139" s="94"/>
      <c r="DK139" s="94"/>
      <c r="DL139" s="94"/>
      <c r="DM139" s="94"/>
      <c r="DN139" s="94"/>
      <c r="DO139" s="94"/>
      <c r="DP139" s="94"/>
      <c r="DQ139" s="94"/>
    </row>
    <row r="140" spans="1:121" ht="15" customHeight="1" outlineLevel="3" x14ac:dyDescent="0.3">
      <c r="A140" s="100"/>
      <c r="B140" s="100" t="s">
        <v>298</v>
      </c>
      <c r="C140" s="99">
        <v>4</v>
      </c>
      <c r="D140" s="98" t="s">
        <v>1276</v>
      </c>
      <c r="H140" s="77" t="s">
        <v>1275</v>
      </c>
      <c r="O140" s="105"/>
      <c r="P140" s="105"/>
      <c r="Q140" s="75">
        <v>45170</v>
      </c>
      <c r="R140" s="97">
        <v>45199</v>
      </c>
      <c r="T140" s="72">
        <v>30</v>
      </c>
      <c r="U140" s="72">
        <v>0</v>
      </c>
      <c r="V140" s="72">
        <v>30</v>
      </c>
      <c r="W140" s="72">
        <v>0</v>
      </c>
      <c r="Z140" s="74">
        <v>0</v>
      </c>
      <c r="AA140" s="73">
        <v>0</v>
      </c>
      <c r="AC140" s="111"/>
      <c r="AE140" s="96">
        <v>0</v>
      </c>
      <c r="AF140" s="101">
        <v>0</v>
      </c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 t="str">
        <f t="shared" si="0"/>
        <v xml:space="preserve">     0.00% </v>
      </c>
      <c r="BL140" s="94"/>
      <c r="BM140" s="94"/>
      <c r="BN140" s="94"/>
      <c r="BO140" s="94"/>
      <c r="BP140" s="94" t="str">
        <f>"" &amp; "RACK &amp; DECK" &amp; " " &amp; IF(Q140="","",TEXT(Q140,"M/D-")) &amp; IF(R140="","",TEXT(R140,"M/D")) &amp; " "</f>
        <v xml:space="preserve">RACK &amp; DECK 9/1-9/30 </v>
      </c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  <c r="DA140" s="94"/>
      <c r="DB140" s="94"/>
      <c r="DC140" s="94"/>
      <c r="DD140" s="94"/>
      <c r="DE140" s="94"/>
      <c r="DF140" s="94"/>
      <c r="DG140" s="94"/>
      <c r="DH140" s="94"/>
      <c r="DI140" s="94"/>
      <c r="DJ140" s="94"/>
      <c r="DK140" s="94"/>
      <c r="DL140" s="94"/>
      <c r="DM140" s="94"/>
      <c r="DN140" s="94"/>
      <c r="DO140" s="94"/>
      <c r="DP140" s="94"/>
      <c r="DQ140" s="94"/>
    </row>
    <row r="141" spans="1:121" ht="15" customHeight="1" outlineLevel="4" x14ac:dyDescent="0.3">
      <c r="A141" s="100"/>
      <c r="B141" s="100"/>
      <c r="C141" s="99">
        <v>5</v>
      </c>
      <c r="D141" s="98" t="s">
        <v>1274</v>
      </c>
      <c r="I141" s="106" t="s">
        <v>1255</v>
      </c>
      <c r="J141" s="106"/>
      <c r="K141" s="106"/>
      <c r="L141" s="106"/>
      <c r="M141" s="106"/>
      <c r="N141" s="106"/>
      <c r="O141" s="113"/>
      <c r="P141" s="113"/>
      <c r="Q141" s="97">
        <v>45170</v>
      </c>
      <c r="R141" s="97">
        <v>45199</v>
      </c>
      <c r="S141" s="71">
        <f>R141-Q141</f>
        <v>29</v>
      </c>
      <c r="T141" s="72">
        <v>30</v>
      </c>
      <c r="U141" s="72">
        <v>0</v>
      </c>
      <c r="V141" s="72">
        <v>30</v>
      </c>
      <c r="W141" s="72">
        <v>0</v>
      </c>
      <c r="AA141" s="73">
        <v>0</v>
      </c>
      <c r="AB141" s="72">
        <v>1</v>
      </c>
      <c r="AC141" s="111"/>
      <c r="AE141" s="96">
        <v>0</v>
      </c>
      <c r="AF141" s="95">
        <v>0</v>
      </c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 t="str">
        <f t="shared" si="0"/>
        <v xml:space="preserve">     0.00% </v>
      </c>
      <c r="BL141" s="94"/>
      <c r="BM141" s="94"/>
      <c r="BN141" s="94"/>
      <c r="BO141" s="94"/>
      <c r="BP141" s="94" t="str">
        <f>"" &amp; "FAT" &amp; " " &amp; IF(Q141="","",TEXT(Q141,"M/D-")) &amp; IF(R141="","",TEXT(R141,"M/D")) &amp; " "</f>
        <v xml:space="preserve">FAT 9/1-9/30 </v>
      </c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  <c r="DD141" s="94"/>
      <c r="DE141" s="94"/>
      <c r="DF141" s="94"/>
      <c r="DG141" s="94"/>
      <c r="DH141" s="94"/>
      <c r="DI141" s="94"/>
      <c r="DJ141" s="94"/>
      <c r="DK141" s="94"/>
      <c r="DL141" s="94"/>
      <c r="DM141" s="94"/>
      <c r="DN141" s="94"/>
      <c r="DO141" s="94"/>
      <c r="DP141" s="94"/>
      <c r="DQ141" s="94"/>
    </row>
    <row r="142" spans="1:121" ht="15" customHeight="1" outlineLevel="2" x14ac:dyDescent="0.3">
      <c r="A142" s="100"/>
      <c r="B142" s="100" t="s">
        <v>298</v>
      </c>
      <c r="C142" s="99">
        <v>3</v>
      </c>
      <c r="D142" s="98" t="s">
        <v>1273</v>
      </c>
      <c r="G142" s="77" t="s">
        <v>1272</v>
      </c>
      <c r="O142" s="105"/>
      <c r="P142" s="105"/>
      <c r="Q142" s="75">
        <v>45170</v>
      </c>
      <c r="R142" s="97">
        <v>45260</v>
      </c>
      <c r="T142" s="72">
        <v>121</v>
      </c>
      <c r="U142" s="72">
        <v>0</v>
      </c>
      <c r="V142" s="72">
        <v>91</v>
      </c>
      <c r="W142" s="72">
        <v>0</v>
      </c>
      <c r="Z142" s="74">
        <v>0</v>
      </c>
      <c r="AA142" s="73">
        <v>0</v>
      </c>
      <c r="AC142" s="111"/>
      <c r="AE142" s="96">
        <v>0</v>
      </c>
      <c r="AF142" s="101">
        <v>0</v>
      </c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 t="str">
        <f t="shared" si="0"/>
        <v xml:space="preserve">     0.00% </v>
      </c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 t="str">
        <f>"     " &amp; "MSC Crane" &amp; " " &amp; IF(Q142="","",TEXT(Q142,"M/D-")) &amp; IF(R142="","",TEXT(R142,"M/D")) &amp; " "</f>
        <v xml:space="preserve">     MSC Crane 9/1-11/30 </v>
      </c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H142" s="94"/>
      <c r="DI142" s="94"/>
      <c r="DJ142" s="94"/>
      <c r="DK142" s="94"/>
      <c r="DL142" s="94"/>
      <c r="DM142" s="94"/>
      <c r="DN142" s="94"/>
      <c r="DO142" s="94"/>
      <c r="DP142" s="94"/>
      <c r="DQ142" s="94"/>
    </row>
    <row r="143" spans="1:121" ht="15" customHeight="1" outlineLevel="3" x14ac:dyDescent="0.3">
      <c r="A143" s="100"/>
      <c r="B143" s="100" t="s">
        <v>298</v>
      </c>
      <c r="C143" s="99">
        <v>4</v>
      </c>
      <c r="D143" s="98" t="s">
        <v>1271</v>
      </c>
      <c r="H143" s="77" t="s">
        <v>1270</v>
      </c>
      <c r="I143" s="106"/>
      <c r="J143" s="106"/>
      <c r="K143" s="106"/>
      <c r="L143" s="106"/>
      <c r="M143" s="106"/>
      <c r="N143" s="106"/>
      <c r="O143" s="113"/>
      <c r="P143" s="113"/>
      <c r="Q143" s="97">
        <v>45170</v>
      </c>
      <c r="R143" s="97">
        <v>45260</v>
      </c>
      <c r="T143" s="72">
        <v>121</v>
      </c>
      <c r="U143" s="72">
        <v>0</v>
      </c>
      <c r="V143" s="72">
        <v>91</v>
      </c>
      <c r="W143" s="72">
        <v>0</v>
      </c>
      <c r="Z143" s="74">
        <v>0</v>
      </c>
      <c r="AA143" s="73">
        <v>0</v>
      </c>
      <c r="AC143" s="111"/>
      <c r="AE143" s="96">
        <v>0</v>
      </c>
      <c r="AF143" s="101">
        <v>0</v>
      </c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 t="str">
        <f t="shared" si="0"/>
        <v xml:space="preserve">     0.00% </v>
      </c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 t="str">
        <f>"     " &amp; "Aging+충방전" &amp; " " &amp; IF(Q143="","",TEXT(Q143,"M/D-")) &amp; IF(R143="","",TEXT(R143,"M/D")) &amp; " "</f>
        <v xml:space="preserve">     Aging+충방전 9/1-11/30 </v>
      </c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  <c r="DE143" s="94"/>
      <c r="DF143" s="94"/>
      <c r="DG143" s="94"/>
      <c r="DH143" s="94"/>
      <c r="DI143" s="94"/>
      <c r="DJ143" s="94"/>
      <c r="DK143" s="94"/>
      <c r="DL143" s="94"/>
      <c r="DM143" s="94"/>
      <c r="DN143" s="94"/>
      <c r="DO143" s="94"/>
      <c r="DP143" s="94"/>
      <c r="DQ143" s="94"/>
    </row>
    <row r="144" spans="1:121" ht="15" customHeight="1" outlineLevel="4" x14ac:dyDescent="0.3">
      <c r="A144" s="100"/>
      <c r="B144" s="100"/>
      <c r="C144" s="99">
        <v>5</v>
      </c>
      <c r="D144" s="98" t="s">
        <v>1269</v>
      </c>
      <c r="I144" s="106" t="s">
        <v>1257</v>
      </c>
      <c r="J144" s="106"/>
      <c r="K144" s="106"/>
      <c r="L144" s="106"/>
      <c r="M144" s="106"/>
      <c r="N144" s="106"/>
      <c r="O144" s="113"/>
      <c r="P144" s="113"/>
      <c r="Q144" s="97">
        <v>45170</v>
      </c>
      <c r="R144" s="97">
        <v>45260</v>
      </c>
      <c r="S144" s="71">
        <f>R144-Q144</f>
        <v>90</v>
      </c>
      <c r="T144" s="72">
        <v>91</v>
      </c>
      <c r="U144" s="72">
        <v>0</v>
      </c>
      <c r="V144" s="72">
        <v>91</v>
      </c>
      <c r="W144" s="72">
        <v>0</v>
      </c>
      <c r="AA144" s="73">
        <v>0</v>
      </c>
      <c r="AB144" s="72">
        <v>1</v>
      </c>
      <c r="AC144" s="111"/>
      <c r="AE144" s="96">
        <v>0</v>
      </c>
      <c r="AF144" s="95">
        <v>0</v>
      </c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 t="str">
        <f t="shared" si="0"/>
        <v xml:space="preserve">     0.00% </v>
      </c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 t="str">
        <f>"     " &amp; "단동TEST" &amp; " " &amp; IF(Q144="","",TEXT(Q144,"M/D-")) &amp; IF(R144="","",TEXT(R144,"M/D")) &amp; " "</f>
        <v xml:space="preserve">     단동TEST 9/1-11/30 </v>
      </c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  <c r="DF144" s="94"/>
      <c r="DG144" s="94"/>
      <c r="DH144" s="94"/>
      <c r="DI144" s="94"/>
      <c r="DJ144" s="94"/>
      <c r="DK144" s="94"/>
      <c r="DL144" s="94"/>
      <c r="DM144" s="94"/>
      <c r="DN144" s="94"/>
      <c r="DO144" s="94"/>
      <c r="DP144" s="94"/>
      <c r="DQ144" s="94"/>
    </row>
    <row r="145" spans="1:121" ht="15" customHeight="1" outlineLevel="4" x14ac:dyDescent="0.3">
      <c r="A145" s="100"/>
      <c r="B145" s="100"/>
      <c r="C145" s="99">
        <v>5</v>
      </c>
      <c r="D145" s="98" t="s">
        <v>1268</v>
      </c>
      <c r="I145" s="106" t="s">
        <v>1255</v>
      </c>
      <c r="J145" s="106"/>
      <c r="K145" s="106"/>
      <c r="L145" s="106"/>
      <c r="M145" s="106"/>
      <c r="N145" s="106"/>
      <c r="O145" s="113"/>
      <c r="P145" s="113"/>
      <c r="Q145" s="97">
        <v>45200</v>
      </c>
      <c r="R145" s="97">
        <v>45229</v>
      </c>
      <c r="S145" s="71">
        <f>R145-Q145</f>
        <v>29</v>
      </c>
      <c r="T145" s="72">
        <v>30</v>
      </c>
      <c r="U145" s="72">
        <v>0</v>
      </c>
      <c r="V145" s="72">
        <v>30</v>
      </c>
      <c r="W145" s="72">
        <v>0</v>
      </c>
      <c r="AA145" s="73">
        <v>0</v>
      </c>
      <c r="AB145" s="72">
        <v>1</v>
      </c>
      <c r="AC145" s="111"/>
      <c r="AE145" s="96">
        <v>0</v>
      </c>
      <c r="AF145" s="95">
        <v>0</v>
      </c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 t="str">
        <f>"" &amp; TEXT(AF145,"#0.00%") &amp; " "</f>
        <v xml:space="preserve">0.00% </v>
      </c>
      <c r="BQ145" s="94"/>
      <c r="BR145" s="94"/>
      <c r="BS145" s="94"/>
      <c r="BT145" s="94" t="str">
        <f>"  " &amp; "FAT" &amp; " " &amp; IF(Q145="","",TEXT(Q145,"M/D-")) &amp; IF(R145="","",TEXT(R145,"M/D")) &amp; " "</f>
        <v xml:space="preserve">  FAT 10/1-10/30 </v>
      </c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  <c r="DF145" s="94"/>
      <c r="DG145" s="94"/>
      <c r="DH145" s="94"/>
      <c r="DI145" s="94"/>
      <c r="DJ145" s="94"/>
      <c r="DK145" s="94"/>
      <c r="DL145" s="94"/>
      <c r="DM145" s="94"/>
      <c r="DN145" s="94"/>
      <c r="DO145" s="94"/>
      <c r="DP145" s="94"/>
      <c r="DQ145" s="94"/>
    </row>
    <row r="146" spans="1:121" ht="15" customHeight="1" outlineLevel="2" x14ac:dyDescent="0.3">
      <c r="A146" s="100"/>
      <c r="B146" s="100" t="s">
        <v>298</v>
      </c>
      <c r="C146" s="99">
        <v>3</v>
      </c>
      <c r="D146" s="98" t="s">
        <v>1267</v>
      </c>
      <c r="G146" s="128" t="s">
        <v>1265</v>
      </c>
      <c r="I146" s="106"/>
      <c r="J146" s="106"/>
      <c r="K146" s="106"/>
      <c r="L146" s="106"/>
      <c r="M146" s="106"/>
      <c r="N146" s="106"/>
      <c r="O146" s="112"/>
      <c r="P146" s="112"/>
      <c r="Q146" s="97">
        <v>45170</v>
      </c>
      <c r="R146" s="97">
        <v>45260</v>
      </c>
      <c r="T146" s="72">
        <v>121</v>
      </c>
      <c r="U146" s="72">
        <v>0</v>
      </c>
      <c r="V146" s="72">
        <v>91</v>
      </c>
      <c r="W146" s="72">
        <v>0</v>
      </c>
      <c r="Z146" s="74">
        <v>0</v>
      </c>
      <c r="AA146" s="73">
        <v>0</v>
      </c>
      <c r="AE146" s="96">
        <v>0</v>
      </c>
      <c r="AF146" s="101">
        <v>0</v>
      </c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 t="str">
        <f>"     " &amp; TEXT(AF146,"#0.00%") &amp; " "</f>
        <v xml:space="preserve">     0.00% </v>
      </c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 t="str">
        <f>"     " &amp; "환적 이재기+PPC MSC" &amp; " " &amp; IF(Q146="","",TEXT(Q146,"M/D-")) &amp; IF(R146="","",TEXT(R146,"M/D")) &amp; " "</f>
        <v xml:space="preserve">     환적 이재기+PPC MSC 9/1-11/30 </v>
      </c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  <c r="DA146" s="94"/>
      <c r="DB146" s="94"/>
      <c r="DC146" s="94"/>
      <c r="DD146" s="94"/>
      <c r="DE146" s="94"/>
      <c r="DF146" s="94"/>
      <c r="DG146" s="94"/>
      <c r="DH146" s="94"/>
      <c r="DI146" s="94"/>
      <c r="DJ146" s="94"/>
      <c r="DK146" s="94"/>
      <c r="DL146" s="94"/>
      <c r="DM146" s="94"/>
      <c r="DN146" s="94"/>
      <c r="DO146" s="94"/>
      <c r="DP146" s="94"/>
      <c r="DQ146" s="94"/>
    </row>
    <row r="147" spans="1:121" ht="15" customHeight="1" outlineLevel="3" x14ac:dyDescent="0.3">
      <c r="A147" s="100"/>
      <c r="B147" s="100" t="s">
        <v>298</v>
      </c>
      <c r="C147" s="99">
        <v>4</v>
      </c>
      <c r="D147" s="98" t="s">
        <v>1266</v>
      </c>
      <c r="H147" s="128" t="s">
        <v>1265</v>
      </c>
      <c r="I147" s="106"/>
      <c r="J147" s="106"/>
      <c r="K147" s="106"/>
      <c r="L147" s="106"/>
      <c r="M147" s="106"/>
      <c r="N147" s="106"/>
      <c r="O147" s="112"/>
      <c r="P147" s="112"/>
      <c r="Q147" s="97">
        <v>45170</v>
      </c>
      <c r="R147" s="97">
        <v>45260</v>
      </c>
      <c r="T147" s="72">
        <v>121</v>
      </c>
      <c r="U147" s="72">
        <v>0</v>
      </c>
      <c r="V147" s="72">
        <v>91</v>
      </c>
      <c r="W147" s="72">
        <v>0</v>
      </c>
      <c r="Z147" s="74">
        <v>0</v>
      </c>
      <c r="AA147" s="73">
        <v>0</v>
      </c>
      <c r="AE147" s="96">
        <v>0</v>
      </c>
      <c r="AF147" s="101">
        <v>0</v>
      </c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 t="str">
        <f>"     " &amp; TEXT(AF147,"#0.00%") &amp; " "</f>
        <v xml:space="preserve">     0.00% </v>
      </c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 t="str">
        <f>"     " &amp; "환적 이재기+PPC MSC" &amp; " " &amp; IF(Q147="","",TEXT(Q147,"M/D-")) &amp; IF(R147="","",TEXT(R147,"M/D")) &amp; " "</f>
        <v xml:space="preserve">     환적 이재기+PPC MSC 9/1-11/30 </v>
      </c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  <c r="DD147" s="94"/>
      <c r="DE147" s="94"/>
      <c r="DF147" s="94"/>
      <c r="DG147" s="94"/>
      <c r="DH147" s="94"/>
      <c r="DI147" s="94"/>
      <c r="DJ147" s="94"/>
      <c r="DK147" s="94"/>
      <c r="DL147" s="94"/>
      <c r="DM147" s="94"/>
      <c r="DN147" s="94"/>
      <c r="DO147" s="94"/>
      <c r="DP147" s="94"/>
      <c r="DQ147" s="94"/>
    </row>
    <row r="148" spans="1:121" ht="15" customHeight="1" outlineLevel="4" x14ac:dyDescent="0.3">
      <c r="A148" s="100"/>
      <c r="B148" s="100"/>
      <c r="C148" s="99">
        <v>5</v>
      </c>
      <c r="D148" s="98" t="s">
        <v>1264</v>
      </c>
      <c r="I148" s="106" t="s">
        <v>1257</v>
      </c>
      <c r="J148" s="106"/>
      <c r="K148" s="106"/>
      <c r="L148" s="106"/>
      <c r="M148" s="106"/>
      <c r="N148" s="106"/>
      <c r="O148" s="112"/>
      <c r="P148" s="112"/>
      <c r="Q148" s="97">
        <v>45170</v>
      </c>
      <c r="R148" s="97">
        <v>45260</v>
      </c>
      <c r="S148" s="71">
        <f>R148-Q148</f>
        <v>90</v>
      </c>
      <c r="T148" s="72">
        <v>91</v>
      </c>
      <c r="U148" s="72">
        <v>0</v>
      </c>
      <c r="V148" s="72">
        <v>91</v>
      </c>
      <c r="W148" s="72">
        <v>0</v>
      </c>
      <c r="AA148" s="73">
        <v>0</v>
      </c>
      <c r="AB148" s="72">
        <v>1</v>
      </c>
      <c r="AE148" s="96">
        <v>0</v>
      </c>
      <c r="AF148" s="95">
        <v>0</v>
      </c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 t="str">
        <f>"     " &amp; TEXT(AF148,"#0.00%") &amp; " "</f>
        <v xml:space="preserve">     0.00% </v>
      </c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 t="str">
        <f>"     " &amp; "단동TEST" &amp; " " &amp; IF(Q148="","",TEXT(Q148,"M/D-")) &amp; IF(R148="","",TEXT(R148,"M/D")) &amp; " "</f>
        <v xml:space="preserve">     단동TEST 9/1-11/30 </v>
      </c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  <c r="DF148" s="94"/>
      <c r="DG148" s="94"/>
      <c r="DH148" s="94"/>
      <c r="DI148" s="94"/>
      <c r="DJ148" s="94"/>
      <c r="DK148" s="94"/>
      <c r="DL148" s="94"/>
      <c r="DM148" s="94"/>
      <c r="DN148" s="94"/>
      <c r="DO148" s="94"/>
      <c r="DP148" s="94"/>
      <c r="DQ148" s="94"/>
    </row>
    <row r="149" spans="1:121" ht="15" customHeight="1" outlineLevel="4" x14ac:dyDescent="0.3">
      <c r="A149" s="100"/>
      <c r="B149" s="100"/>
      <c r="C149" s="99">
        <v>5</v>
      </c>
      <c r="D149" s="98" t="s">
        <v>1263</v>
      </c>
      <c r="I149" s="106" t="s">
        <v>1255</v>
      </c>
      <c r="J149" s="106"/>
      <c r="K149" s="106"/>
      <c r="L149" s="106"/>
      <c r="M149" s="106"/>
      <c r="N149" s="106"/>
      <c r="O149" s="112"/>
      <c r="P149" s="112"/>
      <c r="Q149" s="97">
        <v>45200</v>
      </c>
      <c r="R149" s="97">
        <v>45229</v>
      </c>
      <c r="S149" s="71">
        <f>R149-Q149</f>
        <v>29</v>
      </c>
      <c r="T149" s="72">
        <v>30</v>
      </c>
      <c r="U149" s="72">
        <v>0</v>
      </c>
      <c r="V149" s="72">
        <v>30</v>
      </c>
      <c r="W149" s="72">
        <v>0</v>
      </c>
      <c r="AA149" s="73">
        <v>0</v>
      </c>
      <c r="AB149" s="72">
        <v>1</v>
      </c>
      <c r="AE149" s="96">
        <v>0</v>
      </c>
      <c r="AF149" s="95">
        <v>0</v>
      </c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 t="str">
        <f>"" &amp; TEXT(AF149,"#0.00%") &amp; " "</f>
        <v xml:space="preserve">0.00% </v>
      </c>
      <c r="BQ149" s="94"/>
      <c r="BR149" s="94"/>
      <c r="BS149" s="94"/>
      <c r="BT149" s="94" t="str">
        <f>"  " &amp; "FAT" &amp; " " &amp; IF(Q149="","",TEXT(Q149,"M/D-")) &amp; IF(R149="","",TEXT(R149,"M/D")) &amp; " "</f>
        <v xml:space="preserve">  FAT 10/1-10/30 </v>
      </c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  <c r="DF149" s="94"/>
      <c r="DG149" s="94"/>
      <c r="DH149" s="94"/>
      <c r="DI149" s="94"/>
      <c r="DJ149" s="94"/>
      <c r="DK149" s="94"/>
      <c r="DL149" s="94"/>
      <c r="DM149" s="94"/>
      <c r="DN149" s="94"/>
      <c r="DO149" s="94"/>
      <c r="DP149" s="94"/>
      <c r="DQ149" s="94"/>
    </row>
    <row r="150" spans="1:121" ht="15" customHeight="1" outlineLevel="2" x14ac:dyDescent="0.3">
      <c r="A150" s="100"/>
      <c r="B150" s="100" t="s">
        <v>298</v>
      </c>
      <c r="C150" s="99">
        <v>3</v>
      </c>
      <c r="D150" s="98" t="s">
        <v>1262</v>
      </c>
      <c r="G150" s="77" t="s">
        <v>1261</v>
      </c>
      <c r="I150" s="106"/>
      <c r="J150" s="106"/>
      <c r="K150" s="106"/>
      <c r="L150" s="106"/>
      <c r="M150" s="106"/>
      <c r="N150" s="106"/>
      <c r="O150" s="112"/>
      <c r="P150" s="112"/>
      <c r="Q150" s="97">
        <v>45170</v>
      </c>
      <c r="R150" s="97">
        <v>45260</v>
      </c>
      <c r="T150" s="72">
        <v>121</v>
      </c>
      <c r="U150" s="72">
        <v>0</v>
      </c>
      <c r="V150" s="72">
        <v>91</v>
      </c>
      <c r="W150" s="72">
        <v>0</v>
      </c>
      <c r="Z150" s="74">
        <v>0</v>
      </c>
      <c r="AA150" s="73">
        <v>0</v>
      </c>
      <c r="AE150" s="96">
        <v>0</v>
      </c>
      <c r="AF150" s="101">
        <v>0</v>
      </c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 t="str">
        <f>"     " &amp; TEXT(AF150,"#0.00%") &amp; " "</f>
        <v xml:space="preserve">     0.00% </v>
      </c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 t="str">
        <f>"     " &amp; "Conveyor &amp; Lifter" &amp; " " &amp; IF(Q150="","",TEXT(Q150,"M/D-")) &amp; IF(R150="","",TEXT(R150,"M/D")) &amp; " "</f>
        <v xml:space="preserve">     Conveyor &amp; Lifter 9/1-11/30 </v>
      </c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  <c r="DF150" s="94"/>
      <c r="DG150" s="94"/>
      <c r="DH150" s="94"/>
      <c r="DI150" s="94"/>
      <c r="DJ150" s="94"/>
      <c r="DK150" s="94"/>
      <c r="DL150" s="94"/>
      <c r="DM150" s="94"/>
      <c r="DN150" s="94"/>
      <c r="DO150" s="94"/>
      <c r="DP150" s="94"/>
      <c r="DQ150" s="94"/>
    </row>
    <row r="151" spans="1:121" ht="15" customHeight="1" outlineLevel="3" x14ac:dyDescent="0.3">
      <c r="A151" s="100"/>
      <c r="B151" s="100" t="s">
        <v>298</v>
      </c>
      <c r="C151" s="99">
        <v>4</v>
      </c>
      <c r="D151" s="98" t="s">
        <v>1260</v>
      </c>
      <c r="H151" s="77" t="s">
        <v>1259</v>
      </c>
      <c r="I151" s="106"/>
      <c r="J151" s="106"/>
      <c r="K151" s="106"/>
      <c r="L151" s="106"/>
      <c r="M151" s="106"/>
      <c r="N151" s="106"/>
      <c r="O151" s="112"/>
      <c r="P151" s="112"/>
      <c r="Q151" s="97">
        <v>45170</v>
      </c>
      <c r="R151" s="97">
        <v>45260</v>
      </c>
      <c r="T151" s="72">
        <v>121</v>
      </c>
      <c r="U151" s="72">
        <v>0</v>
      </c>
      <c r="V151" s="72">
        <v>91</v>
      </c>
      <c r="W151" s="72">
        <v>0</v>
      </c>
      <c r="Z151" s="74">
        <v>0</v>
      </c>
      <c r="AA151" s="73">
        <v>0</v>
      </c>
      <c r="AE151" s="96">
        <v>0</v>
      </c>
      <c r="AF151" s="101">
        <v>0</v>
      </c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 t="str">
        <f>"     " &amp; TEXT(AF151,"#0.00%") &amp; " "</f>
        <v xml:space="preserve">     0.00% </v>
      </c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 t="str">
        <f>"     " &amp; "Conveyor TEST &amp; FAT" &amp; " " &amp; IF(Q151="","",TEXT(Q151,"M/D-")) &amp; IF(R151="","",TEXT(R151,"M/D")) &amp; " "</f>
        <v xml:space="preserve">     Conveyor TEST &amp; FAT 9/1-11/30 </v>
      </c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94"/>
      <c r="DQ151" s="94"/>
    </row>
    <row r="152" spans="1:121" ht="15" customHeight="1" outlineLevel="4" x14ac:dyDescent="0.3">
      <c r="A152" s="100"/>
      <c r="B152" s="100"/>
      <c r="C152" s="99">
        <v>5</v>
      </c>
      <c r="D152" s="98" t="s">
        <v>1258</v>
      </c>
      <c r="I152" s="106" t="s">
        <v>1257</v>
      </c>
      <c r="J152" s="106"/>
      <c r="K152" s="106"/>
      <c r="L152" s="106"/>
      <c r="M152" s="106"/>
      <c r="N152" s="106"/>
      <c r="O152" s="112"/>
      <c r="P152" s="112"/>
      <c r="Q152" s="97">
        <v>45170</v>
      </c>
      <c r="R152" s="97">
        <v>45260</v>
      </c>
      <c r="S152" s="71">
        <f>R152-Q152</f>
        <v>90</v>
      </c>
      <c r="T152" s="72">
        <v>91</v>
      </c>
      <c r="U152" s="72">
        <v>0</v>
      </c>
      <c r="V152" s="72">
        <v>91</v>
      </c>
      <c r="W152" s="72">
        <v>0</v>
      </c>
      <c r="AA152" s="73">
        <v>0</v>
      </c>
      <c r="AB152" s="72">
        <v>1</v>
      </c>
      <c r="AE152" s="96">
        <v>0</v>
      </c>
      <c r="AF152" s="95">
        <v>0</v>
      </c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 t="str">
        <f>"     " &amp; TEXT(AF152,"#0.00%") &amp; " "</f>
        <v xml:space="preserve">     0.00% </v>
      </c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 t="str">
        <f>"     " &amp; "단동TEST" &amp; " " &amp; IF(Q152="","",TEXT(Q152,"M/D-")) &amp; IF(R152="","",TEXT(R152,"M/D")) &amp; " "</f>
        <v xml:space="preserve">     단동TEST 9/1-11/30 </v>
      </c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  <c r="DF152" s="94"/>
      <c r="DG152" s="94"/>
      <c r="DH152" s="94"/>
      <c r="DI152" s="94"/>
      <c r="DJ152" s="94"/>
      <c r="DK152" s="94"/>
      <c r="DL152" s="94"/>
      <c r="DM152" s="94"/>
      <c r="DN152" s="94"/>
      <c r="DO152" s="94"/>
      <c r="DP152" s="94"/>
      <c r="DQ152" s="94"/>
    </row>
    <row r="153" spans="1:121" ht="15" customHeight="1" outlineLevel="4" x14ac:dyDescent="0.3">
      <c r="A153" s="100"/>
      <c r="B153" s="100"/>
      <c r="C153" s="99">
        <v>5</v>
      </c>
      <c r="D153" s="98" t="s">
        <v>1256</v>
      </c>
      <c r="I153" s="106" t="s">
        <v>1255</v>
      </c>
      <c r="J153" s="106"/>
      <c r="K153" s="106"/>
      <c r="L153" s="106"/>
      <c r="M153" s="106"/>
      <c r="N153" s="106"/>
      <c r="O153" s="112"/>
      <c r="P153" s="112"/>
      <c r="Q153" s="97">
        <v>45200</v>
      </c>
      <c r="R153" s="97">
        <v>45229</v>
      </c>
      <c r="S153" s="71">
        <f>R153-Q153</f>
        <v>29</v>
      </c>
      <c r="T153" s="72">
        <v>30</v>
      </c>
      <c r="U153" s="72">
        <v>0</v>
      </c>
      <c r="V153" s="72">
        <v>30</v>
      </c>
      <c r="W153" s="72">
        <v>0</v>
      </c>
      <c r="AA153" s="73">
        <v>0</v>
      </c>
      <c r="AB153" s="72">
        <v>1</v>
      </c>
      <c r="AE153" s="96">
        <v>0</v>
      </c>
      <c r="AF153" s="95">
        <v>0</v>
      </c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 t="str">
        <f>"" &amp; TEXT(AF153,"#0.00%") &amp; " "</f>
        <v xml:space="preserve">0.00% </v>
      </c>
      <c r="BQ153" s="94"/>
      <c r="BR153" s="94"/>
      <c r="BS153" s="94"/>
      <c r="BT153" s="94" t="str">
        <f>"  " &amp; "FAT" &amp; " " &amp; IF(Q153="","",TEXT(Q153,"M/D-")) &amp; IF(R153="","",TEXT(R153,"M/D")) &amp; " "</f>
        <v xml:space="preserve">  FAT 10/1-10/30 </v>
      </c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  <c r="DF153" s="94"/>
      <c r="DG153" s="94"/>
      <c r="DH153" s="94"/>
      <c r="DI153" s="94"/>
      <c r="DJ153" s="94"/>
      <c r="DK153" s="94"/>
      <c r="DL153" s="94"/>
      <c r="DM153" s="94"/>
      <c r="DN153" s="94"/>
      <c r="DO153" s="94"/>
      <c r="DP153" s="94"/>
      <c r="DQ153" s="94"/>
    </row>
    <row r="154" spans="1:121" ht="15" customHeight="1" x14ac:dyDescent="0.3">
      <c r="A154" s="100"/>
      <c r="B154" s="100" t="s">
        <v>298</v>
      </c>
      <c r="C154" s="99">
        <v>1</v>
      </c>
      <c r="D154" s="98" t="s">
        <v>1254</v>
      </c>
      <c r="E154" s="77" t="s">
        <v>230</v>
      </c>
      <c r="I154" s="106"/>
      <c r="J154" s="106"/>
      <c r="K154" s="106"/>
      <c r="L154" s="106"/>
      <c r="M154" s="106"/>
      <c r="N154" s="106"/>
      <c r="O154" s="112"/>
      <c r="P154" s="112"/>
      <c r="Q154" s="97">
        <v>45184</v>
      </c>
      <c r="R154" s="97">
        <v>45323</v>
      </c>
      <c r="T154" s="72">
        <v>389</v>
      </c>
      <c r="U154" s="72">
        <v>0</v>
      </c>
      <c r="V154" s="72">
        <v>140</v>
      </c>
      <c r="W154" s="72">
        <v>0</v>
      </c>
      <c r="Z154" s="74">
        <v>0</v>
      </c>
      <c r="AA154" s="73">
        <v>0</v>
      </c>
      <c r="AE154" s="96">
        <v>0</v>
      </c>
      <c r="AF154" s="101">
        <v>0</v>
      </c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 t="str">
        <f>"     " &amp; TEXT(AF154,"#0.00%") &amp; " "</f>
        <v xml:space="preserve">     0.00% </v>
      </c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 t="str">
        <f>"     " &amp; "FOB" &amp; " " &amp; IF(Q154="","",TEXT(Q154,"M/D-")) &amp; IF(R154="","",TEXT(R154,"M/D")) &amp; " "</f>
        <v xml:space="preserve">     FOB 9/15-2/1 </v>
      </c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  <c r="DF154" s="94"/>
      <c r="DG154" s="94"/>
      <c r="DH154" s="94"/>
      <c r="DI154" s="94"/>
      <c r="DJ154" s="94"/>
      <c r="DK154" s="94"/>
      <c r="DL154" s="94"/>
      <c r="DM154" s="94"/>
      <c r="DN154" s="94"/>
      <c r="DO154" s="94"/>
      <c r="DP154" s="94"/>
      <c r="DQ154" s="94"/>
    </row>
    <row r="155" spans="1:121" ht="15" customHeight="1" outlineLevel="1" x14ac:dyDescent="0.3">
      <c r="A155" s="100"/>
      <c r="B155" s="100" t="s">
        <v>298</v>
      </c>
      <c r="C155" s="99">
        <v>2</v>
      </c>
      <c r="D155" s="98" t="s">
        <v>1253</v>
      </c>
      <c r="F155" s="77" t="s">
        <v>242</v>
      </c>
      <c r="I155" s="106"/>
      <c r="J155" s="106"/>
      <c r="K155" s="106"/>
      <c r="L155" s="106"/>
      <c r="M155" s="106"/>
      <c r="N155" s="106"/>
      <c r="O155" s="113"/>
      <c r="P155" s="113"/>
      <c r="Q155" s="97">
        <v>45184</v>
      </c>
      <c r="R155" s="97">
        <v>45323</v>
      </c>
      <c r="T155" s="72">
        <v>389</v>
      </c>
      <c r="U155" s="72">
        <v>0</v>
      </c>
      <c r="V155" s="72">
        <v>140</v>
      </c>
      <c r="W155" s="72">
        <v>0</v>
      </c>
      <c r="Z155" s="74">
        <v>0</v>
      </c>
      <c r="AA155" s="73">
        <v>0</v>
      </c>
      <c r="AC155" s="111"/>
      <c r="AE155" s="96">
        <v>0</v>
      </c>
      <c r="AF155" s="101">
        <v>0</v>
      </c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 t="str">
        <f>"     " &amp; TEXT(AF155,"#0.00%") &amp; " "</f>
        <v xml:space="preserve">     0.00% </v>
      </c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 t="str">
        <f>"     " &amp; "BOSK TN" &amp; " " &amp; IF(Q155="","",TEXT(Q155,"M/D-")) &amp; IF(R155="","",TEXT(R155,"M/D")) &amp; " "</f>
        <v xml:space="preserve">     BOSK TN 9/15-2/1 </v>
      </c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  <c r="DF155" s="94"/>
      <c r="DG155" s="94"/>
      <c r="DH155" s="94"/>
      <c r="DI155" s="94"/>
      <c r="DJ155" s="94"/>
      <c r="DK155" s="94"/>
      <c r="DL155" s="94"/>
      <c r="DM155" s="94"/>
      <c r="DN155" s="94"/>
      <c r="DO155" s="94"/>
      <c r="DP155" s="94"/>
      <c r="DQ155" s="94"/>
    </row>
    <row r="156" spans="1:121" ht="15" customHeight="1" outlineLevel="2" x14ac:dyDescent="0.3">
      <c r="A156" s="100"/>
      <c r="B156" s="100" t="s">
        <v>298</v>
      </c>
      <c r="C156" s="99">
        <v>3</v>
      </c>
      <c r="D156" s="98" t="s">
        <v>1252</v>
      </c>
      <c r="G156" s="127" t="s">
        <v>640</v>
      </c>
      <c r="I156" s="106"/>
      <c r="J156" s="106"/>
      <c r="K156" s="106"/>
      <c r="L156" s="106"/>
      <c r="M156" s="106"/>
      <c r="N156" s="106"/>
      <c r="O156" s="113"/>
      <c r="P156" s="113"/>
      <c r="Q156" s="97">
        <v>45184</v>
      </c>
      <c r="R156" s="97">
        <v>45310</v>
      </c>
      <c r="T156" s="72">
        <v>196</v>
      </c>
      <c r="U156" s="72">
        <v>0</v>
      </c>
      <c r="V156" s="72">
        <v>127</v>
      </c>
      <c r="W156" s="72">
        <v>0</v>
      </c>
      <c r="Z156" s="74">
        <v>0</v>
      </c>
      <c r="AA156" s="73">
        <v>0</v>
      </c>
      <c r="AC156" s="111"/>
      <c r="AE156" s="96">
        <v>0</v>
      </c>
      <c r="AF156" s="101">
        <v>0</v>
      </c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 t="str">
        <f>"     " &amp; TEXT(AF156,"#0.00%") &amp; " "</f>
        <v xml:space="preserve">     0.00% </v>
      </c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 t="str">
        <f>"      " &amp; "Rack" &amp; " " &amp; IF(Q156="","",TEXT(Q156,"M/D-")) &amp; IF(R156="","",TEXT(R156,"M/D")) &amp; " "</f>
        <v xml:space="preserve">      Rack 9/15-1/19 </v>
      </c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  <c r="DF156" s="94"/>
      <c r="DG156" s="94"/>
      <c r="DH156" s="94"/>
      <c r="DI156" s="94"/>
      <c r="DJ156" s="94"/>
      <c r="DK156" s="94"/>
      <c r="DL156" s="94"/>
      <c r="DM156" s="94"/>
      <c r="DN156" s="94"/>
      <c r="DO156" s="94"/>
      <c r="DP156" s="94"/>
      <c r="DQ156" s="94"/>
    </row>
    <row r="157" spans="1:121" ht="15" customHeight="1" outlineLevel="3" x14ac:dyDescent="0.3">
      <c r="A157" s="100"/>
      <c r="B157" s="100" t="s">
        <v>298</v>
      </c>
      <c r="C157" s="99">
        <v>4</v>
      </c>
      <c r="D157" s="98" t="s">
        <v>1251</v>
      </c>
      <c r="H157" s="77" t="s">
        <v>1250</v>
      </c>
      <c r="I157" s="106"/>
      <c r="J157" s="106"/>
      <c r="K157" s="106"/>
      <c r="L157" s="106"/>
      <c r="M157" s="106"/>
      <c r="N157" s="106"/>
      <c r="O157" s="113"/>
      <c r="P157" s="113"/>
      <c r="Q157" s="97">
        <v>45184</v>
      </c>
      <c r="R157" s="97">
        <v>45200</v>
      </c>
      <c r="T157" s="72">
        <v>17</v>
      </c>
      <c r="U157" s="72">
        <v>0</v>
      </c>
      <c r="V157" s="72">
        <v>17</v>
      </c>
      <c r="W157" s="72">
        <v>0</v>
      </c>
      <c r="Z157" s="74">
        <v>0</v>
      </c>
      <c r="AA157" s="73">
        <v>0</v>
      </c>
      <c r="AC157" s="111"/>
      <c r="AE157" s="96">
        <v>0</v>
      </c>
      <c r="AF157" s="101">
        <v>0</v>
      </c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 t="str">
        <f>"     " &amp; TEXT(AF157,"#0.00%") &amp; " " &amp; "1동 상온#1 Rack&amp;Deck" &amp; " " &amp; IF(Q157="","",TEXT(Q157,"M/D-")) &amp; IF(R157="","",TEXT(R157,"M/D")) &amp; " "</f>
        <v xml:space="preserve">     0.00% 1동 상온#1 Rack&amp;Deck 9/15-10/1 </v>
      </c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</row>
    <row r="158" spans="1:121" ht="15" customHeight="1" outlineLevel="4" x14ac:dyDescent="0.3">
      <c r="A158" s="100"/>
      <c r="B158" s="100"/>
      <c r="C158" s="99">
        <v>5</v>
      </c>
      <c r="D158" s="98" t="s">
        <v>1249</v>
      </c>
      <c r="I158" s="106" t="s">
        <v>1083</v>
      </c>
      <c r="J158" s="106"/>
      <c r="K158" s="106"/>
      <c r="L158" s="106"/>
      <c r="M158" s="106"/>
      <c r="N158" s="106"/>
      <c r="O158" s="113"/>
      <c r="P158" s="113"/>
      <c r="Q158" s="97">
        <v>45184</v>
      </c>
      <c r="R158" s="97">
        <v>45193</v>
      </c>
      <c r="S158" s="71">
        <f>R158-Q158</f>
        <v>9</v>
      </c>
      <c r="T158" s="72">
        <v>10</v>
      </c>
      <c r="U158" s="72">
        <v>0</v>
      </c>
      <c r="V158" s="72">
        <v>10</v>
      </c>
      <c r="W158" s="72">
        <v>0</v>
      </c>
      <c r="AA158" s="73">
        <v>0</v>
      </c>
      <c r="AB158" s="72">
        <v>1</v>
      </c>
      <c r="AC158" s="111"/>
      <c r="AE158" s="96">
        <v>0</v>
      </c>
      <c r="AF158" s="95">
        <v>0</v>
      </c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 t="str">
        <f>"     " &amp; TEXT(AF158,"#0.00%") &amp; " " &amp; "Unit 포장" &amp; " " &amp; IF(Q158="","",TEXT(Q158,"M/D-")) &amp; IF(R158="","",TEXT(R158,"M/D")) &amp; " "</f>
        <v xml:space="preserve">     0.00% Unit 포장 9/15-9/24 </v>
      </c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  <c r="DF158" s="94"/>
      <c r="DG158" s="94"/>
      <c r="DH158" s="94"/>
      <c r="DI158" s="94"/>
      <c r="DJ158" s="94"/>
      <c r="DK158" s="94"/>
      <c r="DL158" s="94"/>
      <c r="DM158" s="94"/>
      <c r="DN158" s="94"/>
      <c r="DO158" s="94"/>
      <c r="DP158" s="94"/>
      <c r="DQ158" s="94"/>
    </row>
    <row r="159" spans="1:121" ht="15" customHeight="1" outlineLevel="4" x14ac:dyDescent="0.3">
      <c r="A159" s="100"/>
      <c r="B159" s="100"/>
      <c r="C159" s="99">
        <v>5</v>
      </c>
      <c r="D159" s="98" t="s">
        <v>1248</v>
      </c>
      <c r="I159" s="106" t="s">
        <v>1081</v>
      </c>
      <c r="J159" s="106"/>
      <c r="K159" s="106"/>
      <c r="L159" s="106"/>
      <c r="M159" s="106"/>
      <c r="N159" s="106"/>
      <c r="O159" s="113"/>
      <c r="P159" s="113"/>
      <c r="Q159" s="97">
        <v>45194</v>
      </c>
      <c r="R159" s="97">
        <v>45199</v>
      </c>
      <c r="S159" s="71">
        <f>R159-Q159</f>
        <v>5</v>
      </c>
      <c r="T159" s="72">
        <v>6</v>
      </c>
      <c r="U159" s="72">
        <v>0</v>
      </c>
      <c r="V159" s="72">
        <v>6</v>
      </c>
      <c r="W159" s="72">
        <v>0</v>
      </c>
      <c r="AA159" s="73">
        <v>0</v>
      </c>
      <c r="AB159" s="72">
        <v>1</v>
      </c>
      <c r="AC159" s="111"/>
      <c r="AE159" s="96">
        <v>0</v>
      </c>
      <c r="AF159" s="95">
        <v>0</v>
      </c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 t="str">
        <f>" " &amp; TEXT(AF159,"#0.00%") &amp; " " &amp; "Unit 운송" &amp; " " &amp; IF(Q159="","",TEXT(Q159,"M/D-")) &amp; IF(R159="","",TEXT(R159,"M/D")) &amp; " "</f>
        <v xml:space="preserve"> 0.00% Unit 운송 9/25-9/30 </v>
      </c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  <c r="DF159" s="94"/>
      <c r="DG159" s="94"/>
      <c r="DH159" s="94"/>
      <c r="DI159" s="94"/>
      <c r="DJ159" s="94"/>
      <c r="DK159" s="94"/>
      <c r="DL159" s="94"/>
      <c r="DM159" s="94"/>
      <c r="DN159" s="94"/>
      <c r="DO159" s="94"/>
      <c r="DP159" s="94"/>
      <c r="DQ159" s="94"/>
    </row>
    <row r="160" spans="1:121" ht="15" customHeight="1" outlineLevel="4" x14ac:dyDescent="0.3">
      <c r="A160" s="100"/>
      <c r="B160" s="100"/>
      <c r="C160" s="99">
        <v>5</v>
      </c>
      <c r="D160" s="98" t="s">
        <v>1247</v>
      </c>
      <c r="I160" s="106" t="s">
        <v>230</v>
      </c>
      <c r="J160" s="106"/>
      <c r="K160" s="106"/>
      <c r="L160" s="106"/>
      <c r="M160" s="106"/>
      <c r="N160" s="106"/>
      <c r="O160" s="113"/>
      <c r="P160" s="113"/>
      <c r="Q160" s="97">
        <v>45200</v>
      </c>
      <c r="R160" s="97">
        <v>45200</v>
      </c>
      <c r="S160" s="71">
        <f>R160-Q160+1</f>
        <v>1</v>
      </c>
      <c r="T160" s="72">
        <v>1</v>
      </c>
      <c r="U160" s="72">
        <v>0</v>
      </c>
      <c r="V160" s="72">
        <v>1</v>
      </c>
      <c r="W160" s="72">
        <v>0</v>
      </c>
      <c r="AA160" s="73">
        <v>0</v>
      </c>
      <c r="AB160" s="72">
        <v>1</v>
      </c>
      <c r="AC160" s="111"/>
      <c r="AE160" s="96">
        <v>0</v>
      </c>
      <c r="AF160" s="95">
        <v>0</v>
      </c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 t="str">
        <f>"" &amp; TEXT(AF160,"#0.00%") &amp; " " &amp; "FOB" &amp; " " &amp; IF(Q160="","",TEXT(Q160,"M/D-")) &amp; IF(R160="","",TEXT(R160,"M/D")) &amp; " "</f>
        <v xml:space="preserve">0.00% FOB 10/1-10/1 </v>
      </c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  <c r="DF160" s="94"/>
      <c r="DG160" s="94"/>
      <c r="DH160" s="94"/>
      <c r="DI160" s="94"/>
      <c r="DJ160" s="94"/>
      <c r="DK160" s="94"/>
      <c r="DL160" s="94"/>
      <c r="DM160" s="94"/>
      <c r="DN160" s="94"/>
      <c r="DO160" s="94"/>
      <c r="DP160" s="94"/>
      <c r="DQ160" s="94"/>
    </row>
    <row r="161" spans="1:121" ht="15" customHeight="1" outlineLevel="4" x14ac:dyDescent="0.3">
      <c r="A161" s="100"/>
      <c r="B161" s="100"/>
      <c r="C161" s="99">
        <v>5</v>
      </c>
      <c r="D161" s="98" t="s">
        <v>1246</v>
      </c>
      <c r="I161" s="106" t="s">
        <v>1077</v>
      </c>
      <c r="J161" s="106"/>
      <c r="K161" s="106"/>
      <c r="L161" s="106"/>
      <c r="M161" s="106"/>
      <c r="N161" s="106"/>
      <c r="O161" s="113"/>
      <c r="P161" s="113"/>
      <c r="Q161" s="97"/>
      <c r="R161" s="97"/>
      <c r="S161" s="71">
        <f>R161-Q161</f>
        <v>0</v>
      </c>
      <c r="T161" s="72">
        <v>0</v>
      </c>
      <c r="U161" s="72">
        <v>0</v>
      </c>
      <c r="V161" s="72">
        <v>0</v>
      </c>
      <c r="W161" s="72">
        <v>0</v>
      </c>
      <c r="Z161" s="74">
        <v>0</v>
      </c>
      <c r="AA161" s="73">
        <v>0</v>
      </c>
      <c r="AB161" s="72">
        <v>1</v>
      </c>
      <c r="AC161" s="111"/>
      <c r="AE161" s="96">
        <v>0</v>
      </c>
      <c r="AF161" s="102">
        <v>0</v>
      </c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  <c r="DD161" s="94"/>
      <c r="DE161" s="94"/>
      <c r="DF161" s="94"/>
      <c r="DG161" s="94"/>
      <c r="DH161" s="94"/>
      <c r="DI161" s="94"/>
      <c r="DJ161" s="94"/>
      <c r="DK161" s="94"/>
      <c r="DL161" s="94"/>
      <c r="DM161" s="94"/>
      <c r="DN161" s="94"/>
      <c r="DO161" s="94"/>
      <c r="DP161" s="94"/>
      <c r="DQ161" s="94"/>
    </row>
    <row r="162" spans="1:121" ht="15" customHeight="1" outlineLevel="4" x14ac:dyDescent="0.3">
      <c r="A162" s="100"/>
      <c r="B162" s="100"/>
      <c r="C162" s="99">
        <v>5</v>
      </c>
      <c r="D162" s="98" t="s">
        <v>1245</v>
      </c>
      <c r="I162" s="106" t="s">
        <v>1075</v>
      </c>
      <c r="J162" s="106"/>
      <c r="K162" s="106"/>
      <c r="L162" s="106"/>
      <c r="M162" s="106"/>
      <c r="N162" s="106"/>
      <c r="O162" s="113"/>
      <c r="P162" s="113"/>
      <c r="Q162" s="97"/>
      <c r="R162" s="97"/>
      <c r="S162" s="71">
        <f>R162-Q162</f>
        <v>0</v>
      </c>
      <c r="T162" s="72">
        <v>0</v>
      </c>
      <c r="U162" s="72">
        <v>0</v>
      </c>
      <c r="V162" s="72">
        <v>0</v>
      </c>
      <c r="W162" s="72">
        <v>0</v>
      </c>
      <c r="Z162" s="74">
        <v>0</v>
      </c>
      <c r="AA162" s="73">
        <v>0</v>
      </c>
      <c r="AB162" s="72">
        <v>1</v>
      </c>
      <c r="AC162" s="111"/>
      <c r="AE162" s="96">
        <v>0</v>
      </c>
      <c r="AF162" s="102">
        <v>0</v>
      </c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  <c r="DF162" s="94"/>
      <c r="DG162" s="94"/>
      <c r="DH162" s="94"/>
      <c r="DI162" s="94"/>
      <c r="DJ162" s="94"/>
      <c r="DK162" s="94"/>
      <c r="DL162" s="94"/>
      <c r="DM162" s="94"/>
      <c r="DN162" s="94"/>
      <c r="DO162" s="94"/>
      <c r="DP162" s="94"/>
      <c r="DQ162" s="94"/>
    </row>
    <row r="163" spans="1:121" ht="15" customHeight="1" outlineLevel="3" x14ac:dyDescent="0.3">
      <c r="A163" s="100"/>
      <c r="B163" s="100" t="s">
        <v>298</v>
      </c>
      <c r="C163" s="99">
        <v>4</v>
      </c>
      <c r="D163" s="98" t="s">
        <v>1244</v>
      </c>
      <c r="H163" s="77" t="s">
        <v>1243</v>
      </c>
      <c r="I163" s="106"/>
      <c r="J163" s="106"/>
      <c r="K163" s="106"/>
      <c r="L163" s="106"/>
      <c r="M163" s="106"/>
      <c r="N163" s="106"/>
      <c r="O163" s="113"/>
      <c r="P163" s="113"/>
      <c r="Q163" s="97">
        <v>45184</v>
      </c>
      <c r="R163" s="97">
        <v>45200</v>
      </c>
      <c r="T163" s="72">
        <v>17</v>
      </c>
      <c r="U163" s="72">
        <v>0</v>
      </c>
      <c r="V163" s="72">
        <v>17</v>
      </c>
      <c r="W163" s="72">
        <v>0</v>
      </c>
      <c r="Z163" s="74">
        <v>0</v>
      </c>
      <c r="AA163" s="73">
        <v>0</v>
      </c>
      <c r="AC163" s="111"/>
      <c r="AE163" s="96">
        <v>0</v>
      </c>
      <c r="AF163" s="101">
        <v>0</v>
      </c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 t="str">
        <f>"     " &amp; TEXT(AF163,"#0.00%") &amp; " " &amp; "1동 상온#2,3 Rack&amp;Deck" &amp; " " &amp; IF(Q163="","",TEXT(Q163,"M/D-")) &amp; IF(R163="","",TEXT(R163,"M/D")) &amp; " "</f>
        <v xml:space="preserve">     0.00% 1동 상온#2,3 Rack&amp;Deck 9/15-10/1 </v>
      </c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  <c r="DF163" s="94"/>
      <c r="DG163" s="94"/>
      <c r="DH163" s="94"/>
      <c r="DI163" s="94"/>
      <c r="DJ163" s="94"/>
      <c r="DK163" s="94"/>
      <c r="DL163" s="94"/>
      <c r="DM163" s="94"/>
      <c r="DN163" s="94"/>
      <c r="DO163" s="94"/>
      <c r="DP163" s="94"/>
      <c r="DQ163" s="94"/>
    </row>
    <row r="164" spans="1:121" ht="15" customHeight="1" outlineLevel="4" x14ac:dyDescent="0.3">
      <c r="A164" s="100"/>
      <c r="B164" s="100"/>
      <c r="C164" s="99">
        <v>5</v>
      </c>
      <c r="D164" s="98" t="s">
        <v>1242</v>
      </c>
      <c r="I164" s="106" t="s">
        <v>1083</v>
      </c>
      <c r="J164" s="106"/>
      <c r="K164" s="106"/>
      <c r="L164" s="106"/>
      <c r="M164" s="106"/>
      <c r="N164" s="106"/>
      <c r="O164" s="113"/>
      <c r="P164" s="113"/>
      <c r="Q164" s="97">
        <v>45184</v>
      </c>
      <c r="R164" s="97">
        <v>45193</v>
      </c>
      <c r="S164" s="71">
        <f>R164-Q164</f>
        <v>9</v>
      </c>
      <c r="T164" s="72">
        <v>10</v>
      </c>
      <c r="U164" s="72">
        <v>0</v>
      </c>
      <c r="V164" s="72">
        <v>10</v>
      </c>
      <c r="W164" s="72">
        <v>0</v>
      </c>
      <c r="AA164" s="73">
        <v>0</v>
      </c>
      <c r="AB164" s="72">
        <v>1</v>
      </c>
      <c r="AC164" s="111"/>
      <c r="AE164" s="96">
        <v>0</v>
      </c>
      <c r="AF164" s="95">
        <v>0</v>
      </c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 t="str">
        <f>"     " &amp; TEXT(AF164,"#0.00%") &amp; " " &amp; "Unit 포장" &amp; " " &amp; IF(Q164="","",TEXT(Q164,"M/D-")) &amp; IF(R164="","",TEXT(R164,"M/D")) &amp; " "</f>
        <v xml:space="preserve">     0.00% Unit 포장 9/15-9/24 </v>
      </c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  <c r="DF164" s="94"/>
      <c r="DG164" s="94"/>
      <c r="DH164" s="94"/>
      <c r="DI164" s="94"/>
      <c r="DJ164" s="94"/>
      <c r="DK164" s="94"/>
      <c r="DL164" s="94"/>
      <c r="DM164" s="94"/>
      <c r="DN164" s="94"/>
      <c r="DO164" s="94"/>
      <c r="DP164" s="94"/>
      <c r="DQ164" s="94"/>
    </row>
    <row r="165" spans="1:121" ht="15" customHeight="1" outlineLevel="4" x14ac:dyDescent="0.3">
      <c r="A165" s="100"/>
      <c r="B165" s="100"/>
      <c r="C165" s="99">
        <v>5</v>
      </c>
      <c r="D165" s="98" t="s">
        <v>1241</v>
      </c>
      <c r="I165" s="106" t="s">
        <v>1081</v>
      </c>
      <c r="J165" s="106"/>
      <c r="K165" s="106"/>
      <c r="L165" s="106"/>
      <c r="M165" s="106"/>
      <c r="N165" s="106"/>
      <c r="O165" s="113"/>
      <c r="P165" s="113"/>
      <c r="Q165" s="97">
        <v>45194</v>
      </c>
      <c r="R165" s="97">
        <v>45199</v>
      </c>
      <c r="S165" s="71">
        <f>R165-Q165</f>
        <v>5</v>
      </c>
      <c r="T165" s="72">
        <v>6</v>
      </c>
      <c r="U165" s="72">
        <v>0</v>
      </c>
      <c r="V165" s="72">
        <v>6</v>
      </c>
      <c r="W165" s="72">
        <v>0</v>
      </c>
      <c r="AA165" s="73">
        <v>0</v>
      </c>
      <c r="AB165" s="72">
        <v>1</v>
      </c>
      <c r="AC165" s="111"/>
      <c r="AE165" s="96">
        <v>0</v>
      </c>
      <c r="AF165" s="95">
        <v>0</v>
      </c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 t="str">
        <f>" " &amp; TEXT(AF165,"#0.00%") &amp; " " &amp; "Unit 운송" &amp; " " &amp; IF(Q165="","",TEXT(Q165,"M/D-")) &amp; IF(R165="","",TEXT(R165,"M/D")) &amp; " "</f>
        <v xml:space="preserve"> 0.00% Unit 운송 9/25-9/30 </v>
      </c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  <c r="CW165" s="94"/>
      <c r="CX165" s="94"/>
      <c r="CY165" s="94"/>
      <c r="CZ165" s="94"/>
      <c r="DA165" s="94"/>
      <c r="DB165" s="94"/>
      <c r="DC165" s="94"/>
      <c r="DD165" s="94"/>
      <c r="DE165" s="94"/>
      <c r="DF165" s="94"/>
      <c r="DG165" s="94"/>
      <c r="DH165" s="94"/>
      <c r="DI165" s="94"/>
      <c r="DJ165" s="94"/>
      <c r="DK165" s="94"/>
      <c r="DL165" s="94"/>
      <c r="DM165" s="94"/>
      <c r="DN165" s="94"/>
      <c r="DO165" s="94"/>
      <c r="DP165" s="94"/>
      <c r="DQ165" s="94"/>
    </row>
    <row r="166" spans="1:121" ht="15" customHeight="1" outlineLevel="4" x14ac:dyDescent="0.3">
      <c r="A166" s="100"/>
      <c r="B166" s="100"/>
      <c r="C166" s="99">
        <v>5</v>
      </c>
      <c r="D166" s="98" t="s">
        <v>1240</v>
      </c>
      <c r="I166" s="106" t="s">
        <v>230</v>
      </c>
      <c r="J166" s="106"/>
      <c r="K166" s="106"/>
      <c r="L166" s="106"/>
      <c r="M166" s="106"/>
      <c r="N166" s="106"/>
      <c r="O166" s="113"/>
      <c r="P166" s="113"/>
      <c r="Q166" s="97">
        <v>45200</v>
      </c>
      <c r="R166" s="97">
        <v>45200</v>
      </c>
      <c r="S166" s="71">
        <f>R166-Q166+1</f>
        <v>1</v>
      </c>
      <c r="T166" s="72">
        <v>1</v>
      </c>
      <c r="U166" s="72">
        <v>0</v>
      </c>
      <c r="V166" s="72">
        <v>1</v>
      </c>
      <c r="W166" s="72">
        <v>0</v>
      </c>
      <c r="AA166" s="73">
        <v>0</v>
      </c>
      <c r="AB166" s="72">
        <v>1</v>
      </c>
      <c r="AC166" s="111"/>
      <c r="AE166" s="96">
        <v>0</v>
      </c>
      <c r="AF166" s="95">
        <v>0</v>
      </c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 t="str">
        <f>"" &amp; TEXT(AF166,"#0.00%") &amp; " " &amp; "FOB" &amp; " " &amp; IF(Q166="","",TEXT(Q166,"M/D-")) &amp; IF(R166="","",TEXT(R166,"M/D")) &amp; " "</f>
        <v xml:space="preserve">0.00% FOB 10/1-10/1 </v>
      </c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  <c r="CW166" s="94"/>
      <c r="CX166" s="94"/>
      <c r="CY166" s="94"/>
      <c r="CZ166" s="94"/>
      <c r="DA166" s="94"/>
      <c r="DB166" s="94"/>
      <c r="DC166" s="94"/>
      <c r="DD166" s="94"/>
      <c r="DE166" s="94"/>
      <c r="DF166" s="94"/>
      <c r="DG166" s="94"/>
      <c r="DH166" s="94"/>
      <c r="DI166" s="94"/>
      <c r="DJ166" s="94"/>
      <c r="DK166" s="94"/>
      <c r="DL166" s="94"/>
      <c r="DM166" s="94"/>
      <c r="DN166" s="94"/>
      <c r="DO166" s="94"/>
      <c r="DP166" s="94"/>
      <c r="DQ166" s="94"/>
    </row>
    <row r="167" spans="1:121" ht="15" customHeight="1" outlineLevel="4" x14ac:dyDescent="0.3">
      <c r="A167" s="100"/>
      <c r="B167" s="100"/>
      <c r="C167" s="99">
        <v>5</v>
      </c>
      <c r="D167" s="98" t="s">
        <v>1239</v>
      </c>
      <c r="I167" s="106" t="s">
        <v>1077</v>
      </c>
      <c r="J167" s="106"/>
      <c r="K167" s="106"/>
      <c r="L167" s="106"/>
      <c r="M167" s="106"/>
      <c r="N167" s="106"/>
      <c r="O167" s="113"/>
      <c r="P167" s="113"/>
      <c r="Q167" s="97"/>
      <c r="R167" s="97"/>
      <c r="S167" s="71">
        <f>R167-Q167</f>
        <v>0</v>
      </c>
      <c r="T167" s="72">
        <v>0</v>
      </c>
      <c r="U167" s="72">
        <v>0</v>
      </c>
      <c r="V167" s="72">
        <v>0</v>
      </c>
      <c r="W167" s="72">
        <v>0</v>
      </c>
      <c r="Z167" s="74">
        <v>0</v>
      </c>
      <c r="AA167" s="73">
        <v>0</v>
      </c>
      <c r="AB167" s="72">
        <v>1</v>
      </c>
      <c r="AC167" s="111"/>
      <c r="AE167" s="96">
        <v>0</v>
      </c>
      <c r="AF167" s="102">
        <v>0</v>
      </c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</row>
    <row r="168" spans="1:121" ht="15" customHeight="1" outlineLevel="4" x14ac:dyDescent="0.3">
      <c r="A168" s="100"/>
      <c r="B168" s="100"/>
      <c r="C168" s="99">
        <v>5</v>
      </c>
      <c r="D168" s="98" t="s">
        <v>1238</v>
      </c>
      <c r="I168" s="106" t="s">
        <v>1075</v>
      </c>
      <c r="J168" s="106"/>
      <c r="K168" s="106"/>
      <c r="L168" s="106"/>
      <c r="M168" s="106"/>
      <c r="N168" s="106"/>
      <c r="O168" s="113"/>
      <c r="P168" s="113"/>
      <c r="Q168" s="97"/>
      <c r="R168" s="97"/>
      <c r="S168" s="71">
        <f>R168-Q168</f>
        <v>0</v>
      </c>
      <c r="T168" s="72">
        <v>0</v>
      </c>
      <c r="U168" s="72">
        <v>0</v>
      </c>
      <c r="V168" s="72">
        <v>0</v>
      </c>
      <c r="W168" s="72">
        <v>0</v>
      </c>
      <c r="Z168" s="74">
        <v>0</v>
      </c>
      <c r="AA168" s="73">
        <v>0</v>
      </c>
      <c r="AB168" s="72">
        <v>1</v>
      </c>
      <c r="AC168" s="111"/>
      <c r="AE168" s="96">
        <v>0</v>
      </c>
      <c r="AF168" s="102">
        <v>0</v>
      </c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  <c r="DD168" s="94"/>
      <c r="DE168" s="94"/>
      <c r="DF168" s="94"/>
      <c r="DG168" s="94"/>
      <c r="DH168" s="94"/>
      <c r="DI168" s="94"/>
      <c r="DJ168" s="94"/>
      <c r="DK168" s="94"/>
      <c r="DL168" s="94"/>
      <c r="DM168" s="94"/>
      <c r="DN168" s="94"/>
      <c r="DO168" s="94"/>
      <c r="DP168" s="94"/>
      <c r="DQ168" s="94"/>
    </row>
    <row r="169" spans="1:121" ht="15" customHeight="1" outlineLevel="3" x14ac:dyDescent="0.3">
      <c r="A169" s="100"/>
      <c r="B169" s="100" t="s">
        <v>298</v>
      </c>
      <c r="C169" s="99">
        <v>4</v>
      </c>
      <c r="D169" s="98" t="s">
        <v>1237</v>
      </c>
      <c r="H169" s="77" t="s">
        <v>1236</v>
      </c>
      <c r="I169" s="106"/>
      <c r="J169" s="106"/>
      <c r="K169" s="106"/>
      <c r="L169" s="106"/>
      <c r="M169" s="106"/>
      <c r="N169" s="106"/>
      <c r="O169" s="113"/>
      <c r="P169" s="113"/>
      <c r="Q169" s="97">
        <v>45209</v>
      </c>
      <c r="R169" s="97">
        <v>45226</v>
      </c>
      <c r="T169" s="72">
        <v>17</v>
      </c>
      <c r="U169" s="72">
        <v>0</v>
      </c>
      <c r="V169" s="72">
        <v>18</v>
      </c>
      <c r="W169" s="72">
        <v>0</v>
      </c>
      <c r="Z169" s="74">
        <v>0</v>
      </c>
      <c r="AA169" s="73">
        <v>0</v>
      </c>
      <c r="AC169" s="111"/>
      <c r="AE169" s="96">
        <v>0</v>
      </c>
      <c r="AF169" s="101">
        <v>0</v>
      </c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 t="str">
        <f>"  " &amp; TEXT(AF169,"#0.00%") &amp; " " &amp; "1동 고온#1 Rack&amp;Deck" &amp; " " &amp; IF(Q169="","",TEXT(Q169,"M/D-")) &amp; IF(R169="","",TEXT(R169,"M/D")) &amp; " "</f>
        <v xml:space="preserve">  0.00% 1동 고온#1 Rack&amp;Deck 10/10-10/27 </v>
      </c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  <c r="DA169" s="94"/>
      <c r="DB169" s="94"/>
      <c r="DC169" s="94"/>
      <c r="DD169" s="94"/>
      <c r="DE169" s="94"/>
      <c r="DF169" s="94"/>
      <c r="DG169" s="94"/>
      <c r="DH169" s="94"/>
      <c r="DI169" s="94"/>
      <c r="DJ169" s="94"/>
      <c r="DK169" s="94"/>
      <c r="DL169" s="94"/>
      <c r="DM169" s="94"/>
      <c r="DN169" s="94"/>
      <c r="DO169" s="94"/>
      <c r="DP169" s="94"/>
      <c r="DQ169" s="94"/>
    </row>
    <row r="170" spans="1:121" ht="15" customHeight="1" outlineLevel="4" x14ac:dyDescent="0.3">
      <c r="A170" s="100"/>
      <c r="B170" s="100"/>
      <c r="C170" s="99">
        <v>5</v>
      </c>
      <c r="D170" s="98" t="s">
        <v>1235</v>
      </c>
      <c r="I170" s="106" t="s">
        <v>1083</v>
      </c>
      <c r="J170" s="106"/>
      <c r="K170" s="106"/>
      <c r="L170" s="106"/>
      <c r="M170" s="106"/>
      <c r="N170" s="106"/>
      <c r="O170" s="113"/>
      <c r="P170" s="113"/>
      <c r="Q170" s="97">
        <v>45209</v>
      </c>
      <c r="R170" s="97">
        <v>45218</v>
      </c>
      <c r="S170" s="71">
        <f>R170-Q170</f>
        <v>9</v>
      </c>
      <c r="T170" s="72">
        <v>10</v>
      </c>
      <c r="U170" s="72">
        <v>0</v>
      </c>
      <c r="V170" s="72">
        <v>10</v>
      </c>
      <c r="W170" s="72">
        <v>0</v>
      </c>
      <c r="AA170" s="73">
        <v>0</v>
      </c>
      <c r="AB170" s="72">
        <v>1</v>
      </c>
      <c r="AC170" s="111"/>
      <c r="AE170" s="96">
        <v>0</v>
      </c>
      <c r="AF170" s="95">
        <v>0</v>
      </c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 t="str">
        <f>"  " &amp; TEXT(AF170,"#0.00%") &amp; " " &amp; "Unit 포장" &amp; " " &amp; IF(Q170="","",TEXT(Q170,"M/D-")) &amp; IF(R170="","",TEXT(R170,"M/D")) &amp; " "</f>
        <v xml:space="preserve">  0.00% Unit 포장 10/10-10/19 </v>
      </c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  <c r="DA170" s="94"/>
      <c r="DB170" s="94"/>
      <c r="DC170" s="94"/>
      <c r="DD170" s="94"/>
      <c r="DE170" s="94"/>
      <c r="DF170" s="94"/>
      <c r="DG170" s="94"/>
      <c r="DH170" s="94"/>
      <c r="DI170" s="94"/>
      <c r="DJ170" s="94"/>
      <c r="DK170" s="94"/>
      <c r="DL170" s="94"/>
      <c r="DM170" s="94"/>
      <c r="DN170" s="94"/>
      <c r="DO170" s="94"/>
      <c r="DP170" s="94"/>
      <c r="DQ170" s="94"/>
    </row>
    <row r="171" spans="1:121" ht="15" customHeight="1" outlineLevel="4" x14ac:dyDescent="0.3">
      <c r="A171" s="100"/>
      <c r="B171" s="100"/>
      <c r="C171" s="99">
        <v>5</v>
      </c>
      <c r="D171" s="98" t="s">
        <v>1234</v>
      </c>
      <c r="I171" s="106" t="s">
        <v>1081</v>
      </c>
      <c r="J171" s="106"/>
      <c r="K171" s="106"/>
      <c r="L171" s="106"/>
      <c r="M171" s="106"/>
      <c r="N171" s="106"/>
      <c r="O171" s="113"/>
      <c r="P171" s="113"/>
      <c r="Q171" s="97">
        <v>45219</v>
      </c>
      <c r="R171" s="97">
        <v>45224</v>
      </c>
      <c r="S171" s="71">
        <f>R171-Q171</f>
        <v>5</v>
      </c>
      <c r="T171" s="72">
        <v>6</v>
      </c>
      <c r="U171" s="72">
        <v>0</v>
      </c>
      <c r="V171" s="72">
        <v>6</v>
      </c>
      <c r="W171" s="72">
        <v>0</v>
      </c>
      <c r="AA171" s="73">
        <v>0</v>
      </c>
      <c r="AB171" s="72">
        <v>1</v>
      </c>
      <c r="AC171" s="111"/>
      <c r="AE171" s="96">
        <v>0</v>
      </c>
      <c r="AF171" s="95">
        <v>0</v>
      </c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 t="str">
        <f>"     " &amp; TEXT(AF171,"#0.00%") &amp; " " &amp; "Unit 운송" &amp; " " &amp; IF(Q171="","",TEXT(Q171,"M/D-")) &amp; IF(R171="","",TEXT(R171,"M/D")) &amp; " "</f>
        <v xml:space="preserve">     0.00% Unit 운송 10/20-10/25 </v>
      </c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  <c r="DA171" s="94"/>
      <c r="DB171" s="94"/>
      <c r="DC171" s="94"/>
      <c r="DD171" s="94"/>
      <c r="DE171" s="94"/>
      <c r="DF171" s="94"/>
      <c r="DG171" s="94"/>
      <c r="DH171" s="94"/>
      <c r="DI171" s="94"/>
      <c r="DJ171" s="94"/>
      <c r="DK171" s="94"/>
      <c r="DL171" s="94"/>
      <c r="DM171" s="94"/>
      <c r="DN171" s="94"/>
      <c r="DO171" s="94"/>
      <c r="DP171" s="94"/>
      <c r="DQ171" s="94"/>
    </row>
    <row r="172" spans="1:121" ht="15" customHeight="1" outlineLevel="4" x14ac:dyDescent="0.3">
      <c r="A172" s="100"/>
      <c r="B172" s="100"/>
      <c r="C172" s="99">
        <v>5</v>
      </c>
      <c r="D172" s="98" t="s">
        <v>1233</v>
      </c>
      <c r="I172" s="106" t="s">
        <v>230</v>
      </c>
      <c r="J172" s="106"/>
      <c r="K172" s="106"/>
      <c r="L172" s="106"/>
      <c r="M172" s="106"/>
      <c r="N172" s="106"/>
      <c r="O172" s="113"/>
      <c r="P172" s="113"/>
      <c r="Q172" s="97">
        <v>45226</v>
      </c>
      <c r="R172" s="97">
        <v>45226</v>
      </c>
      <c r="S172" s="71">
        <f>R172-Q172+1</f>
        <v>1</v>
      </c>
      <c r="T172" s="72">
        <v>1</v>
      </c>
      <c r="U172" s="72">
        <v>0</v>
      </c>
      <c r="V172" s="72">
        <v>1</v>
      </c>
      <c r="W172" s="72">
        <v>0</v>
      </c>
      <c r="AA172" s="73">
        <v>0</v>
      </c>
      <c r="AB172" s="72">
        <v>1</v>
      </c>
      <c r="AC172" s="111"/>
      <c r="AE172" s="96">
        <v>0</v>
      </c>
      <c r="AF172" s="95">
        <v>0</v>
      </c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 t="str">
        <f>"     " &amp; TEXT(AF172,"#0.00%") &amp; " " &amp; "FOB" &amp; " " &amp; IF(Q172="","",TEXT(Q172,"M/D-")) &amp; IF(R172="","",TEXT(R172,"M/D")) &amp; " "</f>
        <v xml:space="preserve">     0.00% FOB 10/27-10/27 </v>
      </c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  <c r="DA172" s="94"/>
      <c r="DB172" s="94"/>
      <c r="DC172" s="94"/>
      <c r="DD172" s="94"/>
      <c r="DE172" s="94"/>
      <c r="DF172" s="94"/>
      <c r="DG172" s="94"/>
      <c r="DH172" s="94"/>
      <c r="DI172" s="94"/>
      <c r="DJ172" s="94"/>
      <c r="DK172" s="94"/>
      <c r="DL172" s="94"/>
      <c r="DM172" s="94"/>
      <c r="DN172" s="94"/>
      <c r="DO172" s="94"/>
      <c r="DP172" s="94"/>
      <c r="DQ172" s="94"/>
    </row>
    <row r="173" spans="1:121" ht="15" customHeight="1" outlineLevel="4" x14ac:dyDescent="0.3">
      <c r="A173" s="100"/>
      <c r="B173" s="100"/>
      <c r="C173" s="99">
        <v>5</v>
      </c>
      <c r="D173" s="98" t="s">
        <v>1232</v>
      </c>
      <c r="I173" s="106" t="s">
        <v>1077</v>
      </c>
      <c r="J173" s="106"/>
      <c r="K173" s="106"/>
      <c r="L173" s="106"/>
      <c r="M173" s="106"/>
      <c r="N173" s="106"/>
      <c r="O173" s="113"/>
      <c r="P173" s="113"/>
      <c r="Q173" s="97"/>
      <c r="R173" s="97"/>
      <c r="S173" s="71">
        <f>R173-Q173</f>
        <v>0</v>
      </c>
      <c r="T173" s="72">
        <v>0</v>
      </c>
      <c r="U173" s="72">
        <v>0</v>
      </c>
      <c r="V173" s="72">
        <v>0</v>
      </c>
      <c r="W173" s="72">
        <v>0</v>
      </c>
      <c r="Z173" s="74">
        <v>0</v>
      </c>
      <c r="AA173" s="73">
        <v>0</v>
      </c>
      <c r="AB173" s="72">
        <v>1</v>
      </c>
      <c r="AC173" s="111"/>
      <c r="AE173" s="96">
        <v>0</v>
      </c>
      <c r="AF173" s="102">
        <v>0</v>
      </c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  <c r="DA173" s="94"/>
      <c r="DB173" s="94"/>
      <c r="DC173" s="94"/>
      <c r="DD173" s="94"/>
      <c r="DE173" s="94"/>
      <c r="DF173" s="94"/>
      <c r="DG173" s="94"/>
      <c r="DH173" s="94"/>
      <c r="DI173" s="94"/>
      <c r="DJ173" s="94"/>
      <c r="DK173" s="94"/>
      <c r="DL173" s="94"/>
      <c r="DM173" s="94"/>
      <c r="DN173" s="94"/>
      <c r="DO173" s="94"/>
      <c r="DP173" s="94"/>
      <c r="DQ173" s="94"/>
    </row>
    <row r="174" spans="1:121" ht="15" customHeight="1" outlineLevel="4" x14ac:dyDescent="0.3">
      <c r="A174" s="100"/>
      <c r="B174" s="100"/>
      <c r="C174" s="99">
        <v>5</v>
      </c>
      <c r="D174" s="98" t="s">
        <v>1231</v>
      </c>
      <c r="I174" s="106" t="s">
        <v>1075</v>
      </c>
      <c r="J174" s="106"/>
      <c r="K174" s="106"/>
      <c r="L174" s="106"/>
      <c r="M174" s="106"/>
      <c r="N174" s="106"/>
      <c r="O174" s="113"/>
      <c r="P174" s="113"/>
      <c r="Q174" s="97"/>
      <c r="R174" s="97"/>
      <c r="S174" s="71">
        <f>R174-Q174</f>
        <v>0</v>
      </c>
      <c r="T174" s="72">
        <v>0</v>
      </c>
      <c r="U174" s="72">
        <v>0</v>
      </c>
      <c r="V174" s="72">
        <v>0</v>
      </c>
      <c r="W174" s="72">
        <v>0</v>
      </c>
      <c r="Z174" s="74">
        <v>0</v>
      </c>
      <c r="AA174" s="73">
        <v>0</v>
      </c>
      <c r="AB174" s="72">
        <v>1</v>
      </c>
      <c r="AC174" s="111"/>
      <c r="AE174" s="96">
        <v>0</v>
      </c>
      <c r="AF174" s="102">
        <v>0</v>
      </c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  <c r="DA174" s="94"/>
      <c r="DB174" s="94"/>
      <c r="DC174" s="94"/>
      <c r="DD174" s="94"/>
      <c r="DE174" s="94"/>
      <c r="DF174" s="94"/>
      <c r="DG174" s="94"/>
      <c r="DH174" s="94"/>
      <c r="DI174" s="94"/>
      <c r="DJ174" s="94"/>
      <c r="DK174" s="94"/>
      <c r="DL174" s="94"/>
      <c r="DM174" s="94"/>
      <c r="DN174" s="94"/>
      <c r="DO174" s="94"/>
      <c r="DP174" s="94"/>
      <c r="DQ174" s="94"/>
    </row>
    <row r="175" spans="1:121" ht="15" customHeight="1" outlineLevel="3" x14ac:dyDescent="0.3">
      <c r="A175" s="100"/>
      <c r="B175" s="100" t="s">
        <v>298</v>
      </c>
      <c r="C175" s="99">
        <v>4</v>
      </c>
      <c r="D175" s="98" t="s">
        <v>1230</v>
      </c>
      <c r="H175" s="77" t="s">
        <v>1229</v>
      </c>
      <c r="I175" s="106"/>
      <c r="J175" s="106"/>
      <c r="K175" s="106"/>
      <c r="L175" s="106"/>
      <c r="M175" s="106"/>
      <c r="N175" s="106"/>
      <c r="O175" s="113"/>
      <c r="P175" s="113"/>
      <c r="Q175" s="97">
        <v>45209</v>
      </c>
      <c r="R175" s="97">
        <v>45226</v>
      </c>
      <c r="T175" s="72">
        <v>17</v>
      </c>
      <c r="U175" s="72">
        <v>0</v>
      </c>
      <c r="V175" s="72">
        <v>18</v>
      </c>
      <c r="W175" s="72">
        <v>0</v>
      </c>
      <c r="Z175" s="74">
        <v>0</v>
      </c>
      <c r="AA175" s="73">
        <v>0</v>
      </c>
      <c r="AC175" s="111"/>
      <c r="AE175" s="96">
        <v>0</v>
      </c>
      <c r="AF175" s="101">
        <v>0</v>
      </c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 t="str">
        <f>"  " &amp; TEXT(AF175,"#0.00%") &amp; " " &amp; "1동 고온#2 Rack&amp;Deck" &amp; " " &amp; IF(Q175="","",TEXT(Q175,"M/D-")) &amp; IF(R175="","",TEXT(R175,"M/D")) &amp; " "</f>
        <v xml:space="preserve">  0.00% 1동 고온#2 Rack&amp;Deck 10/10-10/27 </v>
      </c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  <c r="DA175" s="94"/>
      <c r="DB175" s="94"/>
      <c r="DC175" s="94"/>
      <c r="DD175" s="94"/>
      <c r="DE175" s="94"/>
      <c r="DF175" s="94"/>
      <c r="DG175" s="94"/>
      <c r="DH175" s="94"/>
      <c r="DI175" s="94"/>
      <c r="DJ175" s="94"/>
      <c r="DK175" s="94"/>
      <c r="DL175" s="94"/>
      <c r="DM175" s="94"/>
      <c r="DN175" s="94"/>
      <c r="DO175" s="94"/>
      <c r="DP175" s="94"/>
      <c r="DQ175" s="94"/>
    </row>
    <row r="176" spans="1:121" ht="15" customHeight="1" outlineLevel="4" x14ac:dyDescent="0.3">
      <c r="A176" s="100"/>
      <c r="B176" s="100"/>
      <c r="C176" s="99">
        <v>5</v>
      </c>
      <c r="D176" s="98" t="s">
        <v>1228</v>
      </c>
      <c r="I176" s="106" t="s">
        <v>1083</v>
      </c>
      <c r="J176" s="106"/>
      <c r="K176" s="106"/>
      <c r="L176" s="106"/>
      <c r="M176" s="106"/>
      <c r="N176" s="106"/>
      <c r="O176" s="113"/>
      <c r="P176" s="113"/>
      <c r="Q176" s="97">
        <v>45209</v>
      </c>
      <c r="R176" s="97">
        <v>45218</v>
      </c>
      <c r="S176" s="71">
        <f>R176-Q176</f>
        <v>9</v>
      </c>
      <c r="T176" s="72">
        <v>10</v>
      </c>
      <c r="U176" s="72">
        <v>0</v>
      </c>
      <c r="V176" s="72">
        <v>10</v>
      </c>
      <c r="W176" s="72">
        <v>0</v>
      </c>
      <c r="AA176" s="73">
        <v>0</v>
      </c>
      <c r="AB176" s="72">
        <v>1</v>
      </c>
      <c r="AC176" s="111"/>
      <c r="AE176" s="96">
        <v>0</v>
      </c>
      <c r="AF176" s="95">
        <v>0</v>
      </c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 t="str">
        <f>"  " &amp; TEXT(AF176,"#0.00%") &amp; " " &amp; "Unit 포장" &amp; " " &amp; IF(Q176="","",TEXT(Q176,"M/D-")) &amp; IF(R176="","",TEXT(R176,"M/D")) &amp; " "</f>
        <v xml:space="preserve">  0.00% Unit 포장 10/10-10/19 </v>
      </c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</row>
    <row r="177" spans="1:121" ht="15" customHeight="1" outlineLevel="4" x14ac:dyDescent="0.3">
      <c r="A177" s="100"/>
      <c r="B177" s="100"/>
      <c r="C177" s="99">
        <v>5</v>
      </c>
      <c r="D177" s="98" t="s">
        <v>1227</v>
      </c>
      <c r="I177" s="106" t="s">
        <v>1081</v>
      </c>
      <c r="J177" s="106"/>
      <c r="K177" s="106"/>
      <c r="L177" s="106"/>
      <c r="M177" s="106"/>
      <c r="N177" s="106"/>
      <c r="O177" s="113"/>
      <c r="P177" s="113"/>
      <c r="Q177" s="97">
        <v>45219</v>
      </c>
      <c r="R177" s="97">
        <v>45224</v>
      </c>
      <c r="S177" s="71">
        <f>R177-Q177</f>
        <v>5</v>
      </c>
      <c r="T177" s="72">
        <v>6</v>
      </c>
      <c r="U177" s="72">
        <v>0</v>
      </c>
      <c r="V177" s="72">
        <v>6</v>
      </c>
      <c r="W177" s="72">
        <v>0</v>
      </c>
      <c r="AA177" s="73">
        <v>0</v>
      </c>
      <c r="AB177" s="72">
        <v>1</v>
      </c>
      <c r="AC177" s="111"/>
      <c r="AE177" s="96">
        <v>0</v>
      </c>
      <c r="AF177" s="95">
        <v>0</v>
      </c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 t="str">
        <f>"     " &amp; TEXT(AF177,"#0.00%") &amp; " " &amp; "Unit 운송" &amp; " " &amp; IF(Q177="","",TEXT(Q177,"M/D-")) &amp; IF(R177="","",TEXT(R177,"M/D")) &amp; " "</f>
        <v xml:space="preserve">     0.00% Unit 운송 10/20-10/25 </v>
      </c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  <c r="CW177" s="94"/>
      <c r="CX177" s="94"/>
      <c r="CY177" s="94"/>
      <c r="CZ177" s="94"/>
      <c r="DA177" s="94"/>
      <c r="DB177" s="94"/>
      <c r="DC177" s="94"/>
      <c r="DD177" s="94"/>
      <c r="DE177" s="94"/>
      <c r="DF177" s="94"/>
      <c r="DG177" s="94"/>
      <c r="DH177" s="94"/>
      <c r="DI177" s="94"/>
      <c r="DJ177" s="94"/>
      <c r="DK177" s="94"/>
      <c r="DL177" s="94"/>
      <c r="DM177" s="94"/>
      <c r="DN177" s="94"/>
      <c r="DO177" s="94"/>
      <c r="DP177" s="94"/>
      <c r="DQ177" s="94"/>
    </row>
    <row r="178" spans="1:121" ht="15" customHeight="1" outlineLevel="4" x14ac:dyDescent="0.3">
      <c r="A178" s="100"/>
      <c r="B178" s="100"/>
      <c r="C178" s="99">
        <v>5</v>
      </c>
      <c r="D178" s="98" t="s">
        <v>1226</v>
      </c>
      <c r="I178" s="106" t="s">
        <v>230</v>
      </c>
      <c r="J178" s="106"/>
      <c r="K178" s="106"/>
      <c r="L178" s="106"/>
      <c r="M178" s="106"/>
      <c r="N178" s="106"/>
      <c r="O178" s="113"/>
      <c r="P178" s="113"/>
      <c r="Q178" s="97">
        <v>45226</v>
      </c>
      <c r="R178" s="97">
        <v>45226</v>
      </c>
      <c r="S178" s="71">
        <f>R178-Q178+1</f>
        <v>1</v>
      </c>
      <c r="T178" s="72">
        <v>1</v>
      </c>
      <c r="U178" s="72">
        <v>0</v>
      </c>
      <c r="V178" s="72">
        <v>1</v>
      </c>
      <c r="W178" s="72">
        <v>0</v>
      </c>
      <c r="AA178" s="73">
        <v>0</v>
      </c>
      <c r="AB178" s="72">
        <v>1</v>
      </c>
      <c r="AC178" s="111"/>
      <c r="AE178" s="96">
        <v>0</v>
      </c>
      <c r="AF178" s="95">
        <v>0</v>
      </c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 t="str">
        <f>"     " &amp; TEXT(AF178,"#0.00%") &amp; " " &amp; "FOB" &amp; " " &amp; IF(Q178="","",TEXT(Q178,"M/D-")) &amp; IF(R178="","",TEXT(R178,"M/D")) &amp; " "</f>
        <v xml:space="preserve">     0.00% FOB 10/27-10/27 </v>
      </c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  <c r="DA178" s="94"/>
      <c r="DB178" s="94"/>
      <c r="DC178" s="94"/>
      <c r="DD178" s="94"/>
      <c r="DE178" s="94"/>
      <c r="DF178" s="94"/>
      <c r="DG178" s="94"/>
      <c r="DH178" s="94"/>
      <c r="DI178" s="94"/>
      <c r="DJ178" s="94"/>
      <c r="DK178" s="94"/>
      <c r="DL178" s="94"/>
      <c r="DM178" s="94"/>
      <c r="DN178" s="94"/>
      <c r="DO178" s="94"/>
      <c r="DP178" s="94"/>
      <c r="DQ178" s="94"/>
    </row>
    <row r="179" spans="1:121" ht="15" customHeight="1" outlineLevel="4" x14ac:dyDescent="0.3">
      <c r="A179" s="100"/>
      <c r="B179" s="100"/>
      <c r="C179" s="99">
        <v>5</v>
      </c>
      <c r="D179" s="98" t="s">
        <v>1225</v>
      </c>
      <c r="I179" s="106" t="s">
        <v>1077</v>
      </c>
      <c r="J179" s="106"/>
      <c r="K179" s="106"/>
      <c r="L179" s="106"/>
      <c r="M179" s="106"/>
      <c r="N179" s="106"/>
      <c r="O179" s="113"/>
      <c r="P179" s="113"/>
      <c r="Q179" s="97"/>
      <c r="R179" s="97"/>
      <c r="S179" s="71">
        <f>R179-Q179</f>
        <v>0</v>
      </c>
      <c r="T179" s="72">
        <v>0</v>
      </c>
      <c r="U179" s="72">
        <v>0</v>
      </c>
      <c r="V179" s="72">
        <v>0</v>
      </c>
      <c r="W179" s="72">
        <v>0</v>
      </c>
      <c r="Z179" s="74">
        <v>0</v>
      </c>
      <c r="AA179" s="73">
        <v>0</v>
      </c>
      <c r="AB179" s="72">
        <v>1</v>
      </c>
      <c r="AC179" s="111"/>
      <c r="AE179" s="96">
        <v>0</v>
      </c>
      <c r="AF179" s="102">
        <v>0</v>
      </c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  <c r="DB179" s="94"/>
      <c r="DC179" s="94"/>
      <c r="DD179" s="94"/>
      <c r="DE179" s="94"/>
      <c r="DF179" s="94"/>
      <c r="DG179" s="94"/>
      <c r="DH179" s="94"/>
      <c r="DI179" s="94"/>
      <c r="DJ179" s="94"/>
      <c r="DK179" s="94"/>
      <c r="DL179" s="94"/>
      <c r="DM179" s="94"/>
      <c r="DN179" s="94"/>
      <c r="DO179" s="94"/>
      <c r="DP179" s="94"/>
      <c r="DQ179" s="94"/>
    </row>
    <row r="180" spans="1:121" ht="15" customHeight="1" outlineLevel="4" x14ac:dyDescent="0.3">
      <c r="A180" s="100"/>
      <c r="B180" s="100"/>
      <c r="C180" s="99">
        <v>5</v>
      </c>
      <c r="D180" s="98" t="s">
        <v>1224</v>
      </c>
      <c r="I180" s="106" t="s">
        <v>1075</v>
      </c>
      <c r="J180" s="106"/>
      <c r="K180" s="106"/>
      <c r="L180" s="106"/>
      <c r="M180" s="106"/>
      <c r="N180" s="106"/>
      <c r="O180" s="113"/>
      <c r="P180" s="113"/>
      <c r="Q180" s="97"/>
      <c r="R180" s="97"/>
      <c r="S180" s="71">
        <f>R180-Q180</f>
        <v>0</v>
      </c>
      <c r="T180" s="72">
        <v>0</v>
      </c>
      <c r="U180" s="72">
        <v>0</v>
      </c>
      <c r="V180" s="72">
        <v>0</v>
      </c>
      <c r="W180" s="72">
        <v>0</v>
      </c>
      <c r="Z180" s="74">
        <v>0</v>
      </c>
      <c r="AA180" s="73">
        <v>0</v>
      </c>
      <c r="AB180" s="72">
        <v>1</v>
      </c>
      <c r="AC180" s="111"/>
      <c r="AE180" s="96">
        <v>0</v>
      </c>
      <c r="AF180" s="102">
        <v>0</v>
      </c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  <c r="DA180" s="94"/>
      <c r="DB180" s="94"/>
      <c r="DC180" s="94"/>
      <c r="DD180" s="94"/>
      <c r="DE180" s="94"/>
      <c r="DF180" s="94"/>
      <c r="DG180" s="94"/>
      <c r="DH180" s="94"/>
      <c r="DI180" s="94"/>
      <c r="DJ180" s="94"/>
      <c r="DK180" s="94"/>
      <c r="DL180" s="94"/>
      <c r="DM180" s="94"/>
      <c r="DN180" s="94"/>
      <c r="DO180" s="94"/>
      <c r="DP180" s="94"/>
      <c r="DQ180" s="94"/>
    </row>
    <row r="181" spans="1:121" ht="15" customHeight="1" outlineLevel="3" x14ac:dyDescent="0.3">
      <c r="A181" s="100"/>
      <c r="B181" s="100" t="s">
        <v>298</v>
      </c>
      <c r="C181" s="99">
        <v>4</v>
      </c>
      <c r="D181" s="98" t="s">
        <v>1223</v>
      </c>
      <c r="H181" s="77" t="s">
        <v>1222</v>
      </c>
      <c r="I181" s="106"/>
      <c r="J181" s="106"/>
      <c r="K181" s="106"/>
      <c r="L181" s="106"/>
      <c r="M181" s="106"/>
      <c r="N181" s="106"/>
      <c r="O181" s="113"/>
      <c r="P181" s="113"/>
      <c r="Q181" s="97">
        <v>45209</v>
      </c>
      <c r="R181" s="97">
        <v>45226</v>
      </c>
      <c r="T181" s="72">
        <v>17</v>
      </c>
      <c r="U181" s="72">
        <v>0</v>
      </c>
      <c r="V181" s="72">
        <v>18</v>
      </c>
      <c r="W181" s="72">
        <v>0</v>
      </c>
      <c r="Z181" s="74">
        <v>0</v>
      </c>
      <c r="AA181" s="73">
        <v>0</v>
      </c>
      <c r="AC181" s="111"/>
      <c r="AE181" s="96">
        <v>0</v>
      </c>
      <c r="AF181" s="101">
        <v>0</v>
      </c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 t="str">
        <f>"  " &amp; TEXT(AF181,"#0.00%") &amp; " " &amp; "1동 PPC,충방전 Rack&amp;Deck" &amp; " " &amp; IF(Q181="","",TEXT(Q181,"M/D-")) &amp; IF(R181="","",TEXT(R181,"M/D")) &amp; " "</f>
        <v xml:space="preserve">  0.00% 1동 PPC,충방전 Rack&amp;Deck 10/10-10/27 </v>
      </c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</row>
    <row r="182" spans="1:121" ht="15" customHeight="1" outlineLevel="4" x14ac:dyDescent="0.3">
      <c r="A182" s="100"/>
      <c r="B182" s="100"/>
      <c r="C182" s="99">
        <v>5</v>
      </c>
      <c r="D182" s="98" t="s">
        <v>1221</v>
      </c>
      <c r="I182" s="106" t="s">
        <v>1083</v>
      </c>
      <c r="J182" s="106"/>
      <c r="K182" s="106"/>
      <c r="L182" s="106"/>
      <c r="M182" s="106"/>
      <c r="N182" s="106"/>
      <c r="O182" s="113"/>
      <c r="P182" s="113"/>
      <c r="Q182" s="97">
        <v>45209</v>
      </c>
      <c r="R182" s="97">
        <v>45218</v>
      </c>
      <c r="S182" s="71">
        <f>R182-Q182</f>
        <v>9</v>
      </c>
      <c r="T182" s="72">
        <v>10</v>
      </c>
      <c r="U182" s="72">
        <v>0</v>
      </c>
      <c r="V182" s="72">
        <v>10</v>
      </c>
      <c r="W182" s="72">
        <v>0</v>
      </c>
      <c r="AA182" s="73">
        <v>0</v>
      </c>
      <c r="AB182" s="72">
        <v>1</v>
      </c>
      <c r="AC182" s="111"/>
      <c r="AE182" s="96">
        <v>0</v>
      </c>
      <c r="AF182" s="95">
        <v>0</v>
      </c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 t="str">
        <f>"  " &amp; TEXT(AF182,"#0.00%") &amp; " " &amp; "Unit 포장" &amp; " " &amp; IF(Q182="","",TEXT(Q182,"M/D-")) &amp; IF(R182="","",TEXT(R182,"M/D")) &amp; " "</f>
        <v xml:space="preserve">  0.00% Unit 포장 10/10-10/19 </v>
      </c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  <c r="DA182" s="94"/>
      <c r="DB182" s="94"/>
      <c r="DC182" s="94"/>
      <c r="DD182" s="94"/>
      <c r="DE182" s="94"/>
      <c r="DF182" s="94"/>
      <c r="DG182" s="94"/>
      <c r="DH182" s="94"/>
      <c r="DI182" s="94"/>
      <c r="DJ182" s="94"/>
      <c r="DK182" s="94"/>
      <c r="DL182" s="94"/>
      <c r="DM182" s="94"/>
      <c r="DN182" s="94"/>
      <c r="DO182" s="94"/>
      <c r="DP182" s="94"/>
      <c r="DQ182" s="94"/>
    </row>
    <row r="183" spans="1:121" ht="15" customHeight="1" outlineLevel="4" x14ac:dyDescent="0.3">
      <c r="A183" s="100"/>
      <c r="B183" s="100"/>
      <c r="C183" s="99">
        <v>5</v>
      </c>
      <c r="D183" s="98" t="s">
        <v>1220</v>
      </c>
      <c r="I183" s="106" t="s">
        <v>1081</v>
      </c>
      <c r="J183" s="106"/>
      <c r="K183" s="106"/>
      <c r="L183" s="106"/>
      <c r="M183" s="106"/>
      <c r="N183" s="106"/>
      <c r="O183" s="113"/>
      <c r="P183" s="113"/>
      <c r="Q183" s="97">
        <v>45219</v>
      </c>
      <c r="R183" s="97">
        <v>45224</v>
      </c>
      <c r="S183" s="71">
        <f>R183-Q183</f>
        <v>5</v>
      </c>
      <c r="T183" s="72">
        <v>6</v>
      </c>
      <c r="U183" s="72">
        <v>0</v>
      </c>
      <c r="V183" s="72">
        <v>6</v>
      </c>
      <c r="W183" s="72">
        <v>0</v>
      </c>
      <c r="AA183" s="73">
        <v>0</v>
      </c>
      <c r="AB183" s="72">
        <v>1</v>
      </c>
      <c r="AC183" s="111"/>
      <c r="AE183" s="96">
        <v>0</v>
      </c>
      <c r="AF183" s="95">
        <v>0</v>
      </c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 t="str">
        <f>"     " &amp; TEXT(AF183,"#0.00%") &amp; " " &amp; "Unit 운송" &amp; " " &amp; IF(Q183="","",TEXT(Q183,"M/D-")) &amp; IF(R183="","",TEXT(R183,"M/D")) &amp; " "</f>
        <v xml:space="preserve">     0.00% Unit 운송 10/20-10/25 </v>
      </c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  <c r="DA183" s="94"/>
      <c r="DB183" s="94"/>
      <c r="DC183" s="94"/>
      <c r="DD183" s="94"/>
      <c r="DE183" s="94"/>
      <c r="DF183" s="94"/>
      <c r="DG183" s="94"/>
      <c r="DH183" s="94"/>
      <c r="DI183" s="94"/>
      <c r="DJ183" s="94"/>
      <c r="DK183" s="94"/>
      <c r="DL183" s="94"/>
      <c r="DM183" s="94"/>
      <c r="DN183" s="94"/>
      <c r="DO183" s="94"/>
      <c r="DP183" s="94"/>
      <c r="DQ183" s="94"/>
    </row>
    <row r="184" spans="1:121" ht="15" customHeight="1" outlineLevel="4" x14ac:dyDescent="0.3">
      <c r="A184" s="100"/>
      <c r="B184" s="100"/>
      <c r="C184" s="99">
        <v>5</v>
      </c>
      <c r="D184" s="98" t="s">
        <v>1219</v>
      </c>
      <c r="I184" s="106" t="s">
        <v>230</v>
      </c>
      <c r="J184" s="106"/>
      <c r="K184" s="106"/>
      <c r="L184" s="106"/>
      <c r="M184" s="106"/>
      <c r="N184" s="106"/>
      <c r="O184" s="113"/>
      <c r="P184" s="113"/>
      <c r="Q184" s="97">
        <v>45226</v>
      </c>
      <c r="R184" s="97">
        <v>45226</v>
      </c>
      <c r="S184" s="71">
        <f>R184-Q184+1</f>
        <v>1</v>
      </c>
      <c r="T184" s="72">
        <v>1</v>
      </c>
      <c r="U184" s="72">
        <v>0</v>
      </c>
      <c r="V184" s="72">
        <v>1</v>
      </c>
      <c r="W184" s="72">
        <v>0</v>
      </c>
      <c r="AA184" s="73">
        <v>0</v>
      </c>
      <c r="AB184" s="72">
        <v>1</v>
      </c>
      <c r="AC184" s="111"/>
      <c r="AE184" s="96">
        <v>0</v>
      </c>
      <c r="AF184" s="95">
        <v>0</v>
      </c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 t="str">
        <f>"     " &amp; TEXT(AF184,"#0.00%") &amp; " " &amp; "FOB" &amp; " " &amp; IF(Q184="","",TEXT(Q184,"M/D-")) &amp; IF(R184="","",TEXT(R184,"M/D")) &amp; " "</f>
        <v xml:space="preserve">     0.00% FOB 10/27-10/27 </v>
      </c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  <c r="DA184" s="94"/>
      <c r="DB184" s="94"/>
      <c r="DC184" s="94"/>
      <c r="DD184" s="94"/>
      <c r="DE184" s="94"/>
      <c r="DF184" s="94"/>
      <c r="DG184" s="94"/>
      <c r="DH184" s="94"/>
      <c r="DI184" s="94"/>
      <c r="DJ184" s="94"/>
      <c r="DK184" s="94"/>
      <c r="DL184" s="94"/>
      <c r="DM184" s="94"/>
      <c r="DN184" s="94"/>
      <c r="DO184" s="94"/>
      <c r="DP184" s="94"/>
      <c r="DQ184" s="94"/>
    </row>
    <row r="185" spans="1:121" ht="15" customHeight="1" outlineLevel="4" x14ac:dyDescent="0.3">
      <c r="A185" s="100"/>
      <c r="B185" s="100"/>
      <c r="C185" s="99">
        <v>5</v>
      </c>
      <c r="D185" s="98" t="s">
        <v>1218</v>
      </c>
      <c r="I185" s="106" t="s">
        <v>1077</v>
      </c>
      <c r="J185" s="106"/>
      <c r="K185" s="106"/>
      <c r="L185" s="106"/>
      <c r="M185" s="106"/>
      <c r="N185" s="106"/>
      <c r="O185" s="113"/>
      <c r="P185" s="113"/>
      <c r="Q185" s="97"/>
      <c r="R185" s="97"/>
      <c r="S185" s="71">
        <f>R185-Q185</f>
        <v>0</v>
      </c>
      <c r="T185" s="72">
        <v>0</v>
      </c>
      <c r="U185" s="72">
        <v>0</v>
      </c>
      <c r="V185" s="72">
        <v>0</v>
      </c>
      <c r="W185" s="72">
        <v>0</v>
      </c>
      <c r="Z185" s="74">
        <v>0</v>
      </c>
      <c r="AA185" s="73">
        <v>0</v>
      </c>
      <c r="AB185" s="72">
        <v>1</v>
      </c>
      <c r="AC185" s="111"/>
      <c r="AE185" s="96">
        <v>0</v>
      </c>
      <c r="AF185" s="102">
        <v>0</v>
      </c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  <c r="DA185" s="94"/>
      <c r="DB185" s="94"/>
      <c r="DC185" s="94"/>
      <c r="DD185" s="94"/>
      <c r="DE185" s="94"/>
      <c r="DF185" s="94"/>
      <c r="DG185" s="94"/>
      <c r="DH185" s="94"/>
      <c r="DI185" s="94"/>
      <c r="DJ185" s="94"/>
      <c r="DK185" s="94"/>
      <c r="DL185" s="94"/>
      <c r="DM185" s="94"/>
      <c r="DN185" s="94"/>
      <c r="DO185" s="94"/>
      <c r="DP185" s="94"/>
      <c r="DQ185" s="94"/>
    </row>
    <row r="186" spans="1:121" ht="15" customHeight="1" outlineLevel="4" x14ac:dyDescent="0.3">
      <c r="A186" s="100"/>
      <c r="B186" s="100"/>
      <c r="C186" s="99">
        <v>5</v>
      </c>
      <c r="D186" s="98" t="s">
        <v>1217</v>
      </c>
      <c r="I186" s="106" t="s">
        <v>1075</v>
      </c>
      <c r="J186" s="106"/>
      <c r="K186" s="106"/>
      <c r="L186" s="106"/>
      <c r="M186" s="106"/>
      <c r="N186" s="106"/>
      <c r="O186" s="113"/>
      <c r="P186" s="113"/>
      <c r="Q186" s="97"/>
      <c r="R186" s="97"/>
      <c r="S186" s="71">
        <f>R186-Q186</f>
        <v>0</v>
      </c>
      <c r="T186" s="72">
        <v>0</v>
      </c>
      <c r="U186" s="72">
        <v>0</v>
      </c>
      <c r="V186" s="72">
        <v>0</v>
      </c>
      <c r="W186" s="72">
        <v>0</v>
      </c>
      <c r="Z186" s="74">
        <v>0</v>
      </c>
      <c r="AA186" s="73">
        <v>0</v>
      </c>
      <c r="AB186" s="72">
        <v>1</v>
      </c>
      <c r="AC186" s="111"/>
      <c r="AE186" s="96">
        <v>0</v>
      </c>
      <c r="AF186" s="102">
        <v>0</v>
      </c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  <c r="DA186" s="94"/>
      <c r="DB186" s="94"/>
      <c r="DC186" s="94"/>
      <c r="DD186" s="94"/>
      <c r="DE186" s="94"/>
      <c r="DF186" s="94"/>
      <c r="DG186" s="94"/>
      <c r="DH186" s="94"/>
      <c r="DI186" s="94"/>
      <c r="DJ186" s="94"/>
      <c r="DK186" s="94"/>
      <c r="DL186" s="94"/>
      <c r="DM186" s="94"/>
      <c r="DN186" s="94"/>
      <c r="DO186" s="94"/>
      <c r="DP186" s="94"/>
      <c r="DQ186" s="94"/>
    </row>
    <row r="187" spans="1:121" ht="15" customHeight="1" outlineLevel="3" x14ac:dyDescent="0.3">
      <c r="A187" s="100"/>
      <c r="B187" s="100" t="s">
        <v>298</v>
      </c>
      <c r="C187" s="99">
        <v>4</v>
      </c>
      <c r="D187" s="126" t="s">
        <v>1216</v>
      </c>
      <c r="E187" s="125"/>
      <c r="F187" s="125"/>
      <c r="G187" s="125"/>
      <c r="H187" s="77" t="s">
        <v>1215</v>
      </c>
      <c r="I187" s="106"/>
      <c r="J187" s="106"/>
      <c r="K187" s="124"/>
      <c r="L187" s="124"/>
      <c r="M187" s="124"/>
      <c r="N187" s="124"/>
      <c r="O187" s="123"/>
      <c r="P187" s="123"/>
      <c r="Q187" s="97">
        <v>45209</v>
      </c>
      <c r="R187" s="97">
        <v>45226</v>
      </c>
      <c r="S187" s="122"/>
      <c r="T187" s="118">
        <v>17</v>
      </c>
      <c r="U187" s="118">
        <v>0</v>
      </c>
      <c r="V187" s="118">
        <v>18</v>
      </c>
      <c r="W187" s="118">
        <v>0</v>
      </c>
      <c r="X187" s="121"/>
      <c r="Y187" s="121"/>
      <c r="Z187" s="120">
        <v>0</v>
      </c>
      <c r="AA187" s="119">
        <v>0</v>
      </c>
      <c r="AB187" s="118"/>
      <c r="AC187" s="117"/>
      <c r="AD187" s="116"/>
      <c r="AE187" s="115">
        <v>0</v>
      </c>
      <c r="AF187" s="101">
        <v>0</v>
      </c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 t="str">
        <f>"  " &amp; TEXT(AF187,"#0.00%") &amp; " " &amp; "1동 공Tray Rack&amp;Deck" &amp; " " &amp; IF(Q187="","",TEXT(Q187,"M/D-")) &amp; IF(R187="","",TEXT(R187,"M/D")) &amp; " "</f>
        <v xml:space="preserve">  0.00% 1동 공Tray Rack&amp;Deck 10/10-10/27 </v>
      </c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</row>
    <row r="188" spans="1:121" ht="15" customHeight="1" outlineLevel="4" x14ac:dyDescent="0.3">
      <c r="A188" s="100"/>
      <c r="B188" s="100"/>
      <c r="C188" s="99">
        <v>5</v>
      </c>
      <c r="D188" s="98" t="s">
        <v>1214</v>
      </c>
      <c r="I188" s="106" t="s">
        <v>1083</v>
      </c>
      <c r="J188" s="106"/>
      <c r="K188" s="106"/>
      <c r="L188" s="106"/>
      <c r="M188" s="106"/>
      <c r="N188" s="106"/>
      <c r="O188" s="113"/>
      <c r="P188" s="113"/>
      <c r="Q188" s="97">
        <v>45209</v>
      </c>
      <c r="R188" s="97">
        <v>45218</v>
      </c>
      <c r="S188" s="71">
        <f>R188-Q188</f>
        <v>9</v>
      </c>
      <c r="T188" s="72">
        <v>10</v>
      </c>
      <c r="U188" s="72">
        <v>0</v>
      </c>
      <c r="V188" s="72">
        <v>10</v>
      </c>
      <c r="W188" s="72">
        <v>0</v>
      </c>
      <c r="AA188" s="73">
        <v>0</v>
      </c>
      <c r="AB188" s="72">
        <v>1</v>
      </c>
      <c r="AC188" s="111"/>
      <c r="AE188" s="96">
        <v>0</v>
      </c>
      <c r="AF188" s="95">
        <v>0</v>
      </c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 t="str">
        <f>"  " &amp; TEXT(AF188,"#0.00%") &amp; " " &amp; "Unit 포장" &amp; " " &amp; IF(Q188="","",TEXT(Q188,"M/D-")) &amp; IF(R188="","",TEXT(R188,"M/D")) &amp; " "</f>
        <v xml:space="preserve">  0.00% Unit 포장 10/10-10/19 </v>
      </c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  <c r="CW188" s="94"/>
      <c r="CX188" s="94"/>
      <c r="CY188" s="94"/>
      <c r="CZ188" s="94"/>
      <c r="DA188" s="94"/>
      <c r="DB188" s="94"/>
      <c r="DC188" s="94"/>
      <c r="DD188" s="94"/>
      <c r="DE188" s="94"/>
      <c r="DF188" s="94"/>
      <c r="DG188" s="94"/>
      <c r="DH188" s="94"/>
      <c r="DI188" s="94"/>
      <c r="DJ188" s="94"/>
      <c r="DK188" s="94"/>
      <c r="DL188" s="94"/>
      <c r="DM188" s="94"/>
      <c r="DN188" s="94"/>
      <c r="DO188" s="94"/>
      <c r="DP188" s="94"/>
      <c r="DQ188" s="94"/>
    </row>
    <row r="189" spans="1:121" ht="15" customHeight="1" outlineLevel="4" x14ac:dyDescent="0.3">
      <c r="A189" s="100"/>
      <c r="B189" s="100"/>
      <c r="C189" s="99">
        <v>5</v>
      </c>
      <c r="D189" s="98" t="s">
        <v>1213</v>
      </c>
      <c r="I189" s="106" t="s">
        <v>1081</v>
      </c>
      <c r="J189" s="106"/>
      <c r="K189" s="106"/>
      <c r="L189" s="106"/>
      <c r="M189" s="106"/>
      <c r="N189" s="106"/>
      <c r="O189" s="113"/>
      <c r="P189" s="113"/>
      <c r="Q189" s="97">
        <v>45219</v>
      </c>
      <c r="R189" s="97">
        <v>45224</v>
      </c>
      <c r="S189" s="71">
        <f>R189-Q189</f>
        <v>5</v>
      </c>
      <c r="T189" s="72">
        <v>6</v>
      </c>
      <c r="U189" s="72">
        <v>0</v>
      </c>
      <c r="V189" s="72">
        <v>6</v>
      </c>
      <c r="W189" s="72">
        <v>0</v>
      </c>
      <c r="AA189" s="73">
        <v>0</v>
      </c>
      <c r="AB189" s="72">
        <v>1</v>
      </c>
      <c r="AC189" s="111"/>
      <c r="AE189" s="96">
        <v>0</v>
      </c>
      <c r="AF189" s="95">
        <v>0</v>
      </c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 t="str">
        <f>"     " &amp; TEXT(AF189,"#0.00%") &amp; " " &amp; "Unit 운송" &amp; " " &amp; IF(Q189="","",TEXT(Q189,"M/D-")) &amp; IF(R189="","",TEXT(R189,"M/D")) &amp; " "</f>
        <v xml:space="preserve">     0.00% Unit 운송 10/20-10/25 </v>
      </c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4"/>
      <c r="CX189" s="94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4"/>
      <c r="DJ189" s="94"/>
      <c r="DK189" s="94"/>
      <c r="DL189" s="94"/>
      <c r="DM189" s="94"/>
      <c r="DN189" s="94"/>
      <c r="DO189" s="94"/>
      <c r="DP189" s="94"/>
      <c r="DQ189" s="94"/>
    </row>
    <row r="190" spans="1:121" ht="15" customHeight="1" outlineLevel="4" x14ac:dyDescent="0.3">
      <c r="A190" s="100"/>
      <c r="B190" s="100"/>
      <c r="C190" s="99">
        <v>5</v>
      </c>
      <c r="D190" s="98" t="s">
        <v>1212</v>
      </c>
      <c r="I190" s="106" t="s">
        <v>230</v>
      </c>
      <c r="J190" s="106"/>
      <c r="K190" s="106"/>
      <c r="L190" s="106"/>
      <c r="M190" s="106"/>
      <c r="N190" s="106"/>
      <c r="O190" s="113"/>
      <c r="P190" s="113"/>
      <c r="Q190" s="97">
        <v>45226</v>
      </c>
      <c r="R190" s="97">
        <v>45226</v>
      </c>
      <c r="S190" s="71">
        <f>R190-Q190+1</f>
        <v>1</v>
      </c>
      <c r="T190" s="72">
        <v>1</v>
      </c>
      <c r="U190" s="72">
        <v>0</v>
      </c>
      <c r="V190" s="72">
        <v>1</v>
      </c>
      <c r="W190" s="72">
        <v>0</v>
      </c>
      <c r="AA190" s="73">
        <v>0</v>
      </c>
      <c r="AB190" s="72">
        <v>1</v>
      </c>
      <c r="AC190" s="111"/>
      <c r="AE190" s="96">
        <v>0</v>
      </c>
      <c r="AF190" s="95">
        <v>0</v>
      </c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 t="str">
        <f>"     " &amp; TEXT(AF190,"#0.00%") &amp; " " &amp; "FOB" &amp; " " &amp; IF(Q190="","",TEXT(Q190,"M/D-")) &amp; IF(R190="","",TEXT(R190,"M/D")) &amp; " "</f>
        <v xml:space="preserve">     0.00% FOB 10/27-10/27 </v>
      </c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4"/>
      <c r="DJ190" s="94"/>
      <c r="DK190" s="94"/>
      <c r="DL190" s="94"/>
      <c r="DM190" s="94"/>
      <c r="DN190" s="94"/>
      <c r="DO190" s="94"/>
      <c r="DP190" s="94"/>
      <c r="DQ190" s="94"/>
    </row>
    <row r="191" spans="1:121" ht="15" customHeight="1" outlineLevel="4" x14ac:dyDescent="0.3">
      <c r="A191" s="100"/>
      <c r="B191" s="100"/>
      <c r="C191" s="99">
        <v>5</v>
      </c>
      <c r="D191" s="98" t="s">
        <v>1211</v>
      </c>
      <c r="I191" s="106" t="s">
        <v>1077</v>
      </c>
      <c r="J191" s="106"/>
      <c r="K191" s="106"/>
      <c r="L191" s="106"/>
      <c r="M191" s="106"/>
      <c r="N191" s="106"/>
      <c r="O191" s="113"/>
      <c r="P191" s="113"/>
      <c r="Q191" s="97"/>
      <c r="R191" s="97"/>
      <c r="S191" s="71">
        <f>R191-Q191</f>
        <v>0</v>
      </c>
      <c r="T191" s="72">
        <v>0</v>
      </c>
      <c r="U191" s="72">
        <v>0</v>
      </c>
      <c r="V191" s="72">
        <v>0</v>
      </c>
      <c r="W191" s="72">
        <v>0</v>
      </c>
      <c r="Z191" s="74">
        <v>0</v>
      </c>
      <c r="AA191" s="73">
        <v>0</v>
      </c>
      <c r="AB191" s="72">
        <v>1</v>
      </c>
      <c r="AC191" s="111"/>
      <c r="AE191" s="96">
        <v>0</v>
      </c>
      <c r="AF191" s="102">
        <v>0</v>
      </c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  <c r="CW191" s="94"/>
      <c r="CX191" s="94"/>
      <c r="CY191" s="94"/>
      <c r="CZ191" s="94"/>
      <c r="DA191" s="94"/>
      <c r="DB191" s="94"/>
      <c r="DC191" s="94"/>
      <c r="DD191" s="94"/>
      <c r="DE191" s="94"/>
      <c r="DF191" s="94"/>
      <c r="DG191" s="94"/>
      <c r="DH191" s="94"/>
      <c r="DI191" s="94"/>
      <c r="DJ191" s="94"/>
      <c r="DK191" s="94"/>
      <c r="DL191" s="94"/>
      <c r="DM191" s="94"/>
      <c r="DN191" s="94"/>
      <c r="DO191" s="94"/>
      <c r="DP191" s="94"/>
      <c r="DQ191" s="94"/>
    </row>
    <row r="192" spans="1:121" ht="15" customHeight="1" outlineLevel="4" x14ac:dyDescent="0.3">
      <c r="A192" s="100"/>
      <c r="B192" s="100"/>
      <c r="C192" s="99">
        <v>5</v>
      </c>
      <c r="D192" s="98" t="s">
        <v>1210</v>
      </c>
      <c r="I192" s="106" t="s">
        <v>1075</v>
      </c>
      <c r="J192" s="106"/>
      <c r="K192" s="106"/>
      <c r="L192" s="106"/>
      <c r="M192" s="106"/>
      <c r="N192" s="106"/>
      <c r="O192" s="113"/>
      <c r="P192" s="113"/>
      <c r="Q192" s="97"/>
      <c r="R192" s="97"/>
      <c r="S192" s="71">
        <f>R192-Q192</f>
        <v>0</v>
      </c>
      <c r="T192" s="72">
        <v>0</v>
      </c>
      <c r="U192" s="72">
        <v>0</v>
      </c>
      <c r="V192" s="72">
        <v>0</v>
      </c>
      <c r="W192" s="72">
        <v>0</v>
      </c>
      <c r="Z192" s="74">
        <v>0</v>
      </c>
      <c r="AA192" s="73">
        <v>0</v>
      </c>
      <c r="AB192" s="72">
        <v>1</v>
      </c>
      <c r="AC192" s="111"/>
      <c r="AE192" s="96">
        <v>0</v>
      </c>
      <c r="AF192" s="102">
        <v>0</v>
      </c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  <c r="DA192" s="94"/>
      <c r="DB192" s="94"/>
      <c r="DC192" s="94"/>
      <c r="DD192" s="94"/>
      <c r="DE192" s="94"/>
      <c r="DF192" s="94"/>
      <c r="DG192" s="94"/>
      <c r="DH192" s="94"/>
      <c r="DI192" s="94"/>
      <c r="DJ192" s="94"/>
      <c r="DK192" s="94"/>
      <c r="DL192" s="94"/>
      <c r="DM192" s="94"/>
      <c r="DN192" s="94"/>
      <c r="DO192" s="94"/>
      <c r="DP192" s="94"/>
      <c r="DQ192" s="94"/>
    </row>
    <row r="193" spans="1:121" ht="15" customHeight="1" outlineLevel="3" x14ac:dyDescent="0.3">
      <c r="A193" s="100"/>
      <c r="B193" s="100" t="s">
        <v>298</v>
      </c>
      <c r="C193" s="99">
        <v>4</v>
      </c>
      <c r="D193" s="126" t="s">
        <v>1209</v>
      </c>
      <c r="E193" s="125"/>
      <c r="F193" s="125"/>
      <c r="G193" s="125"/>
      <c r="H193" s="77" t="s">
        <v>1208</v>
      </c>
      <c r="I193" s="106"/>
      <c r="J193" s="106"/>
      <c r="K193" s="124"/>
      <c r="L193" s="124"/>
      <c r="M193" s="124"/>
      <c r="N193" s="124"/>
      <c r="O193" s="123"/>
      <c r="P193" s="123"/>
      <c r="Q193" s="97">
        <v>45275</v>
      </c>
      <c r="R193" s="97">
        <v>45294</v>
      </c>
      <c r="S193" s="122"/>
      <c r="T193" s="118">
        <v>17</v>
      </c>
      <c r="U193" s="118">
        <v>0</v>
      </c>
      <c r="V193" s="118">
        <v>20</v>
      </c>
      <c r="W193" s="118">
        <v>0</v>
      </c>
      <c r="X193" s="121"/>
      <c r="Y193" s="121"/>
      <c r="Z193" s="120">
        <v>0</v>
      </c>
      <c r="AA193" s="119">
        <v>0</v>
      </c>
      <c r="AB193" s="118"/>
      <c r="AC193" s="117"/>
      <c r="AD193" s="116"/>
      <c r="AE193" s="115">
        <v>0</v>
      </c>
      <c r="AF193" s="101">
        <v>0</v>
      </c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 t="str">
        <f>"     " &amp; TEXT(AF193,"#0.00%") &amp; " " &amp; "2동 상온#1 Rack&amp;Deck" &amp; " " &amp; IF(Q193="","",TEXT(Q193,"M/D-")) &amp; IF(R193="","",TEXT(R193,"M/D")) &amp; " "</f>
        <v xml:space="preserve">     0.00% 2동 상온#1 Rack&amp;Deck 12/15-1/3 </v>
      </c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  <c r="DA193" s="94"/>
      <c r="DB193" s="94"/>
      <c r="DC193" s="94"/>
      <c r="DD193" s="94"/>
      <c r="DE193" s="94"/>
      <c r="DF193" s="94"/>
      <c r="DG193" s="94"/>
      <c r="DH193" s="94"/>
      <c r="DI193" s="94"/>
      <c r="DJ193" s="94"/>
      <c r="DK193" s="94"/>
      <c r="DL193" s="94"/>
      <c r="DM193" s="94"/>
      <c r="DN193" s="94"/>
      <c r="DO193" s="94"/>
      <c r="DP193" s="94"/>
      <c r="DQ193" s="94"/>
    </row>
    <row r="194" spans="1:121" ht="15" customHeight="1" outlineLevel="4" x14ac:dyDescent="0.3">
      <c r="A194" s="100"/>
      <c r="B194" s="100"/>
      <c r="C194" s="99">
        <v>5</v>
      </c>
      <c r="D194" s="98" t="s">
        <v>1207</v>
      </c>
      <c r="I194" s="106" t="s">
        <v>1083</v>
      </c>
      <c r="J194" s="106"/>
      <c r="K194" s="106"/>
      <c r="L194" s="106"/>
      <c r="M194" s="106"/>
      <c r="N194" s="106"/>
      <c r="O194" s="113"/>
      <c r="P194" s="113"/>
      <c r="Q194" s="97">
        <v>45275</v>
      </c>
      <c r="R194" s="97">
        <v>45285</v>
      </c>
      <c r="S194" s="71">
        <f>R194-Q194</f>
        <v>10</v>
      </c>
      <c r="T194" s="72">
        <v>11</v>
      </c>
      <c r="U194" s="72">
        <v>0</v>
      </c>
      <c r="V194" s="72">
        <v>11</v>
      </c>
      <c r="W194" s="72">
        <v>0</v>
      </c>
      <c r="AA194" s="73">
        <v>0</v>
      </c>
      <c r="AB194" s="72">
        <v>1</v>
      </c>
      <c r="AC194" s="111"/>
      <c r="AE194" s="96">
        <v>0</v>
      </c>
      <c r="AF194" s="95">
        <v>0</v>
      </c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 t="str">
        <f>"     " &amp; TEXT(AF194,"#0.00%") &amp; " " &amp; "Unit 포장" &amp; " " &amp; IF(Q194="","",TEXT(Q194,"M/D-")) &amp; IF(R194="","",TEXT(R194,"M/D")) &amp; " "</f>
        <v xml:space="preserve">     0.00% Unit 포장 12/15-12/25 </v>
      </c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  <c r="DL194" s="94"/>
      <c r="DM194" s="94"/>
      <c r="DN194" s="94"/>
      <c r="DO194" s="94"/>
      <c r="DP194" s="94"/>
      <c r="DQ194" s="94"/>
    </row>
    <row r="195" spans="1:121" ht="15" customHeight="1" outlineLevel="4" x14ac:dyDescent="0.3">
      <c r="A195" s="100"/>
      <c r="B195" s="100"/>
      <c r="C195" s="99">
        <v>5</v>
      </c>
      <c r="D195" s="98" t="s">
        <v>1206</v>
      </c>
      <c r="I195" s="106" t="s">
        <v>1081</v>
      </c>
      <c r="J195" s="106"/>
      <c r="K195" s="106"/>
      <c r="L195" s="106"/>
      <c r="M195" s="106"/>
      <c r="N195" s="106"/>
      <c r="O195" s="113"/>
      <c r="P195" s="113"/>
      <c r="Q195" s="97">
        <v>45286</v>
      </c>
      <c r="R195" s="97">
        <v>45290</v>
      </c>
      <c r="S195" s="71">
        <f>R195-Q195</f>
        <v>4</v>
      </c>
      <c r="T195" s="72">
        <v>5</v>
      </c>
      <c r="U195" s="72">
        <v>0</v>
      </c>
      <c r="V195" s="72">
        <v>5</v>
      </c>
      <c r="W195" s="72">
        <v>0</v>
      </c>
      <c r="AA195" s="73">
        <v>0</v>
      </c>
      <c r="AB195" s="72">
        <v>1</v>
      </c>
      <c r="AC195" s="111"/>
      <c r="AE195" s="96">
        <v>0</v>
      </c>
      <c r="AF195" s="95">
        <v>0</v>
      </c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 t="str">
        <f>"  " &amp; TEXT(AF195,"#0.00%") &amp; " " &amp; "Unit 운송" &amp; " " &amp; IF(Q195="","",TEXT(Q195,"M/D-")) &amp; IF(R195="","",TEXT(R195,"M/D")) &amp; " "</f>
        <v xml:space="preserve">  0.00% Unit 운송 12/26-12/30 </v>
      </c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  <c r="DA195" s="94"/>
      <c r="DB195" s="94"/>
      <c r="DC195" s="94"/>
      <c r="DD195" s="94"/>
      <c r="DE195" s="94"/>
      <c r="DF195" s="94"/>
      <c r="DG195" s="94"/>
      <c r="DH195" s="94"/>
      <c r="DI195" s="94"/>
      <c r="DJ195" s="94"/>
      <c r="DK195" s="94"/>
      <c r="DL195" s="94"/>
      <c r="DM195" s="94"/>
      <c r="DN195" s="94"/>
      <c r="DO195" s="94"/>
      <c r="DP195" s="94"/>
      <c r="DQ195" s="94"/>
    </row>
    <row r="196" spans="1:121" ht="15" customHeight="1" outlineLevel="4" x14ac:dyDescent="0.3">
      <c r="A196" s="100"/>
      <c r="B196" s="100"/>
      <c r="C196" s="99">
        <v>5</v>
      </c>
      <c r="D196" s="98" t="s">
        <v>1205</v>
      </c>
      <c r="I196" s="106" t="s">
        <v>230</v>
      </c>
      <c r="J196" s="106"/>
      <c r="K196" s="106"/>
      <c r="L196" s="106"/>
      <c r="M196" s="106"/>
      <c r="N196" s="106"/>
      <c r="O196" s="113"/>
      <c r="P196" s="113"/>
      <c r="Q196" s="97">
        <v>45294</v>
      </c>
      <c r="R196" s="97">
        <v>45294</v>
      </c>
      <c r="S196" s="71">
        <f>R196-Q196+1</f>
        <v>1</v>
      </c>
      <c r="T196" s="72">
        <v>1</v>
      </c>
      <c r="U196" s="72">
        <v>0</v>
      </c>
      <c r="V196" s="72">
        <v>1</v>
      </c>
      <c r="W196" s="72">
        <v>0</v>
      </c>
      <c r="AA196" s="73">
        <v>0</v>
      </c>
      <c r="AB196" s="72">
        <v>1</v>
      </c>
      <c r="AC196" s="111"/>
      <c r="AE196" s="96">
        <v>0</v>
      </c>
      <c r="AF196" s="95">
        <v>0</v>
      </c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 t="str">
        <f>"   " &amp; TEXT(AF196,"#0.00%") &amp; " " &amp; "FOB" &amp; " " &amp; IF(Q196="","",TEXT(Q196,"M/D-")) &amp; IF(R196="","",TEXT(R196,"M/D")) &amp; " "</f>
        <v xml:space="preserve">   0.00% FOB 1/3-1/3 </v>
      </c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  <c r="DA196" s="94"/>
      <c r="DB196" s="94"/>
      <c r="DC196" s="94"/>
      <c r="DD196" s="94"/>
      <c r="DE196" s="94"/>
      <c r="DF196" s="94"/>
      <c r="DG196" s="94"/>
      <c r="DH196" s="94"/>
      <c r="DI196" s="94"/>
      <c r="DJ196" s="94"/>
      <c r="DK196" s="94"/>
      <c r="DL196" s="94"/>
      <c r="DM196" s="94"/>
      <c r="DN196" s="94"/>
      <c r="DO196" s="94"/>
      <c r="DP196" s="94"/>
      <c r="DQ196" s="94"/>
    </row>
    <row r="197" spans="1:121" ht="15" customHeight="1" outlineLevel="4" x14ac:dyDescent="0.3">
      <c r="A197" s="100"/>
      <c r="B197" s="100"/>
      <c r="C197" s="99">
        <v>5</v>
      </c>
      <c r="D197" s="98" t="s">
        <v>1204</v>
      </c>
      <c r="I197" s="106" t="s">
        <v>1077</v>
      </c>
      <c r="J197" s="106"/>
      <c r="K197" s="106"/>
      <c r="L197" s="106"/>
      <c r="M197" s="106"/>
      <c r="N197" s="106"/>
      <c r="O197" s="113"/>
      <c r="P197" s="113"/>
      <c r="Q197" s="97"/>
      <c r="R197" s="97"/>
      <c r="S197" s="71">
        <f>R197-Q197</f>
        <v>0</v>
      </c>
      <c r="T197" s="72">
        <v>0</v>
      </c>
      <c r="U197" s="72">
        <v>0</v>
      </c>
      <c r="V197" s="72">
        <v>0</v>
      </c>
      <c r="W197" s="72">
        <v>0</v>
      </c>
      <c r="Z197" s="74">
        <v>0</v>
      </c>
      <c r="AA197" s="73">
        <v>0</v>
      </c>
      <c r="AB197" s="72">
        <v>1</v>
      </c>
      <c r="AC197" s="111"/>
      <c r="AE197" s="96">
        <v>0</v>
      </c>
      <c r="AF197" s="102">
        <v>0</v>
      </c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  <c r="DF197" s="94"/>
      <c r="DG197" s="94"/>
      <c r="DH197" s="94"/>
      <c r="DI197" s="94"/>
      <c r="DJ197" s="94"/>
      <c r="DK197" s="94"/>
      <c r="DL197" s="94"/>
      <c r="DM197" s="94"/>
      <c r="DN197" s="94"/>
      <c r="DO197" s="94"/>
      <c r="DP197" s="94"/>
      <c r="DQ197" s="94"/>
    </row>
    <row r="198" spans="1:121" ht="15" customHeight="1" outlineLevel="4" x14ac:dyDescent="0.3">
      <c r="A198" s="100"/>
      <c r="B198" s="100"/>
      <c r="C198" s="99">
        <v>5</v>
      </c>
      <c r="D198" s="98" t="s">
        <v>1203</v>
      </c>
      <c r="I198" s="106" t="s">
        <v>1075</v>
      </c>
      <c r="J198" s="106"/>
      <c r="K198" s="106"/>
      <c r="L198" s="106"/>
      <c r="M198" s="106"/>
      <c r="N198" s="106"/>
      <c r="O198" s="113"/>
      <c r="P198" s="113"/>
      <c r="Q198" s="97"/>
      <c r="R198" s="97"/>
      <c r="S198" s="71">
        <f>R198-Q198</f>
        <v>0</v>
      </c>
      <c r="T198" s="72">
        <v>0</v>
      </c>
      <c r="U198" s="72">
        <v>0</v>
      </c>
      <c r="V198" s="72">
        <v>0</v>
      </c>
      <c r="W198" s="72">
        <v>0</v>
      </c>
      <c r="Z198" s="74">
        <v>0</v>
      </c>
      <c r="AA198" s="73">
        <v>0</v>
      </c>
      <c r="AB198" s="72">
        <v>1</v>
      </c>
      <c r="AC198" s="111"/>
      <c r="AE198" s="96">
        <v>0</v>
      </c>
      <c r="AF198" s="102">
        <v>0</v>
      </c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  <c r="DF198" s="94"/>
      <c r="DG198" s="94"/>
      <c r="DH198" s="94"/>
      <c r="DI198" s="94"/>
      <c r="DJ198" s="94"/>
      <c r="DK198" s="94"/>
      <c r="DL198" s="94"/>
      <c r="DM198" s="94"/>
      <c r="DN198" s="94"/>
      <c r="DO198" s="94"/>
      <c r="DP198" s="94"/>
      <c r="DQ198" s="94"/>
    </row>
    <row r="199" spans="1:121" ht="15" customHeight="1" outlineLevel="3" x14ac:dyDescent="0.3">
      <c r="A199" s="100"/>
      <c r="B199" s="100" t="s">
        <v>298</v>
      </c>
      <c r="C199" s="99">
        <v>4</v>
      </c>
      <c r="D199" s="126" t="s">
        <v>1202</v>
      </c>
      <c r="E199" s="125"/>
      <c r="F199" s="125"/>
      <c r="G199" s="125"/>
      <c r="H199" s="77" t="s">
        <v>1201</v>
      </c>
      <c r="I199" s="106"/>
      <c r="J199" s="106"/>
      <c r="K199" s="124"/>
      <c r="L199" s="124"/>
      <c r="M199" s="124"/>
      <c r="N199" s="124"/>
      <c r="O199" s="123"/>
      <c r="P199" s="123"/>
      <c r="Q199" s="97">
        <v>45275</v>
      </c>
      <c r="R199" s="97">
        <v>45294</v>
      </c>
      <c r="S199" s="122"/>
      <c r="T199" s="118">
        <v>17</v>
      </c>
      <c r="U199" s="118">
        <v>0</v>
      </c>
      <c r="V199" s="118">
        <v>20</v>
      </c>
      <c r="W199" s="118">
        <v>0</v>
      </c>
      <c r="X199" s="121"/>
      <c r="Y199" s="121"/>
      <c r="Z199" s="120">
        <v>0</v>
      </c>
      <c r="AA199" s="119">
        <v>0</v>
      </c>
      <c r="AB199" s="118"/>
      <c r="AC199" s="117"/>
      <c r="AD199" s="116"/>
      <c r="AE199" s="115">
        <v>0</v>
      </c>
      <c r="AF199" s="101">
        <v>0</v>
      </c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 t="str">
        <f>"     " &amp; TEXT(AF199,"#0.00%") &amp; " " &amp; "2동 상온#2,3 Rack&amp;Deck" &amp; " " &amp; IF(Q199="","",TEXT(Q199,"M/D-")) &amp; IF(R199="","",TEXT(R199,"M/D")) &amp; " "</f>
        <v xml:space="preserve">     0.00% 2동 상온#2,3 Rack&amp;Deck 12/15-1/3 </v>
      </c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  <c r="DF199" s="94"/>
      <c r="DG199" s="94"/>
      <c r="DH199" s="94"/>
      <c r="DI199" s="94"/>
      <c r="DJ199" s="94"/>
      <c r="DK199" s="94"/>
      <c r="DL199" s="94"/>
      <c r="DM199" s="94"/>
      <c r="DN199" s="94"/>
      <c r="DO199" s="94"/>
      <c r="DP199" s="94"/>
      <c r="DQ199" s="94"/>
    </row>
    <row r="200" spans="1:121" ht="15" customHeight="1" outlineLevel="4" x14ac:dyDescent="0.3">
      <c r="A200" s="100"/>
      <c r="B200" s="100"/>
      <c r="C200" s="99">
        <v>5</v>
      </c>
      <c r="D200" s="98" t="s">
        <v>1200</v>
      </c>
      <c r="I200" s="106" t="s">
        <v>1083</v>
      </c>
      <c r="J200" s="106"/>
      <c r="K200" s="106"/>
      <c r="L200" s="106"/>
      <c r="M200" s="106"/>
      <c r="N200" s="106"/>
      <c r="O200" s="113"/>
      <c r="P200" s="113"/>
      <c r="Q200" s="97">
        <v>45275</v>
      </c>
      <c r="R200" s="97">
        <v>45285</v>
      </c>
      <c r="S200" s="71">
        <f>R200-Q200</f>
        <v>10</v>
      </c>
      <c r="T200" s="72">
        <v>11</v>
      </c>
      <c r="U200" s="72">
        <v>0</v>
      </c>
      <c r="V200" s="72">
        <v>11</v>
      </c>
      <c r="W200" s="72">
        <v>0</v>
      </c>
      <c r="AA200" s="73">
        <v>0</v>
      </c>
      <c r="AB200" s="72">
        <v>1</v>
      </c>
      <c r="AC200" s="111"/>
      <c r="AE200" s="96">
        <v>0</v>
      </c>
      <c r="AF200" s="95">
        <v>0</v>
      </c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 t="str">
        <f>"     " &amp; TEXT(AF200,"#0.00%") &amp; " " &amp; "Unit 포장" &amp; " " &amp; IF(Q200="","",TEXT(Q200,"M/D-")) &amp; IF(R200="","",TEXT(R200,"M/D")) &amp; " "</f>
        <v xml:space="preserve">     0.00% Unit 포장 12/15-12/25 </v>
      </c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  <c r="DF200" s="94"/>
      <c r="DG200" s="94"/>
      <c r="DH200" s="94"/>
      <c r="DI200" s="94"/>
      <c r="DJ200" s="94"/>
      <c r="DK200" s="94"/>
      <c r="DL200" s="94"/>
      <c r="DM200" s="94"/>
      <c r="DN200" s="94"/>
      <c r="DO200" s="94"/>
      <c r="DP200" s="94"/>
      <c r="DQ200" s="94"/>
    </row>
    <row r="201" spans="1:121" ht="15" customHeight="1" outlineLevel="4" x14ac:dyDescent="0.3">
      <c r="A201" s="100"/>
      <c r="B201" s="100"/>
      <c r="C201" s="99">
        <v>5</v>
      </c>
      <c r="D201" s="98" t="s">
        <v>1199</v>
      </c>
      <c r="I201" s="106" t="s">
        <v>1081</v>
      </c>
      <c r="J201" s="106"/>
      <c r="K201" s="106"/>
      <c r="L201" s="106"/>
      <c r="M201" s="106"/>
      <c r="N201" s="106"/>
      <c r="O201" s="113"/>
      <c r="P201" s="113"/>
      <c r="Q201" s="97">
        <v>45286</v>
      </c>
      <c r="R201" s="97">
        <v>45290</v>
      </c>
      <c r="S201" s="71">
        <f>R201-Q201</f>
        <v>4</v>
      </c>
      <c r="T201" s="72">
        <v>5</v>
      </c>
      <c r="U201" s="72">
        <v>0</v>
      </c>
      <c r="V201" s="72">
        <v>5</v>
      </c>
      <c r="W201" s="72">
        <v>0</v>
      </c>
      <c r="AA201" s="73">
        <v>0</v>
      </c>
      <c r="AB201" s="72">
        <v>1</v>
      </c>
      <c r="AC201" s="111"/>
      <c r="AE201" s="96">
        <v>0</v>
      </c>
      <c r="AF201" s="95">
        <v>0</v>
      </c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 t="str">
        <f>"  " &amp; TEXT(AF201,"#0.00%") &amp; " " &amp; "Unit 운송" &amp; " " &amp; IF(Q201="","",TEXT(Q201,"M/D-")) &amp; IF(R201="","",TEXT(R201,"M/D")) &amp; " "</f>
        <v xml:space="preserve">  0.00% Unit 운송 12/26-12/30 </v>
      </c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  <c r="DF201" s="94"/>
      <c r="DG201" s="94"/>
      <c r="DH201" s="94"/>
      <c r="DI201" s="94"/>
      <c r="DJ201" s="94"/>
      <c r="DK201" s="94"/>
      <c r="DL201" s="94"/>
      <c r="DM201" s="94"/>
      <c r="DN201" s="94"/>
      <c r="DO201" s="94"/>
      <c r="DP201" s="94"/>
      <c r="DQ201" s="94"/>
    </row>
    <row r="202" spans="1:121" ht="15" customHeight="1" outlineLevel="4" x14ac:dyDescent="0.3">
      <c r="A202" s="100"/>
      <c r="B202" s="100"/>
      <c r="C202" s="99">
        <v>5</v>
      </c>
      <c r="D202" s="98" t="s">
        <v>1198</v>
      </c>
      <c r="I202" s="106" t="s">
        <v>230</v>
      </c>
      <c r="J202" s="106"/>
      <c r="K202" s="106"/>
      <c r="L202" s="106"/>
      <c r="M202" s="106"/>
      <c r="N202" s="106"/>
      <c r="O202" s="113"/>
      <c r="P202" s="113"/>
      <c r="Q202" s="97">
        <v>45294</v>
      </c>
      <c r="R202" s="97">
        <v>45294</v>
      </c>
      <c r="S202" s="71">
        <f>R202-Q202+1</f>
        <v>1</v>
      </c>
      <c r="T202" s="72">
        <v>1</v>
      </c>
      <c r="U202" s="72">
        <v>0</v>
      </c>
      <c r="V202" s="72">
        <v>1</v>
      </c>
      <c r="W202" s="72">
        <v>0</v>
      </c>
      <c r="AA202" s="73">
        <v>0</v>
      </c>
      <c r="AB202" s="72">
        <v>1</v>
      </c>
      <c r="AC202" s="111"/>
      <c r="AE202" s="96">
        <v>0</v>
      </c>
      <c r="AF202" s="95">
        <v>0</v>
      </c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 t="str">
        <f>"   " &amp; TEXT(AF202,"#0.00%") &amp; " " &amp; "FOB" &amp; " " &amp; IF(Q202="","",TEXT(Q202,"M/D-")) &amp; IF(R202="","",TEXT(R202,"M/D")) &amp; " "</f>
        <v xml:space="preserve">   0.00% FOB 1/3-1/3 </v>
      </c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  <c r="DF202" s="94"/>
      <c r="DG202" s="94"/>
      <c r="DH202" s="94"/>
      <c r="DI202" s="94"/>
      <c r="DJ202" s="94"/>
      <c r="DK202" s="94"/>
      <c r="DL202" s="94"/>
      <c r="DM202" s="94"/>
      <c r="DN202" s="94"/>
      <c r="DO202" s="94"/>
      <c r="DP202" s="94"/>
      <c r="DQ202" s="94"/>
    </row>
    <row r="203" spans="1:121" ht="15" customHeight="1" outlineLevel="4" x14ac:dyDescent="0.3">
      <c r="A203" s="100"/>
      <c r="B203" s="100"/>
      <c r="C203" s="99">
        <v>5</v>
      </c>
      <c r="D203" s="98" t="s">
        <v>1197</v>
      </c>
      <c r="I203" s="106" t="s">
        <v>1077</v>
      </c>
      <c r="J203" s="106"/>
      <c r="K203" s="106"/>
      <c r="L203" s="106"/>
      <c r="M203" s="106"/>
      <c r="N203" s="106"/>
      <c r="O203" s="113"/>
      <c r="P203" s="113"/>
      <c r="Q203" s="97"/>
      <c r="R203" s="97"/>
      <c r="S203" s="71">
        <f>R203-Q203</f>
        <v>0</v>
      </c>
      <c r="T203" s="72">
        <v>0</v>
      </c>
      <c r="U203" s="72">
        <v>0</v>
      </c>
      <c r="V203" s="72">
        <v>0</v>
      </c>
      <c r="W203" s="72">
        <v>0</v>
      </c>
      <c r="Z203" s="74">
        <v>0</v>
      </c>
      <c r="AA203" s="73">
        <v>0</v>
      </c>
      <c r="AB203" s="72">
        <v>1</v>
      </c>
      <c r="AC203" s="111"/>
      <c r="AE203" s="96">
        <v>0</v>
      </c>
      <c r="AF203" s="102">
        <v>0</v>
      </c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  <c r="DF203" s="94"/>
      <c r="DG203" s="94"/>
      <c r="DH203" s="94"/>
      <c r="DI203" s="94"/>
      <c r="DJ203" s="94"/>
      <c r="DK203" s="94"/>
      <c r="DL203" s="94"/>
      <c r="DM203" s="94"/>
      <c r="DN203" s="94"/>
      <c r="DO203" s="94"/>
      <c r="DP203" s="94"/>
      <c r="DQ203" s="94"/>
    </row>
    <row r="204" spans="1:121" ht="15" customHeight="1" outlineLevel="4" x14ac:dyDescent="0.3">
      <c r="A204" s="100"/>
      <c r="B204" s="100"/>
      <c r="C204" s="99">
        <v>5</v>
      </c>
      <c r="D204" s="98" t="s">
        <v>1196</v>
      </c>
      <c r="I204" s="106" t="s">
        <v>1075</v>
      </c>
      <c r="J204" s="106"/>
      <c r="K204" s="106"/>
      <c r="L204" s="106"/>
      <c r="M204" s="106"/>
      <c r="N204" s="106"/>
      <c r="O204" s="113"/>
      <c r="P204" s="113"/>
      <c r="Q204" s="97"/>
      <c r="R204" s="97"/>
      <c r="S204" s="71">
        <f>R204-Q204</f>
        <v>0</v>
      </c>
      <c r="T204" s="72">
        <v>0</v>
      </c>
      <c r="U204" s="72">
        <v>0</v>
      </c>
      <c r="V204" s="72">
        <v>0</v>
      </c>
      <c r="W204" s="72">
        <v>0</v>
      </c>
      <c r="Z204" s="74">
        <v>0</v>
      </c>
      <c r="AA204" s="73">
        <v>0</v>
      </c>
      <c r="AB204" s="72">
        <v>1</v>
      </c>
      <c r="AC204" s="111"/>
      <c r="AE204" s="96">
        <v>0</v>
      </c>
      <c r="AF204" s="102">
        <v>0</v>
      </c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</row>
    <row r="205" spans="1:121" ht="15" customHeight="1" outlineLevel="3" x14ac:dyDescent="0.3">
      <c r="A205" s="100"/>
      <c r="B205" s="100" t="s">
        <v>298</v>
      </c>
      <c r="C205" s="99">
        <v>4</v>
      </c>
      <c r="D205" s="126" t="s">
        <v>1195</v>
      </c>
      <c r="E205" s="125"/>
      <c r="F205" s="125"/>
      <c r="G205" s="125"/>
      <c r="H205" s="77" t="s">
        <v>1194</v>
      </c>
      <c r="I205" s="106"/>
      <c r="J205" s="106"/>
      <c r="K205" s="124"/>
      <c r="L205" s="124"/>
      <c r="M205" s="124"/>
      <c r="N205" s="124"/>
      <c r="O205" s="123"/>
      <c r="P205" s="123"/>
      <c r="Q205" s="97">
        <v>45296</v>
      </c>
      <c r="R205" s="97">
        <v>45310</v>
      </c>
      <c r="S205" s="122"/>
      <c r="T205" s="118">
        <v>15</v>
      </c>
      <c r="U205" s="118">
        <v>0</v>
      </c>
      <c r="V205" s="118">
        <v>15</v>
      </c>
      <c r="W205" s="118">
        <v>0</v>
      </c>
      <c r="X205" s="121"/>
      <c r="Y205" s="121"/>
      <c r="Z205" s="120">
        <v>0</v>
      </c>
      <c r="AA205" s="119">
        <v>0</v>
      </c>
      <c r="AB205" s="118"/>
      <c r="AC205" s="117"/>
      <c r="AD205" s="116"/>
      <c r="AE205" s="115">
        <v>0</v>
      </c>
      <c r="AF205" s="101">
        <v>0</v>
      </c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 t="str">
        <f>"     " &amp; TEXT(AF205,"#0.00%") &amp; " " &amp; "2동 고온#1 Rack&amp;Deck" &amp; " " &amp; IF(Q205="","",TEXT(Q205,"M/D-")) &amp; IF(R205="","",TEXT(R205,"M/D")) &amp; " "</f>
        <v xml:space="preserve">     0.00% 2동 고온#1 Rack&amp;Deck 1/5-1/19 </v>
      </c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  <c r="DF205" s="94"/>
      <c r="DG205" s="94"/>
      <c r="DH205" s="94"/>
      <c r="DI205" s="94"/>
      <c r="DJ205" s="94"/>
      <c r="DK205" s="94"/>
      <c r="DL205" s="94"/>
      <c r="DM205" s="94"/>
      <c r="DN205" s="94"/>
      <c r="DO205" s="94"/>
      <c r="DP205" s="94"/>
      <c r="DQ205" s="94"/>
    </row>
    <row r="206" spans="1:121" ht="15" customHeight="1" outlineLevel="4" x14ac:dyDescent="0.3">
      <c r="A206" s="100"/>
      <c r="B206" s="100"/>
      <c r="C206" s="99">
        <v>5</v>
      </c>
      <c r="D206" s="98" t="s">
        <v>1193</v>
      </c>
      <c r="I206" s="106" t="s">
        <v>1083</v>
      </c>
      <c r="J206" s="106"/>
      <c r="K206" s="106"/>
      <c r="L206" s="106"/>
      <c r="M206" s="106"/>
      <c r="N206" s="106"/>
      <c r="O206" s="113"/>
      <c r="P206" s="113"/>
      <c r="Q206" s="97">
        <v>45296</v>
      </c>
      <c r="R206" s="97">
        <v>45304</v>
      </c>
      <c r="S206" s="71">
        <f>R206-Q206</f>
        <v>8</v>
      </c>
      <c r="T206" s="72">
        <v>9</v>
      </c>
      <c r="U206" s="72">
        <v>0</v>
      </c>
      <c r="V206" s="72">
        <v>9</v>
      </c>
      <c r="W206" s="72">
        <v>0</v>
      </c>
      <c r="AA206" s="73">
        <v>0</v>
      </c>
      <c r="AB206" s="72">
        <v>1</v>
      </c>
      <c r="AC206" s="111"/>
      <c r="AE206" s="96">
        <v>0</v>
      </c>
      <c r="AF206" s="95">
        <v>0</v>
      </c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 t="str">
        <f>"     " &amp; TEXT(AF206,"#0.00%") &amp; " " &amp; "Unit 포장" &amp; " " &amp; IF(Q206="","",TEXT(Q206,"M/D-")) &amp; IF(R206="","",TEXT(R206,"M/D")) &amp; " "</f>
        <v xml:space="preserve">     0.00% Unit 포장 1/5-1/13 </v>
      </c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  <c r="DF206" s="94"/>
      <c r="DG206" s="94"/>
      <c r="DH206" s="94"/>
      <c r="DI206" s="94"/>
      <c r="DJ206" s="94"/>
      <c r="DK206" s="94"/>
      <c r="DL206" s="94"/>
      <c r="DM206" s="94"/>
      <c r="DN206" s="94"/>
      <c r="DO206" s="94"/>
      <c r="DP206" s="94"/>
      <c r="DQ206" s="94"/>
    </row>
    <row r="207" spans="1:121" ht="15" customHeight="1" outlineLevel="4" x14ac:dyDescent="0.3">
      <c r="A207" s="100"/>
      <c r="B207" s="100"/>
      <c r="C207" s="99">
        <v>5</v>
      </c>
      <c r="D207" s="98" t="s">
        <v>1192</v>
      </c>
      <c r="I207" s="106" t="s">
        <v>1081</v>
      </c>
      <c r="J207" s="106"/>
      <c r="K207" s="106"/>
      <c r="L207" s="106"/>
      <c r="M207" s="106"/>
      <c r="N207" s="106"/>
      <c r="O207" s="113"/>
      <c r="P207" s="113"/>
      <c r="Q207" s="97">
        <v>45305</v>
      </c>
      <c r="R207" s="97">
        <v>45309</v>
      </c>
      <c r="S207" s="71">
        <f>R207-Q207</f>
        <v>4</v>
      </c>
      <c r="T207" s="72">
        <v>5</v>
      </c>
      <c r="U207" s="72">
        <v>0</v>
      </c>
      <c r="V207" s="72">
        <v>5</v>
      </c>
      <c r="W207" s="72">
        <v>0</v>
      </c>
      <c r="AA207" s="73">
        <v>0</v>
      </c>
      <c r="AB207" s="72">
        <v>1</v>
      </c>
      <c r="AC207" s="111"/>
      <c r="AE207" s="96">
        <v>0</v>
      </c>
      <c r="AF207" s="95">
        <v>0</v>
      </c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 t="str">
        <f>"" &amp; TEXT(AF207,"#0.00%") &amp; " " &amp; "Unit 운송" &amp; " " &amp; IF(Q207="","",TEXT(Q207,"M/D-")) &amp; IF(R207="","",TEXT(R207,"M/D")) &amp; " "</f>
        <v xml:space="preserve">0.00% Unit 운송 1/14-1/18 </v>
      </c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  <c r="DF207" s="94"/>
      <c r="DG207" s="94"/>
      <c r="DH207" s="94"/>
      <c r="DI207" s="94"/>
      <c r="DJ207" s="94"/>
      <c r="DK207" s="94"/>
      <c r="DL207" s="94"/>
      <c r="DM207" s="94"/>
      <c r="DN207" s="94"/>
      <c r="DO207" s="94"/>
      <c r="DP207" s="94"/>
      <c r="DQ207" s="94"/>
    </row>
    <row r="208" spans="1:121" ht="15" customHeight="1" outlineLevel="4" x14ac:dyDescent="0.3">
      <c r="A208" s="100"/>
      <c r="B208" s="100"/>
      <c r="C208" s="99">
        <v>5</v>
      </c>
      <c r="D208" s="98" t="s">
        <v>1191</v>
      </c>
      <c r="I208" s="106" t="s">
        <v>230</v>
      </c>
      <c r="J208" s="106"/>
      <c r="K208" s="106"/>
      <c r="L208" s="106"/>
      <c r="M208" s="106"/>
      <c r="N208" s="106"/>
      <c r="O208" s="113"/>
      <c r="P208" s="113"/>
      <c r="Q208" s="97">
        <v>45310</v>
      </c>
      <c r="R208" s="97">
        <v>45310</v>
      </c>
      <c r="S208" s="71">
        <f>R208-Q208+1</f>
        <v>1</v>
      </c>
      <c r="T208" s="72">
        <v>1</v>
      </c>
      <c r="U208" s="72">
        <v>0</v>
      </c>
      <c r="V208" s="72">
        <v>1</v>
      </c>
      <c r="W208" s="72">
        <v>0</v>
      </c>
      <c r="AA208" s="73">
        <v>0</v>
      </c>
      <c r="AB208" s="72">
        <v>1</v>
      </c>
      <c r="AC208" s="111"/>
      <c r="AE208" s="96">
        <v>0</v>
      </c>
      <c r="AF208" s="95">
        <v>0</v>
      </c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 t="str">
        <f>"     " &amp; TEXT(AF208,"#0.00%") &amp; " " &amp; "FOB" &amp; " " &amp; IF(Q208="","",TEXT(Q208,"M/D-")) &amp; IF(R208="","",TEXT(R208,"M/D")) &amp; " "</f>
        <v xml:space="preserve">     0.00% FOB 1/19-1/19 </v>
      </c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  <c r="DA208" s="94"/>
      <c r="DB208" s="94"/>
      <c r="DC208" s="94"/>
      <c r="DD208" s="94"/>
      <c r="DE208" s="94"/>
      <c r="DF208" s="94"/>
      <c r="DG208" s="94"/>
      <c r="DH208" s="94"/>
      <c r="DI208" s="94"/>
      <c r="DJ208" s="94"/>
      <c r="DK208" s="94"/>
      <c r="DL208" s="94"/>
      <c r="DM208" s="94"/>
      <c r="DN208" s="94"/>
      <c r="DO208" s="94"/>
      <c r="DP208" s="94"/>
      <c r="DQ208" s="94"/>
    </row>
    <row r="209" spans="1:121" ht="15" customHeight="1" outlineLevel="4" x14ac:dyDescent="0.3">
      <c r="A209" s="100"/>
      <c r="B209" s="100"/>
      <c r="C209" s="99">
        <v>5</v>
      </c>
      <c r="D209" s="98" t="s">
        <v>1190</v>
      </c>
      <c r="I209" s="106" t="s">
        <v>1077</v>
      </c>
      <c r="J209" s="106"/>
      <c r="K209" s="106"/>
      <c r="L209" s="106"/>
      <c r="M209" s="106"/>
      <c r="N209" s="106"/>
      <c r="O209" s="113"/>
      <c r="P209" s="113"/>
      <c r="Q209" s="97"/>
      <c r="R209" s="97"/>
      <c r="S209" s="71">
        <f>R209-Q209</f>
        <v>0</v>
      </c>
      <c r="T209" s="72">
        <v>0</v>
      </c>
      <c r="U209" s="72">
        <v>0</v>
      </c>
      <c r="V209" s="72">
        <v>0</v>
      </c>
      <c r="W209" s="72">
        <v>0</v>
      </c>
      <c r="Z209" s="74">
        <v>0</v>
      </c>
      <c r="AA209" s="73">
        <v>0</v>
      </c>
      <c r="AB209" s="72">
        <v>1</v>
      </c>
      <c r="AC209" s="111"/>
      <c r="AE209" s="96">
        <v>0</v>
      </c>
      <c r="AF209" s="102">
        <v>0</v>
      </c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  <c r="CW209" s="94"/>
      <c r="CX209" s="94"/>
      <c r="CY209" s="94"/>
      <c r="CZ209" s="94"/>
      <c r="DA209" s="94"/>
      <c r="DB209" s="94"/>
      <c r="DC209" s="94"/>
      <c r="DD209" s="94"/>
      <c r="DE209" s="94"/>
      <c r="DF209" s="94"/>
      <c r="DG209" s="94"/>
      <c r="DH209" s="94"/>
      <c r="DI209" s="94"/>
      <c r="DJ209" s="94"/>
      <c r="DK209" s="94"/>
      <c r="DL209" s="94"/>
      <c r="DM209" s="94"/>
      <c r="DN209" s="94"/>
      <c r="DO209" s="94"/>
      <c r="DP209" s="94"/>
      <c r="DQ209" s="94"/>
    </row>
    <row r="210" spans="1:121" ht="15" customHeight="1" outlineLevel="4" x14ac:dyDescent="0.3">
      <c r="A210" s="100"/>
      <c r="B210" s="100"/>
      <c r="C210" s="99">
        <v>5</v>
      </c>
      <c r="D210" s="98" t="s">
        <v>1189</v>
      </c>
      <c r="I210" s="106" t="s">
        <v>1075</v>
      </c>
      <c r="J210" s="106"/>
      <c r="K210" s="106"/>
      <c r="L210" s="106"/>
      <c r="M210" s="106"/>
      <c r="N210" s="106"/>
      <c r="O210" s="113"/>
      <c r="P210" s="113"/>
      <c r="Q210" s="97"/>
      <c r="R210" s="97"/>
      <c r="S210" s="71">
        <f>R210-Q210</f>
        <v>0</v>
      </c>
      <c r="T210" s="72">
        <v>0</v>
      </c>
      <c r="U210" s="72">
        <v>0</v>
      </c>
      <c r="V210" s="72">
        <v>0</v>
      </c>
      <c r="W210" s="72">
        <v>0</v>
      </c>
      <c r="Z210" s="74">
        <v>0</v>
      </c>
      <c r="AA210" s="73">
        <v>0</v>
      </c>
      <c r="AB210" s="72">
        <v>1</v>
      </c>
      <c r="AC210" s="111"/>
      <c r="AE210" s="96">
        <v>0</v>
      </c>
      <c r="AF210" s="102">
        <v>0</v>
      </c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  <c r="CW210" s="94"/>
      <c r="CX210" s="94"/>
      <c r="CY210" s="94"/>
      <c r="CZ210" s="94"/>
      <c r="DA210" s="94"/>
      <c r="DB210" s="94"/>
      <c r="DC210" s="94"/>
      <c r="DD210" s="94"/>
      <c r="DE210" s="94"/>
      <c r="DF210" s="94"/>
      <c r="DG210" s="94"/>
      <c r="DH210" s="94"/>
      <c r="DI210" s="94"/>
      <c r="DJ210" s="94"/>
      <c r="DK210" s="94"/>
      <c r="DL210" s="94"/>
      <c r="DM210" s="94"/>
      <c r="DN210" s="94"/>
      <c r="DO210" s="94"/>
      <c r="DP210" s="94"/>
      <c r="DQ210" s="94"/>
    </row>
    <row r="211" spans="1:121" ht="15" customHeight="1" outlineLevel="3" x14ac:dyDescent="0.3">
      <c r="A211" s="100"/>
      <c r="B211" s="100" t="s">
        <v>298</v>
      </c>
      <c r="C211" s="99">
        <v>4</v>
      </c>
      <c r="D211" s="126" t="s">
        <v>1188</v>
      </c>
      <c r="E211" s="125"/>
      <c r="F211" s="125"/>
      <c r="G211" s="125"/>
      <c r="H211" s="77" t="s">
        <v>1187</v>
      </c>
      <c r="I211" s="106"/>
      <c r="J211" s="106"/>
      <c r="K211" s="124"/>
      <c r="L211" s="124"/>
      <c r="M211" s="124"/>
      <c r="N211" s="124"/>
      <c r="O211" s="123"/>
      <c r="P211" s="123"/>
      <c r="Q211" s="97">
        <v>45296</v>
      </c>
      <c r="R211" s="97">
        <v>45310</v>
      </c>
      <c r="S211" s="122"/>
      <c r="T211" s="118">
        <v>15</v>
      </c>
      <c r="U211" s="118">
        <v>0</v>
      </c>
      <c r="V211" s="118">
        <v>15</v>
      </c>
      <c r="W211" s="118">
        <v>0</v>
      </c>
      <c r="X211" s="121"/>
      <c r="Y211" s="121"/>
      <c r="Z211" s="120">
        <v>0</v>
      </c>
      <c r="AA211" s="119">
        <v>0</v>
      </c>
      <c r="AB211" s="118"/>
      <c r="AC211" s="117"/>
      <c r="AD211" s="116"/>
      <c r="AE211" s="115">
        <v>0</v>
      </c>
      <c r="AF211" s="101">
        <v>0</v>
      </c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 t="str">
        <f>"     " &amp; TEXT(AF211,"#0.00%") &amp; " " &amp; "2동 고온#2 Rack" &amp; " " &amp; IF(Q211="","",TEXT(Q211,"M/D-")) &amp; IF(R211="","",TEXT(R211,"M/D")) &amp; " "</f>
        <v xml:space="preserve">     0.00% 2동 고온#2 Rack 1/5-1/19 </v>
      </c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  <c r="DA211" s="94"/>
      <c r="DB211" s="94"/>
      <c r="DC211" s="94"/>
      <c r="DD211" s="94"/>
      <c r="DE211" s="94"/>
      <c r="DF211" s="94"/>
      <c r="DG211" s="94"/>
      <c r="DH211" s="94"/>
      <c r="DI211" s="94"/>
      <c r="DJ211" s="94"/>
      <c r="DK211" s="94"/>
      <c r="DL211" s="94"/>
      <c r="DM211" s="94"/>
      <c r="DN211" s="94"/>
      <c r="DO211" s="94"/>
      <c r="DP211" s="94"/>
      <c r="DQ211" s="94"/>
    </row>
    <row r="212" spans="1:121" ht="15" customHeight="1" outlineLevel="4" x14ac:dyDescent="0.3">
      <c r="A212" s="100"/>
      <c r="B212" s="100"/>
      <c r="C212" s="99">
        <v>5</v>
      </c>
      <c r="D212" s="98" t="s">
        <v>1186</v>
      </c>
      <c r="I212" s="106" t="s">
        <v>1083</v>
      </c>
      <c r="J212" s="106"/>
      <c r="K212" s="106"/>
      <c r="L212" s="106"/>
      <c r="M212" s="106"/>
      <c r="N212" s="106"/>
      <c r="O212" s="113"/>
      <c r="P212" s="113"/>
      <c r="Q212" s="97">
        <v>45296</v>
      </c>
      <c r="R212" s="97">
        <v>45304</v>
      </c>
      <c r="S212" s="71">
        <f>R212-Q212</f>
        <v>8</v>
      </c>
      <c r="T212" s="72">
        <v>9</v>
      </c>
      <c r="U212" s="72">
        <v>0</v>
      </c>
      <c r="V212" s="72">
        <v>9</v>
      </c>
      <c r="W212" s="72">
        <v>0</v>
      </c>
      <c r="AA212" s="73">
        <v>0</v>
      </c>
      <c r="AB212" s="72">
        <v>1</v>
      </c>
      <c r="AC212" s="111"/>
      <c r="AE212" s="96">
        <v>0</v>
      </c>
      <c r="AF212" s="95">
        <v>0</v>
      </c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 t="str">
        <f>"     " &amp; TEXT(AF212,"#0.00%") &amp; " " &amp; "Unit 포장" &amp; " " &amp; IF(Q212="","",TEXT(Q212,"M/D-")) &amp; IF(R212="","",TEXT(R212,"M/D")) &amp; " "</f>
        <v xml:space="preserve">     0.00% Unit 포장 1/5-1/13 </v>
      </c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  <c r="DA212" s="94"/>
      <c r="DB212" s="94"/>
      <c r="DC212" s="94"/>
      <c r="DD212" s="94"/>
      <c r="DE212" s="94"/>
      <c r="DF212" s="94"/>
      <c r="DG212" s="94"/>
      <c r="DH212" s="94"/>
      <c r="DI212" s="94"/>
      <c r="DJ212" s="94"/>
      <c r="DK212" s="94"/>
      <c r="DL212" s="94"/>
      <c r="DM212" s="94"/>
      <c r="DN212" s="94"/>
      <c r="DO212" s="94"/>
      <c r="DP212" s="94"/>
      <c r="DQ212" s="94"/>
    </row>
    <row r="213" spans="1:121" ht="15" customHeight="1" outlineLevel="4" x14ac:dyDescent="0.3">
      <c r="A213" s="100"/>
      <c r="B213" s="100"/>
      <c r="C213" s="99">
        <v>5</v>
      </c>
      <c r="D213" s="98" t="s">
        <v>1185</v>
      </c>
      <c r="I213" s="106" t="s">
        <v>1081</v>
      </c>
      <c r="J213" s="106"/>
      <c r="K213" s="106"/>
      <c r="L213" s="106"/>
      <c r="M213" s="106"/>
      <c r="N213" s="106"/>
      <c r="O213" s="113"/>
      <c r="P213" s="113"/>
      <c r="Q213" s="97">
        <v>45305</v>
      </c>
      <c r="R213" s="97">
        <v>45309</v>
      </c>
      <c r="S213" s="71">
        <f>R213-Q213</f>
        <v>4</v>
      </c>
      <c r="T213" s="72">
        <v>5</v>
      </c>
      <c r="U213" s="72">
        <v>0</v>
      </c>
      <c r="V213" s="72">
        <v>5</v>
      </c>
      <c r="W213" s="72">
        <v>0</v>
      </c>
      <c r="AA213" s="73">
        <v>0</v>
      </c>
      <c r="AB213" s="72">
        <v>1</v>
      </c>
      <c r="AC213" s="111"/>
      <c r="AE213" s="96">
        <v>0</v>
      </c>
      <c r="AF213" s="95">
        <v>0</v>
      </c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 t="str">
        <f>"" &amp; TEXT(AF213,"#0.00%") &amp; " " &amp; "Unit 운송" &amp; " " &amp; IF(Q213="","",TEXT(Q213,"M/D-")) &amp; IF(R213="","",TEXT(R213,"M/D")) &amp; " "</f>
        <v xml:space="preserve">0.00% Unit 운송 1/14-1/18 </v>
      </c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  <c r="CW213" s="94"/>
      <c r="CX213" s="94"/>
      <c r="CY213" s="94"/>
      <c r="CZ213" s="94"/>
      <c r="DA213" s="94"/>
      <c r="DB213" s="94"/>
      <c r="DC213" s="94"/>
      <c r="DD213" s="94"/>
      <c r="DE213" s="94"/>
      <c r="DF213" s="94"/>
      <c r="DG213" s="94"/>
      <c r="DH213" s="94"/>
      <c r="DI213" s="94"/>
      <c r="DJ213" s="94"/>
      <c r="DK213" s="94"/>
      <c r="DL213" s="94"/>
      <c r="DM213" s="94"/>
      <c r="DN213" s="94"/>
      <c r="DO213" s="94"/>
      <c r="DP213" s="94"/>
      <c r="DQ213" s="94"/>
    </row>
    <row r="214" spans="1:121" ht="15" customHeight="1" outlineLevel="4" x14ac:dyDescent="0.3">
      <c r="A214" s="100"/>
      <c r="B214" s="100"/>
      <c r="C214" s="99">
        <v>5</v>
      </c>
      <c r="D214" s="98" t="s">
        <v>1184</v>
      </c>
      <c r="I214" s="106" t="s">
        <v>230</v>
      </c>
      <c r="J214" s="106"/>
      <c r="K214" s="106"/>
      <c r="L214" s="106"/>
      <c r="M214" s="106"/>
      <c r="N214" s="106"/>
      <c r="O214" s="113"/>
      <c r="P214" s="113"/>
      <c r="Q214" s="97">
        <v>45310</v>
      </c>
      <c r="R214" s="97">
        <v>45310</v>
      </c>
      <c r="S214" s="71">
        <f>R214-Q214+1</f>
        <v>1</v>
      </c>
      <c r="T214" s="72">
        <v>1</v>
      </c>
      <c r="U214" s="72">
        <v>0</v>
      </c>
      <c r="V214" s="72">
        <v>1</v>
      </c>
      <c r="W214" s="72">
        <v>0</v>
      </c>
      <c r="AA214" s="73">
        <v>0</v>
      </c>
      <c r="AB214" s="72">
        <v>1</v>
      </c>
      <c r="AC214" s="111"/>
      <c r="AE214" s="96">
        <v>0</v>
      </c>
      <c r="AF214" s="95">
        <v>0</v>
      </c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 t="str">
        <f>"     " &amp; TEXT(AF214,"#0.00%") &amp; " " &amp; "FOB" &amp; " " &amp; IF(Q214="","",TEXT(Q214,"M/D-")) &amp; IF(R214="","",TEXT(R214,"M/D")) &amp; " "</f>
        <v xml:space="preserve">     0.00% FOB 1/19-1/19 </v>
      </c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  <c r="CW214" s="94"/>
      <c r="CX214" s="94"/>
      <c r="CY214" s="94"/>
      <c r="CZ214" s="94"/>
      <c r="DA214" s="94"/>
      <c r="DB214" s="94"/>
      <c r="DC214" s="94"/>
      <c r="DD214" s="94"/>
      <c r="DE214" s="94"/>
      <c r="DF214" s="94"/>
      <c r="DG214" s="94"/>
      <c r="DH214" s="94"/>
      <c r="DI214" s="94"/>
      <c r="DJ214" s="94"/>
      <c r="DK214" s="94"/>
      <c r="DL214" s="94"/>
      <c r="DM214" s="94"/>
      <c r="DN214" s="94"/>
      <c r="DO214" s="94"/>
      <c r="DP214" s="94"/>
      <c r="DQ214" s="94"/>
    </row>
    <row r="215" spans="1:121" ht="15" customHeight="1" outlineLevel="4" x14ac:dyDescent="0.3">
      <c r="A215" s="100"/>
      <c r="B215" s="100"/>
      <c r="C215" s="99">
        <v>5</v>
      </c>
      <c r="D215" s="98" t="s">
        <v>1183</v>
      </c>
      <c r="I215" s="106" t="s">
        <v>1077</v>
      </c>
      <c r="J215" s="106"/>
      <c r="K215" s="106"/>
      <c r="L215" s="106"/>
      <c r="M215" s="106"/>
      <c r="N215" s="106"/>
      <c r="O215" s="113"/>
      <c r="P215" s="113"/>
      <c r="Q215" s="97"/>
      <c r="R215" s="97"/>
      <c r="S215" s="71">
        <f>R215-Q215</f>
        <v>0</v>
      </c>
      <c r="T215" s="72">
        <v>0</v>
      </c>
      <c r="U215" s="72">
        <v>0</v>
      </c>
      <c r="V215" s="72">
        <v>0</v>
      </c>
      <c r="W215" s="72">
        <v>0</v>
      </c>
      <c r="Z215" s="74">
        <v>0</v>
      </c>
      <c r="AA215" s="73">
        <v>0</v>
      </c>
      <c r="AB215" s="72">
        <v>1</v>
      </c>
      <c r="AC215" s="111"/>
      <c r="AE215" s="96">
        <v>0</v>
      </c>
      <c r="AF215" s="102">
        <v>0</v>
      </c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  <c r="CW215" s="94"/>
      <c r="CX215" s="94"/>
      <c r="CY215" s="94"/>
      <c r="CZ215" s="94"/>
      <c r="DA215" s="94"/>
      <c r="DB215" s="94"/>
      <c r="DC215" s="94"/>
      <c r="DD215" s="94"/>
      <c r="DE215" s="94"/>
      <c r="DF215" s="94"/>
      <c r="DG215" s="94"/>
      <c r="DH215" s="94"/>
      <c r="DI215" s="94"/>
      <c r="DJ215" s="94"/>
      <c r="DK215" s="94"/>
      <c r="DL215" s="94"/>
      <c r="DM215" s="94"/>
      <c r="DN215" s="94"/>
      <c r="DO215" s="94"/>
      <c r="DP215" s="94"/>
      <c r="DQ215" s="94"/>
    </row>
    <row r="216" spans="1:121" ht="15" customHeight="1" outlineLevel="4" x14ac:dyDescent="0.3">
      <c r="A216" s="100"/>
      <c r="B216" s="100"/>
      <c r="C216" s="99">
        <v>5</v>
      </c>
      <c r="D216" s="98" t="s">
        <v>1182</v>
      </c>
      <c r="I216" s="106" t="s">
        <v>1075</v>
      </c>
      <c r="J216" s="106"/>
      <c r="K216" s="106"/>
      <c r="L216" s="106"/>
      <c r="M216" s="106"/>
      <c r="N216" s="106"/>
      <c r="O216" s="113"/>
      <c r="P216" s="113"/>
      <c r="Q216" s="97"/>
      <c r="R216" s="97"/>
      <c r="S216" s="71">
        <f>R216-Q216</f>
        <v>0</v>
      </c>
      <c r="T216" s="72">
        <v>0</v>
      </c>
      <c r="U216" s="72">
        <v>0</v>
      </c>
      <c r="V216" s="72">
        <v>0</v>
      </c>
      <c r="W216" s="72">
        <v>0</v>
      </c>
      <c r="Z216" s="74">
        <v>0</v>
      </c>
      <c r="AA216" s="73">
        <v>0</v>
      </c>
      <c r="AB216" s="72">
        <v>1</v>
      </c>
      <c r="AC216" s="111"/>
      <c r="AE216" s="96">
        <v>0</v>
      </c>
      <c r="AF216" s="102">
        <v>0</v>
      </c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  <c r="CW216" s="94"/>
      <c r="CX216" s="94"/>
      <c r="CY216" s="94"/>
      <c r="CZ216" s="94"/>
      <c r="DA216" s="94"/>
      <c r="DB216" s="94"/>
      <c r="DC216" s="94"/>
      <c r="DD216" s="94"/>
      <c r="DE216" s="94"/>
      <c r="DF216" s="94"/>
      <c r="DG216" s="94"/>
      <c r="DH216" s="94"/>
      <c r="DI216" s="94"/>
      <c r="DJ216" s="94"/>
      <c r="DK216" s="94"/>
      <c r="DL216" s="94"/>
      <c r="DM216" s="94"/>
      <c r="DN216" s="94"/>
      <c r="DO216" s="94"/>
      <c r="DP216" s="94"/>
      <c r="DQ216" s="94"/>
    </row>
    <row r="217" spans="1:121" ht="15" customHeight="1" outlineLevel="3" x14ac:dyDescent="0.3">
      <c r="A217" s="100"/>
      <c r="B217" s="100" t="s">
        <v>298</v>
      </c>
      <c r="C217" s="99">
        <v>4</v>
      </c>
      <c r="D217" s="126" t="s">
        <v>1181</v>
      </c>
      <c r="E217" s="125"/>
      <c r="F217" s="125"/>
      <c r="G217" s="125"/>
      <c r="H217" s="77" t="s">
        <v>1180</v>
      </c>
      <c r="I217" s="106"/>
      <c r="J217" s="106"/>
      <c r="K217" s="124"/>
      <c r="L217" s="124"/>
      <c r="M217" s="124"/>
      <c r="N217" s="124"/>
      <c r="O217" s="123"/>
      <c r="P217" s="123"/>
      <c r="Q217" s="97">
        <v>45296</v>
      </c>
      <c r="R217" s="97">
        <v>45310</v>
      </c>
      <c r="S217" s="122"/>
      <c r="T217" s="118">
        <v>15</v>
      </c>
      <c r="U217" s="118">
        <v>0</v>
      </c>
      <c r="V217" s="118">
        <v>15</v>
      </c>
      <c r="W217" s="118">
        <v>0</v>
      </c>
      <c r="X217" s="121"/>
      <c r="Y217" s="121"/>
      <c r="Z217" s="120">
        <v>0</v>
      </c>
      <c r="AA217" s="119">
        <v>0</v>
      </c>
      <c r="AB217" s="118"/>
      <c r="AC217" s="117"/>
      <c r="AD217" s="116"/>
      <c r="AE217" s="115">
        <v>0</v>
      </c>
      <c r="AF217" s="101">
        <v>0</v>
      </c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 t="str">
        <f>"     " &amp; TEXT(AF217,"#0.00%") &amp; " " &amp; "2동 PPC,충방전 Rack&amp;Deck" &amp; " " &amp; IF(Q217="","",TEXT(Q217,"M/D-")) &amp; IF(R217="","",TEXT(R217,"M/D")) &amp; " "</f>
        <v xml:space="preserve">     0.00% 2동 PPC,충방전 Rack&amp;Deck 1/5-1/19 </v>
      </c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4"/>
      <c r="CX217" s="94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4"/>
      <c r="DJ217" s="94"/>
      <c r="DK217" s="94"/>
      <c r="DL217" s="94"/>
      <c r="DM217" s="94"/>
      <c r="DN217" s="94"/>
      <c r="DO217" s="94"/>
      <c r="DP217" s="94"/>
      <c r="DQ217" s="94"/>
    </row>
    <row r="218" spans="1:121" ht="15" customHeight="1" outlineLevel="4" x14ac:dyDescent="0.3">
      <c r="A218" s="100"/>
      <c r="B218" s="100"/>
      <c r="C218" s="99">
        <v>5</v>
      </c>
      <c r="D218" s="98" t="s">
        <v>1179</v>
      </c>
      <c r="I218" s="106" t="s">
        <v>1083</v>
      </c>
      <c r="J218" s="106"/>
      <c r="K218" s="106"/>
      <c r="L218" s="106"/>
      <c r="M218" s="106"/>
      <c r="N218" s="106"/>
      <c r="O218" s="113"/>
      <c r="P218" s="113"/>
      <c r="Q218" s="97">
        <v>45296</v>
      </c>
      <c r="R218" s="97">
        <v>45304</v>
      </c>
      <c r="S218" s="71">
        <f>R218-Q218</f>
        <v>8</v>
      </c>
      <c r="T218" s="72">
        <v>9</v>
      </c>
      <c r="U218" s="72">
        <v>0</v>
      </c>
      <c r="V218" s="72">
        <v>9</v>
      </c>
      <c r="W218" s="72">
        <v>0</v>
      </c>
      <c r="AA218" s="73">
        <v>0</v>
      </c>
      <c r="AB218" s="72">
        <v>1</v>
      </c>
      <c r="AC218" s="111"/>
      <c r="AE218" s="96">
        <v>0</v>
      </c>
      <c r="AF218" s="95">
        <v>0</v>
      </c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 t="str">
        <f>"     " &amp; TEXT(AF218,"#0.00%") &amp; " " &amp; "Unit 포장" &amp; " " &amp; IF(Q218="","",TEXT(Q218,"M/D-")) &amp; IF(R218="","",TEXT(R218,"M/D")) &amp; " "</f>
        <v xml:space="preserve">     0.00% Unit 포장 1/5-1/13 </v>
      </c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4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4"/>
      <c r="DJ218" s="94"/>
      <c r="DK218" s="94"/>
      <c r="DL218" s="94"/>
      <c r="DM218" s="94"/>
      <c r="DN218" s="94"/>
      <c r="DO218" s="94"/>
      <c r="DP218" s="94"/>
      <c r="DQ218" s="94"/>
    </row>
    <row r="219" spans="1:121" ht="15" customHeight="1" outlineLevel="4" x14ac:dyDescent="0.3">
      <c r="A219" s="100"/>
      <c r="B219" s="100"/>
      <c r="C219" s="99">
        <v>5</v>
      </c>
      <c r="D219" s="98" t="s">
        <v>1178</v>
      </c>
      <c r="I219" s="106" t="s">
        <v>1081</v>
      </c>
      <c r="J219" s="106"/>
      <c r="K219" s="106"/>
      <c r="L219" s="106"/>
      <c r="M219" s="106"/>
      <c r="N219" s="106"/>
      <c r="O219" s="113"/>
      <c r="P219" s="113"/>
      <c r="Q219" s="97">
        <v>45305</v>
      </c>
      <c r="R219" s="97">
        <v>45309</v>
      </c>
      <c r="S219" s="71">
        <f>R219-Q219</f>
        <v>4</v>
      </c>
      <c r="T219" s="72">
        <v>5</v>
      </c>
      <c r="U219" s="72">
        <v>0</v>
      </c>
      <c r="V219" s="72">
        <v>5</v>
      </c>
      <c r="W219" s="72">
        <v>0</v>
      </c>
      <c r="AA219" s="73">
        <v>0</v>
      </c>
      <c r="AB219" s="72">
        <v>1</v>
      </c>
      <c r="AC219" s="111"/>
      <c r="AE219" s="96">
        <v>0</v>
      </c>
      <c r="AF219" s="95">
        <v>0</v>
      </c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 t="str">
        <f>"" &amp; TEXT(AF219,"#0.00%") &amp; " " &amp; "Unit 운송" &amp; " " &amp; IF(Q219="","",TEXT(Q219,"M/D-")) &amp; IF(R219="","",TEXT(R219,"M/D")) &amp; " "</f>
        <v xml:space="preserve">0.00% Unit 운송 1/14-1/18 </v>
      </c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  <c r="CW219" s="94"/>
      <c r="CX219" s="94"/>
      <c r="CY219" s="94"/>
      <c r="CZ219" s="94"/>
      <c r="DA219" s="94"/>
      <c r="DB219" s="94"/>
      <c r="DC219" s="94"/>
      <c r="DD219" s="94"/>
      <c r="DE219" s="94"/>
      <c r="DF219" s="94"/>
      <c r="DG219" s="94"/>
      <c r="DH219" s="94"/>
      <c r="DI219" s="94"/>
      <c r="DJ219" s="94"/>
      <c r="DK219" s="94"/>
      <c r="DL219" s="94"/>
      <c r="DM219" s="94"/>
      <c r="DN219" s="94"/>
      <c r="DO219" s="94"/>
      <c r="DP219" s="94"/>
      <c r="DQ219" s="94"/>
    </row>
    <row r="220" spans="1:121" ht="15" customHeight="1" outlineLevel="4" x14ac:dyDescent="0.3">
      <c r="A220" s="100"/>
      <c r="B220" s="100"/>
      <c r="C220" s="99">
        <v>5</v>
      </c>
      <c r="D220" s="98" t="s">
        <v>1177</v>
      </c>
      <c r="I220" s="106" t="s">
        <v>230</v>
      </c>
      <c r="J220" s="106"/>
      <c r="K220" s="106"/>
      <c r="L220" s="106"/>
      <c r="M220" s="106"/>
      <c r="N220" s="106"/>
      <c r="O220" s="113"/>
      <c r="P220" s="113"/>
      <c r="Q220" s="97">
        <v>45310</v>
      </c>
      <c r="R220" s="97">
        <v>45310</v>
      </c>
      <c r="S220" s="71">
        <f>R220-Q220+1</f>
        <v>1</v>
      </c>
      <c r="T220" s="72">
        <v>1</v>
      </c>
      <c r="U220" s="72">
        <v>0</v>
      </c>
      <c r="V220" s="72">
        <v>1</v>
      </c>
      <c r="W220" s="72">
        <v>0</v>
      </c>
      <c r="AA220" s="73">
        <v>0</v>
      </c>
      <c r="AB220" s="72">
        <v>1</v>
      </c>
      <c r="AC220" s="111"/>
      <c r="AE220" s="96">
        <v>0</v>
      </c>
      <c r="AF220" s="95">
        <v>0</v>
      </c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 t="str">
        <f>"     " &amp; TEXT(AF220,"#0.00%") &amp; " " &amp; "FOB" &amp; " " &amp; IF(Q220="","",TEXT(Q220,"M/D-")) &amp; IF(R220="","",TEXT(R220,"M/D")) &amp; " "</f>
        <v xml:space="preserve">     0.00% FOB 1/19-1/19 </v>
      </c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  <c r="CT220" s="94"/>
      <c r="CU220" s="94"/>
      <c r="CV220" s="94"/>
      <c r="CW220" s="94"/>
      <c r="CX220" s="94"/>
      <c r="CY220" s="94"/>
      <c r="CZ220" s="94"/>
      <c r="DA220" s="94"/>
      <c r="DB220" s="94"/>
      <c r="DC220" s="94"/>
      <c r="DD220" s="94"/>
      <c r="DE220" s="94"/>
      <c r="DF220" s="94"/>
      <c r="DG220" s="94"/>
      <c r="DH220" s="94"/>
      <c r="DI220" s="94"/>
      <c r="DJ220" s="94"/>
      <c r="DK220" s="94"/>
      <c r="DL220" s="94"/>
      <c r="DM220" s="94"/>
      <c r="DN220" s="94"/>
      <c r="DO220" s="94"/>
      <c r="DP220" s="94"/>
      <c r="DQ220" s="94"/>
    </row>
    <row r="221" spans="1:121" ht="15" customHeight="1" outlineLevel="4" x14ac:dyDescent="0.3">
      <c r="A221" s="100"/>
      <c r="B221" s="100"/>
      <c r="C221" s="99">
        <v>5</v>
      </c>
      <c r="D221" s="98" t="s">
        <v>1176</v>
      </c>
      <c r="I221" s="106" t="s">
        <v>1077</v>
      </c>
      <c r="J221" s="106"/>
      <c r="K221" s="106"/>
      <c r="L221" s="106"/>
      <c r="M221" s="106"/>
      <c r="N221" s="106"/>
      <c r="O221" s="113"/>
      <c r="P221" s="113"/>
      <c r="Q221" s="97"/>
      <c r="R221" s="97"/>
      <c r="S221" s="71">
        <f>R221-Q221</f>
        <v>0</v>
      </c>
      <c r="T221" s="72">
        <v>0</v>
      </c>
      <c r="U221" s="72">
        <v>0</v>
      </c>
      <c r="V221" s="72">
        <v>0</v>
      </c>
      <c r="W221" s="72">
        <v>0</v>
      </c>
      <c r="Z221" s="74">
        <v>0</v>
      </c>
      <c r="AA221" s="73">
        <v>0</v>
      </c>
      <c r="AB221" s="72">
        <v>1</v>
      </c>
      <c r="AC221" s="111"/>
      <c r="AE221" s="96">
        <v>0</v>
      </c>
      <c r="AF221" s="102">
        <v>0</v>
      </c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  <c r="CW221" s="94"/>
      <c r="CX221" s="94"/>
      <c r="CY221" s="94"/>
      <c r="CZ221" s="94"/>
      <c r="DA221" s="94"/>
      <c r="DB221" s="94"/>
      <c r="DC221" s="94"/>
      <c r="DD221" s="94"/>
      <c r="DE221" s="94"/>
      <c r="DF221" s="94"/>
      <c r="DG221" s="94"/>
      <c r="DH221" s="94"/>
      <c r="DI221" s="94"/>
      <c r="DJ221" s="94"/>
      <c r="DK221" s="94"/>
      <c r="DL221" s="94"/>
      <c r="DM221" s="94"/>
      <c r="DN221" s="94"/>
      <c r="DO221" s="94"/>
      <c r="DP221" s="94"/>
      <c r="DQ221" s="94"/>
    </row>
    <row r="222" spans="1:121" ht="15" customHeight="1" outlineLevel="4" x14ac:dyDescent="0.3">
      <c r="A222" s="100"/>
      <c r="B222" s="100"/>
      <c r="C222" s="99">
        <v>5</v>
      </c>
      <c r="D222" s="98" t="s">
        <v>1175</v>
      </c>
      <c r="I222" s="106" t="s">
        <v>1075</v>
      </c>
      <c r="J222" s="106"/>
      <c r="K222" s="106"/>
      <c r="L222" s="106"/>
      <c r="M222" s="106"/>
      <c r="N222" s="106"/>
      <c r="O222" s="113"/>
      <c r="P222" s="113"/>
      <c r="Q222" s="97"/>
      <c r="R222" s="97"/>
      <c r="S222" s="71">
        <f>R222-Q222</f>
        <v>0</v>
      </c>
      <c r="T222" s="72">
        <v>0</v>
      </c>
      <c r="U222" s="72">
        <v>0</v>
      </c>
      <c r="V222" s="72">
        <v>0</v>
      </c>
      <c r="W222" s="72">
        <v>0</v>
      </c>
      <c r="Z222" s="74">
        <v>0</v>
      </c>
      <c r="AA222" s="73">
        <v>0</v>
      </c>
      <c r="AB222" s="72">
        <v>1</v>
      </c>
      <c r="AC222" s="111"/>
      <c r="AE222" s="96">
        <v>0</v>
      </c>
      <c r="AF222" s="102">
        <v>0</v>
      </c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  <c r="CW222" s="94"/>
      <c r="CX222" s="94"/>
      <c r="CY222" s="94"/>
      <c r="CZ222" s="94"/>
      <c r="DA222" s="94"/>
      <c r="DB222" s="94"/>
      <c r="DC222" s="94"/>
      <c r="DD222" s="94"/>
      <c r="DE222" s="94"/>
      <c r="DF222" s="94"/>
      <c r="DG222" s="94"/>
      <c r="DH222" s="94"/>
      <c r="DI222" s="94"/>
      <c r="DJ222" s="94"/>
      <c r="DK222" s="94"/>
      <c r="DL222" s="94"/>
      <c r="DM222" s="94"/>
      <c r="DN222" s="94"/>
      <c r="DO222" s="94"/>
      <c r="DP222" s="94"/>
      <c r="DQ222" s="94"/>
    </row>
    <row r="223" spans="1:121" ht="15" customHeight="1" outlineLevel="3" x14ac:dyDescent="0.3">
      <c r="A223" s="100"/>
      <c r="B223" s="100" t="s">
        <v>298</v>
      </c>
      <c r="C223" s="99">
        <v>4</v>
      </c>
      <c r="D223" s="126" t="s">
        <v>1174</v>
      </c>
      <c r="E223" s="125"/>
      <c r="F223" s="125"/>
      <c r="G223" s="125"/>
      <c r="H223" s="77" t="s">
        <v>1173</v>
      </c>
      <c r="I223" s="106"/>
      <c r="J223" s="106"/>
      <c r="K223" s="124"/>
      <c r="L223" s="124"/>
      <c r="M223" s="124"/>
      <c r="N223" s="124"/>
      <c r="O223" s="123"/>
      <c r="P223" s="123"/>
      <c r="Q223" s="97">
        <v>45296</v>
      </c>
      <c r="R223" s="97">
        <v>45310</v>
      </c>
      <c r="S223" s="122"/>
      <c r="T223" s="118">
        <v>15</v>
      </c>
      <c r="U223" s="118">
        <v>0</v>
      </c>
      <c r="V223" s="118">
        <v>15</v>
      </c>
      <c r="W223" s="118">
        <v>0</v>
      </c>
      <c r="X223" s="121"/>
      <c r="Y223" s="121"/>
      <c r="Z223" s="120">
        <v>0</v>
      </c>
      <c r="AA223" s="119">
        <v>0</v>
      </c>
      <c r="AB223" s="118"/>
      <c r="AC223" s="117"/>
      <c r="AD223" s="116"/>
      <c r="AE223" s="115">
        <v>0</v>
      </c>
      <c r="AF223" s="101">
        <v>0</v>
      </c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 t="str">
        <f>"     " &amp; TEXT(AF223,"#0.00%") &amp; " " &amp; "2동 공tray Rack&amp;Deck" &amp; " " &amp; IF(Q223="","",TEXT(Q223,"M/D-")) &amp; IF(R223="","",TEXT(R223,"M/D")) &amp; " "</f>
        <v xml:space="preserve">     0.00% 2동 공tray Rack&amp;Deck 1/5-1/19 </v>
      </c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  <c r="CW223" s="94"/>
      <c r="CX223" s="94"/>
      <c r="CY223" s="94"/>
      <c r="CZ223" s="94"/>
      <c r="DA223" s="94"/>
      <c r="DB223" s="94"/>
      <c r="DC223" s="94"/>
      <c r="DD223" s="94"/>
      <c r="DE223" s="94"/>
      <c r="DF223" s="94"/>
      <c r="DG223" s="94"/>
      <c r="DH223" s="94"/>
      <c r="DI223" s="94"/>
      <c r="DJ223" s="94"/>
      <c r="DK223" s="94"/>
      <c r="DL223" s="94"/>
      <c r="DM223" s="94"/>
      <c r="DN223" s="94"/>
      <c r="DO223" s="94"/>
      <c r="DP223" s="94"/>
      <c r="DQ223" s="94"/>
    </row>
    <row r="224" spans="1:121" ht="15" customHeight="1" outlineLevel="4" x14ac:dyDescent="0.3">
      <c r="A224" s="100"/>
      <c r="B224" s="100"/>
      <c r="C224" s="99">
        <v>5</v>
      </c>
      <c r="D224" s="98" t="s">
        <v>1172</v>
      </c>
      <c r="I224" s="106" t="s">
        <v>1083</v>
      </c>
      <c r="J224" s="106"/>
      <c r="K224" s="106"/>
      <c r="L224" s="106"/>
      <c r="M224" s="106"/>
      <c r="N224" s="106"/>
      <c r="O224" s="113"/>
      <c r="P224" s="113"/>
      <c r="Q224" s="97">
        <v>45296</v>
      </c>
      <c r="R224" s="97">
        <v>45304</v>
      </c>
      <c r="S224" s="71">
        <f>R224-Q224</f>
        <v>8</v>
      </c>
      <c r="T224" s="72">
        <v>9</v>
      </c>
      <c r="U224" s="72">
        <v>0</v>
      </c>
      <c r="V224" s="72">
        <v>9</v>
      </c>
      <c r="W224" s="72">
        <v>0</v>
      </c>
      <c r="AA224" s="73">
        <v>0</v>
      </c>
      <c r="AB224" s="72">
        <v>1</v>
      </c>
      <c r="AC224" s="111"/>
      <c r="AE224" s="96">
        <v>0</v>
      </c>
      <c r="AF224" s="95">
        <v>0</v>
      </c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 t="str">
        <f>"     " &amp; TEXT(AF224,"#0.00%") &amp; " " &amp; "Unit 포장" &amp; " " &amp; IF(Q224="","",TEXT(Q224,"M/D-")) &amp; IF(R224="","",TEXT(R224,"M/D")) &amp; " "</f>
        <v xml:space="preserve">     0.00% Unit 포장 1/5-1/13 </v>
      </c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  <c r="CW224" s="94"/>
      <c r="CX224" s="94"/>
      <c r="CY224" s="94"/>
      <c r="CZ224" s="94"/>
      <c r="DA224" s="94"/>
      <c r="DB224" s="94"/>
      <c r="DC224" s="94"/>
      <c r="DD224" s="94"/>
      <c r="DE224" s="94"/>
      <c r="DF224" s="94"/>
      <c r="DG224" s="94"/>
      <c r="DH224" s="94"/>
      <c r="DI224" s="94"/>
      <c r="DJ224" s="94"/>
      <c r="DK224" s="94"/>
      <c r="DL224" s="94"/>
      <c r="DM224" s="94"/>
      <c r="DN224" s="94"/>
      <c r="DO224" s="94"/>
      <c r="DP224" s="94"/>
      <c r="DQ224" s="94"/>
    </row>
    <row r="225" spans="1:121" ht="15" customHeight="1" outlineLevel="4" x14ac:dyDescent="0.3">
      <c r="A225" s="100"/>
      <c r="B225" s="100"/>
      <c r="C225" s="99">
        <v>5</v>
      </c>
      <c r="D225" s="98" t="s">
        <v>1171</v>
      </c>
      <c r="I225" s="106" t="s">
        <v>1081</v>
      </c>
      <c r="J225" s="106"/>
      <c r="K225" s="106"/>
      <c r="L225" s="106"/>
      <c r="M225" s="106"/>
      <c r="N225" s="106"/>
      <c r="O225" s="113"/>
      <c r="P225" s="113"/>
      <c r="Q225" s="97">
        <v>45305</v>
      </c>
      <c r="R225" s="97">
        <v>45309</v>
      </c>
      <c r="S225" s="71">
        <f>R225-Q225</f>
        <v>4</v>
      </c>
      <c r="T225" s="72">
        <v>5</v>
      </c>
      <c r="U225" s="72">
        <v>0</v>
      </c>
      <c r="V225" s="72">
        <v>5</v>
      </c>
      <c r="W225" s="72">
        <v>0</v>
      </c>
      <c r="AA225" s="73">
        <v>0</v>
      </c>
      <c r="AB225" s="72">
        <v>1</v>
      </c>
      <c r="AC225" s="111"/>
      <c r="AE225" s="96">
        <v>0</v>
      </c>
      <c r="AF225" s="95">
        <v>0</v>
      </c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 t="str">
        <f>"" &amp; TEXT(AF225,"#0.00%") &amp; " " &amp; "Unit 운송" &amp; " " &amp; IF(Q225="","",TEXT(Q225,"M/D-")) &amp; IF(R225="","",TEXT(R225,"M/D")) &amp; " "</f>
        <v xml:space="preserve">0.00% Unit 운송 1/14-1/18 </v>
      </c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  <c r="CW225" s="94"/>
      <c r="CX225" s="94"/>
      <c r="CY225" s="94"/>
      <c r="CZ225" s="94"/>
      <c r="DA225" s="94"/>
      <c r="DB225" s="94"/>
      <c r="DC225" s="94"/>
      <c r="DD225" s="94"/>
      <c r="DE225" s="94"/>
      <c r="DF225" s="94"/>
      <c r="DG225" s="94"/>
      <c r="DH225" s="94"/>
      <c r="DI225" s="94"/>
      <c r="DJ225" s="94"/>
      <c r="DK225" s="94"/>
      <c r="DL225" s="94"/>
      <c r="DM225" s="94"/>
      <c r="DN225" s="94"/>
      <c r="DO225" s="94"/>
      <c r="DP225" s="94"/>
      <c r="DQ225" s="94"/>
    </row>
    <row r="226" spans="1:121" ht="15" customHeight="1" outlineLevel="4" x14ac:dyDescent="0.3">
      <c r="A226" s="100"/>
      <c r="B226" s="100"/>
      <c r="C226" s="99">
        <v>5</v>
      </c>
      <c r="D226" s="98" t="s">
        <v>1170</v>
      </c>
      <c r="I226" s="106" t="s">
        <v>230</v>
      </c>
      <c r="J226" s="106"/>
      <c r="K226" s="106"/>
      <c r="L226" s="106"/>
      <c r="M226" s="106"/>
      <c r="N226" s="106"/>
      <c r="O226" s="113"/>
      <c r="P226" s="113"/>
      <c r="Q226" s="97">
        <v>45310</v>
      </c>
      <c r="R226" s="97">
        <v>45310</v>
      </c>
      <c r="S226" s="71">
        <f>R226-Q226+1</f>
        <v>1</v>
      </c>
      <c r="T226" s="72">
        <v>1</v>
      </c>
      <c r="U226" s="72">
        <v>0</v>
      </c>
      <c r="V226" s="72">
        <v>1</v>
      </c>
      <c r="W226" s="72">
        <v>0</v>
      </c>
      <c r="AA226" s="73">
        <v>0</v>
      </c>
      <c r="AB226" s="72">
        <v>1</v>
      </c>
      <c r="AC226" s="111"/>
      <c r="AE226" s="96">
        <v>0</v>
      </c>
      <c r="AF226" s="95">
        <v>0</v>
      </c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 t="str">
        <f>"     " &amp; TEXT(AF226,"#0.00%") &amp; " " &amp; "FOB" &amp; " " &amp; IF(Q226="","",TEXT(Q226,"M/D-")) &amp; IF(R226="","",TEXT(R226,"M/D")) &amp; " "</f>
        <v xml:space="preserve">     0.00% FOB 1/19-1/19 </v>
      </c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4"/>
      <c r="CX226" s="94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4"/>
      <c r="DJ226" s="94"/>
      <c r="DK226" s="94"/>
      <c r="DL226" s="94"/>
      <c r="DM226" s="94"/>
      <c r="DN226" s="94"/>
      <c r="DO226" s="94"/>
      <c r="DP226" s="94"/>
      <c r="DQ226" s="94"/>
    </row>
    <row r="227" spans="1:121" ht="15" customHeight="1" outlineLevel="4" x14ac:dyDescent="0.3">
      <c r="A227" s="100"/>
      <c r="B227" s="100"/>
      <c r="C227" s="99">
        <v>5</v>
      </c>
      <c r="D227" s="98" t="s">
        <v>1169</v>
      </c>
      <c r="I227" s="106" t="s">
        <v>1077</v>
      </c>
      <c r="J227" s="106"/>
      <c r="K227" s="106"/>
      <c r="L227" s="106"/>
      <c r="M227" s="106"/>
      <c r="N227" s="106"/>
      <c r="O227" s="113"/>
      <c r="P227" s="113"/>
      <c r="Q227" s="97"/>
      <c r="R227" s="97"/>
      <c r="S227" s="71">
        <f>R227-Q227</f>
        <v>0</v>
      </c>
      <c r="T227" s="72">
        <v>0</v>
      </c>
      <c r="U227" s="72">
        <v>0</v>
      </c>
      <c r="V227" s="72">
        <v>0</v>
      </c>
      <c r="W227" s="72">
        <v>0</v>
      </c>
      <c r="Z227" s="74">
        <v>0</v>
      </c>
      <c r="AA227" s="73">
        <v>0</v>
      </c>
      <c r="AB227" s="72">
        <v>1</v>
      </c>
      <c r="AC227" s="111"/>
      <c r="AE227" s="96">
        <v>0</v>
      </c>
      <c r="AF227" s="102">
        <v>0</v>
      </c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  <c r="CW227" s="94"/>
      <c r="CX227" s="94"/>
      <c r="CY227" s="94"/>
      <c r="CZ227" s="94"/>
      <c r="DA227" s="94"/>
      <c r="DB227" s="94"/>
      <c r="DC227" s="94"/>
      <c r="DD227" s="94"/>
      <c r="DE227" s="94"/>
      <c r="DF227" s="94"/>
      <c r="DG227" s="94"/>
      <c r="DH227" s="94"/>
      <c r="DI227" s="94"/>
      <c r="DJ227" s="94"/>
      <c r="DK227" s="94"/>
      <c r="DL227" s="94"/>
      <c r="DM227" s="94"/>
      <c r="DN227" s="94"/>
      <c r="DO227" s="94"/>
      <c r="DP227" s="94"/>
      <c r="DQ227" s="94"/>
    </row>
    <row r="228" spans="1:121" ht="15" customHeight="1" outlineLevel="4" x14ac:dyDescent="0.3">
      <c r="A228" s="100"/>
      <c r="B228" s="100"/>
      <c r="C228" s="99">
        <v>5</v>
      </c>
      <c r="D228" s="98" t="s">
        <v>1168</v>
      </c>
      <c r="I228" s="106" t="s">
        <v>1075</v>
      </c>
      <c r="J228" s="106"/>
      <c r="K228" s="106"/>
      <c r="L228" s="106"/>
      <c r="M228" s="106"/>
      <c r="N228" s="106"/>
      <c r="O228" s="113"/>
      <c r="P228" s="113"/>
      <c r="Q228" s="97"/>
      <c r="R228" s="97"/>
      <c r="S228" s="71">
        <f>R228-Q228</f>
        <v>0</v>
      </c>
      <c r="T228" s="72">
        <v>0</v>
      </c>
      <c r="U228" s="72">
        <v>0</v>
      </c>
      <c r="V228" s="72">
        <v>0</v>
      </c>
      <c r="W228" s="72">
        <v>0</v>
      </c>
      <c r="Z228" s="74">
        <v>0</v>
      </c>
      <c r="AA228" s="73">
        <v>0</v>
      </c>
      <c r="AB228" s="72">
        <v>1</v>
      </c>
      <c r="AC228" s="111"/>
      <c r="AE228" s="96">
        <v>0</v>
      </c>
      <c r="AF228" s="102">
        <v>0</v>
      </c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  <c r="DA228" s="94"/>
      <c r="DB228" s="94"/>
      <c r="DC228" s="94"/>
      <c r="DD228" s="94"/>
      <c r="DE228" s="94"/>
      <c r="DF228" s="94"/>
      <c r="DG228" s="94"/>
      <c r="DH228" s="94"/>
      <c r="DI228" s="94"/>
      <c r="DJ228" s="94"/>
      <c r="DK228" s="94"/>
      <c r="DL228" s="94"/>
      <c r="DM228" s="94"/>
      <c r="DN228" s="94"/>
      <c r="DO228" s="94"/>
      <c r="DP228" s="94"/>
      <c r="DQ228" s="94"/>
    </row>
    <row r="229" spans="1:121" ht="15" customHeight="1" outlineLevel="2" x14ac:dyDescent="0.3">
      <c r="A229" s="100"/>
      <c r="B229" s="100" t="s">
        <v>298</v>
      </c>
      <c r="C229" s="99">
        <v>3</v>
      </c>
      <c r="D229" s="98" t="s">
        <v>1167</v>
      </c>
      <c r="G229" s="77" t="s">
        <v>1166</v>
      </c>
      <c r="I229" s="106"/>
      <c r="J229" s="106"/>
      <c r="K229" s="106"/>
      <c r="L229" s="106"/>
      <c r="M229" s="106"/>
      <c r="N229" s="106"/>
      <c r="O229" s="113"/>
      <c r="P229" s="113"/>
      <c r="Q229" s="97">
        <v>45231</v>
      </c>
      <c r="R229" s="97">
        <v>45323</v>
      </c>
      <c r="T229" s="72">
        <v>33</v>
      </c>
      <c r="U229" s="72">
        <v>0</v>
      </c>
      <c r="V229" s="72">
        <v>93</v>
      </c>
      <c r="W229" s="72">
        <v>0</v>
      </c>
      <c r="Z229" s="74">
        <v>0</v>
      </c>
      <c r="AA229" s="73">
        <v>0</v>
      </c>
      <c r="AC229" s="111"/>
      <c r="AE229" s="96">
        <v>0</v>
      </c>
      <c r="AF229" s="101">
        <v>0</v>
      </c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 t="str">
        <f>"   " &amp; TEXT(AF229,"#0.00%") &amp; " "</f>
        <v xml:space="preserve">   0.00% </v>
      </c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 t="str">
        <f>"     " &amp; "MSC Crane(FR)" &amp; " " &amp; IF(Q229="","",TEXT(Q229,"M/D-")) &amp; IF(R229="","",TEXT(R229,"M/D")) &amp; " "</f>
        <v xml:space="preserve">     MSC Crane(FR) 11/1-2/1 </v>
      </c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  <c r="CW229" s="94"/>
      <c r="CX229" s="94"/>
      <c r="CY229" s="94"/>
      <c r="CZ229" s="94"/>
      <c r="DA229" s="94"/>
      <c r="DB229" s="94"/>
      <c r="DC229" s="94"/>
      <c r="DD229" s="94"/>
      <c r="DE229" s="94"/>
      <c r="DF229" s="94"/>
      <c r="DG229" s="94"/>
      <c r="DH229" s="94"/>
      <c r="DI229" s="94"/>
      <c r="DJ229" s="94"/>
      <c r="DK229" s="94"/>
      <c r="DL229" s="94"/>
      <c r="DM229" s="94"/>
      <c r="DN229" s="94"/>
      <c r="DO229" s="94"/>
      <c r="DP229" s="94"/>
      <c r="DQ229" s="94"/>
    </row>
    <row r="230" spans="1:121" ht="15" customHeight="1" outlineLevel="3" x14ac:dyDescent="0.3">
      <c r="A230" s="100"/>
      <c r="B230" s="100" t="s">
        <v>298</v>
      </c>
      <c r="C230" s="99">
        <v>4</v>
      </c>
      <c r="D230" s="98" t="s">
        <v>1165</v>
      </c>
      <c r="H230" s="114" t="s">
        <v>1164</v>
      </c>
      <c r="I230" s="106"/>
      <c r="J230" s="106"/>
      <c r="K230" s="106"/>
      <c r="L230" s="106"/>
      <c r="M230" s="106"/>
      <c r="N230" s="106"/>
      <c r="O230" s="113"/>
      <c r="P230" s="113"/>
      <c r="Q230" s="97">
        <v>45231</v>
      </c>
      <c r="R230" s="97">
        <v>45245</v>
      </c>
      <c r="T230" s="72">
        <v>16</v>
      </c>
      <c r="U230" s="72">
        <v>0</v>
      </c>
      <c r="V230" s="72">
        <v>15</v>
      </c>
      <c r="W230" s="72">
        <v>0</v>
      </c>
      <c r="Z230" s="74">
        <v>0</v>
      </c>
      <c r="AA230" s="73">
        <v>0</v>
      </c>
      <c r="AC230" s="111"/>
      <c r="AE230" s="96">
        <v>0</v>
      </c>
      <c r="AF230" s="101">
        <v>0</v>
      </c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 t="str">
        <f>"   " &amp; TEXT(AF230,"#0.00%") &amp; " " &amp; "1동 Aging,PPC,충방,공Tray MSC" &amp; " " &amp; IF(Q230="","",TEXT(Q230,"M/D-")) &amp; IF(R230="","",TEXT(R230,"M/D")) &amp; " "</f>
        <v xml:space="preserve">   0.00% 1동 Aging,PPC,충방,공Tray MSC 11/1-11/15 </v>
      </c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  <c r="CW230" s="94"/>
      <c r="CX230" s="94"/>
      <c r="CY230" s="94"/>
      <c r="CZ230" s="94"/>
      <c r="DA230" s="94"/>
      <c r="DB230" s="94"/>
      <c r="DC230" s="94"/>
      <c r="DD230" s="94"/>
      <c r="DE230" s="94"/>
      <c r="DF230" s="94"/>
      <c r="DG230" s="94"/>
      <c r="DH230" s="94"/>
      <c r="DI230" s="94"/>
      <c r="DJ230" s="94"/>
      <c r="DK230" s="94"/>
      <c r="DL230" s="94"/>
      <c r="DM230" s="94"/>
      <c r="DN230" s="94"/>
      <c r="DO230" s="94"/>
      <c r="DP230" s="94"/>
      <c r="DQ230" s="94"/>
    </row>
    <row r="231" spans="1:121" ht="15" customHeight="1" outlineLevel="4" x14ac:dyDescent="0.3">
      <c r="A231" s="100"/>
      <c r="B231" s="100"/>
      <c r="C231" s="99">
        <v>5</v>
      </c>
      <c r="D231" s="98" t="s">
        <v>1163</v>
      </c>
      <c r="I231" s="106" t="s">
        <v>1083</v>
      </c>
      <c r="J231" s="106"/>
      <c r="K231" s="106"/>
      <c r="L231" s="106"/>
      <c r="M231" s="106"/>
      <c r="N231" s="106"/>
      <c r="O231" s="113"/>
      <c r="P231" s="113"/>
      <c r="Q231" s="97">
        <v>45231</v>
      </c>
      <c r="R231" s="97">
        <v>45240</v>
      </c>
      <c r="S231" s="71">
        <f>R231-Q231</f>
        <v>9</v>
      </c>
      <c r="T231" s="72">
        <v>10</v>
      </c>
      <c r="U231" s="72">
        <v>0</v>
      </c>
      <c r="V231" s="72">
        <v>10</v>
      </c>
      <c r="W231" s="72">
        <v>0</v>
      </c>
      <c r="AA231" s="73">
        <v>0</v>
      </c>
      <c r="AB231" s="72">
        <v>1</v>
      </c>
      <c r="AC231" s="111"/>
      <c r="AE231" s="96">
        <v>0</v>
      </c>
      <c r="AF231" s="95">
        <v>0</v>
      </c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 t="str">
        <f>"   " &amp; TEXT(AF231,"#0.00%") &amp; " " &amp; "Unit 포장" &amp; " " &amp; IF(Q231="","",TEXT(Q231,"M/D-")) &amp; IF(R231="","",TEXT(R231,"M/D")) &amp; " "</f>
        <v xml:space="preserve">   0.00% Unit 포장 11/1-11/10 </v>
      </c>
      <c r="BU231" s="94"/>
      <c r="BV231" s="94"/>
      <c r="BW231" s="94"/>
      <c r="BX231" s="94"/>
      <c r="BY231" s="94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4"/>
      <c r="CM231" s="94"/>
      <c r="CN231" s="94"/>
      <c r="CO231" s="94"/>
      <c r="CP231" s="94"/>
      <c r="CQ231" s="94"/>
      <c r="CR231" s="94"/>
      <c r="CS231" s="94"/>
      <c r="CT231" s="94"/>
      <c r="CU231" s="94"/>
      <c r="CV231" s="94"/>
      <c r="CW231" s="94"/>
      <c r="CX231" s="94"/>
      <c r="CY231" s="94"/>
      <c r="CZ231" s="94"/>
      <c r="DA231" s="94"/>
      <c r="DB231" s="94"/>
      <c r="DC231" s="94"/>
      <c r="DD231" s="94"/>
      <c r="DE231" s="94"/>
      <c r="DF231" s="94"/>
      <c r="DG231" s="94"/>
      <c r="DH231" s="94"/>
      <c r="DI231" s="94"/>
      <c r="DJ231" s="94"/>
      <c r="DK231" s="94"/>
      <c r="DL231" s="94"/>
      <c r="DM231" s="94"/>
      <c r="DN231" s="94"/>
      <c r="DO231" s="94"/>
      <c r="DP231" s="94"/>
      <c r="DQ231" s="94"/>
    </row>
    <row r="232" spans="1:121" ht="15" customHeight="1" outlineLevel="4" x14ac:dyDescent="0.3">
      <c r="A232" s="100"/>
      <c r="B232" s="100"/>
      <c r="C232" s="99">
        <v>5</v>
      </c>
      <c r="D232" s="98" t="s">
        <v>1162</v>
      </c>
      <c r="I232" s="106" t="s">
        <v>1081</v>
      </c>
      <c r="J232" s="106"/>
      <c r="K232" s="106"/>
      <c r="L232" s="106"/>
      <c r="M232" s="106"/>
      <c r="N232" s="106"/>
      <c r="O232" s="113"/>
      <c r="P232" s="113"/>
      <c r="Q232" s="97">
        <v>45240</v>
      </c>
      <c r="R232" s="97">
        <v>45244</v>
      </c>
      <c r="S232" s="71">
        <f>R232-Q232</f>
        <v>4</v>
      </c>
      <c r="T232" s="72">
        <v>5</v>
      </c>
      <c r="U232" s="72">
        <v>0</v>
      </c>
      <c r="V232" s="72">
        <v>5</v>
      </c>
      <c r="W232" s="72">
        <v>0</v>
      </c>
      <c r="AA232" s="73">
        <v>0</v>
      </c>
      <c r="AB232" s="72">
        <v>1</v>
      </c>
      <c r="AC232" s="111"/>
      <c r="AE232" s="96">
        <v>0</v>
      </c>
      <c r="AF232" s="95">
        <v>0</v>
      </c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 t="str">
        <f>"     " &amp; TEXT(AF232,"#0.00%") &amp; " " &amp; "Unit 운송" &amp; " " &amp; IF(Q232="","",TEXT(Q232,"M/D-")) &amp; IF(R232="","",TEXT(R232,"M/D")) &amp; " "</f>
        <v xml:space="preserve">     0.00% Unit 운송 11/10-11/14 </v>
      </c>
      <c r="BV232" s="94"/>
      <c r="BW232" s="94"/>
      <c r="BX232" s="94"/>
      <c r="BY232" s="94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4"/>
      <c r="CM232" s="94"/>
      <c r="CN232" s="94"/>
      <c r="CO232" s="94"/>
      <c r="CP232" s="94"/>
      <c r="CQ232" s="94"/>
      <c r="CR232" s="94"/>
      <c r="CS232" s="94"/>
      <c r="CT232" s="94"/>
      <c r="CU232" s="94"/>
      <c r="CV232" s="94"/>
      <c r="CW232" s="94"/>
      <c r="CX232" s="94"/>
      <c r="CY232" s="94"/>
      <c r="CZ232" s="94"/>
      <c r="DA232" s="94"/>
      <c r="DB232" s="94"/>
      <c r="DC232" s="94"/>
      <c r="DD232" s="94"/>
      <c r="DE232" s="94"/>
      <c r="DF232" s="94"/>
      <c r="DG232" s="94"/>
      <c r="DH232" s="94"/>
      <c r="DI232" s="94"/>
      <c r="DJ232" s="94"/>
      <c r="DK232" s="94"/>
      <c r="DL232" s="94"/>
      <c r="DM232" s="94"/>
      <c r="DN232" s="94"/>
      <c r="DO232" s="94"/>
      <c r="DP232" s="94"/>
      <c r="DQ232" s="94"/>
    </row>
    <row r="233" spans="1:121" ht="15" customHeight="1" outlineLevel="4" x14ac:dyDescent="0.3">
      <c r="A233" s="100"/>
      <c r="B233" s="100"/>
      <c r="C233" s="99">
        <v>5</v>
      </c>
      <c r="D233" s="98" t="s">
        <v>1161</v>
      </c>
      <c r="I233" s="106" t="s">
        <v>230</v>
      </c>
      <c r="J233" s="106"/>
      <c r="K233" s="106"/>
      <c r="L233" s="106"/>
      <c r="M233" s="106"/>
      <c r="N233" s="106"/>
      <c r="O233" s="113"/>
      <c r="P233" s="113"/>
      <c r="Q233" s="97">
        <v>45245</v>
      </c>
      <c r="R233" s="97">
        <v>45245</v>
      </c>
      <c r="S233" s="71">
        <f>R233-Q233+1</f>
        <v>1</v>
      </c>
      <c r="T233" s="72">
        <v>1</v>
      </c>
      <c r="U233" s="72">
        <v>0</v>
      </c>
      <c r="V233" s="72">
        <v>1</v>
      </c>
      <c r="W233" s="72">
        <v>0</v>
      </c>
      <c r="AA233" s="73">
        <v>0</v>
      </c>
      <c r="AB233" s="72">
        <v>1</v>
      </c>
      <c r="AC233" s="111"/>
      <c r="AE233" s="96">
        <v>0</v>
      </c>
      <c r="AF233" s="95">
        <v>0</v>
      </c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 t="str">
        <f>"   " &amp; TEXT(AF233,"#0.00%") &amp; " " &amp; "FOB" &amp; " " &amp; IF(Q233="","",TEXT(Q233,"M/D-")) &amp; IF(R233="","",TEXT(R233,"M/D")) &amp; " "</f>
        <v xml:space="preserve">   0.00% FOB 11/15-11/15 </v>
      </c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  <c r="CW233" s="94"/>
      <c r="CX233" s="94"/>
      <c r="CY233" s="94"/>
      <c r="CZ233" s="94"/>
      <c r="DA233" s="94"/>
      <c r="DB233" s="94"/>
      <c r="DC233" s="94"/>
      <c r="DD233" s="94"/>
      <c r="DE233" s="94"/>
      <c r="DF233" s="94"/>
      <c r="DG233" s="94"/>
      <c r="DH233" s="94"/>
      <c r="DI233" s="94"/>
      <c r="DJ233" s="94"/>
      <c r="DK233" s="94"/>
      <c r="DL233" s="94"/>
      <c r="DM233" s="94"/>
      <c r="DN233" s="94"/>
      <c r="DO233" s="94"/>
      <c r="DP233" s="94"/>
      <c r="DQ233" s="94"/>
    </row>
    <row r="234" spans="1:121" ht="15" customHeight="1" outlineLevel="4" x14ac:dyDescent="0.3">
      <c r="A234" s="100"/>
      <c r="B234" s="100"/>
      <c r="C234" s="99">
        <v>5</v>
      </c>
      <c r="D234" s="98" t="s">
        <v>1160</v>
      </c>
      <c r="I234" s="106" t="s">
        <v>1077</v>
      </c>
      <c r="J234" s="106"/>
      <c r="K234" s="106"/>
      <c r="L234" s="106"/>
      <c r="M234" s="106"/>
      <c r="N234" s="106"/>
      <c r="O234" s="113"/>
      <c r="P234" s="113"/>
      <c r="Q234" s="97"/>
      <c r="R234" s="97"/>
      <c r="S234" s="71">
        <f>R234-Q234</f>
        <v>0</v>
      </c>
      <c r="T234" s="72">
        <v>0</v>
      </c>
      <c r="U234" s="72">
        <v>0</v>
      </c>
      <c r="V234" s="72">
        <v>0</v>
      </c>
      <c r="W234" s="72">
        <v>0</v>
      </c>
      <c r="Z234" s="74">
        <v>0</v>
      </c>
      <c r="AA234" s="73">
        <v>0</v>
      </c>
      <c r="AB234" s="72">
        <v>1</v>
      </c>
      <c r="AC234" s="111"/>
      <c r="AE234" s="96">
        <v>0</v>
      </c>
      <c r="AF234" s="102">
        <v>0</v>
      </c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  <c r="CW234" s="94"/>
      <c r="CX234" s="94"/>
      <c r="CY234" s="94"/>
      <c r="CZ234" s="94"/>
      <c r="DA234" s="94"/>
      <c r="DB234" s="94"/>
      <c r="DC234" s="94"/>
      <c r="DD234" s="94"/>
      <c r="DE234" s="94"/>
      <c r="DF234" s="94"/>
      <c r="DG234" s="94"/>
      <c r="DH234" s="94"/>
      <c r="DI234" s="94"/>
      <c r="DJ234" s="94"/>
      <c r="DK234" s="94"/>
      <c r="DL234" s="94"/>
      <c r="DM234" s="94"/>
      <c r="DN234" s="94"/>
      <c r="DO234" s="94"/>
      <c r="DP234" s="94"/>
      <c r="DQ234" s="94"/>
    </row>
    <row r="235" spans="1:121" ht="15" customHeight="1" outlineLevel="4" x14ac:dyDescent="0.3">
      <c r="A235" s="100"/>
      <c r="B235" s="100"/>
      <c r="C235" s="99">
        <v>5</v>
      </c>
      <c r="D235" s="98" t="s">
        <v>1159</v>
      </c>
      <c r="I235" s="106" t="s">
        <v>1075</v>
      </c>
      <c r="J235" s="106"/>
      <c r="K235" s="106"/>
      <c r="L235" s="106"/>
      <c r="M235" s="106"/>
      <c r="N235" s="106"/>
      <c r="O235" s="113"/>
      <c r="P235" s="113"/>
      <c r="Q235" s="97"/>
      <c r="R235" s="97"/>
      <c r="S235" s="71">
        <f>R235-Q235</f>
        <v>0</v>
      </c>
      <c r="T235" s="72">
        <v>0</v>
      </c>
      <c r="U235" s="72">
        <v>0</v>
      </c>
      <c r="V235" s="72">
        <v>0</v>
      </c>
      <c r="W235" s="72">
        <v>0</v>
      </c>
      <c r="Z235" s="74">
        <v>0</v>
      </c>
      <c r="AA235" s="73">
        <v>0</v>
      </c>
      <c r="AB235" s="72">
        <v>1</v>
      </c>
      <c r="AC235" s="111"/>
      <c r="AE235" s="96">
        <v>0</v>
      </c>
      <c r="AF235" s="102">
        <v>0</v>
      </c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4"/>
      <c r="CN235" s="94"/>
      <c r="CO235" s="94"/>
      <c r="CP235" s="94"/>
      <c r="CQ235" s="94"/>
      <c r="CR235" s="94"/>
      <c r="CS235" s="94"/>
      <c r="CT235" s="94"/>
      <c r="CU235" s="94"/>
      <c r="CV235" s="94"/>
      <c r="CW235" s="94"/>
      <c r="CX235" s="94"/>
      <c r="CY235" s="94"/>
      <c r="CZ235" s="94"/>
      <c r="DA235" s="94"/>
      <c r="DB235" s="94"/>
      <c r="DC235" s="94"/>
      <c r="DD235" s="94"/>
      <c r="DE235" s="94"/>
      <c r="DF235" s="94"/>
      <c r="DG235" s="94"/>
      <c r="DH235" s="94"/>
      <c r="DI235" s="94"/>
      <c r="DJ235" s="94"/>
      <c r="DK235" s="94"/>
      <c r="DL235" s="94"/>
      <c r="DM235" s="94"/>
      <c r="DN235" s="94"/>
      <c r="DO235" s="94"/>
      <c r="DP235" s="94"/>
      <c r="DQ235" s="94"/>
    </row>
    <row r="236" spans="1:121" ht="15" customHeight="1" outlineLevel="3" x14ac:dyDescent="0.3">
      <c r="A236" s="100"/>
      <c r="B236" s="100" t="s">
        <v>298</v>
      </c>
      <c r="C236" s="99">
        <v>4</v>
      </c>
      <c r="D236" s="98" t="s">
        <v>1158</v>
      </c>
      <c r="H236" s="114" t="s">
        <v>1157</v>
      </c>
      <c r="I236" s="106"/>
      <c r="J236" s="106"/>
      <c r="K236" s="106"/>
      <c r="L236" s="106"/>
      <c r="M236" s="106"/>
      <c r="N236" s="106"/>
      <c r="O236" s="113"/>
      <c r="P236" s="113"/>
      <c r="Q236" s="97">
        <v>45306</v>
      </c>
      <c r="R236" s="97">
        <v>45323</v>
      </c>
      <c r="T236" s="72">
        <v>17</v>
      </c>
      <c r="U236" s="72">
        <v>0</v>
      </c>
      <c r="V236" s="72">
        <v>18</v>
      </c>
      <c r="W236" s="72">
        <v>0</v>
      </c>
      <c r="Z236" s="74">
        <v>0</v>
      </c>
      <c r="AA236" s="73">
        <v>0</v>
      </c>
      <c r="AC236" s="111"/>
      <c r="AE236" s="96">
        <v>0</v>
      </c>
      <c r="AF236" s="101">
        <v>0</v>
      </c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 t="str">
        <f>" " &amp; TEXT(AF236,"#0.00%") &amp; " " &amp; "2동 Aging,PPC,충방,공Tray MSC" &amp; " " &amp; IF(Q236="","",TEXT(Q236,"M/D-")) &amp; IF(R236="","",TEXT(R236,"M/D")) &amp; " "</f>
        <v xml:space="preserve"> 0.00% 2동 Aging,PPC,충방,공Tray MSC 1/15-2/1 </v>
      </c>
      <c r="CF236" s="94"/>
      <c r="CG236" s="94"/>
      <c r="CH236" s="94"/>
      <c r="CI236" s="94"/>
      <c r="CJ236" s="94"/>
      <c r="CK236" s="94"/>
      <c r="CL236" s="94"/>
      <c r="CM236" s="94"/>
      <c r="CN236" s="94"/>
      <c r="CO236" s="94"/>
      <c r="CP236" s="94"/>
      <c r="CQ236" s="94"/>
      <c r="CR236" s="94"/>
      <c r="CS236" s="94"/>
      <c r="CT236" s="94"/>
      <c r="CU236" s="94"/>
      <c r="CV236" s="94"/>
      <c r="CW236" s="94"/>
      <c r="CX236" s="94"/>
      <c r="CY236" s="94"/>
      <c r="CZ236" s="94"/>
      <c r="DA236" s="94"/>
      <c r="DB236" s="94"/>
      <c r="DC236" s="94"/>
      <c r="DD236" s="94"/>
      <c r="DE236" s="94"/>
      <c r="DF236" s="94"/>
      <c r="DG236" s="94"/>
      <c r="DH236" s="94"/>
      <c r="DI236" s="94"/>
      <c r="DJ236" s="94"/>
      <c r="DK236" s="94"/>
      <c r="DL236" s="94"/>
      <c r="DM236" s="94"/>
      <c r="DN236" s="94"/>
      <c r="DO236" s="94"/>
      <c r="DP236" s="94"/>
      <c r="DQ236" s="94"/>
    </row>
    <row r="237" spans="1:121" ht="15" customHeight="1" outlineLevel="4" x14ac:dyDescent="0.3">
      <c r="A237" s="100"/>
      <c r="B237" s="100"/>
      <c r="C237" s="99">
        <v>5</v>
      </c>
      <c r="D237" s="98" t="s">
        <v>1156</v>
      </c>
      <c r="I237" s="106" t="s">
        <v>1083</v>
      </c>
      <c r="J237" s="106"/>
      <c r="K237" s="106"/>
      <c r="L237" s="106"/>
      <c r="M237" s="106"/>
      <c r="N237" s="106"/>
      <c r="O237" s="113"/>
      <c r="P237" s="113"/>
      <c r="Q237" s="97">
        <v>45306</v>
      </c>
      <c r="R237" s="97">
        <v>45315</v>
      </c>
      <c r="S237" s="71">
        <f>R237-Q237</f>
        <v>9</v>
      </c>
      <c r="T237" s="72">
        <v>10</v>
      </c>
      <c r="U237" s="72">
        <v>0</v>
      </c>
      <c r="V237" s="72">
        <v>10</v>
      </c>
      <c r="W237" s="72">
        <v>0</v>
      </c>
      <c r="AA237" s="73">
        <v>0</v>
      </c>
      <c r="AB237" s="72">
        <v>1</v>
      </c>
      <c r="AC237" s="111"/>
      <c r="AE237" s="96">
        <v>0</v>
      </c>
      <c r="AF237" s="95">
        <v>0</v>
      </c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94"/>
      <c r="CD237" s="94"/>
      <c r="CE237" s="94" t="str">
        <f>" " &amp; TEXT(AF237,"#0.00%") &amp; " " &amp; "Unit 포장" &amp; " " &amp; IF(Q237="","",TEXT(Q237,"M/D-")) &amp; IF(R237="","",TEXT(R237,"M/D")) &amp; " "</f>
        <v xml:space="preserve"> 0.00% Unit 포장 1/15-1/24 </v>
      </c>
      <c r="CF237" s="94"/>
      <c r="CG237" s="94"/>
      <c r="CH237" s="94"/>
      <c r="CI237" s="94"/>
      <c r="CJ237" s="94"/>
      <c r="CK237" s="94"/>
      <c r="CL237" s="94"/>
      <c r="CM237" s="94"/>
      <c r="CN237" s="94"/>
      <c r="CO237" s="94"/>
      <c r="CP237" s="94"/>
      <c r="CQ237" s="94"/>
      <c r="CR237" s="94"/>
      <c r="CS237" s="94"/>
      <c r="CT237" s="94"/>
      <c r="CU237" s="94"/>
      <c r="CV237" s="94"/>
      <c r="CW237" s="94"/>
      <c r="CX237" s="94"/>
      <c r="CY237" s="94"/>
      <c r="CZ237" s="94"/>
      <c r="DA237" s="94"/>
      <c r="DB237" s="94"/>
      <c r="DC237" s="94"/>
      <c r="DD237" s="94"/>
      <c r="DE237" s="94"/>
      <c r="DF237" s="94"/>
      <c r="DG237" s="94"/>
      <c r="DH237" s="94"/>
      <c r="DI237" s="94"/>
      <c r="DJ237" s="94"/>
      <c r="DK237" s="94"/>
      <c r="DL237" s="94"/>
      <c r="DM237" s="94"/>
      <c r="DN237" s="94"/>
      <c r="DO237" s="94"/>
      <c r="DP237" s="94"/>
      <c r="DQ237" s="94"/>
    </row>
    <row r="238" spans="1:121" ht="15" customHeight="1" outlineLevel="4" x14ac:dyDescent="0.3">
      <c r="A238" s="100"/>
      <c r="B238" s="100"/>
      <c r="C238" s="99">
        <v>5</v>
      </c>
      <c r="D238" s="98" t="s">
        <v>1155</v>
      </c>
      <c r="I238" s="106" t="s">
        <v>1081</v>
      </c>
      <c r="J238" s="106"/>
      <c r="K238" s="106"/>
      <c r="L238" s="106"/>
      <c r="M238" s="106"/>
      <c r="N238" s="106"/>
      <c r="O238" s="113"/>
      <c r="P238" s="113"/>
      <c r="Q238" s="97">
        <v>45316</v>
      </c>
      <c r="R238" s="97">
        <v>45321</v>
      </c>
      <c r="S238" s="71">
        <f>R238-Q238</f>
        <v>5</v>
      </c>
      <c r="T238" s="72">
        <v>6</v>
      </c>
      <c r="U238" s="72">
        <v>0</v>
      </c>
      <c r="V238" s="72">
        <v>6</v>
      </c>
      <c r="W238" s="72">
        <v>0</v>
      </c>
      <c r="AA238" s="73">
        <v>0</v>
      </c>
      <c r="AB238" s="72">
        <v>1</v>
      </c>
      <c r="AC238" s="111"/>
      <c r="AE238" s="96">
        <v>0</v>
      </c>
      <c r="AF238" s="95">
        <v>0</v>
      </c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 t="str">
        <f>"    " &amp; TEXT(AF238,"#0.00%") &amp; " " &amp; "Unit 운송" &amp; " " &amp; IF(Q238="","",TEXT(Q238,"M/D-")) &amp; IF(R238="","",TEXT(R238,"M/D")) &amp; " "</f>
        <v xml:space="preserve">    0.00% Unit 운송 1/25-1/30 </v>
      </c>
      <c r="CG238" s="94"/>
      <c r="CH238" s="94"/>
      <c r="CI238" s="94"/>
      <c r="CJ238" s="94"/>
      <c r="CK238" s="94"/>
      <c r="CL238" s="94"/>
      <c r="CM238" s="94"/>
      <c r="CN238" s="94"/>
      <c r="CO238" s="94"/>
      <c r="CP238" s="94"/>
      <c r="CQ238" s="94"/>
      <c r="CR238" s="94"/>
      <c r="CS238" s="94"/>
      <c r="CT238" s="94"/>
      <c r="CU238" s="94"/>
      <c r="CV238" s="94"/>
      <c r="CW238" s="94"/>
      <c r="CX238" s="94"/>
      <c r="CY238" s="94"/>
      <c r="CZ238" s="94"/>
      <c r="DA238" s="94"/>
      <c r="DB238" s="94"/>
      <c r="DC238" s="94"/>
      <c r="DD238" s="94"/>
      <c r="DE238" s="94"/>
      <c r="DF238" s="94"/>
      <c r="DG238" s="94"/>
      <c r="DH238" s="94"/>
      <c r="DI238" s="94"/>
      <c r="DJ238" s="94"/>
      <c r="DK238" s="94"/>
      <c r="DL238" s="94"/>
      <c r="DM238" s="94"/>
      <c r="DN238" s="94"/>
      <c r="DO238" s="94"/>
      <c r="DP238" s="94"/>
      <c r="DQ238" s="94"/>
    </row>
    <row r="239" spans="1:121" ht="15" customHeight="1" outlineLevel="4" x14ac:dyDescent="0.3">
      <c r="A239" s="100"/>
      <c r="B239" s="100"/>
      <c r="C239" s="99">
        <v>5</v>
      </c>
      <c r="D239" s="98" t="s">
        <v>1154</v>
      </c>
      <c r="I239" s="106" t="s">
        <v>230</v>
      </c>
      <c r="J239" s="106"/>
      <c r="K239" s="106"/>
      <c r="L239" s="106"/>
      <c r="M239" s="106"/>
      <c r="N239" s="106"/>
      <c r="O239" s="113"/>
      <c r="P239" s="113"/>
      <c r="Q239" s="97">
        <v>45323</v>
      </c>
      <c r="R239" s="97">
        <v>45323</v>
      </c>
      <c r="S239" s="71">
        <f>R239-Q239+1</f>
        <v>1</v>
      </c>
      <c r="T239" s="72">
        <v>1</v>
      </c>
      <c r="U239" s="72">
        <v>0</v>
      </c>
      <c r="V239" s="72">
        <v>1</v>
      </c>
      <c r="W239" s="72">
        <v>0</v>
      </c>
      <c r="AA239" s="73">
        <v>0</v>
      </c>
      <c r="AB239" s="72">
        <v>1</v>
      </c>
      <c r="AC239" s="111"/>
      <c r="AE239" s="96">
        <v>0</v>
      </c>
      <c r="AF239" s="95">
        <v>0</v>
      </c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4"/>
      <c r="BZ239" s="94"/>
      <c r="CA239" s="94"/>
      <c r="CB239" s="94"/>
      <c r="CC239" s="94"/>
      <c r="CD239" s="94"/>
      <c r="CE239" s="94"/>
      <c r="CF239" s="94"/>
      <c r="CG239" s="94" t="str">
        <f>"    " &amp; TEXT(AF239,"#0.00%") &amp; " " &amp; "FOB" &amp; " " &amp; IF(Q239="","",TEXT(Q239,"M/D-")) &amp; IF(R239="","",TEXT(R239,"M/D")) &amp; " "</f>
        <v xml:space="preserve">    0.00% FOB 2/1-2/1 </v>
      </c>
      <c r="CH239" s="94"/>
      <c r="CI239" s="94"/>
      <c r="CJ239" s="94"/>
      <c r="CK239" s="94"/>
      <c r="CL239" s="94"/>
      <c r="CM239" s="94"/>
      <c r="CN239" s="94"/>
      <c r="CO239" s="94"/>
      <c r="CP239" s="94"/>
      <c r="CQ239" s="94"/>
      <c r="CR239" s="94"/>
      <c r="CS239" s="94"/>
      <c r="CT239" s="94"/>
      <c r="CU239" s="94"/>
      <c r="CV239" s="94"/>
      <c r="CW239" s="94"/>
      <c r="CX239" s="94"/>
      <c r="CY239" s="94"/>
      <c r="CZ239" s="94"/>
      <c r="DA239" s="94"/>
      <c r="DB239" s="94"/>
      <c r="DC239" s="94"/>
      <c r="DD239" s="94"/>
      <c r="DE239" s="94"/>
      <c r="DF239" s="94"/>
      <c r="DG239" s="94"/>
      <c r="DH239" s="94"/>
      <c r="DI239" s="94"/>
      <c r="DJ239" s="94"/>
      <c r="DK239" s="94"/>
      <c r="DL239" s="94"/>
      <c r="DM239" s="94"/>
      <c r="DN239" s="94"/>
      <c r="DO239" s="94"/>
      <c r="DP239" s="94"/>
      <c r="DQ239" s="94"/>
    </row>
    <row r="240" spans="1:121" ht="15" customHeight="1" outlineLevel="4" x14ac:dyDescent="0.3">
      <c r="A240" s="100"/>
      <c r="B240" s="100"/>
      <c r="C240" s="99">
        <v>5</v>
      </c>
      <c r="D240" s="98" t="s">
        <v>1153</v>
      </c>
      <c r="I240" s="106" t="s">
        <v>1077</v>
      </c>
      <c r="J240" s="106"/>
      <c r="K240" s="106"/>
      <c r="L240" s="106"/>
      <c r="M240" s="106"/>
      <c r="N240" s="106"/>
      <c r="O240" s="113"/>
      <c r="P240" s="113"/>
      <c r="Q240" s="97"/>
      <c r="R240" s="97"/>
      <c r="S240" s="71">
        <f>R240-Q240</f>
        <v>0</v>
      </c>
      <c r="T240" s="72">
        <v>0</v>
      </c>
      <c r="U240" s="72">
        <v>0</v>
      </c>
      <c r="V240" s="72">
        <v>0</v>
      </c>
      <c r="W240" s="72">
        <v>0</v>
      </c>
      <c r="Z240" s="74">
        <v>0</v>
      </c>
      <c r="AA240" s="73">
        <v>0</v>
      </c>
      <c r="AB240" s="72">
        <v>1</v>
      </c>
      <c r="AC240" s="111"/>
      <c r="AE240" s="96">
        <v>0</v>
      </c>
      <c r="AF240" s="102">
        <v>0</v>
      </c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4"/>
      <c r="CM240" s="94"/>
      <c r="CN240" s="94"/>
      <c r="CO240" s="94"/>
      <c r="CP240" s="94"/>
      <c r="CQ240" s="94"/>
      <c r="CR240" s="94"/>
      <c r="CS240" s="94"/>
      <c r="CT240" s="94"/>
      <c r="CU240" s="94"/>
      <c r="CV240" s="94"/>
      <c r="CW240" s="94"/>
      <c r="CX240" s="94"/>
      <c r="CY240" s="94"/>
      <c r="CZ240" s="94"/>
      <c r="DA240" s="94"/>
      <c r="DB240" s="94"/>
      <c r="DC240" s="94"/>
      <c r="DD240" s="94"/>
      <c r="DE240" s="94"/>
      <c r="DF240" s="94"/>
      <c r="DG240" s="94"/>
      <c r="DH240" s="94"/>
      <c r="DI240" s="94"/>
      <c r="DJ240" s="94"/>
      <c r="DK240" s="94"/>
      <c r="DL240" s="94"/>
      <c r="DM240" s="94"/>
      <c r="DN240" s="94"/>
      <c r="DO240" s="94"/>
      <c r="DP240" s="94"/>
      <c r="DQ240" s="94"/>
    </row>
    <row r="241" spans="1:121" ht="15" customHeight="1" outlineLevel="4" x14ac:dyDescent="0.3">
      <c r="A241" s="100"/>
      <c r="B241" s="100"/>
      <c r="C241" s="99">
        <v>5</v>
      </c>
      <c r="D241" s="98" t="s">
        <v>1152</v>
      </c>
      <c r="I241" s="106" t="s">
        <v>1075</v>
      </c>
      <c r="J241" s="106"/>
      <c r="K241" s="106"/>
      <c r="L241" s="106"/>
      <c r="M241" s="106"/>
      <c r="N241" s="106"/>
      <c r="O241" s="113"/>
      <c r="P241" s="113"/>
      <c r="Q241" s="97"/>
      <c r="R241" s="97"/>
      <c r="S241" s="71">
        <f>R241-Q241</f>
        <v>0</v>
      </c>
      <c r="T241" s="72">
        <v>0</v>
      </c>
      <c r="U241" s="72">
        <v>0</v>
      </c>
      <c r="V241" s="72">
        <v>0</v>
      </c>
      <c r="W241" s="72">
        <v>0</v>
      </c>
      <c r="Z241" s="74">
        <v>0</v>
      </c>
      <c r="AA241" s="73">
        <v>0</v>
      </c>
      <c r="AB241" s="72">
        <v>1</v>
      </c>
      <c r="AC241" s="111"/>
      <c r="AE241" s="96">
        <v>0</v>
      </c>
      <c r="AF241" s="102">
        <v>0</v>
      </c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  <c r="CW241" s="94"/>
      <c r="CX241" s="94"/>
      <c r="CY241" s="94"/>
      <c r="CZ241" s="94"/>
      <c r="DA241" s="94"/>
      <c r="DB241" s="94"/>
      <c r="DC241" s="94"/>
      <c r="DD241" s="94"/>
      <c r="DE241" s="94"/>
      <c r="DF241" s="94"/>
      <c r="DG241" s="94"/>
      <c r="DH241" s="94"/>
      <c r="DI241" s="94"/>
      <c r="DJ241" s="94"/>
      <c r="DK241" s="94"/>
      <c r="DL241" s="94"/>
      <c r="DM241" s="94"/>
      <c r="DN241" s="94"/>
      <c r="DO241" s="94"/>
      <c r="DP241" s="94"/>
      <c r="DQ241" s="94"/>
    </row>
    <row r="242" spans="1:121" ht="15" customHeight="1" outlineLevel="2" x14ac:dyDescent="0.3">
      <c r="A242" s="100"/>
      <c r="B242" s="100" t="s">
        <v>298</v>
      </c>
      <c r="C242" s="99">
        <v>3</v>
      </c>
      <c r="D242" s="98" t="s">
        <v>1151</v>
      </c>
      <c r="G242" s="77" t="s">
        <v>1150</v>
      </c>
      <c r="I242" s="106"/>
      <c r="J242" s="106"/>
      <c r="K242" s="106"/>
      <c r="L242" s="106"/>
      <c r="M242" s="106"/>
      <c r="N242" s="106"/>
      <c r="O242" s="112"/>
      <c r="P242" s="112"/>
      <c r="Q242" s="97">
        <v>45209</v>
      </c>
      <c r="R242" s="97">
        <v>45310</v>
      </c>
      <c r="T242" s="72">
        <v>160</v>
      </c>
      <c r="U242" s="72">
        <v>0</v>
      </c>
      <c r="V242" s="72">
        <v>102</v>
      </c>
      <c r="W242" s="72">
        <v>0</v>
      </c>
      <c r="Z242" s="74">
        <v>0</v>
      </c>
      <c r="AA242" s="73">
        <v>0</v>
      </c>
      <c r="AE242" s="96">
        <v>0</v>
      </c>
      <c r="AF242" s="101">
        <v>0</v>
      </c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 t="str">
        <f>"  " &amp; TEXT(AF242,"#0.00%") &amp; " "</f>
        <v xml:space="preserve">  0.00% </v>
      </c>
      <c r="BR242" s="94"/>
      <c r="BS242" s="94"/>
      <c r="BT242" s="94"/>
      <c r="BU242" s="94"/>
      <c r="BV242" s="94"/>
      <c r="BW242" s="94"/>
      <c r="BX242" s="94"/>
      <c r="BY242" s="94"/>
      <c r="BZ242" s="94"/>
      <c r="CA242" s="94"/>
      <c r="CB242" s="94"/>
      <c r="CC242" s="94"/>
      <c r="CD242" s="94"/>
      <c r="CE242" s="94" t="str">
        <f>"      " &amp; "Conveyor &amp; Deck (해당구역 L/F포함 일정)" &amp; " " &amp; IF(Q242="","",TEXT(Q242,"M/D-")) &amp; IF(R242="","",TEXT(R242,"M/D")) &amp; " "</f>
        <v xml:space="preserve">      Conveyor &amp; Deck (해당구역 L/F포함 일정) 10/10-1/19 </v>
      </c>
      <c r="CF242" s="94"/>
      <c r="CG242" s="94"/>
      <c r="CH242" s="94"/>
      <c r="CI242" s="94"/>
      <c r="CJ242" s="94"/>
      <c r="CK242" s="94"/>
      <c r="CL242" s="94"/>
      <c r="CM242" s="94"/>
      <c r="CN242" s="94"/>
      <c r="CO242" s="94"/>
      <c r="CP242" s="94"/>
      <c r="CQ242" s="94"/>
      <c r="CR242" s="94"/>
      <c r="CS242" s="94"/>
      <c r="CT242" s="94"/>
      <c r="CU242" s="94"/>
      <c r="CV242" s="94"/>
      <c r="CW242" s="94"/>
      <c r="CX242" s="94"/>
      <c r="CY242" s="94"/>
      <c r="CZ242" s="94"/>
      <c r="DA242" s="94"/>
      <c r="DB242" s="94"/>
      <c r="DC242" s="94"/>
      <c r="DD242" s="94"/>
      <c r="DE242" s="94"/>
      <c r="DF242" s="94"/>
      <c r="DG242" s="94"/>
      <c r="DH242" s="94"/>
      <c r="DI242" s="94"/>
      <c r="DJ242" s="94"/>
      <c r="DK242" s="94"/>
      <c r="DL242" s="94"/>
      <c r="DM242" s="94"/>
      <c r="DN242" s="94"/>
      <c r="DO242" s="94"/>
      <c r="DP242" s="94"/>
      <c r="DQ242" s="94"/>
    </row>
    <row r="243" spans="1:121" ht="15" customHeight="1" outlineLevel="3" x14ac:dyDescent="0.3">
      <c r="A243" s="100"/>
      <c r="B243" s="100" t="s">
        <v>298</v>
      </c>
      <c r="C243" s="99">
        <v>4</v>
      </c>
      <c r="D243" s="98" t="s">
        <v>1149</v>
      </c>
      <c r="H243" s="77" t="s">
        <v>1148</v>
      </c>
      <c r="I243" s="106"/>
      <c r="J243" s="106"/>
      <c r="K243" s="106"/>
      <c r="L243" s="106"/>
      <c r="M243" s="106"/>
      <c r="N243" s="106"/>
      <c r="O243" s="112"/>
      <c r="P243" s="112"/>
      <c r="Q243" s="97">
        <v>45209</v>
      </c>
      <c r="R243" s="97">
        <v>45226</v>
      </c>
      <c r="T243" s="72">
        <v>17</v>
      </c>
      <c r="U243" s="72">
        <v>0</v>
      </c>
      <c r="V243" s="72">
        <v>18</v>
      </c>
      <c r="W243" s="72">
        <v>0</v>
      </c>
      <c r="Z243" s="74">
        <v>0</v>
      </c>
      <c r="AA243" s="73">
        <v>0</v>
      </c>
      <c r="AE243" s="96">
        <v>0</v>
      </c>
      <c r="AF243" s="101">
        <v>0</v>
      </c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 t="str">
        <f>"  " &amp; TEXT(AF243,"#0.00%") &amp; " " &amp; "1동 조립동CV" &amp; " " &amp; IF(Q243="","",TEXT(Q243,"M/D-")) &amp; IF(R243="","",TEXT(R243,"M/D")) &amp; " "</f>
        <v xml:space="preserve">  0.00% 1동 조립동CV 10/10-10/27 </v>
      </c>
      <c r="BR243" s="94"/>
      <c r="BS243" s="94"/>
      <c r="BT243" s="94"/>
      <c r="BU243" s="94"/>
      <c r="BV243" s="94"/>
      <c r="BW243" s="94"/>
      <c r="BX243" s="94"/>
      <c r="BY243" s="94"/>
      <c r="BZ243" s="94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4"/>
      <c r="CM243" s="94"/>
      <c r="CN243" s="94"/>
      <c r="CO243" s="94"/>
      <c r="CP243" s="94"/>
      <c r="CQ243" s="94"/>
      <c r="CR243" s="94"/>
      <c r="CS243" s="94"/>
      <c r="CT243" s="94"/>
      <c r="CU243" s="94"/>
      <c r="CV243" s="94"/>
      <c r="CW243" s="94"/>
      <c r="CX243" s="94"/>
      <c r="CY243" s="94"/>
      <c r="CZ243" s="94"/>
      <c r="DA243" s="94"/>
      <c r="DB243" s="94"/>
      <c r="DC243" s="94"/>
      <c r="DD243" s="94"/>
      <c r="DE243" s="94"/>
      <c r="DF243" s="94"/>
      <c r="DG243" s="94"/>
      <c r="DH243" s="94"/>
      <c r="DI243" s="94"/>
      <c r="DJ243" s="94"/>
      <c r="DK243" s="94"/>
      <c r="DL243" s="94"/>
      <c r="DM243" s="94"/>
      <c r="DN243" s="94"/>
      <c r="DO243" s="94"/>
      <c r="DP243" s="94"/>
      <c r="DQ243" s="94"/>
    </row>
    <row r="244" spans="1:121" ht="15" customHeight="1" outlineLevel="4" x14ac:dyDescent="0.3">
      <c r="A244" s="100"/>
      <c r="B244" s="100"/>
      <c r="C244" s="99">
        <v>5</v>
      </c>
      <c r="D244" s="98" t="s">
        <v>1147</v>
      </c>
      <c r="I244" s="106" t="s">
        <v>1083</v>
      </c>
      <c r="J244" s="106"/>
      <c r="K244" s="106"/>
      <c r="L244" s="106"/>
      <c r="M244" s="106"/>
      <c r="N244" s="106"/>
      <c r="O244" s="112"/>
      <c r="P244" s="112"/>
      <c r="Q244" s="97">
        <v>45209</v>
      </c>
      <c r="R244" s="97">
        <v>45218</v>
      </c>
      <c r="S244" s="71">
        <f>R244-Q244</f>
        <v>9</v>
      </c>
      <c r="T244" s="72">
        <v>10</v>
      </c>
      <c r="U244" s="72">
        <v>0</v>
      </c>
      <c r="V244" s="72">
        <v>10</v>
      </c>
      <c r="W244" s="72">
        <v>0</v>
      </c>
      <c r="AA244" s="73">
        <v>0</v>
      </c>
      <c r="AB244" s="72">
        <v>1</v>
      </c>
      <c r="AE244" s="96">
        <v>0</v>
      </c>
      <c r="AF244" s="95">
        <v>0</v>
      </c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 t="str">
        <f>"  " &amp; TEXT(AF244,"#0.00%") &amp; " " &amp; "Unit 포장" &amp; " " &amp; IF(Q244="","",TEXT(Q244,"M/D-")) &amp; IF(R244="","",TEXT(R244,"M/D")) &amp; " "</f>
        <v xml:space="preserve">  0.00% Unit 포장 10/10-10/19 </v>
      </c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  <c r="CW244" s="94"/>
      <c r="CX244" s="94"/>
      <c r="CY244" s="94"/>
      <c r="CZ244" s="94"/>
      <c r="DA244" s="94"/>
      <c r="DB244" s="94"/>
      <c r="DC244" s="94"/>
      <c r="DD244" s="94"/>
      <c r="DE244" s="94"/>
      <c r="DF244" s="94"/>
      <c r="DG244" s="94"/>
      <c r="DH244" s="94"/>
      <c r="DI244" s="94"/>
      <c r="DJ244" s="94"/>
      <c r="DK244" s="94"/>
      <c r="DL244" s="94"/>
      <c r="DM244" s="94"/>
      <c r="DN244" s="94"/>
      <c r="DO244" s="94"/>
      <c r="DP244" s="94"/>
      <c r="DQ244" s="94"/>
    </row>
    <row r="245" spans="1:121" ht="15" customHeight="1" outlineLevel="4" x14ac:dyDescent="0.3">
      <c r="A245" s="100"/>
      <c r="B245" s="100"/>
      <c r="C245" s="99">
        <v>5</v>
      </c>
      <c r="D245" s="98" t="s">
        <v>1146</v>
      </c>
      <c r="I245" s="106" t="s">
        <v>1081</v>
      </c>
      <c r="J245" s="106"/>
      <c r="K245" s="106"/>
      <c r="L245" s="106"/>
      <c r="M245" s="106"/>
      <c r="N245" s="106"/>
      <c r="O245" s="112"/>
      <c r="P245" s="112"/>
      <c r="Q245" s="97">
        <v>45219</v>
      </c>
      <c r="R245" s="97">
        <v>45224</v>
      </c>
      <c r="S245" s="71">
        <f>R245-Q245</f>
        <v>5</v>
      </c>
      <c r="T245" s="72">
        <v>6</v>
      </c>
      <c r="U245" s="72">
        <v>0</v>
      </c>
      <c r="V245" s="72">
        <v>6</v>
      </c>
      <c r="W245" s="72">
        <v>0</v>
      </c>
      <c r="AA245" s="73">
        <v>0</v>
      </c>
      <c r="AB245" s="72">
        <v>1</v>
      </c>
      <c r="AE245" s="96">
        <v>0</v>
      </c>
      <c r="AF245" s="95">
        <v>0</v>
      </c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 t="str">
        <f>"     " &amp; TEXT(AF245,"#0.00%") &amp; " " &amp; "Unit 운송" &amp; " " &amp; IF(Q245="","",TEXT(Q245,"M/D-")) &amp; IF(R245="","",TEXT(R245,"M/D")) &amp; " "</f>
        <v xml:space="preserve">     0.00% Unit 운송 10/20-10/25 </v>
      </c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  <c r="DA245" s="94"/>
      <c r="DB245" s="94"/>
      <c r="DC245" s="94"/>
      <c r="DD245" s="94"/>
      <c r="DE245" s="94"/>
      <c r="DF245" s="94"/>
      <c r="DG245" s="94"/>
      <c r="DH245" s="94"/>
      <c r="DI245" s="94"/>
      <c r="DJ245" s="94"/>
      <c r="DK245" s="94"/>
      <c r="DL245" s="94"/>
      <c r="DM245" s="94"/>
      <c r="DN245" s="94"/>
      <c r="DO245" s="94"/>
      <c r="DP245" s="94"/>
      <c r="DQ245" s="94"/>
    </row>
    <row r="246" spans="1:121" ht="15" customHeight="1" outlineLevel="4" x14ac:dyDescent="0.3">
      <c r="A246" s="100"/>
      <c r="B246" s="100"/>
      <c r="C246" s="99">
        <v>5</v>
      </c>
      <c r="D246" s="98" t="s">
        <v>1145</v>
      </c>
      <c r="I246" s="106" t="s">
        <v>230</v>
      </c>
      <c r="J246" s="106"/>
      <c r="K246" s="106"/>
      <c r="L246" s="106"/>
      <c r="M246" s="106"/>
      <c r="N246" s="106"/>
      <c r="O246" s="112"/>
      <c r="P246" s="112"/>
      <c r="Q246" s="97">
        <v>45226</v>
      </c>
      <c r="R246" s="97">
        <v>45226</v>
      </c>
      <c r="S246" s="71">
        <f>R246-Q246+1</f>
        <v>1</v>
      </c>
      <c r="T246" s="72">
        <v>1</v>
      </c>
      <c r="U246" s="72">
        <v>0</v>
      </c>
      <c r="V246" s="72">
        <v>1</v>
      </c>
      <c r="W246" s="72">
        <v>0</v>
      </c>
      <c r="AA246" s="73">
        <v>0</v>
      </c>
      <c r="AB246" s="72">
        <v>1</v>
      </c>
      <c r="AE246" s="96">
        <v>0</v>
      </c>
      <c r="AF246" s="95">
        <v>0</v>
      </c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 t="str">
        <f>"     " &amp; TEXT(AF246,"#0.00%") &amp; " " &amp; "FOB" &amp; " " &amp; IF(Q246="","",TEXT(Q246,"M/D-")) &amp; IF(R246="","",TEXT(R246,"M/D")) &amp; " "</f>
        <v xml:space="preserve">     0.00% FOB 10/27-10/27 </v>
      </c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  <c r="CW246" s="94"/>
      <c r="CX246" s="94"/>
      <c r="CY246" s="94"/>
      <c r="CZ246" s="94"/>
      <c r="DA246" s="94"/>
      <c r="DB246" s="94"/>
      <c r="DC246" s="94"/>
      <c r="DD246" s="94"/>
      <c r="DE246" s="94"/>
      <c r="DF246" s="94"/>
      <c r="DG246" s="94"/>
      <c r="DH246" s="94"/>
      <c r="DI246" s="94"/>
      <c r="DJ246" s="94"/>
      <c r="DK246" s="94"/>
      <c r="DL246" s="94"/>
      <c r="DM246" s="94"/>
      <c r="DN246" s="94"/>
      <c r="DO246" s="94"/>
      <c r="DP246" s="94"/>
      <c r="DQ246" s="94"/>
    </row>
    <row r="247" spans="1:121" ht="15" customHeight="1" outlineLevel="4" x14ac:dyDescent="0.3">
      <c r="A247" s="100"/>
      <c r="B247" s="100"/>
      <c r="C247" s="99">
        <v>5</v>
      </c>
      <c r="D247" s="98" t="s">
        <v>1144</v>
      </c>
      <c r="I247" s="106" t="s">
        <v>1077</v>
      </c>
      <c r="J247" s="106"/>
      <c r="K247" s="106"/>
      <c r="L247" s="106"/>
      <c r="M247" s="106"/>
      <c r="N247" s="106"/>
      <c r="O247" s="112"/>
      <c r="P247" s="112"/>
      <c r="Q247" s="97"/>
      <c r="R247" s="97"/>
      <c r="S247" s="71">
        <f>R247-Q247</f>
        <v>0</v>
      </c>
      <c r="T247" s="72">
        <v>0</v>
      </c>
      <c r="U247" s="72">
        <v>0</v>
      </c>
      <c r="V247" s="72">
        <v>0</v>
      </c>
      <c r="W247" s="72">
        <v>0</v>
      </c>
      <c r="Z247" s="74">
        <v>0</v>
      </c>
      <c r="AA247" s="73">
        <v>0</v>
      </c>
      <c r="AB247" s="72">
        <v>1</v>
      </c>
      <c r="AE247" s="96">
        <v>0</v>
      </c>
      <c r="AF247" s="102">
        <v>0</v>
      </c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  <c r="CW247" s="94"/>
      <c r="CX247" s="94"/>
      <c r="CY247" s="94"/>
      <c r="CZ247" s="94"/>
      <c r="DA247" s="94"/>
      <c r="DB247" s="94"/>
      <c r="DC247" s="94"/>
      <c r="DD247" s="94"/>
      <c r="DE247" s="94"/>
      <c r="DF247" s="94"/>
      <c r="DG247" s="94"/>
      <c r="DH247" s="94"/>
      <c r="DI247" s="94"/>
      <c r="DJ247" s="94"/>
      <c r="DK247" s="94"/>
      <c r="DL247" s="94"/>
      <c r="DM247" s="94"/>
      <c r="DN247" s="94"/>
      <c r="DO247" s="94"/>
      <c r="DP247" s="94"/>
      <c r="DQ247" s="94"/>
    </row>
    <row r="248" spans="1:121" ht="15" customHeight="1" outlineLevel="4" x14ac:dyDescent="0.3">
      <c r="A248" s="100"/>
      <c r="B248" s="100"/>
      <c r="C248" s="99">
        <v>5</v>
      </c>
      <c r="D248" s="98" t="s">
        <v>1143</v>
      </c>
      <c r="I248" s="106" t="s">
        <v>1075</v>
      </c>
      <c r="J248" s="106"/>
      <c r="K248" s="106"/>
      <c r="L248" s="106"/>
      <c r="M248" s="106"/>
      <c r="N248" s="106"/>
      <c r="O248" s="112"/>
      <c r="P248" s="112"/>
      <c r="Q248" s="97"/>
      <c r="R248" s="97"/>
      <c r="S248" s="71">
        <f>R248-Q248</f>
        <v>0</v>
      </c>
      <c r="T248" s="72">
        <v>0</v>
      </c>
      <c r="U248" s="72">
        <v>0</v>
      </c>
      <c r="V248" s="72">
        <v>0</v>
      </c>
      <c r="W248" s="72">
        <v>0</v>
      </c>
      <c r="Z248" s="74">
        <v>0</v>
      </c>
      <c r="AA248" s="73">
        <v>0</v>
      </c>
      <c r="AB248" s="72">
        <v>1</v>
      </c>
      <c r="AC248" s="111"/>
      <c r="AE248" s="96">
        <v>0</v>
      </c>
      <c r="AF248" s="102">
        <v>0</v>
      </c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  <c r="CW248" s="94"/>
      <c r="CX248" s="94"/>
      <c r="CY248" s="94"/>
      <c r="CZ248" s="94"/>
      <c r="DA248" s="94"/>
      <c r="DB248" s="94"/>
      <c r="DC248" s="94"/>
      <c r="DD248" s="94"/>
      <c r="DE248" s="94"/>
      <c r="DF248" s="94"/>
      <c r="DG248" s="94"/>
      <c r="DH248" s="94"/>
      <c r="DI248" s="94"/>
      <c r="DJ248" s="94"/>
      <c r="DK248" s="94"/>
      <c r="DL248" s="94"/>
      <c r="DM248" s="94"/>
      <c r="DN248" s="94"/>
      <c r="DO248" s="94"/>
      <c r="DP248" s="94"/>
      <c r="DQ248" s="94"/>
    </row>
    <row r="249" spans="1:121" ht="15" customHeight="1" outlineLevel="3" x14ac:dyDescent="0.3">
      <c r="A249" s="100"/>
      <c r="B249" s="100" t="s">
        <v>298</v>
      </c>
      <c r="C249" s="99">
        <v>4</v>
      </c>
      <c r="D249" s="98" t="s">
        <v>1142</v>
      </c>
      <c r="H249" s="77" t="s">
        <v>1141</v>
      </c>
      <c r="I249" s="106"/>
      <c r="J249" s="106"/>
      <c r="K249" s="106"/>
      <c r="L249" s="106"/>
      <c r="M249" s="106"/>
      <c r="N249" s="106"/>
      <c r="O249" s="112"/>
      <c r="P249" s="112"/>
      <c r="Q249" s="97">
        <v>45209</v>
      </c>
      <c r="R249" s="97">
        <v>45226</v>
      </c>
      <c r="T249" s="72">
        <v>17</v>
      </c>
      <c r="U249" s="72">
        <v>0</v>
      </c>
      <c r="V249" s="72">
        <v>18</v>
      </c>
      <c r="W249" s="72">
        <v>0</v>
      </c>
      <c r="Z249" s="74">
        <v>0</v>
      </c>
      <c r="AA249" s="73">
        <v>0</v>
      </c>
      <c r="AE249" s="96">
        <v>0</v>
      </c>
      <c r="AF249" s="101">
        <v>0</v>
      </c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 t="str">
        <f>"  " &amp; TEXT(AF249,"#0.00%") &amp; " " &amp; "1F 동간물류CV" &amp; " " &amp; IF(Q249="","",TEXT(Q249,"M/D-")) &amp; IF(R249="","",TEXT(R249,"M/D")) &amp; " "</f>
        <v xml:space="preserve">  0.00% 1F 동간물류CV 10/10-10/27 </v>
      </c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  <c r="DA249" s="94"/>
      <c r="DB249" s="94"/>
      <c r="DC249" s="94"/>
      <c r="DD249" s="94"/>
      <c r="DE249" s="94"/>
      <c r="DF249" s="94"/>
      <c r="DG249" s="94"/>
      <c r="DH249" s="94"/>
      <c r="DI249" s="94"/>
      <c r="DJ249" s="94"/>
      <c r="DK249" s="94"/>
      <c r="DL249" s="94"/>
      <c r="DM249" s="94"/>
      <c r="DN249" s="94"/>
      <c r="DO249" s="94"/>
      <c r="DP249" s="94"/>
      <c r="DQ249" s="94"/>
    </row>
    <row r="250" spans="1:121" ht="15" customHeight="1" outlineLevel="4" x14ac:dyDescent="0.3">
      <c r="A250" s="100"/>
      <c r="B250" s="100"/>
      <c r="C250" s="99">
        <v>5</v>
      </c>
      <c r="D250" s="98" t="s">
        <v>1140</v>
      </c>
      <c r="I250" s="106" t="s">
        <v>1083</v>
      </c>
      <c r="J250" s="106"/>
      <c r="K250" s="106"/>
      <c r="L250" s="106"/>
      <c r="M250" s="106"/>
      <c r="N250" s="106"/>
      <c r="O250" s="112"/>
      <c r="P250" s="112"/>
      <c r="Q250" s="97">
        <v>45209</v>
      </c>
      <c r="R250" s="97">
        <v>45218</v>
      </c>
      <c r="S250" s="71">
        <f>R250-Q250</f>
        <v>9</v>
      </c>
      <c r="T250" s="72">
        <v>10</v>
      </c>
      <c r="U250" s="72">
        <v>0</v>
      </c>
      <c r="V250" s="72">
        <v>10</v>
      </c>
      <c r="W250" s="72">
        <v>0</v>
      </c>
      <c r="AA250" s="73">
        <v>0</v>
      </c>
      <c r="AB250" s="72">
        <v>1</v>
      </c>
      <c r="AE250" s="96">
        <v>0</v>
      </c>
      <c r="AF250" s="95">
        <v>0</v>
      </c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 t="str">
        <f>"  " &amp; TEXT(AF250,"#0.00%") &amp; " " &amp; "Unit 포장" &amp; " " &amp; IF(Q250="","",TEXT(Q250,"M/D-")) &amp; IF(R250="","",TEXT(R250,"M/D")) &amp; " "</f>
        <v xml:space="preserve">  0.00% Unit 포장 10/10-10/19 </v>
      </c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  <c r="DA250" s="94"/>
      <c r="DB250" s="94"/>
      <c r="DC250" s="94"/>
      <c r="DD250" s="94"/>
      <c r="DE250" s="94"/>
      <c r="DF250" s="94"/>
      <c r="DG250" s="94"/>
      <c r="DH250" s="94"/>
      <c r="DI250" s="94"/>
      <c r="DJ250" s="94"/>
      <c r="DK250" s="94"/>
      <c r="DL250" s="94"/>
      <c r="DM250" s="94"/>
      <c r="DN250" s="94"/>
      <c r="DO250" s="94"/>
      <c r="DP250" s="94"/>
      <c r="DQ250" s="94"/>
    </row>
    <row r="251" spans="1:121" ht="15" customHeight="1" outlineLevel="4" x14ac:dyDescent="0.3">
      <c r="A251" s="100"/>
      <c r="B251" s="100"/>
      <c r="C251" s="99">
        <v>5</v>
      </c>
      <c r="D251" s="98" t="s">
        <v>1139</v>
      </c>
      <c r="I251" s="106" t="s">
        <v>1081</v>
      </c>
      <c r="J251" s="106"/>
      <c r="K251" s="106"/>
      <c r="L251" s="106"/>
      <c r="M251" s="106"/>
      <c r="N251" s="106"/>
      <c r="O251" s="112"/>
      <c r="P251" s="112"/>
      <c r="Q251" s="97">
        <v>45219</v>
      </c>
      <c r="R251" s="97">
        <v>45224</v>
      </c>
      <c r="S251" s="71">
        <f>R251-Q251</f>
        <v>5</v>
      </c>
      <c r="T251" s="72">
        <v>6</v>
      </c>
      <c r="U251" s="72">
        <v>0</v>
      </c>
      <c r="V251" s="72">
        <v>6</v>
      </c>
      <c r="W251" s="72">
        <v>0</v>
      </c>
      <c r="AA251" s="73">
        <v>0</v>
      </c>
      <c r="AB251" s="72">
        <v>1</v>
      </c>
      <c r="AE251" s="96">
        <v>0</v>
      </c>
      <c r="AF251" s="95">
        <v>0</v>
      </c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 t="str">
        <f>"     " &amp; TEXT(AF251,"#0.00%") &amp; " " &amp; "Unit 운송" &amp; " " &amp; IF(Q251="","",TEXT(Q251,"M/D-")) &amp; IF(R251="","",TEXT(R251,"M/D")) &amp; " "</f>
        <v xml:space="preserve">     0.00% Unit 운송 10/20-10/25 </v>
      </c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  <c r="DA251" s="94"/>
      <c r="DB251" s="94"/>
      <c r="DC251" s="94"/>
      <c r="DD251" s="94"/>
      <c r="DE251" s="94"/>
      <c r="DF251" s="94"/>
      <c r="DG251" s="94"/>
      <c r="DH251" s="94"/>
      <c r="DI251" s="94"/>
      <c r="DJ251" s="94"/>
      <c r="DK251" s="94"/>
      <c r="DL251" s="94"/>
      <c r="DM251" s="94"/>
      <c r="DN251" s="94"/>
      <c r="DO251" s="94"/>
      <c r="DP251" s="94"/>
      <c r="DQ251" s="94"/>
    </row>
    <row r="252" spans="1:121" ht="15" customHeight="1" outlineLevel="4" x14ac:dyDescent="0.3">
      <c r="A252" s="100"/>
      <c r="B252" s="100"/>
      <c r="C252" s="99">
        <v>5</v>
      </c>
      <c r="D252" s="98" t="s">
        <v>1138</v>
      </c>
      <c r="I252" s="106" t="s">
        <v>1079</v>
      </c>
      <c r="J252" s="106"/>
      <c r="K252" s="106"/>
      <c r="L252" s="106"/>
      <c r="M252" s="106"/>
      <c r="N252" s="106"/>
      <c r="O252" s="112"/>
      <c r="P252" s="112"/>
      <c r="Q252" s="97">
        <v>45226</v>
      </c>
      <c r="R252" s="97">
        <v>45226</v>
      </c>
      <c r="S252" s="71">
        <f>R252-Q252+1</f>
        <v>1</v>
      </c>
      <c r="T252" s="72">
        <v>1</v>
      </c>
      <c r="U252" s="72">
        <v>0</v>
      </c>
      <c r="V252" s="72">
        <v>1</v>
      </c>
      <c r="W252" s="72">
        <v>0</v>
      </c>
      <c r="AA252" s="73">
        <v>0</v>
      </c>
      <c r="AB252" s="72">
        <v>1</v>
      </c>
      <c r="AE252" s="96">
        <v>0</v>
      </c>
      <c r="AF252" s="95">
        <v>0</v>
      </c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 t="str">
        <f>"     " &amp; TEXT(AF252,"#0.00%") &amp; " " &amp; "FOB(창고내 내 Deck 우선)" &amp; " " &amp; IF(Q252="","",TEXT(Q252,"M/D-")) &amp; IF(R252="","",TEXT(R252,"M/D")) &amp; " "</f>
        <v xml:space="preserve">     0.00% FOB(창고내 내 Deck 우선) 10/27-10/27 </v>
      </c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  <c r="DA252" s="94"/>
      <c r="DB252" s="94"/>
      <c r="DC252" s="94"/>
      <c r="DD252" s="94"/>
      <c r="DE252" s="94"/>
      <c r="DF252" s="94"/>
      <c r="DG252" s="94"/>
      <c r="DH252" s="94"/>
      <c r="DI252" s="94"/>
      <c r="DJ252" s="94"/>
      <c r="DK252" s="94"/>
      <c r="DL252" s="94"/>
      <c r="DM252" s="94"/>
      <c r="DN252" s="94"/>
      <c r="DO252" s="94"/>
      <c r="DP252" s="94"/>
      <c r="DQ252" s="94"/>
    </row>
    <row r="253" spans="1:121" ht="15" customHeight="1" outlineLevel="4" x14ac:dyDescent="0.3">
      <c r="A253" s="100"/>
      <c r="B253" s="100"/>
      <c r="C253" s="99">
        <v>5</v>
      </c>
      <c r="D253" s="98" t="s">
        <v>1137</v>
      </c>
      <c r="I253" s="106" t="s">
        <v>1077</v>
      </c>
      <c r="J253" s="106"/>
      <c r="K253" s="106"/>
      <c r="L253" s="106"/>
      <c r="M253" s="106"/>
      <c r="N253" s="106"/>
      <c r="O253" s="112"/>
      <c r="P253" s="112"/>
      <c r="Q253" s="97"/>
      <c r="R253" s="97"/>
      <c r="S253" s="71">
        <f>R253-Q253</f>
        <v>0</v>
      </c>
      <c r="T253" s="72">
        <v>0</v>
      </c>
      <c r="U253" s="72">
        <v>0</v>
      </c>
      <c r="V253" s="72">
        <v>0</v>
      </c>
      <c r="W253" s="72">
        <v>0</v>
      </c>
      <c r="Z253" s="74">
        <v>0</v>
      </c>
      <c r="AA253" s="73">
        <v>0</v>
      </c>
      <c r="AB253" s="72">
        <v>1</v>
      </c>
      <c r="AE253" s="96">
        <v>0</v>
      </c>
      <c r="AF253" s="102">
        <v>0</v>
      </c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  <c r="CW253" s="94"/>
      <c r="CX253" s="94"/>
      <c r="CY253" s="94"/>
      <c r="CZ253" s="94"/>
      <c r="DA253" s="94"/>
      <c r="DB253" s="94"/>
      <c r="DC253" s="94"/>
      <c r="DD253" s="94"/>
      <c r="DE253" s="94"/>
      <c r="DF253" s="94"/>
      <c r="DG253" s="94"/>
      <c r="DH253" s="94"/>
      <c r="DI253" s="94"/>
      <c r="DJ253" s="94"/>
      <c r="DK253" s="94"/>
      <c r="DL253" s="94"/>
      <c r="DM253" s="94"/>
      <c r="DN253" s="94"/>
      <c r="DO253" s="94"/>
      <c r="DP253" s="94"/>
      <c r="DQ253" s="94"/>
    </row>
    <row r="254" spans="1:121" ht="15" customHeight="1" outlineLevel="4" x14ac:dyDescent="0.3">
      <c r="A254" s="100"/>
      <c r="B254" s="100"/>
      <c r="C254" s="99">
        <v>5</v>
      </c>
      <c r="D254" s="98" t="s">
        <v>1136</v>
      </c>
      <c r="I254" s="106" t="s">
        <v>1075</v>
      </c>
      <c r="J254" s="106"/>
      <c r="K254" s="106"/>
      <c r="L254" s="106"/>
      <c r="M254" s="106"/>
      <c r="N254" s="106"/>
      <c r="O254" s="112"/>
      <c r="P254" s="112"/>
      <c r="Q254" s="97"/>
      <c r="R254" s="97"/>
      <c r="S254" s="71">
        <f>R254-Q254</f>
        <v>0</v>
      </c>
      <c r="T254" s="72">
        <v>0</v>
      </c>
      <c r="U254" s="72">
        <v>0</v>
      </c>
      <c r="V254" s="72">
        <v>0</v>
      </c>
      <c r="W254" s="72">
        <v>0</v>
      </c>
      <c r="Z254" s="74">
        <v>0</v>
      </c>
      <c r="AA254" s="73">
        <v>0</v>
      </c>
      <c r="AB254" s="72">
        <v>1</v>
      </c>
      <c r="AC254" s="111"/>
      <c r="AE254" s="96">
        <v>0</v>
      </c>
      <c r="AF254" s="102">
        <v>0</v>
      </c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4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4"/>
      <c r="CX254" s="94"/>
      <c r="CY254" s="94"/>
      <c r="CZ254" s="94"/>
      <c r="DA254" s="94"/>
      <c r="DB254" s="94"/>
      <c r="DC254" s="94"/>
      <c r="DD254" s="94"/>
      <c r="DE254" s="94"/>
      <c r="DF254" s="94"/>
      <c r="DG254" s="94"/>
      <c r="DH254" s="94"/>
      <c r="DI254" s="94"/>
      <c r="DJ254" s="94"/>
      <c r="DK254" s="94"/>
      <c r="DL254" s="94"/>
      <c r="DM254" s="94"/>
      <c r="DN254" s="94"/>
      <c r="DO254" s="94"/>
      <c r="DP254" s="94"/>
      <c r="DQ254" s="94"/>
    </row>
    <row r="255" spans="1:121" ht="15" customHeight="1" outlineLevel="3" x14ac:dyDescent="0.3">
      <c r="A255" s="100"/>
      <c r="B255" s="100" t="s">
        <v>298</v>
      </c>
      <c r="C255" s="99">
        <v>4</v>
      </c>
      <c r="D255" s="98" t="s">
        <v>1135</v>
      </c>
      <c r="H255" s="77" t="s">
        <v>1134</v>
      </c>
      <c r="I255" s="106"/>
      <c r="J255" s="106"/>
      <c r="K255" s="106"/>
      <c r="L255" s="106"/>
      <c r="M255" s="106"/>
      <c r="N255" s="106"/>
      <c r="O255" s="112"/>
      <c r="P255" s="112"/>
      <c r="Q255" s="97">
        <v>45209</v>
      </c>
      <c r="R255" s="97">
        <v>45226</v>
      </c>
      <c r="T255" s="72">
        <v>17</v>
      </c>
      <c r="U255" s="72">
        <v>0</v>
      </c>
      <c r="V255" s="72">
        <v>18</v>
      </c>
      <c r="W255" s="72">
        <v>0</v>
      </c>
      <c r="Z255" s="74">
        <v>0</v>
      </c>
      <c r="AA255" s="73">
        <v>0</v>
      </c>
      <c r="AE255" s="96">
        <v>0</v>
      </c>
      <c r="AF255" s="101">
        <v>0</v>
      </c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 t="str">
        <f>"  " &amp; TEXT(AF255,"#0.00%") &amp; " " &amp; "1동 Aging,PPC,충방창고CV" &amp; " " &amp; IF(Q255="","",TEXT(Q255,"M/D-")) &amp; IF(R255="","",TEXT(R255,"M/D")) &amp; " "</f>
        <v xml:space="preserve">  0.00% 1동 Aging,PPC,충방창고CV 10/10-10/27 </v>
      </c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  <c r="DA255" s="94"/>
      <c r="DB255" s="94"/>
      <c r="DC255" s="94"/>
      <c r="DD255" s="94"/>
      <c r="DE255" s="94"/>
      <c r="DF255" s="94"/>
      <c r="DG255" s="94"/>
      <c r="DH255" s="94"/>
      <c r="DI255" s="94"/>
      <c r="DJ255" s="94"/>
      <c r="DK255" s="94"/>
      <c r="DL255" s="94"/>
      <c r="DM255" s="94"/>
      <c r="DN255" s="94"/>
      <c r="DO255" s="94"/>
      <c r="DP255" s="94"/>
      <c r="DQ255" s="94"/>
    </row>
    <row r="256" spans="1:121" ht="15" customHeight="1" outlineLevel="4" x14ac:dyDescent="0.3">
      <c r="A256" s="100"/>
      <c r="B256" s="100"/>
      <c r="C256" s="99">
        <v>5</v>
      </c>
      <c r="D256" s="98" t="s">
        <v>1133</v>
      </c>
      <c r="I256" s="106" t="s">
        <v>1083</v>
      </c>
      <c r="J256" s="106"/>
      <c r="K256" s="106"/>
      <c r="L256" s="106"/>
      <c r="M256" s="106"/>
      <c r="N256" s="106"/>
      <c r="O256" s="112"/>
      <c r="P256" s="112"/>
      <c r="Q256" s="97">
        <v>45209</v>
      </c>
      <c r="R256" s="97">
        <v>45218</v>
      </c>
      <c r="S256" s="71">
        <f>R256-Q256</f>
        <v>9</v>
      </c>
      <c r="T256" s="72">
        <v>10</v>
      </c>
      <c r="U256" s="72">
        <v>0</v>
      </c>
      <c r="V256" s="72">
        <v>10</v>
      </c>
      <c r="W256" s="72">
        <v>0</v>
      </c>
      <c r="AA256" s="73">
        <v>0</v>
      </c>
      <c r="AB256" s="72">
        <v>1</v>
      </c>
      <c r="AE256" s="96">
        <v>0</v>
      </c>
      <c r="AF256" s="95">
        <v>0</v>
      </c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 t="str">
        <f>"  " &amp; TEXT(AF256,"#0.00%") &amp; " " &amp; "Unit 포장" &amp; " " &amp; IF(Q256="","",TEXT(Q256,"M/D-")) &amp; IF(R256="","",TEXT(R256,"M/D")) &amp; " "</f>
        <v xml:space="preserve">  0.00% Unit 포장 10/10-10/19 </v>
      </c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  <c r="CW256" s="94"/>
      <c r="CX256" s="94"/>
      <c r="CY256" s="94"/>
      <c r="CZ256" s="94"/>
      <c r="DA256" s="94"/>
      <c r="DB256" s="94"/>
      <c r="DC256" s="94"/>
      <c r="DD256" s="94"/>
      <c r="DE256" s="94"/>
      <c r="DF256" s="94"/>
      <c r="DG256" s="94"/>
      <c r="DH256" s="94"/>
      <c r="DI256" s="94"/>
      <c r="DJ256" s="94"/>
      <c r="DK256" s="94"/>
      <c r="DL256" s="94"/>
      <c r="DM256" s="94"/>
      <c r="DN256" s="94"/>
      <c r="DO256" s="94"/>
      <c r="DP256" s="94"/>
      <c r="DQ256" s="94"/>
    </row>
    <row r="257" spans="1:121" ht="15" customHeight="1" outlineLevel="4" x14ac:dyDescent="0.3">
      <c r="A257" s="100"/>
      <c r="B257" s="100"/>
      <c r="C257" s="99">
        <v>5</v>
      </c>
      <c r="D257" s="98" t="s">
        <v>1132</v>
      </c>
      <c r="I257" s="106" t="s">
        <v>1081</v>
      </c>
      <c r="J257" s="106"/>
      <c r="K257" s="106"/>
      <c r="L257" s="106"/>
      <c r="M257" s="106"/>
      <c r="N257" s="106"/>
      <c r="O257" s="112"/>
      <c r="P257" s="112"/>
      <c r="Q257" s="97">
        <v>45219</v>
      </c>
      <c r="R257" s="97">
        <v>45224</v>
      </c>
      <c r="S257" s="71">
        <f>R257-Q257</f>
        <v>5</v>
      </c>
      <c r="T257" s="72">
        <v>6</v>
      </c>
      <c r="U257" s="72">
        <v>0</v>
      </c>
      <c r="V257" s="72">
        <v>6</v>
      </c>
      <c r="W257" s="72">
        <v>0</v>
      </c>
      <c r="AA257" s="73">
        <v>0</v>
      </c>
      <c r="AB257" s="72">
        <v>1</v>
      </c>
      <c r="AE257" s="96">
        <v>0</v>
      </c>
      <c r="AF257" s="95">
        <v>0</v>
      </c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 t="str">
        <f>"     " &amp; TEXT(AF257,"#0.00%") &amp; " " &amp; "Unit 운송" &amp; " " &amp; IF(Q257="","",TEXT(Q257,"M/D-")) &amp; IF(R257="","",TEXT(R257,"M/D")) &amp; " "</f>
        <v xml:space="preserve">     0.00% Unit 운송 10/20-10/25 </v>
      </c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4"/>
      <c r="CX257" s="94"/>
      <c r="CY257" s="94"/>
      <c r="CZ257" s="94"/>
      <c r="DA257" s="94"/>
      <c r="DB257" s="94"/>
      <c r="DC257" s="94"/>
      <c r="DD257" s="94"/>
      <c r="DE257" s="94"/>
      <c r="DF257" s="94"/>
      <c r="DG257" s="94"/>
      <c r="DH257" s="94"/>
      <c r="DI257" s="94"/>
      <c r="DJ257" s="94"/>
      <c r="DK257" s="94"/>
      <c r="DL257" s="94"/>
      <c r="DM257" s="94"/>
      <c r="DN257" s="94"/>
      <c r="DO257" s="94"/>
      <c r="DP257" s="94"/>
      <c r="DQ257" s="94"/>
    </row>
    <row r="258" spans="1:121" ht="15" customHeight="1" outlineLevel="4" x14ac:dyDescent="0.3">
      <c r="A258" s="100"/>
      <c r="B258" s="100"/>
      <c r="C258" s="99">
        <v>5</v>
      </c>
      <c r="D258" s="98" t="s">
        <v>1131</v>
      </c>
      <c r="I258" s="106" t="s">
        <v>1079</v>
      </c>
      <c r="J258" s="106"/>
      <c r="K258" s="106"/>
      <c r="L258" s="106"/>
      <c r="M258" s="106"/>
      <c r="N258" s="106"/>
      <c r="O258" s="112"/>
      <c r="P258" s="112"/>
      <c r="Q258" s="97">
        <v>45226</v>
      </c>
      <c r="R258" s="97">
        <v>45226</v>
      </c>
      <c r="S258" s="71">
        <f>R258-Q258+1</f>
        <v>1</v>
      </c>
      <c r="T258" s="72">
        <v>1</v>
      </c>
      <c r="U258" s="72">
        <v>0</v>
      </c>
      <c r="V258" s="72">
        <v>1</v>
      </c>
      <c r="W258" s="72">
        <v>0</v>
      </c>
      <c r="AA258" s="73">
        <v>0</v>
      </c>
      <c r="AB258" s="72">
        <v>1</v>
      </c>
      <c r="AE258" s="96">
        <v>0</v>
      </c>
      <c r="AF258" s="95">
        <v>0</v>
      </c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 t="str">
        <f>"     " &amp; TEXT(AF258,"#0.00%") &amp; " " &amp; "FOB(창고내 내 Deck 우선)" &amp; " " &amp; IF(Q258="","",TEXT(Q258,"M/D-")) &amp; IF(R258="","",TEXT(R258,"M/D")) &amp; " "</f>
        <v xml:space="preserve">     0.00% FOB(창고내 내 Deck 우선) 10/27-10/27 </v>
      </c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4"/>
      <c r="CX258" s="94"/>
      <c r="CY258" s="94"/>
      <c r="CZ258" s="94"/>
      <c r="DA258" s="94"/>
      <c r="DB258" s="94"/>
      <c r="DC258" s="94"/>
      <c r="DD258" s="94"/>
      <c r="DE258" s="94"/>
      <c r="DF258" s="94"/>
      <c r="DG258" s="94"/>
      <c r="DH258" s="94"/>
      <c r="DI258" s="94"/>
      <c r="DJ258" s="94"/>
      <c r="DK258" s="94"/>
      <c r="DL258" s="94"/>
      <c r="DM258" s="94"/>
      <c r="DN258" s="94"/>
      <c r="DO258" s="94"/>
      <c r="DP258" s="94"/>
      <c r="DQ258" s="94"/>
    </row>
    <row r="259" spans="1:121" ht="15" customHeight="1" outlineLevel="4" x14ac:dyDescent="0.3">
      <c r="A259" s="100"/>
      <c r="B259" s="100"/>
      <c r="C259" s="99">
        <v>5</v>
      </c>
      <c r="D259" s="98" t="s">
        <v>1130</v>
      </c>
      <c r="I259" s="106" t="s">
        <v>1077</v>
      </c>
      <c r="J259" s="106"/>
      <c r="K259" s="106"/>
      <c r="L259" s="106"/>
      <c r="M259" s="106"/>
      <c r="N259" s="106"/>
      <c r="O259" s="112"/>
      <c r="P259" s="112"/>
      <c r="Q259" s="97"/>
      <c r="R259" s="97"/>
      <c r="S259" s="71">
        <f>R259-Q259</f>
        <v>0</v>
      </c>
      <c r="T259" s="72">
        <v>0</v>
      </c>
      <c r="U259" s="72">
        <v>0</v>
      </c>
      <c r="V259" s="72">
        <v>0</v>
      </c>
      <c r="W259" s="72">
        <v>0</v>
      </c>
      <c r="Z259" s="74">
        <v>0</v>
      </c>
      <c r="AA259" s="73">
        <v>0</v>
      </c>
      <c r="AB259" s="72">
        <v>1</v>
      </c>
      <c r="AE259" s="96">
        <v>0</v>
      </c>
      <c r="AF259" s="102">
        <v>0</v>
      </c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4"/>
      <c r="CX259" s="94"/>
      <c r="CY259" s="94"/>
      <c r="CZ259" s="94"/>
      <c r="DA259" s="94"/>
      <c r="DB259" s="94"/>
      <c r="DC259" s="94"/>
      <c r="DD259" s="94"/>
      <c r="DE259" s="94"/>
      <c r="DF259" s="94"/>
      <c r="DG259" s="94"/>
      <c r="DH259" s="94"/>
      <c r="DI259" s="94"/>
      <c r="DJ259" s="94"/>
      <c r="DK259" s="94"/>
      <c r="DL259" s="94"/>
      <c r="DM259" s="94"/>
      <c r="DN259" s="94"/>
      <c r="DO259" s="94"/>
      <c r="DP259" s="94"/>
      <c r="DQ259" s="94"/>
    </row>
    <row r="260" spans="1:121" ht="15" customHeight="1" outlineLevel="4" x14ac:dyDescent="0.3">
      <c r="A260" s="100"/>
      <c r="B260" s="100"/>
      <c r="C260" s="99">
        <v>5</v>
      </c>
      <c r="D260" s="98" t="s">
        <v>1129</v>
      </c>
      <c r="I260" s="106" t="s">
        <v>1075</v>
      </c>
      <c r="J260" s="106"/>
      <c r="K260" s="106"/>
      <c r="L260" s="106"/>
      <c r="M260" s="106"/>
      <c r="N260" s="106"/>
      <c r="O260" s="112"/>
      <c r="P260" s="112"/>
      <c r="Q260" s="97"/>
      <c r="R260" s="97"/>
      <c r="S260" s="71">
        <f>R260-Q260</f>
        <v>0</v>
      </c>
      <c r="T260" s="72">
        <v>0</v>
      </c>
      <c r="U260" s="72">
        <v>0</v>
      </c>
      <c r="V260" s="72">
        <v>0</v>
      </c>
      <c r="W260" s="72">
        <v>0</v>
      </c>
      <c r="Z260" s="74">
        <v>0</v>
      </c>
      <c r="AA260" s="73">
        <v>0</v>
      </c>
      <c r="AB260" s="72">
        <v>1</v>
      </c>
      <c r="AC260" s="111"/>
      <c r="AE260" s="96">
        <v>0</v>
      </c>
      <c r="AF260" s="102">
        <v>0</v>
      </c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  <c r="CW260" s="94"/>
      <c r="CX260" s="94"/>
      <c r="CY260" s="94"/>
      <c r="CZ260" s="94"/>
      <c r="DA260" s="94"/>
      <c r="DB260" s="94"/>
      <c r="DC260" s="94"/>
      <c r="DD260" s="94"/>
      <c r="DE260" s="94"/>
      <c r="DF260" s="94"/>
      <c r="DG260" s="94"/>
      <c r="DH260" s="94"/>
      <c r="DI260" s="94"/>
      <c r="DJ260" s="94"/>
      <c r="DK260" s="94"/>
      <c r="DL260" s="94"/>
      <c r="DM260" s="94"/>
      <c r="DN260" s="94"/>
      <c r="DO260" s="94"/>
      <c r="DP260" s="94"/>
      <c r="DQ260" s="94"/>
    </row>
    <row r="261" spans="1:121" ht="15" customHeight="1" outlineLevel="3" x14ac:dyDescent="0.3">
      <c r="A261" s="100"/>
      <c r="B261" s="100" t="s">
        <v>298</v>
      </c>
      <c r="C261" s="99">
        <v>4</v>
      </c>
      <c r="D261" s="98" t="s">
        <v>1128</v>
      </c>
      <c r="H261" s="77" t="s">
        <v>1127</v>
      </c>
      <c r="I261" s="106"/>
      <c r="J261" s="106"/>
      <c r="K261" s="106"/>
      <c r="L261" s="106"/>
      <c r="M261" s="106"/>
      <c r="N261" s="106"/>
      <c r="O261" s="112"/>
      <c r="P261" s="112"/>
      <c r="Q261" s="97">
        <v>45209</v>
      </c>
      <c r="R261" s="97">
        <v>45226</v>
      </c>
      <c r="T261" s="72">
        <v>17</v>
      </c>
      <c r="U261" s="72">
        <v>0</v>
      </c>
      <c r="V261" s="72">
        <v>18</v>
      </c>
      <c r="W261" s="72">
        <v>0</v>
      </c>
      <c r="Z261" s="74">
        <v>0</v>
      </c>
      <c r="AA261" s="73">
        <v>0</v>
      </c>
      <c r="AE261" s="96">
        <v>0</v>
      </c>
      <c r="AF261" s="101">
        <v>0</v>
      </c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 t="str">
        <f>"  " &amp; TEXT(AF261,"#0.00%") &amp; " " &amp; "1동 Folding CV" &amp; " " &amp; IF(Q261="","",TEXT(Q261,"M/D-")) &amp; IF(R261="","",TEXT(R261,"M/D")) &amp; " "</f>
        <v xml:space="preserve">  0.00% 1동 Folding CV 10/10-10/27 </v>
      </c>
      <c r="BR261" s="94"/>
      <c r="BS261" s="94"/>
      <c r="BT261" s="94"/>
      <c r="BU261" s="94"/>
      <c r="BV261" s="94"/>
      <c r="BW261" s="94"/>
      <c r="BX261" s="94"/>
      <c r="BY261" s="94"/>
      <c r="BZ261" s="94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4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  <c r="CW261" s="94"/>
      <c r="CX261" s="94"/>
      <c r="CY261" s="94"/>
      <c r="CZ261" s="94"/>
      <c r="DA261" s="94"/>
      <c r="DB261" s="94"/>
      <c r="DC261" s="94"/>
      <c r="DD261" s="94"/>
      <c r="DE261" s="94"/>
      <c r="DF261" s="94"/>
      <c r="DG261" s="94"/>
      <c r="DH261" s="94"/>
      <c r="DI261" s="94"/>
      <c r="DJ261" s="94"/>
      <c r="DK261" s="94"/>
      <c r="DL261" s="94"/>
      <c r="DM261" s="94"/>
      <c r="DN261" s="94"/>
      <c r="DO261" s="94"/>
      <c r="DP261" s="94"/>
      <c r="DQ261" s="94"/>
    </row>
    <row r="262" spans="1:121" ht="15" customHeight="1" outlineLevel="4" x14ac:dyDescent="0.3">
      <c r="A262" s="100"/>
      <c r="B262" s="100"/>
      <c r="C262" s="99">
        <v>5</v>
      </c>
      <c r="D262" s="98" t="s">
        <v>1126</v>
      </c>
      <c r="I262" s="106" t="s">
        <v>1083</v>
      </c>
      <c r="J262" s="106"/>
      <c r="K262" s="106"/>
      <c r="L262" s="106"/>
      <c r="M262" s="106"/>
      <c r="N262" s="106"/>
      <c r="O262" s="112"/>
      <c r="P262" s="112"/>
      <c r="Q262" s="97">
        <v>45209</v>
      </c>
      <c r="R262" s="97">
        <v>45218</v>
      </c>
      <c r="S262" s="71">
        <f>R262-Q262</f>
        <v>9</v>
      </c>
      <c r="T262" s="72">
        <v>10</v>
      </c>
      <c r="U262" s="72">
        <v>0</v>
      </c>
      <c r="V262" s="72">
        <v>10</v>
      </c>
      <c r="W262" s="72">
        <v>0</v>
      </c>
      <c r="AA262" s="73">
        <v>0</v>
      </c>
      <c r="AB262" s="72">
        <v>1</v>
      </c>
      <c r="AE262" s="96">
        <v>0</v>
      </c>
      <c r="AF262" s="95">
        <v>0</v>
      </c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 t="str">
        <f>"  " &amp; TEXT(AF262,"#0.00%") &amp; " " &amp; "Unit 포장" &amp; " " &amp; IF(Q262="","",TEXT(Q262,"M/D-")) &amp; IF(R262="","",TEXT(R262,"M/D")) &amp; " "</f>
        <v xml:space="preserve">  0.00% Unit 포장 10/10-10/19 </v>
      </c>
      <c r="BR262" s="94"/>
      <c r="BS262" s="94"/>
      <c r="BT262" s="94"/>
      <c r="BU262" s="94"/>
      <c r="BV262" s="94"/>
      <c r="BW262" s="94"/>
      <c r="BX262" s="94"/>
      <c r="BY262" s="94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94"/>
      <c r="CO262" s="94"/>
      <c r="CP262" s="94"/>
      <c r="CQ262" s="94"/>
      <c r="CR262" s="94"/>
      <c r="CS262" s="94"/>
      <c r="CT262" s="94"/>
      <c r="CU262" s="94"/>
      <c r="CV262" s="94"/>
      <c r="CW262" s="94"/>
      <c r="CX262" s="94"/>
      <c r="CY262" s="94"/>
      <c r="CZ262" s="94"/>
      <c r="DA262" s="94"/>
      <c r="DB262" s="94"/>
      <c r="DC262" s="94"/>
      <c r="DD262" s="94"/>
      <c r="DE262" s="94"/>
      <c r="DF262" s="94"/>
      <c r="DG262" s="94"/>
      <c r="DH262" s="94"/>
      <c r="DI262" s="94"/>
      <c r="DJ262" s="94"/>
      <c r="DK262" s="94"/>
      <c r="DL262" s="94"/>
      <c r="DM262" s="94"/>
      <c r="DN262" s="94"/>
      <c r="DO262" s="94"/>
      <c r="DP262" s="94"/>
      <c r="DQ262" s="94"/>
    </row>
    <row r="263" spans="1:121" ht="15" customHeight="1" outlineLevel="4" x14ac:dyDescent="0.3">
      <c r="A263" s="100"/>
      <c r="B263" s="100"/>
      <c r="C263" s="99">
        <v>5</v>
      </c>
      <c r="D263" s="98" t="s">
        <v>1125</v>
      </c>
      <c r="I263" s="106" t="s">
        <v>1081</v>
      </c>
      <c r="J263" s="106"/>
      <c r="K263" s="106"/>
      <c r="L263" s="106"/>
      <c r="M263" s="106"/>
      <c r="N263" s="106"/>
      <c r="O263" s="112"/>
      <c r="P263" s="112"/>
      <c r="Q263" s="97">
        <v>45219</v>
      </c>
      <c r="R263" s="97">
        <v>45224</v>
      </c>
      <c r="S263" s="71">
        <f>R263-Q263</f>
        <v>5</v>
      </c>
      <c r="T263" s="72">
        <v>6</v>
      </c>
      <c r="U263" s="72">
        <v>0</v>
      </c>
      <c r="V263" s="72">
        <v>6</v>
      </c>
      <c r="W263" s="72">
        <v>0</v>
      </c>
      <c r="AA263" s="73">
        <v>0</v>
      </c>
      <c r="AB263" s="72">
        <v>1</v>
      </c>
      <c r="AE263" s="96">
        <v>0</v>
      </c>
      <c r="AF263" s="95">
        <v>0</v>
      </c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 t="str">
        <f>"     " &amp; TEXT(AF263,"#0.00%") &amp; " " &amp; "Unit 운송" &amp; " " &amp; IF(Q263="","",TEXT(Q263,"M/D-")) &amp; IF(R263="","",TEXT(R263,"M/D")) &amp; " "</f>
        <v xml:space="preserve">     0.00% Unit 운송 10/20-10/25 </v>
      </c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4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  <c r="CW263" s="94"/>
      <c r="CX263" s="94"/>
      <c r="CY263" s="94"/>
      <c r="CZ263" s="94"/>
      <c r="DA263" s="94"/>
      <c r="DB263" s="94"/>
      <c r="DC263" s="94"/>
      <c r="DD263" s="94"/>
      <c r="DE263" s="94"/>
      <c r="DF263" s="94"/>
      <c r="DG263" s="94"/>
      <c r="DH263" s="94"/>
      <c r="DI263" s="94"/>
      <c r="DJ263" s="94"/>
      <c r="DK263" s="94"/>
      <c r="DL263" s="94"/>
      <c r="DM263" s="94"/>
      <c r="DN263" s="94"/>
      <c r="DO263" s="94"/>
      <c r="DP263" s="94"/>
      <c r="DQ263" s="94"/>
    </row>
    <row r="264" spans="1:121" ht="15" customHeight="1" outlineLevel="4" x14ac:dyDescent="0.3">
      <c r="A264" s="100"/>
      <c r="B264" s="100"/>
      <c r="C264" s="99">
        <v>5</v>
      </c>
      <c r="D264" s="98" t="s">
        <v>1124</v>
      </c>
      <c r="I264" s="106" t="s">
        <v>1079</v>
      </c>
      <c r="J264" s="106"/>
      <c r="K264" s="106"/>
      <c r="L264" s="106"/>
      <c r="M264" s="106"/>
      <c r="N264" s="106"/>
      <c r="O264" s="112"/>
      <c r="P264" s="112"/>
      <c r="Q264" s="97">
        <v>45226</v>
      </c>
      <c r="R264" s="97">
        <v>45226</v>
      </c>
      <c r="S264" s="71">
        <f>R264-Q264+1</f>
        <v>1</v>
      </c>
      <c r="T264" s="72">
        <v>1</v>
      </c>
      <c r="U264" s="72">
        <v>0</v>
      </c>
      <c r="V264" s="72">
        <v>1</v>
      </c>
      <c r="W264" s="72">
        <v>0</v>
      </c>
      <c r="AA264" s="73">
        <v>0</v>
      </c>
      <c r="AB264" s="72">
        <v>1</v>
      </c>
      <c r="AE264" s="96">
        <v>0</v>
      </c>
      <c r="AF264" s="95">
        <v>0</v>
      </c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  <c r="BO264" s="94"/>
      <c r="BP264" s="94"/>
      <c r="BQ264" s="94"/>
      <c r="BR264" s="94"/>
      <c r="BS264" s="94" t="str">
        <f>"     " &amp; TEXT(AF264,"#0.00%") &amp; " " &amp; "FOB(창고내 내 Deck 우선)" &amp; " " &amp; IF(Q264="","",TEXT(Q264,"M/D-")) &amp; IF(R264="","",TEXT(R264,"M/D")) &amp; " "</f>
        <v xml:space="preserve">     0.00% FOB(창고내 내 Deck 우선) 10/27-10/27 </v>
      </c>
      <c r="BT264" s="94"/>
      <c r="BU264" s="94"/>
      <c r="BV264" s="94"/>
      <c r="BW264" s="94"/>
      <c r="BX264" s="94"/>
      <c r="BY264" s="94"/>
      <c r="BZ264" s="94"/>
      <c r="CA264" s="94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  <c r="CL264" s="94"/>
      <c r="CM264" s="94"/>
      <c r="CN264" s="94"/>
      <c r="CO264" s="94"/>
      <c r="CP264" s="94"/>
      <c r="CQ264" s="94"/>
      <c r="CR264" s="94"/>
      <c r="CS264" s="94"/>
      <c r="CT264" s="94"/>
      <c r="CU264" s="94"/>
      <c r="CV264" s="94"/>
      <c r="CW264" s="94"/>
      <c r="CX264" s="94"/>
      <c r="CY264" s="94"/>
      <c r="CZ264" s="94"/>
      <c r="DA264" s="94"/>
      <c r="DB264" s="94"/>
      <c r="DC264" s="94"/>
      <c r="DD264" s="94"/>
      <c r="DE264" s="94"/>
      <c r="DF264" s="94"/>
      <c r="DG264" s="94"/>
      <c r="DH264" s="94"/>
      <c r="DI264" s="94"/>
      <c r="DJ264" s="94"/>
      <c r="DK264" s="94"/>
      <c r="DL264" s="94"/>
      <c r="DM264" s="94"/>
      <c r="DN264" s="94"/>
      <c r="DO264" s="94"/>
      <c r="DP264" s="94"/>
      <c r="DQ264" s="94"/>
    </row>
    <row r="265" spans="1:121" ht="15" customHeight="1" outlineLevel="4" x14ac:dyDescent="0.3">
      <c r="A265" s="100"/>
      <c r="B265" s="100"/>
      <c r="C265" s="99">
        <v>5</v>
      </c>
      <c r="D265" s="98" t="s">
        <v>1123</v>
      </c>
      <c r="I265" s="106" t="s">
        <v>1077</v>
      </c>
      <c r="J265" s="106"/>
      <c r="K265" s="106"/>
      <c r="L265" s="106"/>
      <c r="M265" s="106"/>
      <c r="N265" s="106"/>
      <c r="O265" s="112"/>
      <c r="P265" s="112"/>
      <c r="Q265" s="97"/>
      <c r="R265" s="97"/>
      <c r="S265" s="71">
        <f>R265-Q265</f>
        <v>0</v>
      </c>
      <c r="T265" s="72">
        <v>0</v>
      </c>
      <c r="U265" s="72">
        <v>0</v>
      </c>
      <c r="V265" s="72">
        <v>0</v>
      </c>
      <c r="W265" s="72">
        <v>0</v>
      </c>
      <c r="Z265" s="74">
        <v>0</v>
      </c>
      <c r="AA265" s="73">
        <v>0</v>
      </c>
      <c r="AB265" s="72">
        <v>1</v>
      </c>
      <c r="AE265" s="96">
        <v>0</v>
      </c>
      <c r="AF265" s="102">
        <v>0</v>
      </c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  <c r="BG265" s="94"/>
      <c r="BH265" s="94"/>
      <c r="BI265" s="94"/>
      <c r="BJ265" s="94"/>
      <c r="BK265" s="94"/>
      <c r="BL265" s="94"/>
      <c r="BM265" s="94"/>
      <c r="BN265" s="94"/>
      <c r="BO265" s="94"/>
      <c r="BP265" s="94"/>
      <c r="BQ265" s="94"/>
      <c r="BR265" s="94"/>
      <c r="BS265" s="94"/>
      <c r="BT265" s="94"/>
      <c r="BU265" s="94"/>
      <c r="BV265" s="94"/>
      <c r="BW265" s="94"/>
      <c r="BX265" s="94"/>
      <c r="BY265" s="94"/>
      <c r="BZ265" s="94"/>
      <c r="CA265" s="94"/>
      <c r="CB265" s="94"/>
      <c r="CC265" s="94"/>
      <c r="CD265" s="94"/>
      <c r="CE265" s="94"/>
      <c r="CF265" s="94"/>
      <c r="CG265" s="94"/>
      <c r="CH265" s="94"/>
      <c r="CI265" s="94"/>
      <c r="CJ265" s="94"/>
      <c r="CK265" s="94"/>
      <c r="CL265" s="94"/>
      <c r="CM265" s="94"/>
      <c r="CN265" s="94"/>
      <c r="CO265" s="94"/>
      <c r="CP265" s="94"/>
      <c r="CQ265" s="94"/>
      <c r="CR265" s="94"/>
      <c r="CS265" s="94"/>
      <c r="CT265" s="94"/>
      <c r="CU265" s="94"/>
      <c r="CV265" s="94"/>
      <c r="CW265" s="94"/>
      <c r="CX265" s="94"/>
      <c r="CY265" s="94"/>
      <c r="CZ265" s="94"/>
      <c r="DA265" s="94"/>
      <c r="DB265" s="94"/>
      <c r="DC265" s="94"/>
      <c r="DD265" s="94"/>
      <c r="DE265" s="94"/>
      <c r="DF265" s="94"/>
      <c r="DG265" s="94"/>
      <c r="DH265" s="94"/>
      <c r="DI265" s="94"/>
      <c r="DJ265" s="94"/>
      <c r="DK265" s="94"/>
      <c r="DL265" s="94"/>
      <c r="DM265" s="94"/>
      <c r="DN265" s="94"/>
      <c r="DO265" s="94"/>
      <c r="DP265" s="94"/>
      <c r="DQ265" s="94"/>
    </row>
    <row r="266" spans="1:121" ht="15" customHeight="1" outlineLevel="4" x14ac:dyDescent="0.3">
      <c r="A266" s="100"/>
      <c r="B266" s="100"/>
      <c r="C266" s="99">
        <v>5</v>
      </c>
      <c r="D266" s="98" t="s">
        <v>1122</v>
      </c>
      <c r="I266" s="106" t="s">
        <v>1075</v>
      </c>
      <c r="J266" s="106"/>
      <c r="K266" s="106"/>
      <c r="L266" s="106"/>
      <c r="M266" s="106"/>
      <c r="N266" s="106"/>
      <c r="O266" s="112"/>
      <c r="P266" s="112"/>
      <c r="Q266" s="97"/>
      <c r="R266" s="97"/>
      <c r="S266" s="71">
        <f>R266-Q266</f>
        <v>0</v>
      </c>
      <c r="T266" s="72">
        <v>0</v>
      </c>
      <c r="U266" s="72">
        <v>0</v>
      </c>
      <c r="V266" s="72">
        <v>0</v>
      </c>
      <c r="W266" s="72">
        <v>0</v>
      </c>
      <c r="Z266" s="74">
        <v>0</v>
      </c>
      <c r="AA266" s="73">
        <v>0</v>
      </c>
      <c r="AB266" s="72">
        <v>1</v>
      </c>
      <c r="AC266" s="111"/>
      <c r="AE266" s="96">
        <v>0</v>
      </c>
      <c r="AF266" s="102">
        <v>0</v>
      </c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4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4"/>
      <c r="CM266" s="94"/>
      <c r="CN266" s="94"/>
      <c r="CO266" s="94"/>
      <c r="CP266" s="94"/>
      <c r="CQ266" s="94"/>
      <c r="CR266" s="94"/>
      <c r="CS266" s="94"/>
      <c r="CT266" s="94"/>
      <c r="CU266" s="94"/>
      <c r="CV266" s="94"/>
      <c r="CW266" s="94"/>
      <c r="CX266" s="94"/>
      <c r="CY266" s="94"/>
      <c r="CZ266" s="94"/>
      <c r="DA266" s="94"/>
      <c r="DB266" s="94"/>
      <c r="DC266" s="94"/>
      <c r="DD266" s="94"/>
      <c r="DE266" s="94"/>
      <c r="DF266" s="94"/>
      <c r="DG266" s="94"/>
      <c r="DH266" s="94"/>
      <c r="DI266" s="94"/>
      <c r="DJ266" s="94"/>
      <c r="DK266" s="94"/>
      <c r="DL266" s="94"/>
      <c r="DM266" s="94"/>
      <c r="DN266" s="94"/>
      <c r="DO266" s="94"/>
      <c r="DP266" s="94"/>
      <c r="DQ266" s="94"/>
    </row>
    <row r="267" spans="1:121" ht="15" customHeight="1" outlineLevel="3" x14ac:dyDescent="0.3">
      <c r="A267" s="100"/>
      <c r="B267" s="100" t="s">
        <v>298</v>
      </c>
      <c r="C267" s="99">
        <v>4</v>
      </c>
      <c r="D267" s="98" t="s">
        <v>1121</v>
      </c>
      <c r="H267" s="77" t="s">
        <v>1120</v>
      </c>
      <c r="I267" s="106"/>
      <c r="J267" s="106"/>
      <c r="K267" s="106"/>
      <c r="L267" s="106"/>
      <c r="M267" s="106"/>
      <c r="N267" s="106"/>
      <c r="O267" s="112"/>
      <c r="P267" s="112"/>
      <c r="Q267" s="97">
        <v>45209</v>
      </c>
      <c r="R267" s="97">
        <v>45226</v>
      </c>
      <c r="T267" s="72">
        <v>17</v>
      </c>
      <c r="U267" s="72">
        <v>0</v>
      </c>
      <c r="V267" s="72">
        <v>18</v>
      </c>
      <c r="W267" s="72">
        <v>0</v>
      </c>
      <c r="Z267" s="74">
        <v>0</v>
      </c>
      <c r="AA267" s="73">
        <v>0</v>
      </c>
      <c r="AE267" s="96">
        <v>0</v>
      </c>
      <c r="AF267" s="101">
        <v>0</v>
      </c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 t="str">
        <f>"  " &amp; TEXT(AF267,"#0.00%") &amp; " " &amp; "1동 Degassing CV" &amp; " " &amp; IF(Q267="","",TEXT(Q267,"M/D-")) &amp; IF(R267="","",TEXT(R267,"M/D")) &amp; " "</f>
        <v xml:space="preserve">  0.00% 1동 Degassing CV 10/10-10/27 </v>
      </c>
      <c r="BR267" s="94"/>
      <c r="BS267" s="94"/>
      <c r="BT267" s="94"/>
      <c r="BU267" s="94"/>
      <c r="BV267" s="94"/>
      <c r="BW267" s="94"/>
      <c r="BX267" s="94"/>
      <c r="BY267" s="94"/>
      <c r="BZ267" s="94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  <c r="CW267" s="94"/>
      <c r="CX267" s="94"/>
      <c r="CY267" s="94"/>
      <c r="CZ267" s="94"/>
      <c r="DA267" s="94"/>
      <c r="DB267" s="94"/>
      <c r="DC267" s="94"/>
      <c r="DD267" s="94"/>
      <c r="DE267" s="94"/>
      <c r="DF267" s="94"/>
      <c r="DG267" s="94"/>
      <c r="DH267" s="94"/>
      <c r="DI267" s="94"/>
      <c r="DJ267" s="94"/>
      <c r="DK267" s="94"/>
      <c r="DL267" s="94"/>
      <c r="DM267" s="94"/>
      <c r="DN267" s="94"/>
      <c r="DO267" s="94"/>
      <c r="DP267" s="94"/>
      <c r="DQ267" s="94"/>
    </row>
    <row r="268" spans="1:121" ht="15" customHeight="1" outlineLevel="4" x14ac:dyDescent="0.3">
      <c r="A268" s="100"/>
      <c r="B268" s="100"/>
      <c r="C268" s="99">
        <v>5</v>
      </c>
      <c r="D268" s="98" t="s">
        <v>1119</v>
      </c>
      <c r="I268" s="106" t="s">
        <v>1083</v>
      </c>
      <c r="J268" s="106"/>
      <c r="K268" s="106"/>
      <c r="L268" s="106"/>
      <c r="M268" s="106"/>
      <c r="N268" s="106"/>
      <c r="O268" s="112"/>
      <c r="P268" s="112"/>
      <c r="Q268" s="97">
        <v>45209</v>
      </c>
      <c r="R268" s="97">
        <v>45218</v>
      </c>
      <c r="S268" s="71">
        <f>R268-Q268</f>
        <v>9</v>
      </c>
      <c r="T268" s="72">
        <v>10</v>
      </c>
      <c r="U268" s="72">
        <v>0</v>
      </c>
      <c r="V268" s="72">
        <v>10</v>
      </c>
      <c r="W268" s="72">
        <v>0</v>
      </c>
      <c r="AA268" s="73">
        <v>0</v>
      </c>
      <c r="AB268" s="72">
        <v>1</v>
      </c>
      <c r="AE268" s="96">
        <v>0</v>
      </c>
      <c r="AF268" s="95">
        <v>0</v>
      </c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 t="str">
        <f>"  " &amp; TEXT(AF268,"#0.00%") &amp; " " &amp; "Unit 포장" &amp; " " &amp; IF(Q268="","",TEXT(Q268,"M/D-")) &amp; IF(R268="","",TEXT(R268,"M/D")) &amp; " "</f>
        <v xml:space="preserve">  0.00% Unit 포장 10/10-10/19 </v>
      </c>
      <c r="BR268" s="94"/>
      <c r="BS268" s="94"/>
      <c r="BT268" s="94"/>
      <c r="BU268" s="94"/>
      <c r="BV268" s="94"/>
      <c r="BW268" s="94"/>
      <c r="BX268" s="94"/>
      <c r="BY268" s="94"/>
      <c r="BZ268" s="94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4"/>
      <c r="CM268" s="94"/>
      <c r="CN268" s="94"/>
      <c r="CO268" s="94"/>
      <c r="CP268" s="94"/>
      <c r="CQ268" s="94"/>
      <c r="CR268" s="94"/>
      <c r="CS268" s="94"/>
      <c r="CT268" s="94"/>
      <c r="CU268" s="94"/>
      <c r="CV268" s="94"/>
      <c r="CW268" s="94"/>
      <c r="CX268" s="94"/>
      <c r="CY268" s="94"/>
      <c r="CZ268" s="94"/>
      <c r="DA268" s="94"/>
      <c r="DB268" s="94"/>
      <c r="DC268" s="94"/>
      <c r="DD268" s="94"/>
      <c r="DE268" s="94"/>
      <c r="DF268" s="94"/>
      <c r="DG268" s="94"/>
      <c r="DH268" s="94"/>
      <c r="DI268" s="94"/>
      <c r="DJ268" s="94"/>
      <c r="DK268" s="94"/>
      <c r="DL268" s="94"/>
      <c r="DM268" s="94"/>
      <c r="DN268" s="94"/>
      <c r="DO268" s="94"/>
      <c r="DP268" s="94"/>
      <c r="DQ268" s="94"/>
    </row>
    <row r="269" spans="1:121" ht="15" customHeight="1" outlineLevel="4" x14ac:dyDescent="0.3">
      <c r="A269" s="100"/>
      <c r="B269" s="100"/>
      <c r="C269" s="99">
        <v>5</v>
      </c>
      <c r="D269" s="98" t="s">
        <v>1118</v>
      </c>
      <c r="I269" s="106" t="s">
        <v>1081</v>
      </c>
      <c r="J269" s="106"/>
      <c r="K269" s="106"/>
      <c r="L269" s="106"/>
      <c r="M269" s="106"/>
      <c r="N269" s="106"/>
      <c r="O269" s="112"/>
      <c r="P269" s="112"/>
      <c r="Q269" s="97">
        <v>45219</v>
      </c>
      <c r="R269" s="97">
        <v>45224</v>
      </c>
      <c r="S269" s="71">
        <f>R269-Q269</f>
        <v>5</v>
      </c>
      <c r="T269" s="72">
        <v>6</v>
      </c>
      <c r="U269" s="72">
        <v>0</v>
      </c>
      <c r="V269" s="72">
        <v>6</v>
      </c>
      <c r="W269" s="72">
        <v>0</v>
      </c>
      <c r="AA269" s="73">
        <v>0</v>
      </c>
      <c r="AB269" s="72">
        <v>1</v>
      </c>
      <c r="AE269" s="96">
        <v>0</v>
      </c>
      <c r="AF269" s="95">
        <v>0</v>
      </c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 t="str">
        <f>"     " &amp; TEXT(AF269,"#0.00%") &amp; " " &amp; "Unit 운송" &amp; " " &amp; IF(Q269="","",TEXT(Q269,"M/D-")) &amp; IF(R269="","",TEXT(R269,"M/D")) &amp; " "</f>
        <v xml:space="preserve">     0.00% Unit 운송 10/20-10/25 </v>
      </c>
      <c r="BS269" s="94"/>
      <c r="BT269" s="94"/>
      <c r="BU269" s="94"/>
      <c r="BV269" s="94"/>
      <c r="BW269" s="94"/>
      <c r="BX269" s="94"/>
      <c r="BY269" s="94"/>
      <c r="BZ269" s="94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  <c r="CW269" s="94"/>
      <c r="CX269" s="94"/>
      <c r="CY269" s="94"/>
      <c r="CZ269" s="94"/>
      <c r="DA269" s="94"/>
      <c r="DB269" s="94"/>
      <c r="DC269" s="94"/>
      <c r="DD269" s="94"/>
      <c r="DE269" s="94"/>
      <c r="DF269" s="94"/>
      <c r="DG269" s="94"/>
      <c r="DH269" s="94"/>
      <c r="DI269" s="94"/>
      <c r="DJ269" s="94"/>
      <c r="DK269" s="94"/>
      <c r="DL269" s="94"/>
      <c r="DM269" s="94"/>
      <c r="DN269" s="94"/>
      <c r="DO269" s="94"/>
      <c r="DP269" s="94"/>
      <c r="DQ269" s="94"/>
    </row>
    <row r="270" spans="1:121" ht="15" customHeight="1" outlineLevel="4" x14ac:dyDescent="0.3">
      <c r="A270" s="100"/>
      <c r="B270" s="100"/>
      <c r="C270" s="99">
        <v>5</v>
      </c>
      <c r="D270" s="98" t="s">
        <v>1117</v>
      </c>
      <c r="I270" s="106" t="s">
        <v>1079</v>
      </c>
      <c r="J270" s="106"/>
      <c r="K270" s="106"/>
      <c r="L270" s="106"/>
      <c r="M270" s="106"/>
      <c r="N270" s="106"/>
      <c r="O270" s="112"/>
      <c r="P270" s="112"/>
      <c r="Q270" s="97">
        <v>45226</v>
      </c>
      <c r="R270" s="97">
        <v>45226</v>
      </c>
      <c r="S270" s="71">
        <f>R270-Q270+1</f>
        <v>1</v>
      </c>
      <c r="T270" s="72">
        <v>1</v>
      </c>
      <c r="U270" s="72">
        <v>0</v>
      </c>
      <c r="V270" s="72">
        <v>1</v>
      </c>
      <c r="W270" s="72">
        <v>0</v>
      </c>
      <c r="AA270" s="73">
        <v>0</v>
      </c>
      <c r="AB270" s="72">
        <v>1</v>
      </c>
      <c r="AE270" s="96">
        <v>0</v>
      </c>
      <c r="AF270" s="95">
        <v>0</v>
      </c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 t="str">
        <f>"     " &amp; TEXT(AF270,"#0.00%") &amp; " " &amp; "FOB(창고내 내 Deck 우선)" &amp; " " &amp; IF(Q270="","",TEXT(Q270,"M/D-")) &amp; IF(R270="","",TEXT(R270,"M/D")) &amp; " "</f>
        <v xml:space="preserve">     0.00% FOB(창고내 내 Deck 우선) 10/27-10/27 </v>
      </c>
      <c r="BT270" s="94"/>
      <c r="BU270" s="94"/>
      <c r="BV270" s="94"/>
      <c r="BW270" s="94"/>
      <c r="BX270" s="94"/>
      <c r="BY270" s="94"/>
      <c r="BZ270" s="94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  <c r="CW270" s="94"/>
      <c r="CX270" s="94"/>
      <c r="CY270" s="94"/>
      <c r="CZ270" s="94"/>
      <c r="DA270" s="94"/>
      <c r="DB270" s="94"/>
      <c r="DC270" s="94"/>
      <c r="DD270" s="94"/>
      <c r="DE270" s="94"/>
      <c r="DF270" s="94"/>
      <c r="DG270" s="94"/>
      <c r="DH270" s="94"/>
      <c r="DI270" s="94"/>
      <c r="DJ270" s="94"/>
      <c r="DK270" s="94"/>
      <c r="DL270" s="94"/>
      <c r="DM270" s="94"/>
      <c r="DN270" s="94"/>
      <c r="DO270" s="94"/>
      <c r="DP270" s="94"/>
      <c r="DQ270" s="94"/>
    </row>
    <row r="271" spans="1:121" ht="15" customHeight="1" outlineLevel="4" x14ac:dyDescent="0.3">
      <c r="A271" s="100"/>
      <c r="B271" s="100"/>
      <c r="C271" s="99">
        <v>5</v>
      </c>
      <c r="D271" s="98" t="s">
        <v>1116</v>
      </c>
      <c r="I271" s="106" t="s">
        <v>1077</v>
      </c>
      <c r="J271" s="106"/>
      <c r="K271" s="106"/>
      <c r="L271" s="106"/>
      <c r="M271" s="106"/>
      <c r="N271" s="106"/>
      <c r="O271" s="112"/>
      <c r="P271" s="112"/>
      <c r="Q271" s="97"/>
      <c r="R271" s="97"/>
      <c r="S271" s="71">
        <f>R271-Q271</f>
        <v>0</v>
      </c>
      <c r="T271" s="72">
        <v>0</v>
      </c>
      <c r="U271" s="72">
        <v>0</v>
      </c>
      <c r="V271" s="72">
        <v>0</v>
      </c>
      <c r="W271" s="72">
        <v>0</v>
      </c>
      <c r="Z271" s="74">
        <v>0</v>
      </c>
      <c r="AA271" s="73">
        <v>0</v>
      </c>
      <c r="AB271" s="72">
        <v>1</v>
      </c>
      <c r="AE271" s="96">
        <v>0</v>
      </c>
      <c r="AF271" s="102">
        <v>0</v>
      </c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4"/>
      <c r="CA271" s="94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  <c r="CW271" s="94"/>
      <c r="CX271" s="94"/>
      <c r="CY271" s="94"/>
      <c r="CZ271" s="94"/>
      <c r="DA271" s="94"/>
      <c r="DB271" s="94"/>
      <c r="DC271" s="94"/>
      <c r="DD271" s="94"/>
      <c r="DE271" s="94"/>
      <c r="DF271" s="94"/>
      <c r="DG271" s="94"/>
      <c r="DH271" s="94"/>
      <c r="DI271" s="94"/>
      <c r="DJ271" s="94"/>
      <c r="DK271" s="94"/>
      <c r="DL271" s="94"/>
      <c r="DM271" s="94"/>
      <c r="DN271" s="94"/>
      <c r="DO271" s="94"/>
      <c r="DP271" s="94"/>
      <c r="DQ271" s="94"/>
    </row>
    <row r="272" spans="1:121" ht="15" customHeight="1" outlineLevel="4" x14ac:dyDescent="0.3">
      <c r="A272" s="100"/>
      <c r="B272" s="100"/>
      <c r="C272" s="99">
        <v>5</v>
      </c>
      <c r="D272" s="98" t="s">
        <v>1115</v>
      </c>
      <c r="I272" s="106" t="s">
        <v>1075</v>
      </c>
      <c r="J272" s="106"/>
      <c r="K272" s="106"/>
      <c r="L272" s="106"/>
      <c r="M272" s="106"/>
      <c r="N272" s="106"/>
      <c r="O272" s="112"/>
      <c r="P272" s="112"/>
      <c r="Q272" s="97"/>
      <c r="R272" s="97"/>
      <c r="S272" s="71">
        <f>R272-Q272</f>
        <v>0</v>
      </c>
      <c r="T272" s="72">
        <v>0</v>
      </c>
      <c r="U272" s="72">
        <v>0</v>
      </c>
      <c r="V272" s="72">
        <v>0</v>
      </c>
      <c r="W272" s="72">
        <v>0</v>
      </c>
      <c r="Z272" s="74">
        <v>0</v>
      </c>
      <c r="AA272" s="73">
        <v>0</v>
      </c>
      <c r="AB272" s="72">
        <v>1</v>
      </c>
      <c r="AC272" s="111"/>
      <c r="AE272" s="96">
        <v>0</v>
      </c>
      <c r="AF272" s="102">
        <v>0</v>
      </c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4"/>
      <c r="BZ272" s="94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  <c r="CW272" s="94"/>
      <c r="CX272" s="94"/>
      <c r="CY272" s="94"/>
      <c r="CZ272" s="94"/>
      <c r="DA272" s="94"/>
      <c r="DB272" s="94"/>
      <c r="DC272" s="94"/>
      <c r="DD272" s="94"/>
      <c r="DE272" s="94"/>
      <c r="DF272" s="94"/>
      <c r="DG272" s="94"/>
      <c r="DH272" s="94"/>
      <c r="DI272" s="94"/>
      <c r="DJ272" s="94"/>
      <c r="DK272" s="94"/>
      <c r="DL272" s="94"/>
      <c r="DM272" s="94"/>
      <c r="DN272" s="94"/>
      <c r="DO272" s="94"/>
      <c r="DP272" s="94"/>
      <c r="DQ272" s="94"/>
    </row>
    <row r="273" spans="1:121" ht="15" customHeight="1" outlineLevel="3" x14ac:dyDescent="0.3">
      <c r="A273" s="100"/>
      <c r="B273" s="100" t="s">
        <v>298</v>
      </c>
      <c r="C273" s="99">
        <v>4</v>
      </c>
      <c r="D273" s="98" t="s">
        <v>1114</v>
      </c>
      <c r="H273" s="77" t="s">
        <v>1113</v>
      </c>
      <c r="I273" s="106"/>
      <c r="J273" s="106"/>
      <c r="K273" s="106"/>
      <c r="L273" s="106"/>
      <c r="M273" s="106"/>
      <c r="N273" s="106"/>
      <c r="O273" s="112"/>
      <c r="P273" s="112"/>
      <c r="Q273" s="97">
        <v>45296</v>
      </c>
      <c r="R273" s="97">
        <v>45310</v>
      </c>
      <c r="T273" s="72">
        <v>15</v>
      </c>
      <c r="U273" s="72">
        <v>0</v>
      </c>
      <c r="V273" s="72">
        <v>15</v>
      </c>
      <c r="W273" s="72">
        <v>0</v>
      </c>
      <c r="Z273" s="74">
        <v>0</v>
      </c>
      <c r="AA273" s="73">
        <v>0</v>
      </c>
      <c r="AE273" s="96">
        <v>0</v>
      </c>
      <c r="AF273" s="101">
        <v>0</v>
      </c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4"/>
      <c r="BZ273" s="94"/>
      <c r="CA273" s="94"/>
      <c r="CB273" s="94"/>
      <c r="CC273" s="94" t="str">
        <f>"     " &amp; TEXT(AF273,"#0.00%") &amp; " " &amp; "2동 조립동CV" &amp; " " &amp; IF(Q273="","",TEXT(Q273,"M/D-")) &amp; IF(R273="","",TEXT(R273,"M/D")) &amp; " "</f>
        <v xml:space="preserve">     0.00% 2동 조립동CV 1/5-1/19 </v>
      </c>
      <c r="CD273" s="94"/>
      <c r="CE273" s="94"/>
      <c r="CF273" s="94"/>
      <c r="CG273" s="94"/>
      <c r="CH273" s="94"/>
      <c r="CI273" s="94"/>
      <c r="CJ273" s="94"/>
      <c r="CK273" s="94"/>
      <c r="CL273" s="94"/>
      <c r="CM273" s="94"/>
      <c r="CN273" s="94"/>
      <c r="CO273" s="94"/>
      <c r="CP273" s="94"/>
      <c r="CQ273" s="94"/>
      <c r="CR273" s="94"/>
      <c r="CS273" s="94"/>
      <c r="CT273" s="94"/>
      <c r="CU273" s="94"/>
      <c r="CV273" s="94"/>
      <c r="CW273" s="94"/>
      <c r="CX273" s="94"/>
      <c r="CY273" s="94"/>
      <c r="CZ273" s="94"/>
      <c r="DA273" s="94"/>
      <c r="DB273" s="94"/>
      <c r="DC273" s="94"/>
      <c r="DD273" s="94"/>
      <c r="DE273" s="94"/>
      <c r="DF273" s="94"/>
      <c r="DG273" s="94"/>
      <c r="DH273" s="94"/>
      <c r="DI273" s="94"/>
      <c r="DJ273" s="94"/>
      <c r="DK273" s="94"/>
      <c r="DL273" s="94"/>
      <c r="DM273" s="94"/>
      <c r="DN273" s="94"/>
      <c r="DO273" s="94"/>
      <c r="DP273" s="94"/>
      <c r="DQ273" s="94"/>
    </row>
    <row r="274" spans="1:121" ht="15" customHeight="1" outlineLevel="4" x14ac:dyDescent="0.3">
      <c r="A274" s="100"/>
      <c r="B274" s="100"/>
      <c r="C274" s="99">
        <v>5</v>
      </c>
      <c r="D274" s="98" t="s">
        <v>1112</v>
      </c>
      <c r="I274" s="106" t="s">
        <v>1083</v>
      </c>
      <c r="J274" s="106"/>
      <c r="K274" s="106"/>
      <c r="L274" s="106"/>
      <c r="M274" s="106"/>
      <c r="N274" s="106"/>
      <c r="O274" s="112"/>
      <c r="P274" s="112"/>
      <c r="Q274" s="97">
        <v>45296</v>
      </c>
      <c r="R274" s="97">
        <v>45304</v>
      </c>
      <c r="S274" s="71">
        <f>R274-Q274</f>
        <v>8</v>
      </c>
      <c r="T274" s="72">
        <v>9</v>
      </c>
      <c r="U274" s="72">
        <v>0</v>
      </c>
      <c r="V274" s="72">
        <v>9</v>
      </c>
      <c r="W274" s="72">
        <v>0</v>
      </c>
      <c r="AA274" s="73">
        <v>0</v>
      </c>
      <c r="AB274" s="72">
        <v>1</v>
      </c>
      <c r="AE274" s="96">
        <v>0</v>
      </c>
      <c r="AF274" s="95">
        <v>0</v>
      </c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4"/>
      <c r="BZ274" s="94"/>
      <c r="CA274" s="94"/>
      <c r="CB274" s="94"/>
      <c r="CC274" s="94" t="str">
        <f>"     " &amp; TEXT(AF274,"#0.00%") &amp; " " &amp; "Unit 포장" &amp; " " &amp; IF(Q274="","",TEXT(Q274,"M/D-")) &amp; IF(R274="","",TEXT(R274,"M/D")) &amp; " "</f>
        <v xml:space="preserve">     0.00% Unit 포장 1/5-1/13 </v>
      </c>
      <c r="CD274" s="94"/>
      <c r="CE274" s="94"/>
      <c r="CF274" s="94"/>
      <c r="CG274" s="94"/>
      <c r="CH274" s="94"/>
      <c r="CI274" s="94"/>
      <c r="CJ274" s="94"/>
      <c r="CK274" s="94"/>
      <c r="CL274" s="94"/>
      <c r="CM274" s="94"/>
      <c r="CN274" s="94"/>
      <c r="CO274" s="94"/>
      <c r="CP274" s="94"/>
      <c r="CQ274" s="94"/>
      <c r="CR274" s="94"/>
      <c r="CS274" s="94"/>
      <c r="CT274" s="94"/>
      <c r="CU274" s="94"/>
      <c r="CV274" s="94"/>
      <c r="CW274" s="94"/>
      <c r="CX274" s="94"/>
      <c r="CY274" s="94"/>
      <c r="CZ274" s="94"/>
      <c r="DA274" s="94"/>
      <c r="DB274" s="94"/>
      <c r="DC274" s="94"/>
      <c r="DD274" s="94"/>
      <c r="DE274" s="94"/>
      <c r="DF274" s="94"/>
      <c r="DG274" s="94"/>
      <c r="DH274" s="94"/>
      <c r="DI274" s="94"/>
      <c r="DJ274" s="94"/>
      <c r="DK274" s="94"/>
      <c r="DL274" s="94"/>
      <c r="DM274" s="94"/>
      <c r="DN274" s="94"/>
      <c r="DO274" s="94"/>
      <c r="DP274" s="94"/>
      <c r="DQ274" s="94"/>
    </row>
    <row r="275" spans="1:121" ht="15" customHeight="1" outlineLevel="4" x14ac:dyDescent="0.3">
      <c r="A275" s="100"/>
      <c r="B275" s="100"/>
      <c r="C275" s="99">
        <v>5</v>
      </c>
      <c r="D275" s="98" t="s">
        <v>1111</v>
      </c>
      <c r="I275" s="106" t="s">
        <v>1081</v>
      </c>
      <c r="J275" s="106"/>
      <c r="K275" s="106"/>
      <c r="L275" s="106"/>
      <c r="M275" s="106"/>
      <c r="N275" s="106"/>
      <c r="O275" s="112"/>
      <c r="P275" s="112"/>
      <c r="Q275" s="97">
        <v>45305</v>
      </c>
      <c r="R275" s="97">
        <v>45309</v>
      </c>
      <c r="S275" s="71">
        <f>R275-Q275</f>
        <v>4</v>
      </c>
      <c r="T275" s="72">
        <v>5</v>
      </c>
      <c r="U275" s="72">
        <v>0</v>
      </c>
      <c r="V275" s="72">
        <v>5</v>
      </c>
      <c r="W275" s="72">
        <v>0</v>
      </c>
      <c r="AA275" s="73">
        <v>0</v>
      </c>
      <c r="AB275" s="72">
        <v>1</v>
      </c>
      <c r="AE275" s="96">
        <v>0</v>
      </c>
      <c r="AF275" s="95">
        <v>0</v>
      </c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  <c r="BY275" s="94"/>
      <c r="BZ275" s="94"/>
      <c r="CA275" s="94"/>
      <c r="CB275" s="94"/>
      <c r="CC275" s="94"/>
      <c r="CD275" s="94"/>
      <c r="CE275" s="94" t="str">
        <f>"" &amp; TEXT(AF275,"#0.00%") &amp; " " &amp; "Unit 운송" &amp; " " &amp; IF(Q275="","",TEXT(Q275,"M/D-")) &amp; IF(R275="","",TEXT(R275,"M/D")) &amp; " "</f>
        <v xml:space="preserve">0.00% Unit 운송 1/14-1/18 </v>
      </c>
      <c r="CF275" s="94"/>
      <c r="CG275" s="94"/>
      <c r="CH275" s="94"/>
      <c r="CI275" s="94"/>
      <c r="CJ275" s="94"/>
      <c r="CK275" s="94"/>
      <c r="CL275" s="94"/>
      <c r="CM275" s="94"/>
      <c r="CN275" s="94"/>
      <c r="CO275" s="94"/>
      <c r="CP275" s="94"/>
      <c r="CQ275" s="94"/>
      <c r="CR275" s="94"/>
      <c r="CS275" s="94"/>
      <c r="CT275" s="94"/>
      <c r="CU275" s="94"/>
      <c r="CV275" s="94"/>
      <c r="CW275" s="94"/>
      <c r="CX275" s="94"/>
      <c r="CY275" s="94"/>
      <c r="CZ275" s="94"/>
      <c r="DA275" s="94"/>
      <c r="DB275" s="94"/>
      <c r="DC275" s="94"/>
      <c r="DD275" s="94"/>
      <c r="DE275" s="94"/>
      <c r="DF275" s="94"/>
      <c r="DG275" s="94"/>
      <c r="DH275" s="94"/>
      <c r="DI275" s="94"/>
      <c r="DJ275" s="94"/>
      <c r="DK275" s="94"/>
      <c r="DL275" s="94"/>
      <c r="DM275" s="94"/>
      <c r="DN275" s="94"/>
      <c r="DO275" s="94"/>
      <c r="DP275" s="94"/>
      <c r="DQ275" s="94"/>
    </row>
    <row r="276" spans="1:121" ht="15" customHeight="1" outlineLevel="4" x14ac:dyDescent="0.3">
      <c r="A276" s="100"/>
      <c r="B276" s="100"/>
      <c r="C276" s="99">
        <v>5</v>
      </c>
      <c r="D276" s="98" t="s">
        <v>1110</v>
      </c>
      <c r="I276" s="106" t="s">
        <v>230</v>
      </c>
      <c r="J276" s="106"/>
      <c r="K276" s="106"/>
      <c r="L276" s="106"/>
      <c r="M276" s="106"/>
      <c r="N276" s="106"/>
      <c r="O276" s="112"/>
      <c r="P276" s="112"/>
      <c r="Q276" s="97">
        <v>45310</v>
      </c>
      <c r="R276" s="97">
        <v>45310</v>
      </c>
      <c r="S276" s="71">
        <f>R276-Q276+1</f>
        <v>1</v>
      </c>
      <c r="T276" s="72">
        <v>1</v>
      </c>
      <c r="U276" s="72">
        <v>0</v>
      </c>
      <c r="V276" s="72">
        <v>1</v>
      </c>
      <c r="W276" s="72">
        <v>0</v>
      </c>
      <c r="AA276" s="73">
        <v>0</v>
      </c>
      <c r="AB276" s="72">
        <v>1</v>
      </c>
      <c r="AE276" s="96">
        <v>0</v>
      </c>
      <c r="AF276" s="95">
        <v>0</v>
      </c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  <c r="BY276" s="94"/>
      <c r="BZ276" s="94"/>
      <c r="CA276" s="94"/>
      <c r="CB276" s="94"/>
      <c r="CC276" s="94"/>
      <c r="CD276" s="94"/>
      <c r="CE276" s="94" t="str">
        <f>"     " &amp; TEXT(AF276,"#0.00%") &amp; " " &amp; "FOB" &amp; " " &amp; IF(Q276="","",TEXT(Q276,"M/D-")) &amp; IF(R276="","",TEXT(R276,"M/D")) &amp; " "</f>
        <v xml:space="preserve">     0.00% FOB 1/19-1/19 </v>
      </c>
      <c r="CF276" s="94"/>
      <c r="CG276" s="94"/>
      <c r="CH276" s="94"/>
      <c r="CI276" s="94"/>
      <c r="CJ276" s="94"/>
      <c r="CK276" s="94"/>
      <c r="CL276" s="94"/>
      <c r="CM276" s="94"/>
      <c r="CN276" s="94"/>
      <c r="CO276" s="94"/>
      <c r="CP276" s="94"/>
      <c r="CQ276" s="94"/>
      <c r="CR276" s="94"/>
      <c r="CS276" s="94"/>
      <c r="CT276" s="94"/>
      <c r="CU276" s="94"/>
      <c r="CV276" s="94"/>
      <c r="CW276" s="94"/>
      <c r="CX276" s="94"/>
      <c r="CY276" s="94"/>
      <c r="CZ276" s="94"/>
      <c r="DA276" s="94"/>
      <c r="DB276" s="94"/>
      <c r="DC276" s="94"/>
      <c r="DD276" s="94"/>
      <c r="DE276" s="94"/>
      <c r="DF276" s="94"/>
      <c r="DG276" s="94"/>
      <c r="DH276" s="94"/>
      <c r="DI276" s="94"/>
      <c r="DJ276" s="94"/>
      <c r="DK276" s="94"/>
      <c r="DL276" s="94"/>
      <c r="DM276" s="94"/>
      <c r="DN276" s="94"/>
      <c r="DO276" s="94"/>
      <c r="DP276" s="94"/>
      <c r="DQ276" s="94"/>
    </row>
    <row r="277" spans="1:121" ht="15" customHeight="1" outlineLevel="4" x14ac:dyDescent="0.3">
      <c r="A277" s="100"/>
      <c r="B277" s="100"/>
      <c r="C277" s="99">
        <v>5</v>
      </c>
      <c r="D277" s="98" t="s">
        <v>1109</v>
      </c>
      <c r="I277" s="106" t="s">
        <v>1077</v>
      </c>
      <c r="J277" s="106"/>
      <c r="K277" s="106"/>
      <c r="L277" s="106"/>
      <c r="M277" s="106"/>
      <c r="N277" s="106"/>
      <c r="O277" s="112"/>
      <c r="P277" s="112"/>
      <c r="Q277" s="97"/>
      <c r="R277" s="97"/>
      <c r="S277" s="71">
        <f>R277-Q277</f>
        <v>0</v>
      </c>
      <c r="T277" s="72">
        <v>0</v>
      </c>
      <c r="U277" s="72">
        <v>0</v>
      </c>
      <c r="V277" s="72">
        <v>0</v>
      </c>
      <c r="W277" s="72">
        <v>0</v>
      </c>
      <c r="Z277" s="74">
        <v>0</v>
      </c>
      <c r="AA277" s="73">
        <v>0</v>
      </c>
      <c r="AB277" s="72">
        <v>1</v>
      </c>
      <c r="AE277" s="96">
        <v>0</v>
      </c>
      <c r="AF277" s="102">
        <v>0</v>
      </c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4"/>
      <c r="BZ277" s="94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4"/>
      <c r="CM277" s="94"/>
      <c r="CN277" s="94"/>
      <c r="CO277" s="94"/>
      <c r="CP277" s="94"/>
      <c r="CQ277" s="94"/>
      <c r="CR277" s="94"/>
      <c r="CS277" s="94"/>
      <c r="CT277" s="94"/>
      <c r="CU277" s="94"/>
      <c r="CV277" s="94"/>
      <c r="CW277" s="94"/>
      <c r="CX277" s="94"/>
      <c r="CY277" s="94"/>
      <c r="CZ277" s="94"/>
      <c r="DA277" s="94"/>
      <c r="DB277" s="94"/>
      <c r="DC277" s="94"/>
      <c r="DD277" s="94"/>
      <c r="DE277" s="94"/>
      <c r="DF277" s="94"/>
      <c r="DG277" s="94"/>
      <c r="DH277" s="94"/>
      <c r="DI277" s="94"/>
      <c r="DJ277" s="94"/>
      <c r="DK277" s="94"/>
      <c r="DL277" s="94"/>
      <c r="DM277" s="94"/>
      <c r="DN277" s="94"/>
      <c r="DO277" s="94"/>
      <c r="DP277" s="94"/>
      <c r="DQ277" s="94"/>
    </row>
    <row r="278" spans="1:121" ht="15" customHeight="1" outlineLevel="4" x14ac:dyDescent="0.3">
      <c r="A278" s="100"/>
      <c r="B278" s="100"/>
      <c r="C278" s="99">
        <v>5</v>
      </c>
      <c r="D278" s="98" t="s">
        <v>1108</v>
      </c>
      <c r="I278" s="106" t="s">
        <v>1075</v>
      </c>
      <c r="J278" s="106"/>
      <c r="K278" s="106"/>
      <c r="L278" s="106"/>
      <c r="M278" s="106"/>
      <c r="N278" s="106"/>
      <c r="O278" s="112"/>
      <c r="P278" s="112"/>
      <c r="Q278" s="97"/>
      <c r="R278" s="97"/>
      <c r="S278" s="71">
        <f>R278-Q278</f>
        <v>0</v>
      </c>
      <c r="T278" s="72">
        <v>0</v>
      </c>
      <c r="U278" s="72">
        <v>0</v>
      </c>
      <c r="V278" s="72">
        <v>0</v>
      </c>
      <c r="W278" s="72">
        <v>0</v>
      </c>
      <c r="Z278" s="74">
        <v>0</v>
      </c>
      <c r="AA278" s="73">
        <v>0</v>
      </c>
      <c r="AB278" s="72">
        <v>1</v>
      </c>
      <c r="AC278" s="111"/>
      <c r="AE278" s="96">
        <v>0</v>
      </c>
      <c r="AF278" s="102">
        <v>0</v>
      </c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4"/>
      <c r="BZ278" s="94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4"/>
      <c r="CM278" s="94"/>
      <c r="CN278" s="94"/>
      <c r="CO278" s="94"/>
      <c r="CP278" s="94"/>
      <c r="CQ278" s="94"/>
      <c r="CR278" s="94"/>
      <c r="CS278" s="94"/>
      <c r="CT278" s="94"/>
      <c r="CU278" s="94"/>
      <c r="CV278" s="94"/>
      <c r="CW278" s="94"/>
      <c r="CX278" s="94"/>
      <c r="CY278" s="94"/>
      <c r="CZ278" s="94"/>
      <c r="DA278" s="94"/>
      <c r="DB278" s="94"/>
      <c r="DC278" s="94"/>
      <c r="DD278" s="94"/>
      <c r="DE278" s="94"/>
      <c r="DF278" s="94"/>
      <c r="DG278" s="94"/>
      <c r="DH278" s="94"/>
      <c r="DI278" s="94"/>
      <c r="DJ278" s="94"/>
      <c r="DK278" s="94"/>
      <c r="DL278" s="94"/>
      <c r="DM278" s="94"/>
      <c r="DN278" s="94"/>
      <c r="DO278" s="94"/>
      <c r="DP278" s="94"/>
      <c r="DQ278" s="94"/>
    </row>
    <row r="279" spans="1:121" ht="15" customHeight="1" outlineLevel="3" x14ac:dyDescent="0.3">
      <c r="A279" s="100"/>
      <c r="B279" s="100" t="s">
        <v>298</v>
      </c>
      <c r="C279" s="99">
        <v>4</v>
      </c>
      <c r="D279" s="98" t="s">
        <v>1107</v>
      </c>
      <c r="H279" s="77" t="s">
        <v>1106</v>
      </c>
      <c r="I279" s="106"/>
      <c r="J279" s="106"/>
      <c r="K279" s="106"/>
      <c r="L279" s="106"/>
      <c r="M279" s="106"/>
      <c r="N279" s="106"/>
      <c r="O279" s="112"/>
      <c r="P279" s="112"/>
      <c r="Q279" s="97">
        <v>45296</v>
      </c>
      <c r="R279" s="97">
        <v>45310</v>
      </c>
      <c r="T279" s="72">
        <v>15</v>
      </c>
      <c r="U279" s="72">
        <v>0</v>
      </c>
      <c r="V279" s="72">
        <v>15</v>
      </c>
      <c r="W279" s="72">
        <v>0</v>
      </c>
      <c r="Z279" s="74">
        <v>0</v>
      </c>
      <c r="AA279" s="73">
        <v>0</v>
      </c>
      <c r="AE279" s="96">
        <v>0</v>
      </c>
      <c r="AF279" s="101">
        <v>0</v>
      </c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  <c r="BO279" s="94"/>
      <c r="BP279" s="94"/>
      <c r="BQ279" s="94"/>
      <c r="BR279" s="94"/>
      <c r="BS279" s="94"/>
      <c r="BT279" s="94"/>
      <c r="BU279" s="94"/>
      <c r="BV279" s="94"/>
      <c r="BW279" s="94"/>
      <c r="BX279" s="94"/>
      <c r="BY279" s="94"/>
      <c r="BZ279" s="94"/>
      <c r="CA279" s="94"/>
      <c r="CB279" s="94"/>
      <c r="CC279" s="94" t="str">
        <f>"     " &amp; TEXT(AF279,"#0.00%") &amp; " " &amp; "2F 동간물류CV" &amp; " " &amp; IF(Q279="","",TEXT(Q279,"M/D-")) &amp; IF(R279="","",TEXT(R279,"M/D")) &amp; " "</f>
        <v xml:space="preserve">     0.00% 2F 동간물류CV 1/5-1/19 </v>
      </c>
      <c r="CD279" s="94"/>
      <c r="CE279" s="94"/>
      <c r="CF279" s="94"/>
      <c r="CG279" s="94"/>
      <c r="CH279" s="94"/>
      <c r="CI279" s="94"/>
      <c r="CJ279" s="94"/>
      <c r="CK279" s="94"/>
      <c r="CL279" s="94"/>
      <c r="CM279" s="94"/>
      <c r="CN279" s="94"/>
      <c r="CO279" s="94"/>
      <c r="CP279" s="94"/>
      <c r="CQ279" s="94"/>
      <c r="CR279" s="94"/>
      <c r="CS279" s="94"/>
      <c r="CT279" s="94"/>
      <c r="CU279" s="94"/>
      <c r="CV279" s="94"/>
      <c r="CW279" s="94"/>
      <c r="CX279" s="94"/>
      <c r="CY279" s="94"/>
      <c r="CZ279" s="94"/>
      <c r="DA279" s="94"/>
      <c r="DB279" s="94"/>
      <c r="DC279" s="94"/>
      <c r="DD279" s="94"/>
      <c r="DE279" s="94"/>
      <c r="DF279" s="94"/>
      <c r="DG279" s="94"/>
      <c r="DH279" s="94"/>
      <c r="DI279" s="94"/>
      <c r="DJ279" s="94"/>
      <c r="DK279" s="94"/>
      <c r="DL279" s="94"/>
      <c r="DM279" s="94"/>
      <c r="DN279" s="94"/>
      <c r="DO279" s="94"/>
      <c r="DP279" s="94"/>
      <c r="DQ279" s="94"/>
    </row>
    <row r="280" spans="1:121" ht="15" customHeight="1" outlineLevel="4" x14ac:dyDescent="0.3">
      <c r="A280" s="100"/>
      <c r="B280" s="100"/>
      <c r="C280" s="99">
        <v>5</v>
      </c>
      <c r="D280" s="98" t="s">
        <v>1105</v>
      </c>
      <c r="I280" s="106" t="s">
        <v>1083</v>
      </c>
      <c r="J280" s="106"/>
      <c r="K280" s="106"/>
      <c r="L280" s="106"/>
      <c r="M280" s="106"/>
      <c r="N280" s="106"/>
      <c r="O280" s="112"/>
      <c r="P280" s="112"/>
      <c r="Q280" s="97">
        <v>45296</v>
      </c>
      <c r="R280" s="97">
        <v>45304</v>
      </c>
      <c r="S280" s="71">
        <f>R280-Q280</f>
        <v>8</v>
      </c>
      <c r="T280" s="72">
        <v>9</v>
      </c>
      <c r="U280" s="72">
        <v>0</v>
      </c>
      <c r="V280" s="72">
        <v>9</v>
      </c>
      <c r="W280" s="72">
        <v>0</v>
      </c>
      <c r="AA280" s="73">
        <v>0</v>
      </c>
      <c r="AB280" s="72">
        <v>1</v>
      </c>
      <c r="AE280" s="96">
        <v>0</v>
      </c>
      <c r="AF280" s="95">
        <v>0</v>
      </c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4"/>
      <c r="BZ280" s="94"/>
      <c r="CA280" s="94"/>
      <c r="CB280" s="94"/>
      <c r="CC280" s="94" t="str">
        <f>"     " &amp; TEXT(AF280,"#0.00%") &amp; " " &amp; "Unit 포장" &amp; " " &amp; IF(Q280="","",TEXT(Q280,"M/D-")) &amp; IF(R280="","",TEXT(R280,"M/D")) &amp; " "</f>
        <v xml:space="preserve">     0.00% Unit 포장 1/5-1/13 </v>
      </c>
      <c r="CD280" s="94"/>
      <c r="CE280" s="94"/>
      <c r="CF280" s="94"/>
      <c r="CG280" s="94"/>
      <c r="CH280" s="94"/>
      <c r="CI280" s="94"/>
      <c r="CJ280" s="94"/>
      <c r="CK280" s="94"/>
      <c r="CL280" s="94"/>
      <c r="CM280" s="94"/>
      <c r="CN280" s="94"/>
      <c r="CO280" s="94"/>
      <c r="CP280" s="94"/>
      <c r="CQ280" s="94"/>
      <c r="CR280" s="94"/>
      <c r="CS280" s="94"/>
      <c r="CT280" s="94"/>
      <c r="CU280" s="94"/>
      <c r="CV280" s="94"/>
      <c r="CW280" s="94"/>
      <c r="CX280" s="94"/>
      <c r="CY280" s="94"/>
      <c r="CZ280" s="94"/>
      <c r="DA280" s="94"/>
      <c r="DB280" s="94"/>
      <c r="DC280" s="94"/>
      <c r="DD280" s="94"/>
      <c r="DE280" s="94"/>
      <c r="DF280" s="94"/>
      <c r="DG280" s="94"/>
      <c r="DH280" s="94"/>
      <c r="DI280" s="94"/>
      <c r="DJ280" s="94"/>
      <c r="DK280" s="94"/>
      <c r="DL280" s="94"/>
      <c r="DM280" s="94"/>
      <c r="DN280" s="94"/>
      <c r="DO280" s="94"/>
      <c r="DP280" s="94"/>
      <c r="DQ280" s="94"/>
    </row>
    <row r="281" spans="1:121" ht="15" customHeight="1" outlineLevel="4" x14ac:dyDescent="0.3">
      <c r="A281" s="100"/>
      <c r="B281" s="100"/>
      <c r="C281" s="99">
        <v>5</v>
      </c>
      <c r="D281" s="98" t="s">
        <v>1104</v>
      </c>
      <c r="I281" s="106" t="s">
        <v>1081</v>
      </c>
      <c r="J281" s="106"/>
      <c r="K281" s="106"/>
      <c r="L281" s="106"/>
      <c r="M281" s="106"/>
      <c r="N281" s="106"/>
      <c r="O281" s="112"/>
      <c r="P281" s="112"/>
      <c r="Q281" s="97">
        <v>45305</v>
      </c>
      <c r="R281" s="97">
        <v>45309</v>
      </c>
      <c r="S281" s="71">
        <f>R281-Q281</f>
        <v>4</v>
      </c>
      <c r="T281" s="72">
        <v>5</v>
      </c>
      <c r="U281" s="72">
        <v>0</v>
      </c>
      <c r="V281" s="72">
        <v>5</v>
      </c>
      <c r="W281" s="72">
        <v>0</v>
      </c>
      <c r="AA281" s="73">
        <v>0</v>
      </c>
      <c r="AB281" s="72">
        <v>1</v>
      </c>
      <c r="AE281" s="96">
        <v>0</v>
      </c>
      <c r="AF281" s="95">
        <v>0</v>
      </c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4"/>
      <c r="BZ281" s="94"/>
      <c r="CA281" s="94"/>
      <c r="CB281" s="94"/>
      <c r="CC281" s="94"/>
      <c r="CD281" s="94"/>
      <c r="CE281" s="94" t="str">
        <f>"" &amp; TEXT(AF281,"#0.00%") &amp; " " &amp; "Unit 운송" &amp; " " &amp; IF(Q281="","",TEXT(Q281,"M/D-")) &amp; IF(R281="","",TEXT(R281,"M/D")) &amp; " "</f>
        <v xml:space="preserve">0.00% Unit 운송 1/14-1/18 </v>
      </c>
      <c r="CF281" s="94"/>
      <c r="CG281" s="94"/>
      <c r="CH281" s="94"/>
      <c r="CI281" s="94"/>
      <c r="CJ281" s="94"/>
      <c r="CK281" s="94"/>
      <c r="CL281" s="94"/>
      <c r="CM281" s="94"/>
      <c r="CN281" s="94"/>
      <c r="CO281" s="94"/>
      <c r="CP281" s="94"/>
      <c r="CQ281" s="94"/>
      <c r="CR281" s="94"/>
      <c r="CS281" s="94"/>
      <c r="CT281" s="94"/>
      <c r="CU281" s="94"/>
      <c r="CV281" s="94"/>
      <c r="CW281" s="94"/>
      <c r="CX281" s="94"/>
      <c r="CY281" s="94"/>
      <c r="CZ281" s="94"/>
      <c r="DA281" s="94"/>
      <c r="DB281" s="94"/>
      <c r="DC281" s="94"/>
      <c r="DD281" s="94"/>
      <c r="DE281" s="94"/>
      <c r="DF281" s="94"/>
      <c r="DG281" s="94"/>
      <c r="DH281" s="94"/>
      <c r="DI281" s="94"/>
      <c r="DJ281" s="94"/>
      <c r="DK281" s="94"/>
      <c r="DL281" s="94"/>
      <c r="DM281" s="94"/>
      <c r="DN281" s="94"/>
      <c r="DO281" s="94"/>
      <c r="DP281" s="94"/>
      <c r="DQ281" s="94"/>
    </row>
    <row r="282" spans="1:121" ht="15" customHeight="1" outlineLevel="4" x14ac:dyDescent="0.3">
      <c r="A282" s="100"/>
      <c r="B282" s="100"/>
      <c r="C282" s="99">
        <v>5</v>
      </c>
      <c r="D282" s="98" t="s">
        <v>1103</v>
      </c>
      <c r="I282" s="106" t="s">
        <v>1079</v>
      </c>
      <c r="J282" s="106"/>
      <c r="K282" s="106"/>
      <c r="L282" s="106"/>
      <c r="M282" s="106"/>
      <c r="N282" s="106"/>
      <c r="O282" s="112"/>
      <c r="P282" s="112"/>
      <c r="Q282" s="97">
        <v>45310</v>
      </c>
      <c r="R282" s="97">
        <v>45310</v>
      </c>
      <c r="S282" s="71">
        <f>R282-Q282+1</f>
        <v>1</v>
      </c>
      <c r="T282" s="72">
        <v>1</v>
      </c>
      <c r="U282" s="72">
        <v>0</v>
      </c>
      <c r="V282" s="72">
        <v>1</v>
      </c>
      <c r="W282" s="72">
        <v>0</v>
      </c>
      <c r="AA282" s="73">
        <v>0</v>
      </c>
      <c r="AB282" s="72">
        <v>1</v>
      </c>
      <c r="AE282" s="96">
        <v>0</v>
      </c>
      <c r="AF282" s="95">
        <v>0</v>
      </c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4"/>
      <c r="BZ282" s="94"/>
      <c r="CA282" s="94"/>
      <c r="CB282" s="94"/>
      <c r="CC282" s="94"/>
      <c r="CD282" s="94"/>
      <c r="CE282" s="94" t="str">
        <f>"     " &amp; TEXT(AF282,"#0.00%") &amp; " " &amp; "FOB(창고내 내 Deck 우선)" &amp; " " &amp; IF(Q282="","",TEXT(Q282,"M/D-")) &amp; IF(R282="","",TEXT(R282,"M/D")) &amp; " "</f>
        <v xml:space="preserve">     0.00% FOB(창고내 내 Deck 우선) 1/19-1/19 </v>
      </c>
      <c r="CF282" s="94"/>
      <c r="CG282" s="94"/>
      <c r="CH282" s="94"/>
      <c r="CI282" s="94"/>
      <c r="CJ282" s="94"/>
      <c r="CK282" s="94"/>
      <c r="CL282" s="94"/>
      <c r="CM282" s="94"/>
      <c r="CN282" s="94"/>
      <c r="CO282" s="94"/>
      <c r="CP282" s="94"/>
      <c r="CQ282" s="94"/>
      <c r="CR282" s="94"/>
      <c r="CS282" s="94"/>
      <c r="CT282" s="94"/>
      <c r="CU282" s="94"/>
      <c r="CV282" s="94"/>
      <c r="CW282" s="94"/>
      <c r="CX282" s="94"/>
      <c r="CY282" s="94"/>
      <c r="CZ282" s="94"/>
      <c r="DA282" s="94"/>
      <c r="DB282" s="94"/>
      <c r="DC282" s="94"/>
      <c r="DD282" s="94"/>
      <c r="DE282" s="94"/>
      <c r="DF282" s="94"/>
      <c r="DG282" s="94"/>
      <c r="DH282" s="94"/>
      <c r="DI282" s="94"/>
      <c r="DJ282" s="94"/>
      <c r="DK282" s="94"/>
      <c r="DL282" s="94"/>
      <c r="DM282" s="94"/>
      <c r="DN282" s="94"/>
      <c r="DO282" s="94"/>
      <c r="DP282" s="94"/>
      <c r="DQ282" s="94"/>
    </row>
    <row r="283" spans="1:121" ht="15" customHeight="1" outlineLevel="4" x14ac:dyDescent="0.3">
      <c r="A283" s="100"/>
      <c r="B283" s="100"/>
      <c r="C283" s="99">
        <v>5</v>
      </c>
      <c r="D283" s="98" t="s">
        <v>1102</v>
      </c>
      <c r="I283" s="106" t="s">
        <v>1077</v>
      </c>
      <c r="J283" s="106"/>
      <c r="K283" s="106"/>
      <c r="L283" s="106"/>
      <c r="M283" s="106"/>
      <c r="N283" s="106"/>
      <c r="O283" s="112"/>
      <c r="P283" s="112"/>
      <c r="Q283" s="97"/>
      <c r="R283" s="97"/>
      <c r="S283" s="71">
        <f>R283-Q283</f>
        <v>0</v>
      </c>
      <c r="T283" s="72">
        <v>0</v>
      </c>
      <c r="U283" s="72">
        <v>0</v>
      </c>
      <c r="V283" s="72">
        <v>0</v>
      </c>
      <c r="W283" s="72">
        <v>0</v>
      </c>
      <c r="Z283" s="74">
        <v>0</v>
      </c>
      <c r="AA283" s="73">
        <v>0</v>
      </c>
      <c r="AB283" s="72">
        <v>1</v>
      </c>
      <c r="AE283" s="96">
        <v>0</v>
      </c>
      <c r="AF283" s="102">
        <v>0</v>
      </c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4"/>
      <c r="BZ283" s="94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4"/>
      <c r="CM283" s="94"/>
      <c r="CN283" s="94"/>
      <c r="CO283" s="94"/>
      <c r="CP283" s="94"/>
      <c r="CQ283" s="94"/>
      <c r="CR283" s="94"/>
      <c r="CS283" s="94"/>
      <c r="CT283" s="94"/>
      <c r="CU283" s="94"/>
      <c r="CV283" s="94"/>
      <c r="CW283" s="94"/>
      <c r="CX283" s="94"/>
      <c r="CY283" s="94"/>
      <c r="CZ283" s="94"/>
      <c r="DA283" s="94"/>
      <c r="DB283" s="94"/>
      <c r="DC283" s="94"/>
      <c r="DD283" s="94"/>
      <c r="DE283" s="94"/>
      <c r="DF283" s="94"/>
      <c r="DG283" s="94"/>
      <c r="DH283" s="94"/>
      <c r="DI283" s="94"/>
      <c r="DJ283" s="94"/>
      <c r="DK283" s="94"/>
      <c r="DL283" s="94"/>
      <c r="DM283" s="94"/>
      <c r="DN283" s="94"/>
      <c r="DO283" s="94"/>
      <c r="DP283" s="94"/>
      <c r="DQ283" s="94"/>
    </row>
    <row r="284" spans="1:121" ht="15" customHeight="1" outlineLevel="4" x14ac:dyDescent="0.3">
      <c r="A284" s="100"/>
      <c r="B284" s="100"/>
      <c r="C284" s="99">
        <v>5</v>
      </c>
      <c r="D284" s="98" t="s">
        <v>1101</v>
      </c>
      <c r="I284" s="106" t="s">
        <v>1075</v>
      </c>
      <c r="J284" s="106"/>
      <c r="K284" s="106"/>
      <c r="L284" s="106"/>
      <c r="M284" s="106"/>
      <c r="N284" s="106"/>
      <c r="O284" s="112"/>
      <c r="P284" s="112"/>
      <c r="Q284" s="97"/>
      <c r="R284" s="97"/>
      <c r="S284" s="71">
        <f>R284-Q284</f>
        <v>0</v>
      </c>
      <c r="T284" s="72">
        <v>0</v>
      </c>
      <c r="U284" s="72">
        <v>0</v>
      </c>
      <c r="V284" s="72">
        <v>0</v>
      </c>
      <c r="W284" s="72">
        <v>0</v>
      </c>
      <c r="Z284" s="74">
        <v>0</v>
      </c>
      <c r="AA284" s="73">
        <v>0</v>
      </c>
      <c r="AB284" s="72">
        <v>1</v>
      </c>
      <c r="AC284" s="111"/>
      <c r="AE284" s="96">
        <v>0</v>
      </c>
      <c r="AF284" s="102">
        <v>0</v>
      </c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4"/>
      <c r="CM284" s="94"/>
      <c r="CN284" s="94"/>
      <c r="CO284" s="94"/>
      <c r="CP284" s="94"/>
      <c r="CQ284" s="94"/>
      <c r="CR284" s="94"/>
      <c r="CS284" s="94"/>
      <c r="CT284" s="94"/>
      <c r="CU284" s="94"/>
      <c r="CV284" s="94"/>
      <c r="CW284" s="94"/>
      <c r="CX284" s="94"/>
      <c r="CY284" s="94"/>
      <c r="CZ284" s="94"/>
      <c r="DA284" s="94"/>
      <c r="DB284" s="94"/>
      <c r="DC284" s="94"/>
      <c r="DD284" s="94"/>
      <c r="DE284" s="94"/>
      <c r="DF284" s="94"/>
      <c r="DG284" s="94"/>
      <c r="DH284" s="94"/>
      <c r="DI284" s="94"/>
      <c r="DJ284" s="94"/>
      <c r="DK284" s="94"/>
      <c r="DL284" s="94"/>
      <c r="DM284" s="94"/>
      <c r="DN284" s="94"/>
      <c r="DO284" s="94"/>
      <c r="DP284" s="94"/>
      <c r="DQ284" s="94"/>
    </row>
    <row r="285" spans="1:121" ht="15" customHeight="1" outlineLevel="3" x14ac:dyDescent="0.3">
      <c r="A285" s="100"/>
      <c r="B285" s="100" t="s">
        <v>298</v>
      </c>
      <c r="C285" s="99">
        <v>4</v>
      </c>
      <c r="D285" s="98" t="s">
        <v>1100</v>
      </c>
      <c r="H285" s="77" t="s">
        <v>1099</v>
      </c>
      <c r="I285" s="106"/>
      <c r="J285" s="106"/>
      <c r="K285" s="106"/>
      <c r="L285" s="106"/>
      <c r="M285" s="106"/>
      <c r="N285" s="106"/>
      <c r="O285" s="112"/>
      <c r="P285" s="112"/>
      <c r="Q285" s="97">
        <v>45296</v>
      </c>
      <c r="R285" s="97">
        <v>45310</v>
      </c>
      <c r="T285" s="72">
        <v>15</v>
      </c>
      <c r="U285" s="72">
        <v>0</v>
      </c>
      <c r="V285" s="72">
        <v>15</v>
      </c>
      <c r="W285" s="72">
        <v>0</v>
      </c>
      <c r="Z285" s="74">
        <v>0</v>
      </c>
      <c r="AA285" s="73">
        <v>0</v>
      </c>
      <c r="AE285" s="96">
        <v>0</v>
      </c>
      <c r="AF285" s="101">
        <v>0</v>
      </c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4"/>
      <c r="BZ285" s="94"/>
      <c r="CA285" s="94"/>
      <c r="CB285" s="94"/>
      <c r="CC285" s="94" t="str">
        <f>"     " &amp; TEXT(AF285,"#0.00%") &amp; " " &amp; "2동 Aging,PPC,충방창고CV" &amp; " " &amp; IF(Q285="","",TEXT(Q285,"M/D-")) &amp; IF(R285="","",TEXT(R285,"M/D")) &amp; " "</f>
        <v xml:space="preserve">     0.00% 2동 Aging,PPC,충방창고CV 1/5-1/19 </v>
      </c>
      <c r="CD285" s="94"/>
      <c r="CE285" s="94"/>
      <c r="CF285" s="94"/>
      <c r="CG285" s="94"/>
      <c r="CH285" s="94"/>
      <c r="CI285" s="94"/>
      <c r="CJ285" s="94"/>
      <c r="CK285" s="94"/>
      <c r="CL285" s="94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  <c r="CW285" s="94"/>
      <c r="CX285" s="94"/>
      <c r="CY285" s="94"/>
      <c r="CZ285" s="94"/>
      <c r="DA285" s="94"/>
      <c r="DB285" s="94"/>
      <c r="DC285" s="94"/>
      <c r="DD285" s="94"/>
      <c r="DE285" s="94"/>
      <c r="DF285" s="94"/>
      <c r="DG285" s="94"/>
      <c r="DH285" s="94"/>
      <c r="DI285" s="94"/>
      <c r="DJ285" s="94"/>
      <c r="DK285" s="94"/>
      <c r="DL285" s="94"/>
      <c r="DM285" s="94"/>
      <c r="DN285" s="94"/>
      <c r="DO285" s="94"/>
      <c r="DP285" s="94"/>
      <c r="DQ285" s="94"/>
    </row>
    <row r="286" spans="1:121" ht="15" customHeight="1" outlineLevel="4" x14ac:dyDescent="0.3">
      <c r="A286" s="100"/>
      <c r="B286" s="100"/>
      <c r="C286" s="99">
        <v>5</v>
      </c>
      <c r="D286" s="98" t="s">
        <v>1098</v>
      </c>
      <c r="I286" s="106" t="s">
        <v>1083</v>
      </c>
      <c r="J286" s="106"/>
      <c r="K286" s="106"/>
      <c r="L286" s="106"/>
      <c r="M286" s="106"/>
      <c r="N286" s="106"/>
      <c r="O286" s="112"/>
      <c r="P286" s="112"/>
      <c r="Q286" s="97">
        <v>45296</v>
      </c>
      <c r="R286" s="97">
        <v>45304</v>
      </c>
      <c r="S286" s="71">
        <f>R286-Q286</f>
        <v>8</v>
      </c>
      <c r="T286" s="72">
        <v>9</v>
      </c>
      <c r="U286" s="72">
        <v>0</v>
      </c>
      <c r="V286" s="72">
        <v>9</v>
      </c>
      <c r="W286" s="72">
        <v>0</v>
      </c>
      <c r="AA286" s="73">
        <v>0</v>
      </c>
      <c r="AB286" s="72">
        <v>1</v>
      </c>
      <c r="AE286" s="96">
        <v>0</v>
      </c>
      <c r="AF286" s="95">
        <v>0</v>
      </c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  <c r="BG286" s="94"/>
      <c r="BH286" s="94"/>
      <c r="BI286" s="94"/>
      <c r="BJ286" s="94"/>
      <c r="BK286" s="94"/>
      <c r="BL286" s="94"/>
      <c r="BM286" s="94"/>
      <c r="BN286" s="94"/>
      <c r="BO286" s="94"/>
      <c r="BP286" s="94"/>
      <c r="BQ286" s="94"/>
      <c r="BR286" s="94"/>
      <c r="BS286" s="94"/>
      <c r="BT286" s="94"/>
      <c r="BU286" s="94"/>
      <c r="BV286" s="94"/>
      <c r="BW286" s="94"/>
      <c r="BX286" s="94"/>
      <c r="BY286" s="94"/>
      <c r="BZ286" s="94"/>
      <c r="CA286" s="94"/>
      <c r="CB286" s="94"/>
      <c r="CC286" s="94" t="str">
        <f>"     " &amp; TEXT(AF286,"#0.00%") &amp; " " &amp; "Unit 포장" &amp; " " &amp; IF(Q286="","",TEXT(Q286,"M/D-")) &amp; IF(R286="","",TEXT(R286,"M/D")) &amp; " "</f>
        <v xml:space="preserve">     0.00% Unit 포장 1/5-1/13 </v>
      </c>
      <c r="CD286" s="94"/>
      <c r="CE286" s="94"/>
      <c r="CF286" s="94"/>
      <c r="CG286" s="94"/>
      <c r="CH286" s="94"/>
      <c r="CI286" s="94"/>
      <c r="CJ286" s="94"/>
      <c r="CK286" s="94"/>
      <c r="CL286" s="94"/>
      <c r="CM286" s="94"/>
      <c r="CN286" s="94"/>
      <c r="CO286" s="94"/>
      <c r="CP286" s="94"/>
      <c r="CQ286" s="94"/>
      <c r="CR286" s="94"/>
      <c r="CS286" s="94"/>
      <c r="CT286" s="94"/>
      <c r="CU286" s="94"/>
      <c r="CV286" s="94"/>
      <c r="CW286" s="94"/>
      <c r="CX286" s="94"/>
      <c r="CY286" s="94"/>
      <c r="CZ286" s="94"/>
      <c r="DA286" s="94"/>
      <c r="DB286" s="94"/>
      <c r="DC286" s="94"/>
      <c r="DD286" s="94"/>
      <c r="DE286" s="94"/>
      <c r="DF286" s="94"/>
      <c r="DG286" s="94"/>
      <c r="DH286" s="94"/>
      <c r="DI286" s="94"/>
      <c r="DJ286" s="94"/>
      <c r="DK286" s="94"/>
      <c r="DL286" s="94"/>
      <c r="DM286" s="94"/>
      <c r="DN286" s="94"/>
      <c r="DO286" s="94"/>
      <c r="DP286" s="94"/>
      <c r="DQ286" s="94"/>
    </row>
    <row r="287" spans="1:121" ht="15" customHeight="1" outlineLevel="4" x14ac:dyDescent="0.3">
      <c r="A287" s="100"/>
      <c r="B287" s="100"/>
      <c r="C287" s="99">
        <v>5</v>
      </c>
      <c r="D287" s="98" t="s">
        <v>1097</v>
      </c>
      <c r="I287" s="106" t="s">
        <v>1081</v>
      </c>
      <c r="J287" s="106"/>
      <c r="K287" s="106"/>
      <c r="L287" s="106"/>
      <c r="M287" s="106"/>
      <c r="N287" s="106"/>
      <c r="O287" s="112"/>
      <c r="P287" s="112"/>
      <c r="Q287" s="97">
        <v>45305</v>
      </c>
      <c r="R287" s="97">
        <v>45309</v>
      </c>
      <c r="S287" s="71">
        <f>R287-Q287</f>
        <v>4</v>
      </c>
      <c r="T287" s="72">
        <v>5</v>
      </c>
      <c r="U287" s="72">
        <v>0</v>
      </c>
      <c r="V287" s="72">
        <v>5</v>
      </c>
      <c r="W287" s="72">
        <v>0</v>
      </c>
      <c r="AA287" s="73">
        <v>0</v>
      </c>
      <c r="AB287" s="72">
        <v>1</v>
      </c>
      <c r="AE287" s="96">
        <v>0</v>
      </c>
      <c r="AF287" s="95">
        <v>0</v>
      </c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4"/>
      <c r="BN287" s="94"/>
      <c r="BO287" s="94"/>
      <c r="BP287" s="94"/>
      <c r="BQ287" s="94"/>
      <c r="BR287" s="94"/>
      <c r="BS287" s="94"/>
      <c r="BT287" s="94"/>
      <c r="BU287" s="94"/>
      <c r="BV287" s="94"/>
      <c r="BW287" s="94"/>
      <c r="BX287" s="94"/>
      <c r="BY287" s="94"/>
      <c r="BZ287" s="94"/>
      <c r="CA287" s="94"/>
      <c r="CB287" s="94"/>
      <c r="CC287" s="94"/>
      <c r="CD287" s="94"/>
      <c r="CE287" s="94" t="str">
        <f>"" &amp; TEXT(AF287,"#0.00%") &amp; " " &amp; "Unit 운송" &amp; " " &amp; IF(Q287="","",TEXT(Q287,"M/D-")) &amp; IF(R287="","",TEXT(R287,"M/D")) &amp; " "</f>
        <v xml:space="preserve">0.00% Unit 운송 1/14-1/18 </v>
      </c>
      <c r="CF287" s="94"/>
      <c r="CG287" s="94"/>
      <c r="CH287" s="94"/>
      <c r="CI287" s="94"/>
      <c r="CJ287" s="94"/>
      <c r="CK287" s="94"/>
      <c r="CL287" s="94"/>
      <c r="CM287" s="94"/>
      <c r="CN287" s="94"/>
      <c r="CO287" s="94"/>
      <c r="CP287" s="94"/>
      <c r="CQ287" s="94"/>
      <c r="CR287" s="94"/>
      <c r="CS287" s="94"/>
      <c r="CT287" s="94"/>
      <c r="CU287" s="94"/>
      <c r="CV287" s="94"/>
      <c r="CW287" s="94"/>
      <c r="CX287" s="94"/>
      <c r="CY287" s="94"/>
      <c r="CZ287" s="94"/>
      <c r="DA287" s="94"/>
      <c r="DB287" s="94"/>
      <c r="DC287" s="94"/>
      <c r="DD287" s="94"/>
      <c r="DE287" s="94"/>
      <c r="DF287" s="94"/>
      <c r="DG287" s="94"/>
      <c r="DH287" s="94"/>
      <c r="DI287" s="94"/>
      <c r="DJ287" s="94"/>
      <c r="DK287" s="94"/>
      <c r="DL287" s="94"/>
      <c r="DM287" s="94"/>
      <c r="DN287" s="94"/>
      <c r="DO287" s="94"/>
      <c r="DP287" s="94"/>
      <c r="DQ287" s="94"/>
    </row>
    <row r="288" spans="1:121" ht="15" customHeight="1" outlineLevel="4" x14ac:dyDescent="0.3">
      <c r="A288" s="100"/>
      <c r="B288" s="100"/>
      <c r="C288" s="99">
        <v>5</v>
      </c>
      <c r="D288" s="98" t="s">
        <v>1096</v>
      </c>
      <c r="I288" s="106" t="s">
        <v>1079</v>
      </c>
      <c r="J288" s="106"/>
      <c r="K288" s="106"/>
      <c r="L288" s="106"/>
      <c r="M288" s="106"/>
      <c r="N288" s="106"/>
      <c r="O288" s="112"/>
      <c r="P288" s="112"/>
      <c r="Q288" s="97">
        <v>45310</v>
      </c>
      <c r="R288" s="97">
        <v>45310</v>
      </c>
      <c r="S288" s="71">
        <f>R288-Q288+1</f>
        <v>1</v>
      </c>
      <c r="T288" s="72">
        <v>1</v>
      </c>
      <c r="U288" s="72">
        <v>0</v>
      </c>
      <c r="V288" s="72">
        <v>1</v>
      </c>
      <c r="W288" s="72">
        <v>0</v>
      </c>
      <c r="AA288" s="73">
        <v>0</v>
      </c>
      <c r="AB288" s="72">
        <v>1</v>
      </c>
      <c r="AE288" s="96">
        <v>0</v>
      </c>
      <c r="AF288" s="95">
        <v>0</v>
      </c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4"/>
      <c r="BZ288" s="94"/>
      <c r="CA288" s="94"/>
      <c r="CB288" s="94"/>
      <c r="CC288" s="94"/>
      <c r="CD288" s="94"/>
      <c r="CE288" s="94" t="str">
        <f>"     " &amp; TEXT(AF288,"#0.00%") &amp; " " &amp; "FOB(창고내 내 Deck 우선)" &amp; " " &amp; IF(Q288="","",TEXT(Q288,"M/D-")) &amp; IF(R288="","",TEXT(R288,"M/D")) &amp; " "</f>
        <v xml:space="preserve">     0.00% FOB(창고내 내 Deck 우선) 1/19-1/19 </v>
      </c>
      <c r="CF288" s="94"/>
      <c r="CG288" s="94"/>
      <c r="CH288" s="94"/>
      <c r="CI288" s="94"/>
      <c r="CJ288" s="94"/>
      <c r="CK288" s="94"/>
      <c r="CL288" s="94"/>
      <c r="CM288" s="94"/>
      <c r="CN288" s="94"/>
      <c r="CO288" s="94"/>
      <c r="CP288" s="94"/>
      <c r="CQ288" s="94"/>
      <c r="CR288" s="94"/>
      <c r="CS288" s="94"/>
      <c r="CT288" s="94"/>
      <c r="CU288" s="94"/>
      <c r="CV288" s="94"/>
      <c r="CW288" s="94"/>
      <c r="CX288" s="94"/>
      <c r="CY288" s="94"/>
      <c r="CZ288" s="94"/>
      <c r="DA288" s="94"/>
      <c r="DB288" s="94"/>
      <c r="DC288" s="94"/>
      <c r="DD288" s="94"/>
      <c r="DE288" s="94"/>
      <c r="DF288" s="94"/>
      <c r="DG288" s="94"/>
      <c r="DH288" s="94"/>
      <c r="DI288" s="94"/>
      <c r="DJ288" s="94"/>
      <c r="DK288" s="94"/>
      <c r="DL288" s="94"/>
      <c r="DM288" s="94"/>
      <c r="DN288" s="94"/>
      <c r="DO288" s="94"/>
      <c r="DP288" s="94"/>
      <c r="DQ288" s="94"/>
    </row>
    <row r="289" spans="1:121" ht="15" customHeight="1" outlineLevel="4" x14ac:dyDescent="0.3">
      <c r="A289" s="100"/>
      <c r="B289" s="100"/>
      <c r="C289" s="99">
        <v>5</v>
      </c>
      <c r="D289" s="98" t="s">
        <v>1095</v>
      </c>
      <c r="I289" s="106" t="s">
        <v>1077</v>
      </c>
      <c r="J289" s="106"/>
      <c r="K289" s="106"/>
      <c r="L289" s="106"/>
      <c r="M289" s="106"/>
      <c r="N289" s="106"/>
      <c r="O289" s="112"/>
      <c r="P289" s="112"/>
      <c r="Q289" s="97"/>
      <c r="R289" s="97"/>
      <c r="S289" s="71">
        <f>R289-Q289</f>
        <v>0</v>
      </c>
      <c r="T289" s="72">
        <v>0</v>
      </c>
      <c r="U289" s="72">
        <v>0</v>
      </c>
      <c r="V289" s="72">
        <v>0</v>
      </c>
      <c r="W289" s="72">
        <v>0</v>
      </c>
      <c r="Z289" s="74">
        <v>0</v>
      </c>
      <c r="AA289" s="73">
        <v>0</v>
      </c>
      <c r="AB289" s="72">
        <v>1</v>
      </c>
      <c r="AE289" s="96">
        <v>0</v>
      </c>
      <c r="AF289" s="102">
        <v>0</v>
      </c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4"/>
      <c r="BZ289" s="94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4"/>
      <c r="CM289" s="94"/>
      <c r="CN289" s="94"/>
      <c r="CO289" s="94"/>
      <c r="CP289" s="94"/>
      <c r="CQ289" s="94"/>
      <c r="CR289" s="94"/>
      <c r="CS289" s="94"/>
      <c r="CT289" s="94"/>
      <c r="CU289" s="94"/>
      <c r="CV289" s="94"/>
      <c r="CW289" s="94"/>
      <c r="CX289" s="94"/>
      <c r="CY289" s="94"/>
      <c r="CZ289" s="94"/>
      <c r="DA289" s="94"/>
      <c r="DB289" s="94"/>
      <c r="DC289" s="94"/>
      <c r="DD289" s="94"/>
      <c r="DE289" s="94"/>
      <c r="DF289" s="94"/>
      <c r="DG289" s="94"/>
      <c r="DH289" s="94"/>
      <c r="DI289" s="94"/>
      <c r="DJ289" s="94"/>
      <c r="DK289" s="94"/>
      <c r="DL289" s="94"/>
      <c r="DM289" s="94"/>
      <c r="DN289" s="94"/>
      <c r="DO289" s="94"/>
      <c r="DP289" s="94"/>
      <c r="DQ289" s="94"/>
    </row>
    <row r="290" spans="1:121" ht="15" customHeight="1" outlineLevel="4" x14ac:dyDescent="0.3">
      <c r="A290" s="100"/>
      <c r="B290" s="100"/>
      <c r="C290" s="99">
        <v>5</v>
      </c>
      <c r="D290" s="98" t="s">
        <v>1094</v>
      </c>
      <c r="I290" s="106" t="s">
        <v>1075</v>
      </c>
      <c r="J290" s="106"/>
      <c r="K290" s="106"/>
      <c r="L290" s="106"/>
      <c r="M290" s="106"/>
      <c r="N290" s="106"/>
      <c r="O290" s="112"/>
      <c r="P290" s="112"/>
      <c r="Q290" s="97"/>
      <c r="R290" s="97"/>
      <c r="S290" s="71">
        <f>R290-Q290</f>
        <v>0</v>
      </c>
      <c r="T290" s="72">
        <v>0</v>
      </c>
      <c r="U290" s="72">
        <v>0</v>
      </c>
      <c r="V290" s="72">
        <v>0</v>
      </c>
      <c r="W290" s="72">
        <v>0</v>
      </c>
      <c r="Z290" s="74">
        <v>0</v>
      </c>
      <c r="AA290" s="73">
        <v>0</v>
      </c>
      <c r="AB290" s="72">
        <v>1</v>
      </c>
      <c r="AC290" s="111"/>
      <c r="AE290" s="96">
        <v>0</v>
      </c>
      <c r="AF290" s="102">
        <v>0</v>
      </c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4"/>
      <c r="BZ290" s="94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4"/>
      <c r="CM290" s="94"/>
      <c r="CN290" s="94"/>
      <c r="CO290" s="94"/>
      <c r="CP290" s="94"/>
      <c r="CQ290" s="94"/>
      <c r="CR290" s="94"/>
      <c r="CS290" s="94"/>
      <c r="CT290" s="94"/>
      <c r="CU290" s="94"/>
      <c r="CV290" s="94"/>
      <c r="CW290" s="94"/>
      <c r="CX290" s="94"/>
      <c r="CY290" s="94"/>
      <c r="CZ290" s="94"/>
      <c r="DA290" s="94"/>
      <c r="DB290" s="94"/>
      <c r="DC290" s="94"/>
      <c r="DD290" s="94"/>
      <c r="DE290" s="94"/>
      <c r="DF290" s="94"/>
      <c r="DG290" s="94"/>
      <c r="DH290" s="94"/>
      <c r="DI290" s="94"/>
      <c r="DJ290" s="94"/>
      <c r="DK290" s="94"/>
      <c r="DL290" s="94"/>
      <c r="DM290" s="94"/>
      <c r="DN290" s="94"/>
      <c r="DO290" s="94"/>
      <c r="DP290" s="94"/>
      <c r="DQ290" s="94"/>
    </row>
    <row r="291" spans="1:121" ht="15" customHeight="1" outlineLevel="3" x14ac:dyDescent="0.3">
      <c r="A291" s="100"/>
      <c r="B291" s="100" t="s">
        <v>298</v>
      </c>
      <c r="C291" s="99">
        <v>4</v>
      </c>
      <c r="D291" s="98" t="s">
        <v>1093</v>
      </c>
      <c r="H291" s="77" t="s">
        <v>1092</v>
      </c>
      <c r="I291" s="106"/>
      <c r="J291" s="106"/>
      <c r="K291" s="106"/>
      <c r="L291" s="106"/>
      <c r="M291" s="106"/>
      <c r="N291" s="106"/>
      <c r="O291" s="112"/>
      <c r="P291" s="112"/>
      <c r="Q291" s="97">
        <v>45296</v>
      </c>
      <c r="R291" s="97">
        <v>45310</v>
      </c>
      <c r="T291" s="72">
        <v>15</v>
      </c>
      <c r="U291" s="72">
        <v>0</v>
      </c>
      <c r="V291" s="72">
        <v>15</v>
      </c>
      <c r="W291" s="72">
        <v>0</v>
      </c>
      <c r="Z291" s="74">
        <v>0</v>
      </c>
      <c r="AA291" s="73">
        <v>0</v>
      </c>
      <c r="AE291" s="96">
        <v>0</v>
      </c>
      <c r="AF291" s="101">
        <v>0</v>
      </c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 t="str">
        <f>"     " &amp; TEXT(AF291,"#0.00%") &amp; " " &amp; "2동 Folding CV" &amp; " " &amp; IF(Q291="","",TEXT(Q291,"M/D-")) &amp; IF(R291="","",TEXT(R291,"M/D")) &amp; " "</f>
        <v xml:space="preserve">     0.00% 2동 Folding CV 1/5-1/19 </v>
      </c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</row>
    <row r="292" spans="1:121" ht="15" customHeight="1" outlineLevel="4" x14ac:dyDescent="0.3">
      <c r="A292" s="100"/>
      <c r="B292" s="100"/>
      <c r="C292" s="99">
        <v>5</v>
      </c>
      <c r="D292" s="98" t="s">
        <v>1091</v>
      </c>
      <c r="I292" s="106" t="s">
        <v>1083</v>
      </c>
      <c r="J292" s="106"/>
      <c r="K292" s="106"/>
      <c r="L292" s="106"/>
      <c r="M292" s="106"/>
      <c r="N292" s="106"/>
      <c r="O292" s="112"/>
      <c r="P292" s="112"/>
      <c r="Q292" s="97">
        <v>45296</v>
      </c>
      <c r="R292" s="97">
        <v>45304</v>
      </c>
      <c r="S292" s="71">
        <f>R292-Q292</f>
        <v>8</v>
      </c>
      <c r="T292" s="72">
        <v>9</v>
      </c>
      <c r="U292" s="72">
        <v>0</v>
      </c>
      <c r="V292" s="72">
        <v>9</v>
      </c>
      <c r="W292" s="72">
        <v>0</v>
      </c>
      <c r="AA292" s="73">
        <v>0</v>
      </c>
      <c r="AB292" s="72">
        <v>1</v>
      </c>
      <c r="AE292" s="96">
        <v>0</v>
      </c>
      <c r="AF292" s="95">
        <v>0</v>
      </c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 t="str">
        <f>"     " &amp; TEXT(AF292,"#0.00%") &amp; " " &amp; "Unit 포장" &amp; " " &amp; IF(Q292="","",TEXT(Q292,"M/D-")) &amp; IF(R292="","",TEXT(R292,"M/D")) &amp; " "</f>
        <v xml:space="preserve">     0.00% Unit 포장 1/5-1/13 </v>
      </c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</row>
    <row r="293" spans="1:121" ht="15" customHeight="1" outlineLevel="4" x14ac:dyDescent="0.3">
      <c r="A293" s="100"/>
      <c r="B293" s="100"/>
      <c r="C293" s="99">
        <v>5</v>
      </c>
      <c r="D293" s="98" t="s">
        <v>1090</v>
      </c>
      <c r="I293" s="106" t="s">
        <v>1081</v>
      </c>
      <c r="J293" s="106"/>
      <c r="K293" s="106"/>
      <c r="L293" s="106"/>
      <c r="M293" s="106"/>
      <c r="N293" s="106"/>
      <c r="O293" s="112"/>
      <c r="P293" s="112"/>
      <c r="Q293" s="97">
        <v>45305</v>
      </c>
      <c r="R293" s="97">
        <v>45309</v>
      </c>
      <c r="S293" s="71">
        <f>R293-Q293</f>
        <v>4</v>
      </c>
      <c r="T293" s="72">
        <v>5</v>
      </c>
      <c r="U293" s="72">
        <v>0</v>
      </c>
      <c r="V293" s="72">
        <v>5</v>
      </c>
      <c r="W293" s="72">
        <v>0</v>
      </c>
      <c r="AA293" s="73">
        <v>0</v>
      </c>
      <c r="AB293" s="72">
        <v>1</v>
      </c>
      <c r="AE293" s="96">
        <v>0</v>
      </c>
      <c r="AF293" s="95">
        <v>0</v>
      </c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 t="str">
        <f>"" &amp; TEXT(AF293,"#0.00%") &amp; " " &amp; "Unit 운송" &amp; " " &amp; IF(Q293="","",TEXT(Q293,"M/D-")) &amp; IF(R293="","",TEXT(R293,"M/D")) &amp; " "</f>
        <v xml:space="preserve">0.00% Unit 운송 1/14-1/18 </v>
      </c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  <c r="DA293" s="94"/>
      <c r="DB293" s="94"/>
      <c r="DC293" s="94"/>
      <c r="DD293" s="94"/>
      <c r="DE293" s="94"/>
      <c r="DF293" s="94"/>
      <c r="DG293" s="94"/>
      <c r="DH293" s="94"/>
      <c r="DI293" s="94"/>
      <c r="DJ293" s="94"/>
      <c r="DK293" s="94"/>
      <c r="DL293" s="94"/>
      <c r="DM293" s="94"/>
      <c r="DN293" s="94"/>
      <c r="DO293" s="94"/>
      <c r="DP293" s="94"/>
      <c r="DQ293" s="94"/>
    </row>
    <row r="294" spans="1:121" ht="15" customHeight="1" outlineLevel="4" x14ac:dyDescent="0.3">
      <c r="A294" s="100"/>
      <c r="B294" s="100"/>
      <c r="C294" s="99">
        <v>5</v>
      </c>
      <c r="D294" s="98" t="s">
        <v>1089</v>
      </c>
      <c r="I294" s="106" t="s">
        <v>1079</v>
      </c>
      <c r="J294" s="106"/>
      <c r="K294" s="106"/>
      <c r="L294" s="106"/>
      <c r="M294" s="106"/>
      <c r="N294" s="106"/>
      <c r="O294" s="112"/>
      <c r="P294" s="112"/>
      <c r="Q294" s="97">
        <v>45310</v>
      </c>
      <c r="R294" s="97">
        <v>45310</v>
      </c>
      <c r="S294" s="71">
        <f>R294-Q294+1</f>
        <v>1</v>
      </c>
      <c r="T294" s="72">
        <v>1</v>
      </c>
      <c r="U294" s="72">
        <v>0</v>
      </c>
      <c r="V294" s="72">
        <v>1</v>
      </c>
      <c r="W294" s="72">
        <v>0</v>
      </c>
      <c r="AA294" s="73">
        <v>0</v>
      </c>
      <c r="AB294" s="72">
        <v>1</v>
      </c>
      <c r="AE294" s="96">
        <v>0</v>
      </c>
      <c r="AF294" s="95">
        <v>0</v>
      </c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4"/>
      <c r="BZ294" s="94"/>
      <c r="CA294" s="94"/>
      <c r="CB294" s="94"/>
      <c r="CC294" s="94"/>
      <c r="CD294" s="94"/>
      <c r="CE294" s="94" t="str">
        <f>"     " &amp; TEXT(AF294,"#0.00%") &amp; " " &amp; "FOB(창고내 내 Deck 우선)" &amp; " " &amp; IF(Q294="","",TEXT(Q294,"M/D-")) &amp; IF(R294="","",TEXT(R294,"M/D")) &amp; " "</f>
        <v xml:space="preserve">     0.00% FOB(창고내 내 Deck 우선) 1/19-1/19 </v>
      </c>
      <c r="CF294" s="94"/>
      <c r="CG294" s="94"/>
      <c r="CH294" s="94"/>
      <c r="CI294" s="94"/>
      <c r="CJ294" s="94"/>
      <c r="CK294" s="94"/>
      <c r="CL294" s="94"/>
      <c r="CM294" s="94"/>
      <c r="CN294" s="94"/>
      <c r="CO294" s="94"/>
      <c r="CP294" s="94"/>
      <c r="CQ294" s="94"/>
      <c r="CR294" s="94"/>
      <c r="CS294" s="94"/>
      <c r="CT294" s="94"/>
      <c r="CU294" s="94"/>
      <c r="CV294" s="94"/>
      <c r="CW294" s="94"/>
      <c r="CX294" s="94"/>
      <c r="CY294" s="94"/>
      <c r="CZ294" s="94"/>
      <c r="DA294" s="94"/>
      <c r="DB294" s="94"/>
      <c r="DC294" s="94"/>
      <c r="DD294" s="94"/>
      <c r="DE294" s="94"/>
      <c r="DF294" s="94"/>
      <c r="DG294" s="94"/>
      <c r="DH294" s="94"/>
      <c r="DI294" s="94"/>
      <c r="DJ294" s="94"/>
      <c r="DK294" s="94"/>
      <c r="DL294" s="94"/>
      <c r="DM294" s="94"/>
      <c r="DN294" s="94"/>
      <c r="DO294" s="94"/>
      <c r="DP294" s="94"/>
      <c r="DQ294" s="94"/>
    </row>
    <row r="295" spans="1:121" ht="15" customHeight="1" outlineLevel="4" x14ac:dyDescent="0.3">
      <c r="A295" s="100"/>
      <c r="B295" s="100"/>
      <c r="C295" s="99">
        <v>5</v>
      </c>
      <c r="D295" s="98" t="s">
        <v>1088</v>
      </c>
      <c r="I295" s="106" t="s">
        <v>1077</v>
      </c>
      <c r="J295" s="106"/>
      <c r="K295" s="106"/>
      <c r="L295" s="106"/>
      <c r="M295" s="106"/>
      <c r="N295" s="106"/>
      <c r="O295" s="112"/>
      <c r="P295" s="112"/>
      <c r="Q295" s="97"/>
      <c r="R295" s="97"/>
      <c r="S295" s="71">
        <f>R295-Q295</f>
        <v>0</v>
      </c>
      <c r="T295" s="72">
        <v>0</v>
      </c>
      <c r="U295" s="72">
        <v>0</v>
      </c>
      <c r="V295" s="72">
        <v>0</v>
      </c>
      <c r="W295" s="72">
        <v>0</v>
      </c>
      <c r="Z295" s="74">
        <v>0</v>
      </c>
      <c r="AA295" s="73">
        <v>0</v>
      </c>
      <c r="AB295" s="72">
        <v>1</v>
      </c>
      <c r="AE295" s="96">
        <v>0</v>
      </c>
      <c r="AF295" s="102">
        <v>0</v>
      </c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4"/>
      <c r="BZ295" s="94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4"/>
      <c r="CM295" s="94"/>
      <c r="CN295" s="94"/>
      <c r="CO295" s="94"/>
      <c r="CP295" s="94"/>
      <c r="CQ295" s="94"/>
      <c r="CR295" s="94"/>
      <c r="CS295" s="94"/>
      <c r="CT295" s="94"/>
      <c r="CU295" s="94"/>
      <c r="CV295" s="94"/>
      <c r="CW295" s="94"/>
      <c r="CX295" s="94"/>
      <c r="CY295" s="94"/>
      <c r="CZ295" s="94"/>
      <c r="DA295" s="94"/>
      <c r="DB295" s="94"/>
      <c r="DC295" s="94"/>
      <c r="DD295" s="94"/>
      <c r="DE295" s="94"/>
      <c r="DF295" s="94"/>
      <c r="DG295" s="94"/>
      <c r="DH295" s="94"/>
      <c r="DI295" s="94"/>
      <c r="DJ295" s="94"/>
      <c r="DK295" s="94"/>
      <c r="DL295" s="94"/>
      <c r="DM295" s="94"/>
      <c r="DN295" s="94"/>
      <c r="DO295" s="94"/>
      <c r="DP295" s="94"/>
      <c r="DQ295" s="94"/>
    </row>
    <row r="296" spans="1:121" ht="15" customHeight="1" outlineLevel="4" x14ac:dyDescent="0.3">
      <c r="A296" s="100"/>
      <c r="B296" s="100"/>
      <c r="C296" s="99">
        <v>5</v>
      </c>
      <c r="D296" s="98" t="s">
        <v>1087</v>
      </c>
      <c r="I296" s="106" t="s">
        <v>1075</v>
      </c>
      <c r="J296" s="106"/>
      <c r="K296" s="106"/>
      <c r="L296" s="106"/>
      <c r="M296" s="106"/>
      <c r="N296" s="106"/>
      <c r="O296" s="112"/>
      <c r="P296" s="112"/>
      <c r="Q296" s="97"/>
      <c r="R296" s="97"/>
      <c r="S296" s="71">
        <f>R296-Q296</f>
        <v>0</v>
      </c>
      <c r="T296" s="72">
        <v>0</v>
      </c>
      <c r="U296" s="72">
        <v>0</v>
      </c>
      <c r="V296" s="72">
        <v>0</v>
      </c>
      <c r="W296" s="72">
        <v>0</v>
      </c>
      <c r="Z296" s="74">
        <v>0</v>
      </c>
      <c r="AA296" s="73">
        <v>0</v>
      </c>
      <c r="AB296" s="72">
        <v>1</v>
      </c>
      <c r="AC296" s="111"/>
      <c r="AE296" s="96">
        <v>0</v>
      </c>
      <c r="AF296" s="102">
        <v>0</v>
      </c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  <c r="DA296" s="94"/>
      <c r="DB296" s="94"/>
      <c r="DC296" s="94"/>
      <c r="DD296" s="94"/>
      <c r="DE296" s="94"/>
      <c r="DF296" s="94"/>
      <c r="DG296" s="94"/>
      <c r="DH296" s="94"/>
      <c r="DI296" s="94"/>
      <c r="DJ296" s="94"/>
      <c r="DK296" s="94"/>
      <c r="DL296" s="94"/>
      <c r="DM296" s="94"/>
      <c r="DN296" s="94"/>
      <c r="DO296" s="94"/>
      <c r="DP296" s="94"/>
      <c r="DQ296" s="94"/>
    </row>
    <row r="297" spans="1:121" ht="15" customHeight="1" outlineLevel="3" x14ac:dyDescent="0.3">
      <c r="A297" s="100"/>
      <c r="B297" s="100" t="s">
        <v>298</v>
      </c>
      <c r="C297" s="99">
        <v>4</v>
      </c>
      <c r="D297" s="98" t="s">
        <v>1086</v>
      </c>
      <c r="H297" s="77" t="s">
        <v>1085</v>
      </c>
      <c r="I297" s="106"/>
      <c r="J297" s="106"/>
      <c r="K297" s="106"/>
      <c r="L297" s="106"/>
      <c r="M297" s="106"/>
      <c r="N297" s="106"/>
      <c r="O297" s="112"/>
      <c r="P297" s="112"/>
      <c r="Q297" s="97">
        <v>45296</v>
      </c>
      <c r="R297" s="97">
        <v>45310</v>
      </c>
      <c r="T297" s="72">
        <v>15</v>
      </c>
      <c r="U297" s="72">
        <v>0</v>
      </c>
      <c r="V297" s="72">
        <v>15</v>
      </c>
      <c r="W297" s="72">
        <v>0</v>
      </c>
      <c r="Z297" s="74">
        <v>0</v>
      </c>
      <c r="AA297" s="73">
        <v>0</v>
      </c>
      <c r="AE297" s="96">
        <v>0</v>
      </c>
      <c r="AF297" s="101">
        <v>0</v>
      </c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  <c r="BY297" s="94"/>
      <c r="BZ297" s="94"/>
      <c r="CA297" s="94"/>
      <c r="CB297" s="94"/>
      <c r="CC297" s="94" t="str">
        <f>"     " &amp; TEXT(AF297,"#0.00%") &amp; " " &amp; "2동 Degassing CV" &amp; " " &amp; IF(Q297="","",TEXT(Q297,"M/D-")) &amp; IF(R297="","",TEXT(R297,"M/D")) &amp; " "</f>
        <v xml:space="preserve">     0.00% 2동 Degassing CV 1/5-1/19 </v>
      </c>
      <c r="CD297" s="94"/>
      <c r="CE297" s="94"/>
      <c r="CF297" s="94"/>
      <c r="CG297" s="94"/>
      <c r="CH297" s="94"/>
      <c r="CI297" s="94"/>
      <c r="CJ297" s="94"/>
      <c r="CK297" s="94"/>
      <c r="CL297" s="94"/>
      <c r="CM297" s="94"/>
      <c r="CN297" s="94"/>
      <c r="CO297" s="94"/>
      <c r="CP297" s="94"/>
      <c r="CQ297" s="94"/>
      <c r="CR297" s="94"/>
      <c r="CS297" s="94"/>
      <c r="CT297" s="94"/>
      <c r="CU297" s="94"/>
      <c r="CV297" s="94"/>
      <c r="CW297" s="94"/>
      <c r="CX297" s="94"/>
      <c r="CY297" s="94"/>
      <c r="CZ297" s="94"/>
      <c r="DA297" s="94"/>
      <c r="DB297" s="94"/>
      <c r="DC297" s="94"/>
      <c r="DD297" s="94"/>
      <c r="DE297" s="94"/>
      <c r="DF297" s="94"/>
      <c r="DG297" s="94"/>
      <c r="DH297" s="94"/>
      <c r="DI297" s="94"/>
      <c r="DJ297" s="94"/>
      <c r="DK297" s="94"/>
      <c r="DL297" s="94"/>
      <c r="DM297" s="94"/>
      <c r="DN297" s="94"/>
      <c r="DO297" s="94"/>
      <c r="DP297" s="94"/>
      <c r="DQ297" s="94"/>
    </row>
    <row r="298" spans="1:121" ht="15" customHeight="1" outlineLevel="4" x14ac:dyDescent="0.3">
      <c r="A298" s="100"/>
      <c r="B298" s="100"/>
      <c r="C298" s="99">
        <v>5</v>
      </c>
      <c r="D298" s="98" t="s">
        <v>1084</v>
      </c>
      <c r="I298" s="106" t="s">
        <v>1083</v>
      </c>
      <c r="J298" s="106"/>
      <c r="K298" s="106"/>
      <c r="L298" s="106"/>
      <c r="M298" s="106"/>
      <c r="N298" s="106"/>
      <c r="O298" s="112"/>
      <c r="P298" s="112"/>
      <c r="Q298" s="97">
        <v>45296</v>
      </c>
      <c r="R298" s="97">
        <v>45304</v>
      </c>
      <c r="S298" s="71">
        <f>R298-Q298</f>
        <v>8</v>
      </c>
      <c r="T298" s="72">
        <v>9</v>
      </c>
      <c r="U298" s="72">
        <v>0</v>
      </c>
      <c r="V298" s="72">
        <v>9</v>
      </c>
      <c r="W298" s="72">
        <v>0</v>
      </c>
      <c r="AA298" s="73">
        <v>0</v>
      </c>
      <c r="AB298" s="72">
        <v>1</v>
      </c>
      <c r="AE298" s="96">
        <v>0</v>
      </c>
      <c r="AF298" s="95">
        <v>0</v>
      </c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  <c r="BY298" s="94"/>
      <c r="BZ298" s="94"/>
      <c r="CA298" s="94"/>
      <c r="CB298" s="94"/>
      <c r="CC298" s="94" t="str">
        <f>"     " &amp; TEXT(AF298,"#0.00%") &amp; " " &amp; "Unit 포장" &amp; " " &amp; IF(Q298="","",TEXT(Q298,"M/D-")) &amp; IF(R298="","",TEXT(R298,"M/D")) &amp; " "</f>
        <v xml:space="preserve">     0.00% Unit 포장 1/5-1/13 </v>
      </c>
      <c r="CD298" s="94"/>
      <c r="CE298" s="94"/>
      <c r="CF298" s="94"/>
      <c r="CG298" s="94"/>
      <c r="CH298" s="94"/>
      <c r="CI298" s="94"/>
      <c r="CJ298" s="94"/>
      <c r="CK298" s="94"/>
      <c r="CL298" s="94"/>
      <c r="CM298" s="94"/>
      <c r="CN298" s="94"/>
      <c r="CO298" s="94"/>
      <c r="CP298" s="94"/>
      <c r="CQ298" s="94"/>
      <c r="CR298" s="94"/>
      <c r="CS298" s="94"/>
      <c r="CT298" s="94"/>
      <c r="CU298" s="94"/>
      <c r="CV298" s="94"/>
      <c r="CW298" s="94"/>
      <c r="CX298" s="94"/>
      <c r="CY298" s="94"/>
      <c r="CZ298" s="94"/>
      <c r="DA298" s="94"/>
      <c r="DB298" s="94"/>
      <c r="DC298" s="94"/>
      <c r="DD298" s="94"/>
      <c r="DE298" s="94"/>
      <c r="DF298" s="94"/>
      <c r="DG298" s="94"/>
      <c r="DH298" s="94"/>
      <c r="DI298" s="94"/>
      <c r="DJ298" s="94"/>
      <c r="DK298" s="94"/>
      <c r="DL298" s="94"/>
      <c r="DM298" s="94"/>
      <c r="DN298" s="94"/>
      <c r="DO298" s="94"/>
      <c r="DP298" s="94"/>
      <c r="DQ298" s="94"/>
    </row>
    <row r="299" spans="1:121" ht="15" customHeight="1" outlineLevel="4" x14ac:dyDescent="0.3">
      <c r="A299" s="100"/>
      <c r="B299" s="100"/>
      <c r="C299" s="99">
        <v>5</v>
      </c>
      <c r="D299" s="98" t="s">
        <v>1082</v>
      </c>
      <c r="I299" s="106" t="s">
        <v>1081</v>
      </c>
      <c r="J299" s="106"/>
      <c r="K299" s="106"/>
      <c r="L299" s="106"/>
      <c r="M299" s="106"/>
      <c r="N299" s="106"/>
      <c r="O299" s="112"/>
      <c r="P299" s="112"/>
      <c r="Q299" s="97">
        <v>45305</v>
      </c>
      <c r="R299" s="97">
        <v>45309</v>
      </c>
      <c r="S299" s="71">
        <f>R299-Q299</f>
        <v>4</v>
      </c>
      <c r="T299" s="72">
        <v>5</v>
      </c>
      <c r="U299" s="72">
        <v>0</v>
      </c>
      <c r="V299" s="72">
        <v>5</v>
      </c>
      <c r="W299" s="72">
        <v>0</v>
      </c>
      <c r="AA299" s="73">
        <v>0</v>
      </c>
      <c r="AB299" s="72">
        <v>1</v>
      </c>
      <c r="AE299" s="96">
        <v>0</v>
      </c>
      <c r="AF299" s="95">
        <v>0</v>
      </c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4"/>
      <c r="BZ299" s="94"/>
      <c r="CA299" s="94"/>
      <c r="CB299" s="94"/>
      <c r="CC299" s="94"/>
      <c r="CD299" s="94"/>
      <c r="CE299" s="94" t="str">
        <f>"" &amp; TEXT(AF299,"#0.00%") &amp; " " &amp; "Unit 운송" &amp; " " &amp; IF(Q299="","",TEXT(Q299,"M/D-")) &amp; IF(R299="","",TEXT(R299,"M/D")) &amp; " "</f>
        <v xml:space="preserve">0.00% Unit 운송 1/14-1/18 </v>
      </c>
      <c r="CF299" s="94"/>
      <c r="CG299" s="94"/>
      <c r="CH299" s="94"/>
      <c r="CI299" s="94"/>
      <c r="CJ299" s="94"/>
      <c r="CK299" s="94"/>
      <c r="CL299" s="94"/>
      <c r="CM299" s="94"/>
      <c r="CN299" s="94"/>
      <c r="CO299" s="94"/>
      <c r="CP299" s="94"/>
      <c r="CQ299" s="94"/>
      <c r="CR299" s="94"/>
      <c r="CS299" s="94"/>
      <c r="CT299" s="94"/>
      <c r="CU299" s="94"/>
      <c r="CV299" s="94"/>
      <c r="CW299" s="94"/>
      <c r="CX299" s="94"/>
      <c r="CY299" s="94"/>
      <c r="CZ299" s="94"/>
      <c r="DA299" s="94"/>
      <c r="DB299" s="94"/>
      <c r="DC299" s="94"/>
      <c r="DD299" s="94"/>
      <c r="DE299" s="94"/>
      <c r="DF299" s="94"/>
      <c r="DG299" s="94"/>
      <c r="DH299" s="94"/>
      <c r="DI299" s="94"/>
      <c r="DJ299" s="94"/>
      <c r="DK299" s="94"/>
      <c r="DL299" s="94"/>
      <c r="DM299" s="94"/>
      <c r="DN299" s="94"/>
      <c r="DO299" s="94"/>
      <c r="DP299" s="94"/>
      <c r="DQ299" s="94"/>
    </row>
    <row r="300" spans="1:121" ht="15" customHeight="1" outlineLevel="4" x14ac:dyDescent="0.3">
      <c r="A300" s="100"/>
      <c r="B300" s="100"/>
      <c r="C300" s="99">
        <v>5</v>
      </c>
      <c r="D300" s="98" t="s">
        <v>1080</v>
      </c>
      <c r="I300" s="106" t="s">
        <v>1079</v>
      </c>
      <c r="J300" s="106"/>
      <c r="K300" s="106"/>
      <c r="L300" s="106"/>
      <c r="M300" s="106"/>
      <c r="N300" s="106"/>
      <c r="O300" s="112"/>
      <c r="P300" s="112"/>
      <c r="Q300" s="97">
        <v>45310</v>
      </c>
      <c r="R300" s="97">
        <v>45310</v>
      </c>
      <c r="S300" s="71">
        <f>R300-Q300+1</f>
        <v>1</v>
      </c>
      <c r="T300" s="72">
        <v>1</v>
      </c>
      <c r="U300" s="72">
        <v>0</v>
      </c>
      <c r="V300" s="72">
        <v>1</v>
      </c>
      <c r="W300" s="72">
        <v>0</v>
      </c>
      <c r="AA300" s="73">
        <v>0</v>
      </c>
      <c r="AB300" s="72">
        <v>1</v>
      </c>
      <c r="AE300" s="96">
        <v>0</v>
      </c>
      <c r="AF300" s="95">
        <v>0</v>
      </c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  <c r="BY300" s="94"/>
      <c r="BZ300" s="94"/>
      <c r="CA300" s="94"/>
      <c r="CB300" s="94"/>
      <c r="CC300" s="94"/>
      <c r="CD300" s="94"/>
      <c r="CE300" s="94" t="str">
        <f>"     " &amp; TEXT(AF300,"#0.00%") &amp; " " &amp; "FOB(창고내 내 Deck 우선)" &amp; " " &amp; IF(Q300="","",TEXT(Q300,"M/D-")) &amp; IF(R300="","",TEXT(R300,"M/D")) &amp; " "</f>
        <v xml:space="preserve">     0.00% FOB(창고내 내 Deck 우선) 1/19-1/19 </v>
      </c>
      <c r="CF300" s="94"/>
      <c r="CG300" s="94"/>
      <c r="CH300" s="94"/>
      <c r="CI300" s="94"/>
      <c r="CJ300" s="94"/>
      <c r="CK300" s="94"/>
      <c r="CL300" s="94"/>
      <c r="CM300" s="94"/>
      <c r="CN300" s="94"/>
      <c r="CO300" s="94"/>
      <c r="CP300" s="94"/>
      <c r="CQ300" s="94"/>
      <c r="CR300" s="94"/>
      <c r="CS300" s="94"/>
      <c r="CT300" s="94"/>
      <c r="CU300" s="94"/>
      <c r="CV300" s="94"/>
      <c r="CW300" s="94"/>
      <c r="CX300" s="94"/>
      <c r="CY300" s="94"/>
      <c r="CZ300" s="94"/>
      <c r="DA300" s="94"/>
      <c r="DB300" s="94"/>
      <c r="DC300" s="94"/>
      <c r="DD300" s="94"/>
      <c r="DE300" s="94"/>
      <c r="DF300" s="94"/>
      <c r="DG300" s="94"/>
      <c r="DH300" s="94"/>
      <c r="DI300" s="94"/>
      <c r="DJ300" s="94"/>
      <c r="DK300" s="94"/>
      <c r="DL300" s="94"/>
      <c r="DM300" s="94"/>
      <c r="DN300" s="94"/>
      <c r="DO300" s="94"/>
      <c r="DP300" s="94"/>
      <c r="DQ300" s="94"/>
    </row>
    <row r="301" spans="1:121" ht="15" customHeight="1" outlineLevel="4" x14ac:dyDescent="0.3">
      <c r="A301" s="100"/>
      <c r="B301" s="100"/>
      <c r="C301" s="99">
        <v>5</v>
      </c>
      <c r="D301" s="98" t="s">
        <v>1078</v>
      </c>
      <c r="I301" s="106" t="s">
        <v>1077</v>
      </c>
      <c r="J301" s="106"/>
      <c r="K301" s="106"/>
      <c r="L301" s="106"/>
      <c r="M301" s="106"/>
      <c r="N301" s="106"/>
      <c r="O301" s="112"/>
      <c r="P301" s="112"/>
      <c r="Q301" s="97"/>
      <c r="R301" s="97"/>
      <c r="S301" s="71">
        <f>R301-Q301</f>
        <v>0</v>
      </c>
      <c r="T301" s="72">
        <v>0</v>
      </c>
      <c r="U301" s="72">
        <v>0</v>
      </c>
      <c r="V301" s="72">
        <v>0</v>
      </c>
      <c r="W301" s="72">
        <v>0</v>
      </c>
      <c r="Z301" s="74">
        <v>0</v>
      </c>
      <c r="AA301" s="73">
        <v>0</v>
      </c>
      <c r="AB301" s="72">
        <v>1</v>
      </c>
      <c r="AE301" s="96">
        <v>0</v>
      </c>
      <c r="AF301" s="102">
        <v>0</v>
      </c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4"/>
      <c r="BZ301" s="94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4"/>
      <c r="CM301" s="94"/>
      <c r="CN301" s="94"/>
      <c r="CO301" s="94"/>
      <c r="CP301" s="94"/>
      <c r="CQ301" s="94"/>
      <c r="CR301" s="94"/>
      <c r="CS301" s="94"/>
      <c r="CT301" s="94"/>
      <c r="CU301" s="94"/>
      <c r="CV301" s="94"/>
      <c r="CW301" s="94"/>
      <c r="CX301" s="94"/>
      <c r="CY301" s="94"/>
      <c r="CZ301" s="94"/>
      <c r="DA301" s="94"/>
      <c r="DB301" s="94"/>
      <c r="DC301" s="94"/>
      <c r="DD301" s="94"/>
      <c r="DE301" s="94"/>
      <c r="DF301" s="94"/>
      <c r="DG301" s="94"/>
      <c r="DH301" s="94"/>
      <c r="DI301" s="94"/>
      <c r="DJ301" s="94"/>
      <c r="DK301" s="94"/>
      <c r="DL301" s="94"/>
      <c r="DM301" s="94"/>
      <c r="DN301" s="94"/>
      <c r="DO301" s="94"/>
      <c r="DP301" s="94"/>
      <c r="DQ301" s="94"/>
    </row>
    <row r="302" spans="1:121" ht="15" customHeight="1" outlineLevel="4" x14ac:dyDescent="0.3">
      <c r="A302" s="100"/>
      <c r="B302" s="100"/>
      <c r="C302" s="99">
        <v>5</v>
      </c>
      <c r="D302" s="98" t="s">
        <v>1076</v>
      </c>
      <c r="I302" s="106" t="s">
        <v>1075</v>
      </c>
      <c r="J302" s="106"/>
      <c r="K302" s="106"/>
      <c r="L302" s="106"/>
      <c r="M302" s="106"/>
      <c r="N302" s="106"/>
      <c r="O302" s="112"/>
      <c r="P302" s="112"/>
      <c r="Q302" s="97"/>
      <c r="R302" s="97"/>
      <c r="S302" s="71">
        <f>R302-Q302</f>
        <v>0</v>
      </c>
      <c r="T302" s="72">
        <v>0</v>
      </c>
      <c r="U302" s="72">
        <v>0</v>
      </c>
      <c r="V302" s="72">
        <v>0</v>
      </c>
      <c r="W302" s="72">
        <v>0</v>
      </c>
      <c r="Z302" s="74">
        <v>0</v>
      </c>
      <c r="AA302" s="73">
        <v>0</v>
      </c>
      <c r="AB302" s="72">
        <v>1</v>
      </c>
      <c r="AC302" s="111"/>
      <c r="AE302" s="96">
        <v>0</v>
      </c>
      <c r="AF302" s="102">
        <v>0</v>
      </c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4"/>
      <c r="BZ302" s="94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4"/>
      <c r="CM302" s="94"/>
      <c r="CN302" s="94"/>
      <c r="CO302" s="94"/>
      <c r="CP302" s="94"/>
      <c r="CQ302" s="94"/>
      <c r="CR302" s="94"/>
      <c r="CS302" s="94"/>
      <c r="CT302" s="94"/>
      <c r="CU302" s="94"/>
      <c r="CV302" s="94"/>
      <c r="CW302" s="94"/>
      <c r="CX302" s="94"/>
      <c r="CY302" s="94"/>
      <c r="CZ302" s="94"/>
      <c r="DA302" s="94"/>
      <c r="DB302" s="94"/>
      <c r="DC302" s="94"/>
      <c r="DD302" s="94"/>
      <c r="DE302" s="94"/>
      <c r="DF302" s="94"/>
      <c r="DG302" s="94"/>
      <c r="DH302" s="94"/>
      <c r="DI302" s="94"/>
      <c r="DJ302" s="94"/>
      <c r="DK302" s="94"/>
      <c r="DL302" s="94"/>
      <c r="DM302" s="94"/>
      <c r="DN302" s="94"/>
      <c r="DO302" s="94"/>
      <c r="DP302" s="94"/>
      <c r="DQ302" s="94"/>
    </row>
    <row r="303" spans="1:121" ht="15" customHeight="1" x14ac:dyDescent="0.3">
      <c r="A303" s="100"/>
      <c r="B303" s="100" t="s">
        <v>298</v>
      </c>
      <c r="C303" s="99">
        <v>1</v>
      </c>
      <c r="D303" s="98" t="s">
        <v>1074</v>
      </c>
      <c r="E303" s="77" t="s">
        <v>1073</v>
      </c>
      <c r="T303" s="72">
        <v>0</v>
      </c>
      <c r="U303" s="72">
        <v>0</v>
      </c>
      <c r="V303" s="72">
        <v>0</v>
      </c>
      <c r="W303" s="72">
        <v>0</v>
      </c>
      <c r="Z303" s="74">
        <v>0</v>
      </c>
      <c r="AA303" s="73">
        <v>0</v>
      </c>
      <c r="AE303" s="96">
        <v>0</v>
      </c>
      <c r="AF303" s="102">
        <v>0</v>
      </c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  <c r="BY303" s="286" t="s">
        <v>1072</v>
      </c>
      <c r="BZ303" s="287"/>
      <c r="CA303" s="287"/>
      <c r="CB303" s="287"/>
      <c r="CC303" s="286" t="s">
        <v>1071</v>
      </c>
      <c r="CD303" s="287"/>
      <c r="CE303" s="287"/>
      <c r="CF303" s="287"/>
      <c r="CG303" s="286" t="s">
        <v>1070</v>
      </c>
      <c r="CH303" s="287"/>
      <c r="CI303" s="287"/>
      <c r="CJ303" s="287"/>
      <c r="CK303" s="286" t="s">
        <v>1069</v>
      </c>
      <c r="CL303" s="287"/>
      <c r="CM303" s="287"/>
      <c r="CN303" s="287"/>
      <c r="CO303" s="286" t="s">
        <v>1068</v>
      </c>
      <c r="CP303" s="287"/>
      <c r="CQ303" s="287"/>
      <c r="CR303" s="287"/>
      <c r="CS303" s="286" t="s">
        <v>1067</v>
      </c>
      <c r="CT303" s="287"/>
      <c r="CU303" s="287"/>
      <c r="CV303" s="287"/>
      <c r="CW303" s="286" t="s">
        <v>1066</v>
      </c>
      <c r="CX303" s="287"/>
      <c r="CY303" s="287"/>
      <c r="CZ303" s="287"/>
      <c r="DA303" s="286" t="s">
        <v>1065</v>
      </c>
      <c r="DB303" s="287"/>
      <c r="DC303" s="287"/>
      <c r="DD303" s="287"/>
      <c r="DE303" s="286" t="s">
        <v>1064</v>
      </c>
      <c r="DF303" s="287"/>
      <c r="DG303" s="287"/>
      <c r="DH303" s="287"/>
      <c r="DI303" s="110"/>
      <c r="DJ303" s="110"/>
      <c r="DK303" s="94"/>
      <c r="DL303" s="94"/>
      <c r="DM303" s="94"/>
      <c r="DN303" s="94"/>
      <c r="DO303" s="94"/>
      <c r="DP303" s="94"/>
      <c r="DQ303" s="94"/>
    </row>
    <row r="304" spans="1:121" ht="15" customHeight="1" x14ac:dyDescent="0.3">
      <c r="A304" s="100"/>
      <c r="B304" s="100" t="s">
        <v>298</v>
      </c>
      <c r="C304" s="99">
        <v>1</v>
      </c>
      <c r="D304" s="98" t="s">
        <v>1063</v>
      </c>
      <c r="E304" s="77" t="s">
        <v>1062</v>
      </c>
      <c r="O304" s="77" t="s">
        <v>1062</v>
      </c>
      <c r="Q304" s="97"/>
      <c r="R304" s="97"/>
      <c r="AE304" s="96"/>
      <c r="AF304" s="109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94"/>
      <c r="BZ304" s="94"/>
      <c r="CA304" s="94"/>
      <c r="CB304" s="94"/>
      <c r="CC304" s="94"/>
      <c r="CD304" s="94"/>
      <c r="CE304" s="94"/>
      <c r="CF304" s="94"/>
      <c r="CG304" s="94"/>
      <c r="CH304" s="94" t="str">
        <f>"" &amp; TEXT(AF304,"#0.00%") &amp; " "</f>
        <v xml:space="preserve">0.00% </v>
      </c>
      <c r="CI304" s="94"/>
      <c r="CJ304" s="94"/>
      <c r="CK304" s="94"/>
      <c r="CL304" s="94"/>
      <c r="CM304" s="94"/>
      <c r="CN304" s="94"/>
      <c r="CO304" s="94"/>
      <c r="CP304" s="94"/>
      <c r="CQ304" s="94"/>
      <c r="CR304" s="94"/>
      <c r="CS304" s="94"/>
      <c r="CT304" s="94"/>
      <c r="CU304" s="94"/>
      <c r="CV304" s="94"/>
      <c r="CW304" s="94"/>
      <c r="CX304" s="94"/>
      <c r="CY304" s="94"/>
      <c r="CZ304" s="94"/>
      <c r="DA304" s="94"/>
      <c r="DB304" s="94"/>
      <c r="DC304" s="94"/>
      <c r="DD304" s="94"/>
      <c r="DE304" s="94"/>
      <c r="DF304" s="94"/>
      <c r="DG304" s="94"/>
      <c r="DH304" s="94" t="str">
        <f>"" &amp; "Installation" &amp; " " &amp; IF(Q304="","",TEXT(Q304,"M/D-")) &amp; IF(R304="","",TEXT(R304,"M/D")) &amp; " "</f>
        <v xml:space="preserve">Installation  </v>
      </c>
      <c r="DI304" s="94"/>
      <c r="DJ304" s="94"/>
      <c r="DK304" s="94"/>
      <c r="DL304" s="94"/>
      <c r="DM304" s="94"/>
      <c r="DN304" s="94"/>
      <c r="DO304" s="94"/>
      <c r="DP304" s="94"/>
      <c r="DQ304" s="94"/>
    </row>
    <row r="305" spans="1:121" ht="15" customHeight="1" outlineLevel="1" x14ac:dyDescent="0.3">
      <c r="A305" s="100"/>
      <c r="B305" s="100" t="s">
        <v>298</v>
      </c>
      <c r="C305" s="99">
        <v>2</v>
      </c>
      <c r="D305" s="98" t="s">
        <v>1061</v>
      </c>
      <c r="F305" s="77" t="s">
        <v>502</v>
      </c>
      <c r="G305" s="94"/>
      <c r="O305" s="77" t="s">
        <v>502</v>
      </c>
      <c r="Q305" s="97"/>
      <c r="R305" s="97"/>
      <c r="AE305" s="96"/>
      <c r="AF305" s="109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 t="str">
        <f>"" &amp; TEXT(AF305,"#0.00%") &amp; " "</f>
        <v xml:space="preserve">0.00% </v>
      </c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 t="str">
        <f>"" &amp; "Cathode" &amp; " " &amp; IF(Q305="","",TEXT(Q305,"M/D-")) &amp; IF(R305="","",TEXT(R305,"M/D")) &amp; " "</f>
        <v xml:space="preserve">Cathode  </v>
      </c>
      <c r="DI305" s="94"/>
      <c r="DJ305" s="94"/>
      <c r="DK305" s="94"/>
      <c r="DL305" s="94"/>
      <c r="DM305" s="94"/>
      <c r="DN305" s="94"/>
      <c r="DO305" s="94"/>
      <c r="DP305" s="94"/>
      <c r="DQ305" s="94"/>
    </row>
    <row r="306" spans="1:121" ht="15" customHeight="1" outlineLevel="2" x14ac:dyDescent="0.3">
      <c r="A306" s="100"/>
      <c r="B306" s="100" t="s">
        <v>298</v>
      </c>
      <c r="C306" s="99">
        <v>3</v>
      </c>
      <c r="D306" s="98" t="s">
        <v>1060</v>
      </c>
      <c r="G306" s="77" t="s">
        <v>500</v>
      </c>
      <c r="H306" s="94"/>
      <c r="O306" s="77" t="s">
        <v>499</v>
      </c>
      <c r="P306" s="105"/>
      <c r="Q306" s="97"/>
      <c r="AE306" s="96"/>
      <c r="AF306" s="109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94"/>
      <c r="BZ306" s="94"/>
      <c r="CA306" s="94"/>
      <c r="CB306" s="94"/>
      <c r="CC306" s="94"/>
      <c r="CD306" s="94"/>
      <c r="CE306" s="94"/>
      <c r="CF306" s="94"/>
      <c r="CG306" s="94" t="str">
        <f>"      " &amp; TEXT(AF306,"#0.00%") &amp; " "</f>
        <v xml:space="preserve">      0.00% </v>
      </c>
      <c r="CH306" s="94"/>
      <c r="CI306" s="94"/>
      <c r="CJ306" s="94"/>
      <c r="CK306" s="94"/>
      <c r="CL306" s="94"/>
      <c r="CM306" s="94"/>
      <c r="CN306" s="94"/>
      <c r="CO306" s="94"/>
      <c r="CP306" s="94"/>
      <c r="CQ306" s="94"/>
      <c r="CR306" s="94"/>
      <c r="CS306" s="94" t="str">
        <f>"" &amp; "PPC Room" &amp; " " &amp; IF(Q306="","",TEXT(Q306,"M/D-")) &amp; IF(R306="","",TEXT(R306,"M/D")) &amp; " "</f>
        <v xml:space="preserve">PPC Room  </v>
      </c>
      <c r="CT306" s="94"/>
      <c r="CU306" s="94"/>
      <c r="CV306" s="94"/>
      <c r="CW306" s="94"/>
      <c r="CX306" s="94"/>
      <c r="CY306" s="94"/>
      <c r="CZ306" s="94"/>
      <c r="DA306" s="94"/>
      <c r="DB306" s="94"/>
      <c r="DC306" s="94"/>
      <c r="DD306" s="94"/>
      <c r="DE306" s="94"/>
      <c r="DF306" s="94"/>
      <c r="DG306" s="94"/>
      <c r="DH306" s="94"/>
      <c r="DI306" s="94"/>
      <c r="DJ306" s="94"/>
      <c r="DK306" s="94"/>
      <c r="DL306" s="94"/>
      <c r="DM306" s="94"/>
      <c r="DN306" s="94"/>
      <c r="DO306" s="94"/>
      <c r="DP306" s="94"/>
      <c r="DQ306" s="94"/>
    </row>
    <row r="307" spans="1:121" ht="15" customHeight="1" outlineLevel="3" x14ac:dyDescent="0.3">
      <c r="A307" s="100"/>
      <c r="B307" s="100"/>
      <c r="C307" s="99">
        <v>4</v>
      </c>
      <c r="D307" s="98" t="s">
        <v>1059</v>
      </c>
      <c r="H307" s="77" t="s">
        <v>534</v>
      </c>
      <c r="I307" s="94"/>
      <c r="O307" s="77" t="s">
        <v>708</v>
      </c>
      <c r="P307" s="105"/>
      <c r="Q307" s="97"/>
      <c r="R307" s="97"/>
      <c r="AB307" s="72">
        <v>1</v>
      </c>
      <c r="AE307" s="96"/>
      <c r="AF307" s="108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94"/>
      <c r="BZ307" s="94"/>
      <c r="CA307" s="94"/>
      <c r="CB307" s="94"/>
      <c r="CC307" s="94"/>
      <c r="CD307" s="94"/>
      <c r="CE307" s="94"/>
      <c r="CF307" s="94"/>
      <c r="CG307" s="94" t="str">
        <f>"      " &amp; TEXT(AF307,"#0.00%") &amp; " " &amp; "Line Marking" &amp; " " &amp; IF(Q307="","",TEXT(Q307,"M/D-")) &amp; IF(R307="","",TEXT(R307,"M/D")) &amp; " "</f>
        <v xml:space="preserve">      0.00% Line Marking  </v>
      </c>
      <c r="CH307" s="94"/>
      <c r="CI307" s="94"/>
      <c r="CJ307" s="94"/>
      <c r="CK307" s="94"/>
      <c r="CL307" s="94"/>
      <c r="CM307" s="94"/>
      <c r="CN307" s="94"/>
      <c r="CO307" s="94"/>
      <c r="CP307" s="94"/>
      <c r="CQ307" s="94"/>
      <c r="CR307" s="94"/>
      <c r="CS307" s="94"/>
      <c r="CT307" s="94"/>
      <c r="CU307" s="94"/>
      <c r="CV307" s="94"/>
      <c r="CW307" s="94"/>
      <c r="CX307" s="94"/>
      <c r="CY307" s="94"/>
      <c r="CZ307" s="94"/>
      <c r="DA307" s="94"/>
      <c r="DB307" s="94"/>
      <c r="DC307" s="94"/>
      <c r="DD307" s="94"/>
      <c r="DE307" s="94"/>
      <c r="DF307" s="94"/>
      <c r="DG307" s="94"/>
      <c r="DH307" s="94"/>
      <c r="DI307" s="94"/>
      <c r="DJ307" s="94"/>
      <c r="DK307" s="94"/>
      <c r="DL307" s="94"/>
      <c r="DM307" s="94"/>
      <c r="DN307" s="94"/>
      <c r="DO307" s="94"/>
      <c r="DP307" s="94"/>
      <c r="DQ307" s="94"/>
    </row>
    <row r="308" spans="1:121" ht="15" customHeight="1" outlineLevel="3" x14ac:dyDescent="0.3">
      <c r="A308" s="100"/>
      <c r="B308" s="100"/>
      <c r="C308" s="99">
        <v>4</v>
      </c>
      <c r="D308" s="98" t="s">
        <v>1058</v>
      </c>
      <c r="H308" s="77" t="s">
        <v>712</v>
      </c>
      <c r="I308" s="94"/>
      <c r="O308" s="77" t="s">
        <v>708</v>
      </c>
      <c r="P308" s="105"/>
      <c r="Q308" s="97"/>
      <c r="R308" s="97"/>
      <c r="AB308" s="72">
        <v>1</v>
      </c>
      <c r="AE308" s="96"/>
      <c r="AF308" s="108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94"/>
      <c r="BZ308" s="94"/>
      <c r="CA308" s="94"/>
      <c r="CB308" s="94"/>
      <c r="CC308" s="94"/>
      <c r="CD308" s="94"/>
      <c r="CE308" s="94"/>
      <c r="CF308" s="94"/>
      <c r="CG308" s="94"/>
      <c r="CH308" s="94" t="str">
        <f>"" &amp; TEXT(AF308,"#0.00%") &amp; " " &amp; "Check Floor Level" &amp; " " &amp; IF(Q308="","",TEXT(Q308,"M/D-")) &amp; IF(R308="","",TEXT(R308,"M/D")) &amp; " "</f>
        <v xml:space="preserve">0.00% Check Floor Level  </v>
      </c>
      <c r="CI308" s="94"/>
      <c r="CJ308" s="94"/>
      <c r="CK308" s="94"/>
      <c r="CL308" s="94"/>
      <c r="CM308" s="94"/>
      <c r="CN308" s="94"/>
      <c r="CO308" s="94"/>
      <c r="CP308" s="94"/>
      <c r="CQ308" s="94"/>
      <c r="CR308" s="94"/>
      <c r="CS308" s="94"/>
      <c r="CT308" s="94"/>
      <c r="CU308" s="94"/>
      <c r="CV308" s="94"/>
      <c r="CW308" s="94"/>
      <c r="CX308" s="94"/>
      <c r="CY308" s="94"/>
      <c r="CZ308" s="94"/>
      <c r="DA308" s="94"/>
      <c r="DB308" s="94"/>
      <c r="DC308" s="94"/>
      <c r="DD308" s="94"/>
      <c r="DE308" s="94"/>
      <c r="DF308" s="94"/>
      <c r="DG308" s="94"/>
      <c r="DH308" s="94"/>
      <c r="DI308" s="94"/>
      <c r="DJ308" s="94"/>
      <c r="DK308" s="94"/>
      <c r="DL308" s="94"/>
      <c r="DM308" s="94"/>
      <c r="DN308" s="94"/>
      <c r="DO308" s="94"/>
      <c r="DP308" s="94"/>
      <c r="DQ308" s="94"/>
    </row>
    <row r="309" spans="1:121" ht="15" customHeight="1" outlineLevel="3" x14ac:dyDescent="0.3">
      <c r="A309" s="100"/>
      <c r="B309" s="100"/>
      <c r="C309" s="99">
        <v>4</v>
      </c>
      <c r="D309" s="98" t="s">
        <v>1057</v>
      </c>
      <c r="H309" s="77" t="s">
        <v>532</v>
      </c>
      <c r="I309" s="94"/>
      <c r="O309" s="77" t="s">
        <v>708</v>
      </c>
      <c r="P309" s="105"/>
      <c r="Q309" s="97"/>
      <c r="R309" s="97"/>
      <c r="AB309" s="72">
        <v>1</v>
      </c>
      <c r="AE309" s="96"/>
      <c r="AF309" s="108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94"/>
      <c r="BZ309" s="94"/>
      <c r="CA309" s="94"/>
      <c r="CB309" s="94"/>
      <c r="CC309" s="94"/>
      <c r="CD309" s="94"/>
      <c r="CE309" s="94"/>
      <c r="CF309" s="94"/>
      <c r="CG309" s="94"/>
      <c r="CH309" s="94" t="str">
        <f>" " &amp; TEXT(AF309,"#0.00%") &amp; " " &amp; "Check Line Marking" &amp; " " &amp; IF(Q309="","",TEXT(Q309,"M/D-")) &amp; IF(R309="","",TEXT(R309,"M/D")) &amp; " "</f>
        <v xml:space="preserve"> 0.00% Check Line Marking  </v>
      </c>
      <c r="CI309" s="94"/>
      <c r="CJ309" s="94"/>
      <c r="CK309" s="94"/>
      <c r="CL309" s="94"/>
      <c r="CM309" s="94"/>
      <c r="CN309" s="94"/>
      <c r="CO309" s="94"/>
      <c r="CP309" s="94"/>
      <c r="CQ309" s="94"/>
      <c r="CR309" s="94"/>
      <c r="CS309" s="94"/>
      <c r="CT309" s="94"/>
      <c r="CU309" s="94"/>
      <c r="CV309" s="94"/>
      <c r="CW309" s="94"/>
      <c r="CX309" s="94"/>
      <c r="CY309" s="94"/>
      <c r="CZ309" s="94"/>
      <c r="DA309" s="94"/>
      <c r="DB309" s="94"/>
      <c r="DC309" s="94"/>
      <c r="DD309" s="94"/>
      <c r="DE309" s="94"/>
      <c r="DF309" s="94"/>
      <c r="DG309" s="94"/>
      <c r="DH309" s="94"/>
      <c r="DI309" s="94"/>
      <c r="DJ309" s="94"/>
      <c r="DK309" s="94"/>
      <c r="DL309" s="94"/>
      <c r="DM309" s="94"/>
      <c r="DN309" s="94"/>
      <c r="DO309" s="94"/>
      <c r="DP309" s="94"/>
      <c r="DQ309" s="94"/>
    </row>
    <row r="310" spans="1:121" ht="15" customHeight="1" outlineLevel="3" x14ac:dyDescent="0.3">
      <c r="A310" s="100"/>
      <c r="B310" s="100"/>
      <c r="C310" s="99">
        <v>4</v>
      </c>
      <c r="D310" s="98" t="s">
        <v>1056</v>
      </c>
      <c r="H310" s="106" t="s">
        <v>589</v>
      </c>
      <c r="I310" s="107"/>
      <c r="J310" s="106"/>
      <c r="O310" s="77" t="s">
        <v>708</v>
      </c>
      <c r="P310" s="105"/>
      <c r="Q310" s="97"/>
      <c r="R310" s="97"/>
      <c r="AB310" s="72">
        <v>1</v>
      </c>
      <c r="AE310" s="96"/>
      <c r="AF310" s="108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94"/>
      <c r="BZ310" s="94"/>
      <c r="CA310" s="94"/>
      <c r="CB310" s="94"/>
      <c r="CC310" s="94"/>
      <c r="CD310" s="94"/>
      <c r="CE310" s="94"/>
      <c r="CF310" s="94"/>
      <c r="CG310" s="94"/>
      <c r="CH310" s="94" t="str">
        <f>"   " &amp; TEXT(AF310,"#0.00%") &amp; " " &amp; "Drilling Anchor Hole" &amp; " " &amp; IF(Q310="","",TEXT(Q310,"M/D-")) &amp; IF(R310="","",TEXT(R310,"M/D")) &amp; " "</f>
        <v xml:space="preserve">   0.00% Drilling Anchor Hole  </v>
      </c>
      <c r="CI310" s="94"/>
      <c r="CJ310" s="94"/>
      <c r="CK310" s="94"/>
      <c r="CL310" s="94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  <c r="CW310" s="94"/>
      <c r="CX310" s="94"/>
      <c r="CY310" s="94"/>
      <c r="CZ310" s="94"/>
      <c r="DA310" s="94"/>
      <c r="DB310" s="94"/>
      <c r="DC310" s="94"/>
      <c r="DD310" s="94"/>
      <c r="DE310" s="94"/>
      <c r="DF310" s="94"/>
      <c r="DG310" s="94"/>
      <c r="DH310" s="94"/>
      <c r="DI310" s="94"/>
      <c r="DJ310" s="94"/>
      <c r="DK310" s="94"/>
      <c r="DL310" s="94"/>
      <c r="DM310" s="94"/>
      <c r="DN310" s="94"/>
      <c r="DO310" s="94"/>
      <c r="DP310" s="94"/>
      <c r="DQ310" s="94"/>
    </row>
    <row r="311" spans="1:121" ht="15" customHeight="1" outlineLevel="3" x14ac:dyDescent="0.3">
      <c r="A311" s="100"/>
      <c r="B311" s="100"/>
      <c r="C311" s="99">
        <v>4</v>
      </c>
      <c r="D311" s="98" t="s">
        <v>1055</v>
      </c>
      <c r="H311" s="77" t="s">
        <v>530</v>
      </c>
      <c r="I311" s="94"/>
      <c r="O311" s="77" t="s">
        <v>708</v>
      </c>
      <c r="P311" s="105"/>
      <c r="Q311" s="97"/>
      <c r="R311" s="97"/>
      <c r="AB311" s="72">
        <v>1</v>
      </c>
      <c r="AE311" s="96"/>
      <c r="AF311" s="108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94"/>
      <c r="BZ311" s="94"/>
      <c r="CA311" s="94"/>
      <c r="CB311" s="94"/>
      <c r="CC311" s="94"/>
      <c r="CD311" s="94"/>
      <c r="CE311" s="94"/>
      <c r="CF311" s="94"/>
      <c r="CG311" s="94"/>
      <c r="CH311" s="94" t="str">
        <f>"      " &amp; TEXT(AF311,"#0.00%") &amp; " "</f>
        <v xml:space="preserve">      0.00% </v>
      </c>
      <c r="CI311" s="94"/>
      <c r="CJ311" s="94"/>
      <c r="CK311" s="94"/>
      <c r="CL311" s="94"/>
      <c r="CM311" s="94"/>
      <c r="CN311" s="94"/>
      <c r="CO311" s="94"/>
      <c r="CP311" s="94"/>
      <c r="CQ311" s="94"/>
      <c r="CR311" s="94"/>
      <c r="CS311" s="94" t="str">
        <f>"" &amp; "Move In" &amp; " " &amp; IF(Q311="","",TEXT(Q311,"M/D-")) &amp; IF(R311="","",TEXT(R311,"M/D")) &amp; " "</f>
        <v xml:space="preserve">Move In  </v>
      </c>
      <c r="CT311" s="94"/>
      <c r="CU311" s="94"/>
      <c r="CV311" s="94"/>
      <c r="CW311" s="94"/>
      <c r="CX311" s="94"/>
      <c r="CY311" s="94"/>
      <c r="CZ311" s="94"/>
      <c r="DA311" s="94"/>
      <c r="DB311" s="94"/>
      <c r="DC311" s="94"/>
      <c r="DD311" s="94"/>
      <c r="DE311" s="94"/>
      <c r="DF311" s="94"/>
      <c r="DG311" s="94"/>
      <c r="DH311" s="94"/>
      <c r="DI311" s="94"/>
      <c r="DJ311" s="94"/>
      <c r="DK311" s="94"/>
      <c r="DL311" s="94"/>
      <c r="DM311" s="94"/>
      <c r="DN311" s="94"/>
      <c r="DO311" s="94"/>
      <c r="DP311" s="94"/>
      <c r="DQ311" s="94"/>
    </row>
    <row r="312" spans="1:121" ht="15" customHeight="1" outlineLevel="3" x14ac:dyDescent="0.3">
      <c r="A312" s="100"/>
      <c r="B312" s="100"/>
      <c r="C312" s="99">
        <v>4</v>
      </c>
      <c r="D312" s="98" t="s">
        <v>1054</v>
      </c>
      <c r="H312" s="77" t="s">
        <v>706</v>
      </c>
      <c r="I312" s="94"/>
      <c r="O312" s="77" t="s">
        <v>700</v>
      </c>
      <c r="P312" s="105"/>
      <c r="Q312" s="97"/>
      <c r="R312" s="97"/>
      <c r="AB312" s="72">
        <v>1</v>
      </c>
      <c r="AE312" s="96"/>
      <c r="AF312" s="108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94"/>
      <c r="BZ312" s="94"/>
      <c r="CA312" s="94"/>
      <c r="CB312" s="94"/>
      <c r="CC312" s="94"/>
      <c r="CD312" s="94"/>
      <c r="CE312" s="94"/>
      <c r="CF312" s="94"/>
      <c r="CG312" s="94"/>
      <c r="CH312" s="94" t="str">
        <f>"    " &amp; TEXT(AF312,"#0.00%") &amp; " " &amp; "Install Anchor &amp; Nut" &amp; " " &amp; IF(Q312="","",TEXT(Q312,"M/D-")) &amp; IF(R312="","",TEXT(R312,"M/D")) &amp; " "</f>
        <v xml:space="preserve">    0.00% Install Anchor &amp; Nut  </v>
      </c>
      <c r="CI312" s="94"/>
      <c r="CJ312" s="94"/>
      <c r="CK312" s="94"/>
      <c r="CL312" s="94"/>
      <c r="CM312" s="94"/>
      <c r="CN312" s="94"/>
      <c r="CO312" s="94"/>
      <c r="CP312" s="94"/>
      <c r="CQ312" s="94"/>
      <c r="CR312" s="94"/>
      <c r="CS312" s="94"/>
      <c r="CT312" s="94"/>
      <c r="CU312" s="94"/>
      <c r="CV312" s="94"/>
      <c r="CW312" s="94"/>
      <c r="CX312" s="94"/>
      <c r="CY312" s="94"/>
      <c r="CZ312" s="94"/>
      <c r="DA312" s="94"/>
      <c r="DB312" s="94"/>
      <c r="DC312" s="94"/>
      <c r="DD312" s="94"/>
      <c r="DE312" s="94"/>
      <c r="DF312" s="94"/>
      <c r="DG312" s="94"/>
      <c r="DH312" s="94"/>
      <c r="DI312" s="94"/>
      <c r="DJ312" s="94"/>
      <c r="DK312" s="94"/>
      <c r="DL312" s="94"/>
      <c r="DM312" s="94"/>
      <c r="DN312" s="94"/>
      <c r="DO312" s="94"/>
      <c r="DP312" s="94"/>
      <c r="DQ312" s="94"/>
    </row>
    <row r="313" spans="1:121" ht="15" customHeight="1" outlineLevel="3" x14ac:dyDescent="0.3">
      <c r="A313" s="100"/>
      <c r="B313" s="100"/>
      <c r="C313" s="99">
        <v>4</v>
      </c>
      <c r="D313" s="98" t="s">
        <v>1053</v>
      </c>
      <c r="H313" s="77" t="s">
        <v>704</v>
      </c>
      <c r="I313" s="94"/>
      <c r="O313" s="77" t="s">
        <v>700</v>
      </c>
      <c r="P313" s="105"/>
      <c r="Q313" s="97"/>
      <c r="R313" s="97"/>
      <c r="AB313" s="72">
        <v>1</v>
      </c>
      <c r="AE313" s="96"/>
      <c r="AF313" s="108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94"/>
      <c r="BZ313" s="94"/>
      <c r="CA313" s="94"/>
      <c r="CB313" s="94"/>
      <c r="CC313" s="94"/>
      <c r="CD313" s="94"/>
      <c r="CE313" s="94"/>
      <c r="CF313" s="94"/>
      <c r="CG313" s="94"/>
      <c r="CH313" s="94" t="str">
        <f>"      " &amp; TEXT(AF313,"#0.00%") &amp; " " &amp; "Install Deck Post&amp;Girder&amp;Bracing" &amp; " " &amp; IF(Q313="","",TEXT(Q313,"M/D-")) &amp; IF(R313="","",TEXT(R313,"M/D")) &amp; " "</f>
        <v xml:space="preserve">      0.00% Install Deck Post&amp;Girder&amp;Bracing  </v>
      </c>
      <c r="CI313" s="94"/>
      <c r="CJ313" s="94"/>
      <c r="CK313" s="94"/>
      <c r="CL313" s="94"/>
      <c r="CM313" s="94"/>
      <c r="CN313" s="94"/>
      <c r="CO313" s="94"/>
      <c r="CP313" s="94"/>
      <c r="CQ313" s="94"/>
      <c r="CR313" s="94"/>
      <c r="CS313" s="94"/>
      <c r="CT313" s="94"/>
      <c r="CU313" s="94"/>
      <c r="CV313" s="94"/>
      <c r="CW313" s="94"/>
      <c r="CX313" s="94"/>
      <c r="CY313" s="94"/>
      <c r="CZ313" s="94"/>
      <c r="DA313" s="94"/>
      <c r="DB313" s="94"/>
      <c r="DC313" s="94"/>
      <c r="DD313" s="94"/>
      <c r="DE313" s="94"/>
      <c r="DF313" s="94"/>
      <c r="DG313" s="94"/>
      <c r="DH313" s="94"/>
      <c r="DI313" s="94"/>
      <c r="DJ313" s="94"/>
      <c r="DK313" s="94"/>
      <c r="DL313" s="94"/>
      <c r="DM313" s="94"/>
      <c r="DN313" s="94"/>
      <c r="DO313" s="94"/>
      <c r="DP313" s="94"/>
      <c r="DQ313" s="94"/>
    </row>
    <row r="314" spans="1:121" ht="15" customHeight="1" outlineLevel="3" x14ac:dyDescent="0.3">
      <c r="A314" s="100"/>
      <c r="B314" s="100"/>
      <c r="C314" s="99">
        <v>4</v>
      </c>
      <c r="D314" s="98" t="s">
        <v>1052</v>
      </c>
      <c r="H314" s="77" t="s">
        <v>647</v>
      </c>
      <c r="I314" s="94"/>
      <c r="O314" s="77" t="s">
        <v>700</v>
      </c>
      <c r="P314" s="105"/>
      <c r="Q314" s="97"/>
      <c r="R314" s="97"/>
      <c r="AB314" s="72">
        <v>1</v>
      </c>
      <c r="AE314" s="96"/>
      <c r="AF314" s="108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94"/>
      <c r="BZ314" s="94"/>
      <c r="CA314" s="94"/>
      <c r="CB314" s="94"/>
      <c r="CC314" s="94"/>
      <c r="CD314" s="94"/>
      <c r="CE314" s="94"/>
      <c r="CF314" s="94"/>
      <c r="CG314" s="94"/>
      <c r="CH314" s="94"/>
      <c r="CI314" s="94" t="str">
        <f>"   " &amp; TEXT(AF314,"#0.00%") &amp; " " &amp; "Install Tower Stair" &amp; " " &amp; IF(Q314="","",TEXT(Q314,"M/D-")) &amp; IF(R314="","",TEXT(R314,"M/D")) &amp; " "</f>
        <v xml:space="preserve">   0.00% Install Tower Stair  </v>
      </c>
      <c r="CJ314" s="94"/>
      <c r="CK314" s="94"/>
      <c r="CL314" s="94"/>
      <c r="CM314" s="94"/>
      <c r="CN314" s="94"/>
      <c r="CO314" s="94"/>
      <c r="CP314" s="94"/>
      <c r="CQ314" s="94"/>
      <c r="CR314" s="94"/>
      <c r="CS314" s="94"/>
      <c r="CT314" s="94"/>
      <c r="CU314" s="94"/>
      <c r="CV314" s="94"/>
      <c r="CW314" s="94"/>
      <c r="CX314" s="94"/>
      <c r="CY314" s="94"/>
      <c r="CZ314" s="94"/>
      <c r="DA314" s="94"/>
      <c r="DB314" s="94"/>
      <c r="DC314" s="94"/>
      <c r="DD314" s="94"/>
      <c r="DE314" s="94"/>
      <c r="DF314" s="94"/>
      <c r="DG314" s="94"/>
      <c r="DH314" s="94"/>
      <c r="DI314" s="94"/>
      <c r="DJ314" s="94"/>
      <c r="DK314" s="94"/>
      <c r="DL314" s="94"/>
      <c r="DM314" s="94"/>
      <c r="DN314" s="94"/>
      <c r="DO314" s="94"/>
      <c r="DP314" s="94"/>
      <c r="DQ314" s="94"/>
    </row>
    <row r="315" spans="1:121" ht="15" customHeight="1" outlineLevel="3" x14ac:dyDescent="0.3">
      <c r="A315" s="100"/>
      <c r="B315" s="100"/>
      <c r="C315" s="99">
        <v>4</v>
      </c>
      <c r="D315" s="98" t="s">
        <v>1051</v>
      </c>
      <c r="H315" s="77" t="s">
        <v>702</v>
      </c>
      <c r="I315" s="94"/>
      <c r="O315" s="77" t="s">
        <v>700</v>
      </c>
      <c r="P315" s="105"/>
      <c r="Q315" s="97"/>
      <c r="R315" s="97"/>
      <c r="AB315" s="72">
        <v>1</v>
      </c>
      <c r="AE315" s="96"/>
      <c r="AF315" s="108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94"/>
      <c r="BZ315" s="94"/>
      <c r="CA315" s="94"/>
      <c r="CB315" s="94"/>
      <c r="CC315" s="94"/>
      <c r="CD315" s="94"/>
      <c r="CE315" s="94"/>
      <c r="CF315" s="94"/>
      <c r="CG315" s="94"/>
      <c r="CH315" s="94"/>
      <c r="CI315" s="94" t="str">
        <f>"     " &amp; TEXT(AF315,"#0.00%") &amp; " " &amp; "Check Vertical(Deck Post&amp;Tower Stair)" &amp; " " &amp; IF(Q315="","",TEXT(Q315,"M/D-")) &amp; IF(R315="","",TEXT(R315,"M/D")) &amp; " "</f>
        <v xml:space="preserve">     0.00% Check Vertical(Deck Post&amp;Tower Stair)  </v>
      </c>
      <c r="CJ315" s="94"/>
      <c r="CK315" s="94"/>
      <c r="CL315" s="94"/>
      <c r="CM315" s="94"/>
      <c r="CN315" s="94"/>
      <c r="CO315" s="94"/>
      <c r="CP315" s="94"/>
      <c r="CQ315" s="94"/>
      <c r="CR315" s="94"/>
      <c r="CS315" s="94"/>
      <c r="CT315" s="94"/>
      <c r="CU315" s="94"/>
      <c r="CV315" s="94"/>
      <c r="CW315" s="94"/>
      <c r="CX315" s="94"/>
      <c r="CY315" s="94"/>
      <c r="CZ315" s="94"/>
      <c r="DA315" s="94"/>
      <c r="DB315" s="94"/>
      <c r="DC315" s="94"/>
      <c r="DD315" s="94"/>
      <c r="DE315" s="94"/>
      <c r="DF315" s="94"/>
      <c r="DG315" s="94"/>
      <c r="DH315" s="94"/>
      <c r="DI315" s="94"/>
      <c r="DJ315" s="94"/>
      <c r="DK315" s="94"/>
      <c r="DL315" s="94"/>
      <c r="DM315" s="94"/>
      <c r="DN315" s="94"/>
      <c r="DO315" s="94"/>
      <c r="DP315" s="94"/>
      <c r="DQ315" s="94"/>
    </row>
    <row r="316" spans="1:121" ht="15" customHeight="1" outlineLevel="3" x14ac:dyDescent="0.3">
      <c r="A316" s="100"/>
      <c r="B316" s="100"/>
      <c r="C316" s="99">
        <v>4</v>
      </c>
      <c r="D316" s="98" t="s">
        <v>1050</v>
      </c>
      <c r="H316" s="77" t="s">
        <v>546</v>
      </c>
      <c r="I316" s="94"/>
      <c r="O316" s="77" t="s">
        <v>700</v>
      </c>
      <c r="P316" s="105"/>
      <c r="Q316" s="97"/>
      <c r="R316" s="97"/>
      <c r="AB316" s="72">
        <v>1</v>
      </c>
      <c r="AE316" s="96"/>
      <c r="AF316" s="108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94"/>
      <c r="BZ316" s="94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 t="str">
        <f>"" &amp; TEXT(AF316,"#0.00%") &amp; " " &amp; "Install Deck Frame&amp;Hand Rail" &amp; " " &amp; IF(Q316="","",TEXT(Q316,"M/D-")) &amp; IF(R316="","",TEXT(R316,"M/D")) &amp; " "</f>
        <v xml:space="preserve">0.00% Install Deck Frame&amp;Hand Rail  </v>
      </c>
      <c r="CK316" s="94"/>
      <c r="CL316" s="94"/>
      <c r="CM316" s="94"/>
      <c r="CN316" s="94"/>
      <c r="CO316" s="94"/>
      <c r="CP316" s="94"/>
      <c r="CQ316" s="94"/>
      <c r="CR316" s="94"/>
      <c r="CS316" s="94"/>
      <c r="CT316" s="94"/>
      <c r="CU316" s="94"/>
      <c r="CV316" s="94"/>
      <c r="CW316" s="94"/>
      <c r="CX316" s="94"/>
      <c r="CY316" s="94"/>
      <c r="CZ316" s="94"/>
      <c r="DA316" s="94"/>
      <c r="DB316" s="94"/>
      <c r="DC316" s="94"/>
      <c r="DD316" s="94"/>
      <c r="DE316" s="94"/>
      <c r="DF316" s="94"/>
      <c r="DG316" s="94"/>
      <c r="DH316" s="94"/>
      <c r="DI316" s="94"/>
      <c r="DJ316" s="94"/>
      <c r="DK316" s="94"/>
      <c r="DL316" s="94"/>
      <c r="DM316" s="94"/>
      <c r="DN316" s="94"/>
      <c r="DO316" s="94"/>
      <c r="DP316" s="94"/>
      <c r="DQ316" s="94"/>
    </row>
    <row r="317" spans="1:121" ht="15" customHeight="1" outlineLevel="3" x14ac:dyDescent="0.3">
      <c r="A317" s="100"/>
      <c r="B317" s="100"/>
      <c r="C317" s="99">
        <v>4</v>
      </c>
      <c r="D317" s="98" t="s">
        <v>1049</v>
      </c>
      <c r="H317" s="106" t="s">
        <v>528</v>
      </c>
      <c r="I317" s="107"/>
      <c r="J317" s="106"/>
      <c r="O317" s="77" t="s">
        <v>518</v>
      </c>
      <c r="P317" s="105"/>
      <c r="Q317" s="97"/>
      <c r="R317" s="97"/>
      <c r="AB317" s="72">
        <v>1</v>
      </c>
      <c r="AE317" s="96"/>
      <c r="AF317" s="108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 t="str">
        <f>" " &amp; TEXT(AF317,"#0.00%") &amp; " " &amp; "Check Track Number" &amp; " " &amp; IF(Q317="","",TEXT(Q317,"M/D-")) &amp; IF(R317="","",TEXT(R317,"M/D")) &amp; " "</f>
        <v xml:space="preserve"> 0.00% Check Track Number  </v>
      </c>
      <c r="CK317" s="94"/>
      <c r="CL317" s="94"/>
      <c r="CM317" s="94"/>
      <c r="CN317" s="94"/>
      <c r="CO317" s="94"/>
      <c r="CP317" s="94"/>
      <c r="CQ317" s="94"/>
      <c r="CR317" s="94"/>
      <c r="CS317" s="94"/>
      <c r="CT317" s="94"/>
      <c r="CU317" s="94"/>
      <c r="CV317" s="94"/>
      <c r="CW317" s="94"/>
      <c r="CX317" s="94"/>
      <c r="CY317" s="94"/>
      <c r="CZ317" s="94"/>
      <c r="DA317" s="94"/>
      <c r="DB317" s="94"/>
      <c r="DC317" s="94"/>
      <c r="DD317" s="94"/>
      <c r="DE317" s="94"/>
      <c r="DF317" s="94"/>
      <c r="DG317" s="94"/>
      <c r="DH317" s="94"/>
      <c r="DI317" s="94"/>
      <c r="DJ317" s="94"/>
      <c r="DK317" s="94"/>
      <c r="DL317" s="94"/>
      <c r="DM317" s="94"/>
      <c r="DN317" s="94"/>
      <c r="DO317" s="94"/>
      <c r="DP317" s="94"/>
      <c r="DQ317" s="94"/>
    </row>
    <row r="318" spans="1:121" ht="15" customHeight="1" outlineLevel="3" x14ac:dyDescent="0.3">
      <c r="A318" s="100"/>
      <c r="B318" s="100"/>
      <c r="C318" s="99">
        <v>4</v>
      </c>
      <c r="D318" s="98" t="s">
        <v>1048</v>
      </c>
      <c r="H318" s="106" t="s">
        <v>544</v>
      </c>
      <c r="I318" s="107"/>
      <c r="J318" s="106"/>
      <c r="O318" s="77" t="s">
        <v>518</v>
      </c>
      <c r="P318" s="105"/>
      <c r="Q318" s="97"/>
      <c r="R318" s="97"/>
      <c r="AB318" s="72">
        <v>1</v>
      </c>
      <c r="AE318" s="96"/>
      <c r="AF318" s="108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 t="str">
        <f>" " &amp; TEXT(AF318,"#0.00%") &amp; " " &amp; "Install Lifter" &amp; " " &amp; IF(Q318="","",TEXT(Q318,"M/D-")) &amp; IF(R318="","",TEXT(R318,"M/D")) &amp; " "</f>
        <v xml:space="preserve"> 0.00% Install Lifter  </v>
      </c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</row>
    <row r="319" spans="1:121" ht="15" customHeight="1" outlineLevel="3" x14ac:dyDescent="0.3">
      <c r="A319" s="100"/>
      <c r="B319" s="100"/>
      <c r="C319" s="99">
        <v>4</v>
      </c>
      <c r="D319" s="98" t="s">
        <v>1047</v>
      </c>
      <c r="H319" s="106" t="s">
        <v>998</v>
      </c>
      <c r="I319" s="107"/>
      <c r="J319" s="106"/>
      <c r="O319" s="77" t="s">
        <v>518</v>
      </c>
      <c r="P319" s="105"/>
      <c r="Q319" s="97"/>
      <c r="R319" s="97"/>
      <c r="AB319" s="72">
        <v>1</v>
      </c>
      <c r="AE319" s="96"/>
      <c r="AF319" s="108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 t="str">
        <f>"   " &amp; TEXT(AF319,"#0.00%") &amp; " " &amp; "Check Vertical" &amp; " " &amp; IF(Q319="","",TEXT(Q319,"M/D-")) &amp; IF(R319="","",TEXT(R319,"M/D")) &amp; " "</f>
        <v xml:space="preserve">   0.00% Check Vertical  </v>
      </c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</row>
    <row r="320" spans="1:121" ht="15" customHeight="1" outlineLevel="3" x14ac:dyDescent="0.3">
      <c r="A320" s="100"/>
      <c r="B320" s="100"/>
      <c r="C320" s="99">
        <v>4</v>
      </c>
      <c r="D320" s="98" t="s">
        <v>1046</v>
      </c>
      <c r="H320" s="106" t="s">
        <v>996</v>
      </c>
      <c r="I320" s="107"/>
      <c r="J320" s="106"/>
      <c r="O320" s="77" t="s">
        <v>518</v>
      </c>
      <c r="P320" s="105"/>
      <c r="Q320" s="97"/>
      <c r="R320" s="97"/>
      <c r="AB320" s="72">
        <v>1</v>
      </c>
      <c r="AE320" s="96"/>
      <c r="AF320" s="108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 t="str">
        <f>"     " &amp; TEXT(AF320,"#0.00%") &amp; " " &amp; "Setting Lifter Driving Accessories" &amp; " " &amp; IF(Q320="","",TEXT(Q320,"M/D-")) &amp; IF(R320="","",TEXT(R320,"M/D")) &amp; " "</f>
        <v xml:space="preserve">     0.00% Setting Lifter Driving Accessories  </v>
      </c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</row>
    <row r="321" spans="1:121" ht="15" customHeight="1" outlineLevel="3" x14ac:dyDescent="0.3">
      <c r="A321" s="100"/>
      <c r="B321" s="100"/>
      <c r="C321" s="99">
        <v>4</v>
      </c>
      <c r="D321" s="98" t="s">
        <v>1045</v>
      </c>
      <c r="H321" s="106" t="s">
        <v>550</v>
      </c>
      <c r="I321" s="107"/>
      <c r="J321" s="106"/>
      <c r="O321" s="77" t="s">
        <v>518</v>
      </c>
      <c r="P321" s="105"/>
      <c r="Q321" s="97"/>
      <c r="R321" s="97"/>
      <c r="AB321" s="72">
        <v>1</v>
      </c>
      <c r="AE321" s="96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 t="str">
        <f>"" &amp; TEXT(AF321,"#0.00%") &amp; " " &amp; "Install Anchor" &amp; " " &amp; IF(Q321="","",TEXT(Q321,"M/D-")) &amp; IF(R321="","",TEXT(R321,"M/D")) &amp; " "</f>
        <v xml:space="preserve">0.00% Install Anchor  </v>
      </c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</row>
    <row r="322" spans="1:121" ht="15" customHeight="1" outlineLevel="3" x14ac:dyDescent="0.3">
      <c r="A322" s="100"/>
      <c r="B322" s="100"/>
      <c r="C322" s="99">
        <v>4</v>
      </c>
      <c r="D322" s="98" t="s">
        <v>1044</v>
      </c>
      <c r="H322" s="106" t="s">
        <v>706</v>
      </c>
      <c r="I322" s="107"/>
      <c r="J322" s="106"/>
      <c r="O322" s="77" t="s">
        <v>1030</v>
      </c>
      <c r="P322" s="105"/>
      <c r="Q322" s="97"/>
      <c r="R322" s="97"/>
      <c r="AB322" s="72">
        <v>1</v>
      </c>
      <c r="AE322" s="96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 t="str">
        <f>"" &amp; TEXT(AF322,"#0.00%") &amp; " " &amp; "Install Anchor &amp; Nut" &amp; " " &amp; IF(Q322="","",TEXT(Q322,"M/D-")) &amp; IF(R322="","",TEXT(R322,"M/D")) &amp; " "</f>
        <v xml:space="preserve">0.00% Install Anchor &amp; Nut  </v>
      </c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</row>
    <row r="323" spans="1:121" ht="15" customHeight="1" outlineLevel="3" x14ac:dyDescent="0.3">
      <c r="A323" s="100"/>
      <c r="B323" s="100"/>
      <c r="C323" s="99">
        <v>4</v>
      </c>
      <c r="D323" s="98" t="s">
        <v>1043</v>
      </c>
      <c r="H323" s="106" t="s">
        <v>902</v>
      </c>
      <c r="I323" s="107"/>
      <c r="J323" s="106"/>
      <c r="O323" s="77" t="s">
        <v>1030</v>
      </c>
      <c r="P323" s="105"/>
      <c r="Q323" s="97"/>
      <c r="R323" s="97"/>
      <c r="AB323" s="72">
        <v>1</v>
      </c>
      <c r="AE323" s="96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 t="str">
        <f>" " &amp; TEXT(AF323,"#0.00%") &amp; " " &amp; "Check Nut Level" &amp; " " &amp; IF(Q323="","",TEXT(Q323,"M/D-")) &amp; IF(R323="","",TEXT(R323,"M/D")) &amp; " "</f>
        <v xml:space="preserve"> 0.00% Check Nut Level  </v>
      </c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</row>
    <row r="324" spans="1:121" ht="15" customHeight="1" outlineLevel="3" x14ac:dyDescent="0.3">
      <c r="A324" s="100"/>
      <c r="B324" s="100"/>
      <c r="C324" s="99">
        <v>4</v>
      </c>
      <c r="D324" s="98" t="s">
        <v>1042</v>
      </c>
      <c r="H324" s="106" t="s">
        <v>1041</v>
      </c>
      <c r="I324" s="107"/>
      <c r="J324" s="106"/>
      <c r="O324" s="77" t="s">
        <v>1030</v>
      </c>
      <c r="P324" s="105"/>
      <c r="Q324" s="97"/>
      <c r="R324" s="97"/>
      <c r="AB324" s="72">
        <v>1</v>
      </c>
      <c r="AE324" s="96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 t="str">
        <f>"   " &amp; TEXT(AF324,"#0.00%") &amp; " " &amp; "Install Deck Post&amp;Girder(Floor 1~3)" &amp; " " &amp; IF(Q324="","",TEXT(Q324,"M/D-")) &amp; IF(R324="","",TEXT(R324,"M/D")) &amp; " "</f>
        <v xml:space="preserve">   0.00% Install Deck Post&amp;Girder(Floor 1~3)  </v>
      </c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</row>
    <row r="325" spans="1:121" ht="15" customHeight="1" outlineLevel="3" x14ac:dyDescent="0.3">
      <c r="A325" s="100"/>
      <c r="B325" s="100"/>
      <c r="C325" s="99">
        <v>4</v>
      </c>
      <c r="D325" s="98" t="s">
        <v>1040</v>
      </c>
      <c r="H325" s="106" t="s">
        <v>1039</v>
      </c>
      <c r="I325" s="107"/>
      <c r="J325" s="106"/>
      <c r="O325" s="77" t="s">
        <v>1030</v>
      </c>
      <c r="P325" s="105"/>
      <c r="Q325" s="97"/>
      <c r="R325" s="97"/>
      <c r="AB325" s="72">
        <v>1</v>
      </c>
      <c r="AE325" s="96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 t="str">
        <f>"      " &amp; TEXT(AF325,"#0.00%") &amp; " " &amp; "Install Rail Base(Floor 1~3)" &amp; " " &amp; IF(Q325="","",TEXT(Q325,"M/D-")) &amp; IF(R325="","",TEXT(R325,"M/D")) &amp; " "</f>
        <v xml:space="preserve">      0.00% Install Rail Base(Floor 1~3)  </v>
      </c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  <c r="DA325" s="94"/>
      <c r="DB325" s="94"/>
      <c r="DC325" s="94"/>
      <c r="DD325" s="94"/>
      <c r="DE325" s="94"/>
      <c r="DF325" s="94"/>
      <c r="DG325" s="94"/>
      <c r="DH325" s="94"/>
      <c r="DI325" s="94"/>
      <c r="DJ325" s="94"/>
      <c r="DK325" s="94"/>
      <c r="DL325" s="94"/>
      <c r="DM325" s="94"/>
      <c r="DN325" s="94"/>
      <c r="DO325" s="94"/>
      <c r="DP325" s="94"/>
      <c r="DQ325" s="94"/>
    </row>
    <row r="326" spans="1:121" ht="15" customHeight="1" outlineLevel="3" x14ac:dyDescent="0.3">
      <c r="A326" s="100"/>
      <c r="B326" s="100"/>
      <c r="C326" s="99">
        <v>4</v>
      </c>
      <c r="D326" s="98" t="s">
        <v>1038</v>
      </c>
      <c r="H326" s="106" t="s">
        <v>987</v>
      </c>
      <c r="I326" s="107"/>
      <c r="J326" s="106"/>
      <c r="O326" s="77" t="s">
        <v>1030</v>
      </c>
      <c r="P326" s="105"/>
      <c r="Q326" s="97"/>
      <c r="R326" s="97"/>
      <c r="AB326" s="72">
        <v>1</v>
      </c>
      <c r="AE326" s="96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94"/>
      <c r="BZ326" s="94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4" t="str">
        <f>"    " &amp; TEXT(AF326,"#0.00%") &amp; " " &amp; "Check Rail Base Level" &amp; " " &amp; IF(Q326="","",TEXT(Q326,"M/D-")) &amp; IF(R326="","",TEXT(R326,"M/D")) &amp; " "</f>
        <v xml:space="preserve">    0.00% Check Rail Base Level  </v>
      </c>
      <c r="CM326" s="94"/>
      <c r="CN326" s="94"/>
      <c r="CO326" s="94"/>
      <c r="CP326" s="94"/>
      <c r="CQ326" s="94"/>
      <c r="CR326" s="94"/>
      <c r="CS326" s="94"/>
      <c r="CT326" s="94"/>
      <c r="CU326" s="94"/>
      <c r="CV326" s="94"/>
      <c r="CW326" s="94"/>
      <c r="CX326" s="94"/>
      <c r="CY326" s="94"/>
      <c r="CZ326" s="94"/>
      <c r="DA326" s="94"/>
      <c r="DB326" s="94"/>
      <c r="DC326" s="94"/>
      <c r="DD326" s="94"/>
      <c r="DE326" s="94"/>
      <c r="DF326" s="94"/>
      <c r="DG326" s="94"/>
      <c r="DH326" s="94"/>
      <c r="DI326" s="94"/>
      <c r="DJ326" s="94"/>
      <c r="DK326" s="94"/>
      <c r="DL326" s="94"/>
      <c r="DM326" s="94"/>
      <c r="DN326" s="94"/>
      <c r="DO326" s="94"/>
      <c r="DP326" s="94"/>
      <c r="DQ326" s="94"/>
    </row>
    <row r="327" spans="1:121" ht="15" customHeight="1" outlineLevel="3" x14ac:dyDescent="0.3">
      <c r="A327" s="100"/>
      <c r="B327" s="100"/>
      <c r="C327" s="99">
        <v>4</v>
      </c>
      <c r="D327" s="98" t="s">
        <v>1037</v>
      </c>
      <c r="H327" s="106" t="s">
        <v>1036</v>
      </c>
      <c r="I327" s="107"/>
      <c r="J327" s="106"/>
      <c r="O327" s="77" t="s">
        <v>1030</v>
      </c>
      <c r="P327" s="105"/>
      <c r="Q327" s="97"/>
      <c r="R327" s="97"/>
      <c r="AB327" s="72">
        <v>1</v>
      </c>
      <c r="AE327" s="96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94"/>
      <c r="BZ327" s="94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4"/>
      <c r="CM327" s="94" t="str">
        <f>"" &amp; TEXT(AF327,"#0.00%") &amp; " " &amp; "Install Deck Frame(Floor 2, Floor 3_80%)" &amp; " " &amp; IF(Q327="","",TEXT(Q327,"M/D-")) &amp; IF(R327="","",TEXT(R327,"M/D")) &amp; " "</f>
        <v xml:space="preserve">0.00% Install Deck Frame(Floor 2, Floor 3_80%)  </v>
      </c>
      <c r="CN327" s="94"/>
      <c r="CO327" s="94"/>
      <c r="CP327" s="94"/>
      <c r="CQ327" s="94"/>
      <c r="CR327" s="94"/>
      <c r="CS327" s="94"/>
      <c r="CT327" s="94"/>
      <c r="CU327" s="94"/>
      <c r="CV327" s="94"/>
      <c r="CW327" s="94"/>
      <c r="CX327" s="94"/>
      <c r="CY327" s="94"/>
      <c r="CZ327" s="94"/>
      <c r="DA327" s="94"/>
      <c r="DB327" s="94"/>
      <c r="DC327" s="94"/>
      <c r="DD327" s="94"/>
      <c r="DE327" s="94"/>
      <c r="DF327" s="94"/>
      <c r="DG327" s="94"/>
      <c r="DH327" s="94"/>
      <c r="DI327" s="94"/>
      <c r="DJ327" s="94"/>
      <c r="DK327" s="94"/>
      <c r="DL327" s="94"/>
      <c r="DM327" s="94"/>
      <c r="DN327" s="94"/>
      <c r="DO327" s="94"/>
      <c r="DP327" s="94"/>
      <c r="DQ327" s="94"/>
    </row>
    <row r="328" spans="1:121" ht="15" customHeight="1" outlineLevel="3" x14ac:dyDescent="0.3">
      <c r="A328" s="100"/>
      <c r="B328" s="100"/>
      <c r="C328" s="99">
        <v>4</v>
      </c>
      <c r="D328" s="98" t="s">
        <v>1035</v>
      </c>
      <c r="H328" s="106" t="s">
        <v>528</v>
      </c>
      <c r="I328" s="107"/>
      <c r="J328" s="106"/>
      <c r="O328" s="77" t="s">
        <v>1020</v>
      </c>
      <c r="P328" s="105"/>
      <c r="Q328" s="97"/>
      <c r="R328" s="97"/>
      <c r="AB328" s="72">
        <v>1</v>
      </c>
      <c r="AE328" s="96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94"/>
      <c r="BZ328" s="94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4"/>
      <c r="CM328" s="94" t="str">
        <f>"     " &amp; TEXT(AF328,"#0.00%") &amp; " " &amp; "Check Track Number" &amp; " " &amp; IF(Q328="","",TEXT(Q328,"M/D-")) &amp; IF(R328="","",TEXT(R328,"M/D")) &amp; " "</f>
        <v xml:space="preserve">     0.00% Check Track Number  </v>
      </c>
      <c r="CN328" s="94"/>
      <c r="CO328" s="94"/>
      <c r="CP328" s="94"/>
      <c r="CQ328" s="94"/>
      <c r="CR328" s="94"/>
      <c r="CS328" s="94"/>
      <c r="CT328" s="94"/>
      <c r="CU328" s="94"/>
      <c r="CV328" s="94"/>
      <c r="CW328" s="94"/>
      <c r="CX328" s="94"/>
      <c r="CY328" s="94"/>
      <c r="CZ328" s="94"/>
      <c r="DA328" s="94"/>
      <c r="DB328" s="94"/>
      <c r="DC328" s="94"/>
      <c r="DD328" s="94"/>
      <c r="DE328" s="94"/>
      <c r="DF328" s="94"/>
      <c r="DG328" s="94"/>
      <c r="DH328" s="94"/>
      <c r="DI328" s="94"/>
      <c r="DJ328" s="94"/>
      <c r="DK328" s="94"/>
      <c r="DL328" s="94"/>
      <c r="DM328" s="94"/>
      <c r="DN328" s="94"/>
      <c r="DO328" s="94"/>
      <c r="DP328" s="94"/>
      <c r="DQ328" s="94"/>
    </row>
    <row r="329" spans="1:121" ht="15" customHeight="1" outlineLevel="3" x14ac:dyDescent="0.3">
      <c r="A329" s="100"/>
      <c r="B329" s="100"/>
      <c r="C329" s="99">
        <v>4</v>
      </c>
      <c r="D329" s="98" t="s">
        <v>1034</v>
      </c>
      <c r="H329" s="106" t="s">
        <v>1033</v>
      </c>
      <c r="I329" s="107"/>
      <c r="J329" s="106"/>
      <c r="O329" s="77" t="s">
        <v>1020</v>
      </c>
      <c r="P329" s="105"/>
      <c r="Q329" s="97"/>
      <c r="R329" s="97"/>
      <c r="AB329" s="72">
        <v>1</v>
      </c>
      <c r="AE329" s="96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94"/>
      <c r="BZ329" s="94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4"/>
      <c r="CM329" s="94" t="str">
        <f>"     " &amp; TEXT(AF329,"#0.00%") &amp; " " &amp; "Install Transfer &amp; C/V(Floor 2)" &amp; " " &amp; IF(Q329="","",TEXT(Q329,"M/D-")) &amp; IF(R329="","",TEXT(R329,"M/D")) &amp; " "</f>
        <v xml:space="preserve">     0.00% Install Transfer &amp; C/V(Floor 2)  </v>
      </c>
      <c r="CN329" s="94"/>
      <c r="CO329" s="94"/>
      <c r="CP329" s="94"/>
      <c r="CQ329" s="94"/>
      <c r="CR329" s="94"/>
      <c r="CS329" s="94"/>
      <c r="CT329" s="94"/>
      <c r="CU329" s="94"/>
      <c r="CV329" s="94"/>
      <c r="CW329" s="94"/>
      <c r="CX329" s="94"/>
      <c r="CY329" s="94"/>
      <c r="CZ329" s="94"/>
      <c r="DA329" s="94"/>
      <c r="DB329" s="94"/>
      <c r="DC329" s="94"/>
      <c r="DD329" s="94"/>
      <c r="DE329" s="94"/>
      <c r="DF329" s="94"/>
      <c r="DG329" s="94"/>
      <c r="DH329" s="94"/>
      <c r="DI329" s="94"/>
      <c r="DJ329" s="94"/>
      <c r="DK329" s="94"/>
      <c r="DL329" s="94"/>
      <c r="DM329" s="94"/>
      <c r="DN329" s="94"/>
      <c r="DO329" s="94"/>
      <c r="DP329" s="94"/>
      <c r="DQ329" s="94"/>
    </row>
    <row r="330" spans="1:121" ht="15" customHeight="1" outlineLevel="3" x14ac:dyDescent="0.3">
      <c r="A330" s="100"/>
      <c r="B330" s="100"/>
      <c r="C330" s="99">
        <v>4</v>
      </c>
      <c r="D330" s="98" t="s">
        <v>1032</v>
      </c>
      <c r="H330" s="106" t="s">
        <v>1031</v>
      </c>
      <c r="I330" s="107"/>
      <c r="J330" s="106"/>
      <c r="O330" s="77" t="s">
        <v>1030</v>
      </c>
      <c r="P330" s="105"/>
      <c r="Q330" s="97"/>
      <c r="R330" s="97"/>
      <c r="AB330" s="72">
        <v>1</v>
      </c>
      <c r="AE330" s="96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94"/>
      <c r="BZ330" s="94"/>
      <c r="CA330" s="94"/>
      <c r="CB330" s="94"/>
      <c r="CC330" s="94"/>
      <c r="CD330" s="94"/>
      <c r="CE330" s="94"/>
      <c r="CF330" s="94"/>
      <c r="CG330" s="94"/>
      <c r="CH330" s="94"/>
      <c r="CI330" s="94"/>
      <c r="CJ330" s="94"/>
      <c r="CK330" s="94"/>
      <c r="CL330" s="94"/>
      <c r="CM330" s="94"/>
      <c r="CN330" s="94" t="str">
        <f>"" &amp; TEXT(AF330,"#0.00%") &amp; " " &amp; "Install Compete Deck Frame(Floor 3)" &amp; " " &amp; IF(Q330="","",TEXT(Q330,"M/D-")) &amp; IF(R330="","",TEXT(R330,"M/D")) &amp; " "</f>
        <v xml:space="preserve">0.00% Install Compete Deck Frame(Floor 3)  </v>
      </c>
      <c r="CO330" s="94"/>
      <c r="CP330" s="94"/>
      <c r="CQ330" s="94"/>
      <c r="CR330" s="94"/>
      <c r="CS330" s="94"/>
      <c r="CT330" s="94"/>
      <c r="CU330" s="94"/>
      <c r="CV330" s="94"/>
      <c r="CW330" s="94"/>
      <c r="CX330" s="94"/>
      <c r="CY330" s="94"/>
      <c r="CZ330" s="94"/>
      <c r="DA330" s="94"/>
      <c r="DB330" s="94"/>
      <c r="DC330" s="94"/>
      <c r="DD330" s="94"/>
      <c r="DE330" s="94"/>
      <c r="DF330" s="94"/>
      <c r="DG330" s="94"/>
      <c r="DH330" s="94"/>
      <c r="DI330" s="94"/>
      <c r="DJ330" s="94"/>
      <c r="DK330" s="94"/>
      <c r="DL330" s="94"/>
      <c r="DM330" s="94"/>
      <c r="DN330" s="94"/>
      <c r="DO330" s="94"/>
      <c r="DP330" s="94"/>
      <c r="DQ330" s="94"/>
    </row>
    <row r="331" spans="1:121" ht="15" customHeight="1" outlineLevel="3" x14ac:dyDescent="0.3">
      <c r="A331" s="100"/>
      <c r="B331" s="100"/>
      <c r="C331" s="99">
        <v>4</v>
      </c>
      <c r="D331" s="98" t="s">
        <v>1029</v>
      </c>
      <c r="H331" s="106" t="s">
        <v>1028</v>
      </c>
      <c r="I331" s="107"/>
      <c r="J331" s="106"/>
      <c r="O331" s="77" t="s">
        <v>1020</v>
      </c>
      <c r="P331" s="105"/>
      <c r="Q331" s="97"/>
      <c r="R331" s="97"/>
      <c r="AB331" s="72">
        <v>1</v>
      </c>
      <c r="AE331" s="96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94"/>
      <c r="BZ331" s="94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4"/>
      <c r="CM331" s="94"/>
      <c r="CN331" s="94" t="str">
        <f>" " &amp; TEXT(AF331,"#0.00%") &amp; " " &amp; "Install Transfer &amp; C/V(Floor 3)" &amp; " " &amp; IF(Q331="","",TEXT(Q331,"M/D-")) &amp; IF(R331="","",TEXT(R331,"M/D")) &amp; " "</f>
        <v xml:space="preserve"> 0.00% Install Transfer &amp; C/V(Floor 3)  </v>
      </c>
      <c r="CO331" s="94"/>
      <c r="CP331" s="94"/>
      <c r="CQ331" s="94"/>
      <c r="CR331" s="94"/>
      <c r="CS331" s="94"/>
      <c r="CT331" s="94"/>
      <c r="CU331" s="94"/>
      <c r="CV331" s="94"/>
      <c r="CW331" s="94"/>
      <c r="CX331" s="94"/>
      <c r="CY331" s="94"/>
      <c r="CZ331" s="94"/>
      <c r="DA331" s="94"/>
      <c r="DB331" s="94"/>
      <c r="DC331" s="94"/>
      <c r="DD331" s="94"/>
      <c r="DE331" s="94"/>
      <c r="DF331" s="94"/>
      <c r="DG331" s="94"/>
      <c r="DH331" s="94"/>
      <c r="DI331" s="94"/>
      <c r="DJ331" s="94"/>
      <c r="DK331" s="94"/>
      <c r="DL331" s="94"/>
      <c r="DM331" s="94"/>
      <c r="DN331" s="94"/>
      <c r="DO331" s="94"/>
      <c r="DP331" s="94"/>
      <c r="DQ331" s="94"/>
    </row>
    <row r="332" spans="1:121" ht="15" customHeight="1" outlineLevel="3" x14ac:dyDescent="0.3">
      <c r="A332" s="100"/>
      <c r="B332" s="100"/>
      <c r="C332" s="99">
        <v>4</v>
      </c>
      <c r="D332" s="98" t="s">
        <v>1027</v>
      </c>
      <c r="H332" s="106" t="s">
        <v>1026</v>
      </c>
      <c r="I332" s="107"/>
      <c r="J332" s="106"/>
      <c r="O332" s="77" t="s">
        <v>1020</v>
      </c>
      <c r="P332" s="105"/>
      <c r="Q332" s="97"/>
      <c r="R332" s="97"/>
      <c r="AB332" s="72">
        <v>1</v>
      </c>
      <c r="AE332" s="96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 t="str">
        <f>"  " &amp; TEXT(AF332,"#0.00%") &amp; " " &amp; "Install Transfer &amp; C/V(Floor 1)" &amp; " " &amp; IF(Q332="","",TEXT(Q332,"M/D-")) &amp; IF(R332="","",TEXT(R332,"M/D")) &amp; " "</f>
        <v xml:space="preserve">  0.00% Install Transfer &amp; C/V(Floor 1)  </v>
      </c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</row>
    <row r="333" spans="1:121" ht="15" customHeight="1" outlineLevel="3" x14ac:dyDescent="0.3">
      <c r="A333" s="100"/>
      <c r="B333" s="100"/>
      <c r="C333" s="99">
        <v>4</v>
      </c>
      <c r="D333" s="98" t="s">
        <v>1025</v>
      </c>
      <c r="H333" s="106" t="s">
        <v>966</v>
      </c>
      <c r="I333" s="107"/>
      <c r="J333" s="106"/>
      <c r="O333" s="77" t="s">
        <v>1020</v>
      </c>
      <c r="P333" s="105"/>
      <c r="Q333" s="97"/>
      <c r="R333" s="97"/>
      <c r="AB333" s="72">
        <v>1</v>
      </c>
      <c r="AE333" s="96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 t="str">
        <f>"    " &amp; TEXT(AF333,"#0.00%") &amp; " " &amp; "Check Center Line" &amp; " " &amp; IF(Q333="","",TEXT(Q333,"M/D-")) &amp; IF(R333="","",TEXT(R333,"M/D")) &amp; " "</f>
        <v xml:space="preserve">    0.00% Check Center Line  </v>
      </c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</row>
    <row r="334" spans="1:121" ht="15" customHeight="1" outlineLevel="3" x14ac:dyDescent="0.3">
      <c r="A334" s="100"/>
      <c r="B334" s="100"/>
      <c r="C334" s="99">
        <v>4</v>
      </c>
      <c r="D334" s="98" t="s">
        <v>1024</v>
      </c>
      <c r="H334" s="106" t="s">
        <v>976</v>
      </c>
      <c r="I334" s="107"/>
      <c r="J334" s="106"/>
      <c r="O334" s="77" t="s">
        <v>1020</v>
      </c>
      <c r="P334" s="105"/>
      <c r="Q334" s="97"/>
      <c r="R334" s="97"/>
      <c r="AB334" s="72">
        <v>1</v>
      </c>
      <c r="AE334" s="96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 t="str">
        <f>"    " &amp; TEXT(AF334,"#0.00%") &amp; " " &amp; "Check C/V Level" &amp; " " &amp; IF(Q334="","",TEXT(Q334,"M/D-")) &amp; IF(R334="","",TEXT(R334,"M/D")) &amp; " "</f>
        <v xml:space="preserve">    0.00% Check C/V Level  </v>
      </c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</row>
    <row r="335" spans="1:121" ht="15" customHeight="1" outlineLevel="3" x14ac:dyDescent="0.3">
      <c r="A335" s="100"/>
      <c r="B335" s="100"/>
      <c r="C335" s="99">
        <v>4</v>
      </c>
      <c r="D335" s="98" t="s">
        <v>1023</v>
      </c>
      <c r="H335" s="106" t="s">
        <v>550</v>
      </c>
      <c r="I335" s="107"/>
      <c r="J335" s="106"/>
      <c r="O335" s="77" t="s">
        <v>1020</v>
      </c>
      <c r="P335" s="105"/>
      <c r="Q335" s="97"/>
      <c r="R335" s="97"/>
      <c r="AB335" s="72">
        <v>1</v>
      </c>
      <c r="AE335" s="96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94"/>
      <c r="BZ335" s="94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4"/>
      <c r="CM335" s="94"/>
      <c r="CN335" s="94" t="str">
        <f>"    " &amp; TEXT(AF335,"#0.00%") &amp; " " &amp; "Install Anchor" &amp; " " &amp; IF(Q335="","",TEXT(Q335,"M/D-")) &amp; IF(R335="","",TEXT(R335,"M/D")) &amp; " "</f>
        <v xml:space="preserve">    0.00% Install Anchor  </v>
      </c>
      <c r="CO335" s="94"/>
      <c r="CP335" s="94"/>
      <c r="CQ335" s="94"/>
      <c r="CR335" s="94"/>
      <c r="CS335" s="94"/>
      <c r="CT335" s="94"/>
      <c r="CU335" s="94"/>
      <c r="CV335" s="94"/>
      <c r="CW335" s="94"/>
      <c r="CX335" s="94"/>
      <c r="CY335" s="94"/>
      <c r="CZ335" s="94"/>
      <c r="DA335" s="94"/>
      <c r="DB335" s="94"/>
      <c r="DC335" s="94"/>
      <c r="DD335" s="94"/>
      <c r="DE335" s="94"/>
      <c r="DF335" s="94"/>
      <c r="DG335" s="94"/>
      <c r="DH335" s="94"/>
      <c r="DI335" s="94"/>
      <c r="DJ335" s="94"/>
      <c r="DK335" s="94"/>
      <c r="DL335" s="94"/>
      <c r="DM335" s="94"/>
      <c r="DN335" s="94"/>
      <c r="DO335" s="94"/>
      <c r="DP335" s="94"/>
      <c r="DQ335" s="94"/>
    </row>
    <row r="336" spans="1:121" ht="15" customHeight="1" outlineLevel="3" x14ac:dyDescent="0.3">
      <c r="A336" s="100"/>
      <c r="B336" s="100"/>
      <c r="C336" s="99">
        <v>4</v>
      </c>
      <c r="D336" s="98" t="s">
        <v>1022</v>
      </c>
      <c r="H336" s="106" t="s">
        <v>1021</v>
      </c>
      <c r="I336" s="107"/>
      <c r="J336" s="106"/>
      <c r="O336" s="77" t="s">
        <v>1020</v>
      </c>
      <c r="P336" s="105"/>
      <c r="Q336" s="97"/>
      <c r="R336" s="97"/>
      <c r="AB336" s="72">
        <v>1</v>
      </c>
      <c r="AE336" s="96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94"/>
      <c r="BZ336" s="94"/>
      <c r="CA336" s="94"/>
      <c r="CB336" s="94"/>
      <c r="CC336" s="94"/>
      <c r="CD336" s="94"/>
      <c r="CE336" s="94"/>
      <c r="CF336" s="94"/>
      <c r="CG336" s="94"/>
      <c r="CH336" s="94"/>
      <c r="CI336" s="94"/>
      <c r="CJ336" s="94"/>
      <c r="CK336" s="94"/>
      <c r="CL336" s="94"/>
      <c r="CM336" s="94"/>
      <c r="CN336" s="94"/>
      <c r="CO336" s="94" t="str">
        <f>"  " &amp; TEXT(AF336,"#0.00%") &amp; " " &amp; "Install Fence &amp; Top Cover(Transfer)" &amp; " " &amp; IF(Q336="","",TEXT(Q336,"M/D-")) &amp; IF(R336="","",TEXT(R336,"M/D")) &amp; " "</f>
        <v xml:space="preserve">  0.00% Install Fence &amp; Top Cover(Transfer)  </v>
      </c>
      <c r="CP336" s="94"/>
      <c r="CQ336" s="94"/>
      <c r="CR336" s="94"/>
      <c r="CS336" s="94"/>
      <c r="CT336" s="94"/>
      <c r="CU336" s="94"/>
      <c r="CV336" s="94"/>
      <c r="CW336" s="94"/>
      <c r="CX336" s="94"/>
      <c r="CY336" s="94"/>
      <c r="CZ336" s="94"/>
      <c r="DA336" s="94"/>
      <c r="DB336" s="94"/>
      <c r="DC336" s="94"/>
      <c r="DD336" s="94"/>
      <c r="DE336" s="94"/>
      <c r="DF336" s="94"/>
      <c r="DG336" s="94"/>
      <c r="DH336" s="94"/>
      <c r="DI336" s="94"/>
      <c r="DJ336" s="94"/>
      <c r="DK336" s="94"/>
      <c r="DL336" s="94"/>
      <c r="DM336" s="94"/>
      <c r="DN336" s="94"/>
      <c r="DO336" s="94"/>
      <c r="DP336" s="94"/>
      <c r="DQ336" s="94"/>
    </row>
    <row r="337" spans="1:121" ht="15" customHeight="1" outlineLevel="3" x14ac:dyDescent="0.3">
      <c r="A337" s="100"/>
      <c r="B337" s="100"/>
      <c r="C337" s="99">
        <v>4</v>
      </c>
      <c r="D337" s="98" t="s">
        <v>1019</v>
      </c>
      <c r="H337" s="106" t="s">
        <v>970</v>
      </c>
      <c r="I337" s="107"/>
      <c r="J337" s="106"/>
      <c r="O337" s="77" t="s">
        <v>649</v>
      </c>
      <c r="P337" s="105"/>
      <c r="Q337" s="97"/>
      <c r="R337" s="97"/>
      <c r="AB337" s="72">
        <v>1</v>
      </c>
      <c r="AE337" s="96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94"/>
      <c r="BZ337" s="94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4"/>
      <c r="CM337" s="94"/>
      <c r="CN337" s="94" t="str">
        <f>"" &amp; TEXT(AF337,"#0.00%") &amp; " " &amp; "Install Under Rail &amp; Top Rail" &amp; " " &amp; IF(Q337="","",TEXT(Q337,"M/D-")) &amp; IF(R337="","",TEXT(R337,"M/D")) &amp; " "</f>
        <v xml:space="preserve">0.00% Install Under Rail &amp; Top Rail  </v>
      </c>
      <c r="CO337" s="94"/>
      <c r="CP337" s="94"/>
      <c r="CQ337" s="94"/>
      <c r="CR337" s="94"/>
      <c r="CS337" s="94"/>
      <c r="CT337" s="94"/>
      <c r="CU337" s="94"/>
      <c r="CV337" s="94"/>
      <c r="CW337" s="94"/>
      <c r="CX337" s="94"/>
      <c r="CY337" s="94"/>
      <c r="CZ337" s="94"/>
      <c r="DA337" s="94"/>
      <c r="DB337" s="94"/>
      <c r="DC337" s="94"/>
      <c r="DD337" s="94"/>
      <c r="DE337" s="94"/>
      <c r="DF337" s="94"/>
      <c r="DG337" s="94"/>
      <c r="DH337" s="94"/>
      <c r="DI337" s="94"/>
      <c r="DJ337" s="94"/>
      <c r="DK337" s="94"/>
      <c r="DL337" s="94"/>
      <c r="DM337" s="94"/>
      <c r="DN337" s="94"/>
      <c r="DO337" s="94"/>
      <c r="DP337" s="94"/>
      <c r="DQ337" s="94"/>
    </row>
    <row r="338" spans="1:121" ht="15" customHeight="1" outlineLevel="3" x14ac:dyDescent="0.3">
      <c r="A338" s="100"/>
      <c r="B338" s="100"/>
      <c r="C338" s="99">
        <v>4</v>
      </c>
      <c r="D338" s="98" t="s">
        <v>1018</v>
      </c>
      <c r="H338" s="106" t="s">
        <v>968</v>
      </c>
      <c r="I338" s="107"/>
      <c r="J338" s="106"/>
      <c r="O338" s="77" t="s">
        <v>649</v>
      </c>
      <c r="P338" s="105"/>
      <c r="Q338" s="97"/>
      <c r="R338" s="97"/>
      <c r="AB338" s="72">
        <v>1</v>
      </c>
      <c r="AE338" s="96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94"/>
      <c r="BZ338" s="94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4"/>
      <c r="CM338" s="94"/>
      <c r="CN338" s="94" t="str">
        <f>"  " &amp; TEXT(AF338,"#0.00%") &amp; " " &amp; "Check Leveling(U.R &amp; T.R)" &amp; " " &amp; IF(Q338="","",TEXT(Q338,"M/D-")) &amp; IF(R338="","",TEXT(R338,"M/D")) &amp; " "</f>
        <v xml:space="preserve">  0.00% Check Leveling(U.R &amp; T.R)  </v>
      </c>
      <c r="CO338" s="94"/>
      <c r="CP338" s="94"/>
      <c r="CQ338" s="94"/>
      <c r="CR338" s="94"/>
      <c r="CS338" s="94"/>
      <c r="CT338" s="94"/>
      <c r="CU338" s="94"/>
      <c r="CV338" s="94"/>
      <c r="CW338" s="94"/>
      <c r="CX338" s="94"/>
      <c r="CY338" s="94"/>
      <c r="CZ338" s="94"/>
      <c r="DA338" s="94"/>
      <c r="DB338" s="94"/>
      <c r="DC338" s="94"/>
      <c r="DD338" s="94"/>
      <c r="DE338" s="94"/>
      <c r="DF338" s="94"/>
      <c r="DG338" s="94"/>
      <c r="DH338" s="94"/>
      <c r="DI338" s="94"/>
      <c r="DJ338" s="94"/>
      <c r="DK338" s="94"/>
      <c r="DL338" s="94"/>
      <c r="DM338" s="94"/>
      <c r="DN338" s="94"/>
      <c r="DO338" s="94"/>
      <c r="DP338" s="94"/>
      <c r="DQ338" s="94"/>
    </row>
    <row r="339" spans="1:121" ht="15" customHeight="1" outlineLevel="3" x14ac:dyDescent="0.3">
      <c r="A339" s="100"/>
      <c r="B339" s="100"/>
      <c r="C339" s="99">
        <v>4</v>
      </c>
      <c r="D339" s="98" t="s">
        <v>1017</v>
      </c>
      <c r="H339" s="106" t="s">
        <v>966</v>
      </c>
      <c r="I339" s="107"/>
      <c r="J339" s="106"/>
      <c r="O339" s="77" t="s">
        <v>649</v>
      </c>
      <c r="P339" s="105"/>
      <c r="Q339" s="97"/>
      <c r="R339" s="97"/>
      <c r="AB339" s="72">
        <v>1</v>
      </c>
      <c r="AE339" s="96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 t="str">
        <f>"" &amp; TEXT(AF339,"#0.00%") &amp; " " &amp; "Check Center Line" &amp; " " &amp; IF(Q339="","",TEXT(Q339,"M/D-")) &amp; IF(R339="","",TEXT(R339,"M/D")) &amp; " "</f>
        <v xml:space="preserve">0.00% Check Center Line  </v>
      </c>
      <c r="CP339" s="94"/>
      <c r="CQ339" s="94"/>
      <c r="CR339" s="94"/>
      <c r="CS339" s="94"/>
      <c r="CT339" s="94"/>
      <c r="CU339" s="94"/>
      <c r="CV339" s="94"/>
      <c r="CW339" s="94"/>
      <c r="CX339" s="94"/>
      <c r="CY339" s="94"/>
      <c r="CZ339" s="94"/>
      <c r="DA339" s="94"/>
      <c r="DB339" s="94"/>
      <c r="DC339" s="94"/>
      <c r="DD339" s="94"/>
      <c r="DE339" s="94"/>
      <c r="DF339" s="94"/>
      <c r="DG339" s="94"/>
      <c r="DH339" s="94"/>
      <c r="DI339" s="94"/>
      <c r="DJ339" s="94"/>
      <c r="DK339" s="94"/>
      <c r="DL339" s="94"/>
      <c r="DM339" s="94"/>
      <c r="DN339" s="94"/>
      <c r="DO339" s="94"/>
      <c r="DP339" s="94"/>
      <c r="DQ339" s="94"/>
    </row>
    <row r="340" spans="1:121" ht="15" customHeight="1" outlineLevel="3" x14ac:dyDescent="0.3">
      <c r="A340" s="100"/>
      <c r="B340" s="100"/>
      <c r="C340" s="99">
        <v>4</v>
      </c>
      <c r="D340" s="98" t="s">
        <v>1016</v>
      </c>
      <c r="H340" s="106" t="s">
        <v>765</v>
      </c>
      <c r="I340" s="107"/>
      <c r="J340" s="106"/>
      <c r="O340" s="77" t="s">
        <v>649</v>
      </c>
      <c r="P340" s="105"/>
      <c r="Q340" s="97"/>
      <c r="R340" s="97"/>
      <c r="AB340" s="72">
        <v>1</v>
      </c>
      <c r="AE340" s="96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 t="str">
        <f>"   " &amp; TEXT(AF340,"#0.00%") &amp; " " &amp; "Install MSC" &amp; " " &amp; IF(Q340="","",TEXT(Q340,"M/D-")) &amp; IF(R340="","",TEXT(R340,"M/D")) &amp; " "</f>
        <v xml:space="preserve">   0.00% Install MSC  </v>
      </c>
      <c r="CP340" s="94"/>
      <c r="CQ340" s="94"/>
      <c r="CR340" s="94"/>
      <c r="CS340" s="94"/>
      <c r="CT340" s="94"/>
      <c r="CU340" s="94"/>
      <c r="CV340" s="94"/>
      <c r="CW340" s="94"/>
      <c r="CX340" s="94"/>
      <c r="CY340" s="94"/>
      <c r="CZ340" s="94"/>
      <c r="DA340" s="94"/>
      <c r="DB340" s="94"/>
      <c r="DC340" s="94"/>
      <c r="DD340" s="94"/>
      <c r="DE340" s="94"/>
      <c r="DF340" s="94"/>
      <c r="DG340" s="94"/>
      <c r="DH340" s="94"/>
      <c r="DI340" s="94"/>
      <c r="DJ340" s="94"/>
      <c r="DK340" s="94"/>
      <c r="DL340" s="94"/>
      <c r="DM340" s="94"/>
      <c r="DN340" s="94"/>
      <c r="DO340" s="94"/>
      <c r="DP340" s="94"/>
      <c r="DQ340" s="94"/>
    </row>
    <row r="341" spans="1:121" ht="15" customHeight="1" outlineLevel="3" x14ac:dyDescent="0.3">
      <c r="A341" s="100"/>
      <c r="B341" s="100"/>
      <c r="C341" s="99">
        <v>4</v>
      </c>
      <c r="D341" s="98" t="s">
        <v>1015</v>
      </c>
      <c r="H341" s="106" t="s">
        <v>963</v>
      </c>
      <c r="I341" s="107"/>
      <c r="J341" s="106"/>
      <c r="O341" s="77" t="s">
        <v>649</v>
      </c>
      <c r="P341" s="105"/>
      <c r="Q341" s="97"/>
      <c r="R341" s="97"/>
      <c r="AB341" s="72">
        <v>1</v>
      </c>
      <c r="AE341" s="96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 t="str">
        <f>"     " &amp; TEXT(AF341,"#0.00%") &amp; " " &amp; "Install MSC Aceessories" &amp; " " &amp; IF(Q341="","",TEXT(Q341,"M/D-")) &amp; IF(R341="","",TEXT(R341,"M/D")) &amp; " "</f>
        <v xml:space="preserve">     0.00% Install MSC Aceessories  </v>
      </c>
      <c r="CP341" s="94"/>
      <c r="CQ341" s="94"/>
      <c r="CR341" s="94"/>
      <c r="CS341" s="94"/>
      <c r="CT341" s="94"/>
      <c r="CU341" s="94"/>
      <c r="CV341" s="94"/>
      <c r="CW341" s="94"/>
      <c r="CX341" s="94"/>
      <c r="CY341" s="94"/>
      <c r="CZ341" s="94"/>
      <c r="DA341" s="94"/>
      <c r="DB341" s="94"/>
      <c r="DC341" s="94"/>
      <c r="DD341" s="94"/>
      <c r="DE341" s="94"/>
      <c r="DF341" s="94"/>
      <c r="DG341" s="94"/>
      <c r="DH341" s="94"/>
      <c r="DI341" s="94"/>
      <c r="DJ341" s="94"/>
      <c r="DK341" s="94"/>
      <c r="DL341" s="94"/>
      <c r="DM341" s="94"/>
      <c r="DN341" s="94"/>
      <c r="DO341" s="94"/>
      <c r="DP341" s="94"/>
      <c r="DQ341" s="94"/>
    </row>
    <row r="342" spans="1:121" ht="15" customHeight="1" outlineLevel="3" x14ac:dyDescent="0.3">
      <c r="A342" s="100"/>
      <c r="B342" s="100"/>
      <c r="C342" s="99">
        <v>4</v>
      </c>
      <c r="D342" s="98" t="s">
        <v>1014</v>
      </c>
      <c r="H342" s="106" t="s">
        <v>961</v>
      </c>
      <c r="I342" s="107"/>
      <c r="J342" s="106"/>
      <c r="O342" s="77" t="s">
        <v>959</v>
      </c>
      <c r="P342" s="105"/>
      <c r="Q342" s="97"/>
      <c r="R342" s="97"/>
      <c r="AB342" s="72">
        <v>1</v>
      </c>
      <c r="AE342" s="96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94"/>
      <c r="BZ342" s="94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4"/>
      <c r="CM342" s="94"/>
      <c r="CN342" s="94"/>
      <c r="CO342" s="94"/>
      <c r="CP342" s="94" t="str">
        <f>"" &amp; TEXT(AF342,"#0.00%") &amp; " " &amp; "Install Water Tank" &amp; " " &amp; IF(Q342="","",TEXT(Q342,"M/D-")) &amp; IF(R342="","",TEXT(R342,"M/D")) &amp; " "</f>
        <v xml:space="preserve">0.00% Install Water Tank  </v>
      </c>
      <c r="CQ342" s="94"/>
      <c r="CR342" s="94"/>
      <c r="CS342" s="94"/>
      <c r="CT342" s="94"/>
      <c r="CU342" s="94"/>
      <c r="CV342" s="94"/>
      <c r="CW342" s="94"/>
      <c r="CX342" s="94"/>
      <c r="CY342" s="94"/>
      <c r="CZ342" s="94"/>
      <c r="DA342" s="94"/>
      <c r="DB342" s="94"/>
      <c r="DC342" s="94"/>
      <c r="DD342" s="94"/>
      <c r="DE342" s="94"/>
      <c r="DF342" s="94"/>
      <c r="DG342" s="94"/>
      <c r="DH342" s="94"/>
      <c r="DI342" s="94"/>
      <c r="DJ342" s="94"/>
      <c r="DK342" s="94"/>
      <c r="DL342" s="94"/>
      <c r="DM342" s="94"/>
      <c r="DN342" s="94"/>
      <c r="DO342" s="94"/>
      <c r="DP342" s="94"/>
      <c r="DQ342" s="94"/>
    </row>
    <row r="343" spans="1:121" ht="15" customHeight="1" outlineLevel="3" x14ac:dyDescent="0.3">
      <c r="A343" s="100"/>
      <c r="B343" s="100"/>
      <c r="C343" s="99">
        <v>4</v>
      </c>
      <c r="D343" s="98" t="s">
        <v>1013</v>
      </c>
      <c r="H343" s="106" t="s">
        <v>638</v>
      </c>
      <c r="I343" s="107"/>
      <c r="J343" s="106"/>
      <c r="O343" s="77" t="s">
        <v>959</v>
      </c>
      <c r="P343" s="105"/>
      <c r="Q343" s="97"/>
      <c r="R343" s="97"/>
      <c r="AB343" s="72">
        <v>1</v>
      </c>
      <c r="AE343" s="96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 t="str">
        <f>" " &amp; TEXT(AF343,"#0.00%") &amp; " " &amp; "Grouting &amp; Cleaning" &amp; " " &amp; IF(Q343="","",TEXT(Q343,"M/D-")) &amp; IF(R343="","",TEXT(R343,"M/D")) &amp; " "</f>
        <v xml:space="preserve"> 0.00% Grouting &amp; Cleaning  </v>
      </c>
      <c r="CQ343" s="94"/>
      <c r="CR343" s="94"/>
      <c r="CS343" s="94"/>
      <c r="CT343" s="94"/>
      <c r="CU343" s="94"/>
      <c r="CV343" s="94"/>
      <c r="CW343" s="94"/>
      <c r="CX343" s="94"/>
      <c r="CY343" s="94"/>
      <c r="CZ343" s="94"/>
      <c r="DA343" s="94"/>
      <c r="DB343" s="94"/>
      <c r="DC343" s="94"/>
      <c r="DD343" s="94"/>
      <c r="DE343" s="94"/>
      <c r="DF343" s="94"/>
      <c r="DG343" s="94"/>
      <c r="DH343" s="94"/>
      <c r="DI343" s="94"/>
      <c r="DJ343" s="94"/>
      <c r="DK343" s="94"/>
      <c r="DL343" s="94"/>
      <c r="DM343" s="94"/>
      <c r="DN343" s="94"/>
      <c r="DO343" s="94"/>
      <c r="DP343" s="94"/>
      <c r="DQ343" s="94"/>
    </row>
    <row r="344" spans="1:121" ht="15" customHeight="1" outlineLevel="2" x14ac:dyDescent="0.3">
      <c r="A344" s="100"/>
      <c r="B344" s="100" t="s">
        <v>298</v>
      </c>
      <c r="C344" s="99">
        <v>3</v>
      </c>
      <c r="D344" s="98" t="s">
        <v>1012</v>
      </c>
      <c r="G344" s="77" t="s">
        <v>470</v>
      </c>
      <c r="I344" s="94"/>
      <c r="O344" s="77" t="s">
        <v>469</v>
      </c>
      <c r="P344" s="105"/>
      <c r="Q344" s="97"/>
      <c r="R344" s="97"/>
      <c r="AE344" s="96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94"/>
      <c r="BZ344" s="94"/>
      <c r="CA344" s="94"/>
      <c r="CB344" s="94"/>
      <c r="CC344" s="94"/>
      <c r="CD344" s="94"/>
      <c r="CE344" s="94" t="str">
        <f>"      " &amp; TEXT(AF344,"#0.00%") &amp; " "</f>
        <v xml:space="preserve">      0.00% </v>
      </c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 t="str">
        <f>"" &amp; "Charger Room" &amp; " " &amp; IF(Q344="","",TEXT(Q344,"M/D-")) &amp; IF(R344="","",TEXT(R344,"M/D")) &amp; " "</f>
        <v xml:space="preserve">Charger Room  </v>
      </c>
      <c r="CT344" s="94"/>
      <c r="CU344" s="94"/>
      <c r="CV344" s="94"/>
      <c r="CW344" s="94"/>
      <c r="CX344" s="94"/>
      <c r="CY344" s="94"/>
      <c r="CZ344" s="94"/>
      <c r="DA344" s="94"/>
      <c r="DB344" s="94"/>
      <c r="DC344" s="94"/>
      <c r="DD344" s="94"/>
      <c r="DE344" s="94"/>
      <c r="DF344" s="94"/>
      <c r="DG344" s="94"/>
      <c r="DH344" s="94"/>
      <c r="DI344" s="94"/>
      <c r="DJ344" s="94"/>
      <c r="DK344" s="94"/>
      <c r="DL344" s="94"/>
      <c r="DM344" s="94"/>
      <c r="DN344" s="94"/>
      <c r="DO344" s="94"/>
      <c r="DP344" s="94"/>
      <c r="DQ344" s="94"/>
    </row>
    <row r="345" spans="1:121" ht="15" customHeight="1" outlineLevel="3" x14ac:dyDescent="0.3">
      <c r="A345" s="100"/>
      <c r="B345" s="100"/>
      <c r="C345" s="99">
        <v>4</v>
      </c>
      <c r="D345" s="98" t="s">
        <v>1011</v>
      </c>
      <c r="H345" s="77" t="s">
        <v>534</v>
      </c>
      <c r="I345" s="94"/>
      <c r="O345" s="77" t="s">
        <v>708</v>
      </c>
      <c r="P345" s="105"/>
      <c r="Q345" s="97"/>
      <c r="R345" s="97"/>
      <c r="AB345" s="72">
        <v>1</v>
      </c>
      <c r="AE345" s="96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94"/>
      <c r="BZ345" s="94"/>
      <c r="CA345" s="94"/>
      <c r="CB345" s="94"/>
      <c r="CC345" s="94"/>
      <c r="CD345" s="94"/>
      <c r="CE345" s="94"/>
      <c r="CF345" s="94"/>
      <c r="CG345" s="94" t="str">
        <f>"      " &amp; TEXT(AF345,"#0.00%") &amp; " " &amp; "Line Marking" &amp; " " &amp; IF(Q345="","",TEXT(Q345,"M/D-")) &amp; IF(R345="","",TEXT(R345,"M/D")) &amp; " "</f>
        <v xml:space="preserve">      0.00% Line Marking  </v>
      </c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  <c r="DA345" s="94"/>
      <c r="DB345" s="94"/>
      <c r="DC345" s="94"/>
      <c r="DD345" s="94"/>
      <c r="DE345" s="94"/>
      <c r="DF345" s="94"/>
      <c r="DG345" s="94"/>
      <c r="DH345" s="94"/>
      <c r="DI345" s="94"/>
      <c r="DJ345" s="94"/>
      <c r="DK345" s="94"/>
      <c r="DL345" s="94"/>
      <c r="DM345" s="94"/>
      <c r="DN345" s="94"/>
      <c r="DO345" s="94"/>
      <c r="DP345" s="94"/>
      <c r="DQ345" s="94"/>
    </row>
    <row r="346" spans="1:121" ht="15" customHeight="1" outlineLevel="3" x14ac:dyDescent="0.3">
      <c r="A346" s="100"/>
      <c r="B346" s="100"/>
      <c r="C346" s="99">
        <v>4</v>
      </c>
      <c r="D346" s="98" t="s">
        <v>1010</v>
      </c>
      <c r="H346" s="77" t="s">
        <v>712</v>
      </c>
      <c r="I346" s="94"/>
      <c r="O346" s="77" t="s">
        <v>708</v>
      </c>
      <c r="P346" s="105"/>
      <c r="Q346" s="97"/>
      <c r="R346" s="97"/>
      <c r="AB346" s="72">
        <v>1</v>
      </c>
      <c r="AE346" s="96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 t="str">
        <f>"" &amp; TEXT(AF346,"#0.00%") &amp; " " &amp; "Check Floor Level" &amp; " " &amp; IF(Q346="","",TEXT(Q346,"M/D-")) &amp; IF(R346="","",TEXT(R346,"M/D")) &amp; " "</f>
        <v xml:space="preserve">0.00% Check Floor Level  </v>
      </c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  <c r="DA346" s="94"/>
      <c r="DB346" s="94"/>
      <c r="DC346" s="94"/>
      <c r="DD346" s="94"/>
      <c r="DE346" s="94"/>
      <c r="DF346" s="94"/>
      <c r="DG346" s="94"/>
      <c r="DH346" s="94"/>
      <c r="DI346" s="94"/>
      <c r="DJ346" s="94"/>
      <c r="DK346" s="94"/>
      <c r="DL346" s="94"/>
      <c r="DM346" s="94"/>
      <c r="DN346" s="94"/>
      <c r="DO346" s="94"/>
      <c r="DP346" s="94"/>
      <c r="DQ346" s="94"/>
    </row>
    <row r="347" spans="1:121" ht="15" customHeight="1" outlineLevel="3" x14ac:dyDescent="0.3">
      <c r="A347" s="100"/>
      <c r="B347" s="100"/>
      <c r="C347" s="99">
        <v>4</v>
      </c>
      <c r="D347" s="98" t="s">
        <v>1009</v>
      </c>
      <c r="H347" s="77" t="s">
        <v>532</v>
      </c>
      <c r="I347" s="94"/>
      <c r="O347" s="77" t="s">
        <v>708</v>
      </c>
      <c r="P347" s="105"/>
      <c r="Q347" s="97"/>
      <c r="R347" s="97"/>
      <c r="AB347" s="72">
        <v>1</v>
      </c>
      <c r="AE347" s="96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 t="str">
        <f>" " &amp; TEXT(AF347,"#0.00%") &amp; " " &amp; "Check Line Marking" &amp; " " &amp; IF(Q347="","",TEXT(Q347,"M/D-")) &amp; IF(R347="","",TEXT(R347,"M/D")) &amp; " "</f>
        <v xml:space="preserve"> 0.00% Check Line Marking  </v>
      </c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  <c r="CW347" s="94"/>
      <c r="CX347" s="94"/>
      <c r="CY347" s="94"/>
      <c r="CZ347" s="94"/>
      <c r="DA347" s="94"/>
      <c r="DB347" s="94"/>
      <c r="DC347" s="94"/>
      <c r="DD347" s="94"/>
      <c r="DE347" s="94"/>
      <c r="DF347" s="94"/>
      <c r="DG347" s="94"/>
      <c r="DH347" s="94"/>
      <c r="DI347" s="94"/>
      <c r="DJ347" s="94"/>
      <c r="DK347" s="94"/>
      <c r="DL347" s="94"/>
      <c r="DM347" s="94"/>
      <c r="DN347" s="94"/>
      <c r="DO347" s="94"/>
      <c r="DP347" s="94"/>
      <c r="DQ347" s="94"/>
    </row>
    <row r="348" spans="1:121" ht="15" customHeight="1" outlineLevel="3" x14ac:dyDescent="0.3">
      <c r="A348" s="100"/>
      <c r="B348" s="100"/>
      <c r="C348" s="99">
        <v>4</v>
      </c>
      <c r="D348" s="98" t="s">
        <v>1008</v>
      </c>
      <c r="H348" s="77" t="s">
        <v>589</v>
      </c>
      <c r="I348" s="94"/>
      <c r="O348" s="77" t="s">
        <v>708</v>
      </c>
      <c r="P348" s="105"/>
      <c r="Q348" s="97"/>
      <c r="R348" s="97"/>
      <c r="AB348" s="72">
        <v>1</v>
      </c>
      <c r="AE348" s="96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 t="str">
        <f>"   " &amp; TEXT(AF348,"#0.00%") &amp; " " &amp; "Drilling Anchor Hole" &amp; " " &amp; IF(Q348="","",TEXT(Q348,"M/D-")) &amp; IF(R348="","",TEXT(R348,"M/D")) &amp; " "</f>
        <v xml:space="preserve">   0.00% Drilling Anchor Hole  </v>
      </c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  <c r="CW348" s="94"/>
      <c r="CX348" s="94"/>
      <c r="CY348" s="94"/>
      <c r="CZ348" s="94"/>
      <c r="DA348" s="94"/>
      <c r="DB348" s="94"/>
      <c r="DC348" s="94"/>
      <c r="DD348" s="94"/>
      <c r="DE348" s="94"/>
      <c r="DF348" s="94"/>
      <c r="DG348" s="94"/>
      <c r="DH348" s="94"/>
      <c r="DI348" s="94"/>
      <c r="DJ348" s="94"/>
      <c r="DK348" s="94"/>
      <c r="DL348" s="94"/>
      <c r="DM348" s="94"/>
      <c r="DN348" s="94"/>
      <c r="DO348" s="94"/>
      <c r="DP348" s="94"/>
      <c r="DQ348" s="94"/>
    </row>
    <row r="349" spans="1:121" ht="15" customHeight="1" outlineLevel="3" x14ac:dyDescent="0.3">
      <c r="A349" s="100"/>
      <c r="B349" s="100"/>
      <c r="C349" s="99">
        <v>4</v>
      </c>
      <c r="D349" s="98" t="s">
        <v>1007</v>
      </c>
      <c r="H349" s="77" t="s">
        <v>530</v>
      </c>
      <c r="I349" s="94"/>
      <c r="O349" s="77" t="s">
        <v>708</v>
      </c>
      <c r="P349" s="105"/>
      <c r="Q349" s="97"/>
      <c r="R349" s="97"/>
      <c r="AB349" s="72">
        <v>1</v>
      </c>
      <c r="AE349" s="96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 t="str">
        <f>"      " &amp; TEXT(AF349,"#0.00%") &amp; " "</f>
        <v xml:space="preserve">      0.00% </v>
      </c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 t="str">
        <f>"" &amp; "Move In" &amp; " " &amp; IF(Q349="","",TEXT(Q349,"M/D-")) &amp; IF(R349="","",TEXT(R349,"M/D")) &amp; " "</f>
        <v xml:space="preserve">Move In  </v>
      </c>
      <c r="CT349" s="94"/>
      <c r="CU349" s="94"/>
      <c r="CV349" s="94"/>
      <c r="CW349" s="94"/>
      <c r="CX349" s="94"/>
      <c r="CY349" s="94"/>
      <c r="CZ349" s="94"/>
      <c r="DA349" s="94"/>
      <c r="DB349" s="94"/>
      <c r="DC349" s="94"/>
      <c r="DD349" s="94"/>
      <c r="DE349" s="94"/>
      <c r="DF349" s="94"/>
      <c r="DG349" s="94"/>
      <c r="DH349" s="94"/>
      <c r="DI349" s="94"/>
      <c r="DJ349" s="94"/>
      <c r="DK349" s="94"/>
      <c r="DL349" s="94"/>
      <c r="DM349" s="94"/>
      <c r="DN349" s="94"/>
      <c r="DO349" s="94"/>
      <c r="DP349" s="94"/>
      <c r="DQ349" s="94"/>
    </row>
    <row r="350" spans="1:121" ht="15" customHeight="1" outlineLevel="3" x14ac:dyDescent="0.3">
      <c r="A350" s="100"/>
      <c r="B350" s="100"/>
      <c r="C350" s="99">
        <v>4</v>
      </c>
      <c r="D350" s="98" t="s">
        <v>1006</v>
      </c>
      <c r="H350" s="77" t="s">
        <v>706</v>
      </c>
      <c r="I350" s="94"/>
      <c r="O350" s="77" t="s">
        <v>700</v>
      </c>
      <c r="P350" s="105"/>
      <c r="Q350" s="97"/>
      <c r="R350" s="97"/>
      <c r="AB350" s="72">
        <v>1</v>
      </c>
      <c r="AE350" s="96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 t="str">
        <f>"    " &amp; TEXT(AF350,"#0.00%") &amp; " " &amp; "Install Anchor &amp; Nut" &amp; " " &amp; IF(Q350="","",TEXT(Q350,"M/D-")) &amp; IF(R350="","",TEXT(R350,"M/D")) &amp; " "</f>
        <v xml:space="preserve">    0.00% Install Anchor &amp; Nut  </v>
      </c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</row>
    <row r="351" spans="1:121" ht="15" customHeight="1" outlineLevel="3" x14ac:dyDescent="0.3">
      <c r="A351" s="100"/>
      <c r="B351" s="100"/>
      <c r="C351" s="99">
        <v>4</v>
      </c>
      <c r="D351" s="98" t="s">
        <v>1005</v>
      </c>
      <c r="H351" s="77" t="s">
        <v>704</v>
      </c>
      <c r="I351" s="94"/>
      <c r="O351" s="77" t="s">
        <v>700</v>
      </c>
      <c r="P351" s="105"/>
      <c r="Q351" s="97"/>
      <c r="R351" s="97"/>
      <c r="AB351" s="72">
        <v>1</v>
      </c>
      <c r="AE351" s="96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 t="str">
        <f>"      " &amp; TEXT(AF351,"#0.00%") &amp; " " &amp; "Install Deck Post&amp;Girder&amp;Bracing" &amp; " " &amp; IF(Q351="","",TEXT(Q351,"M/D-")) &amp; IF(R351="","",TEXT(R351,"M/D")) &amp; " "</f>
        <v xml:space="preserve">      0.00% Install Deck Post&amp;Girder&amp;Bracing  </v>
      </c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</row>
    <row r="352" spans="1:121" ht="15" customHeight="1" outlineLevel="3" x14ac:dyDescent="0.3">
      <c r="A352" s="100"/>
      <c r="B352" s="100"/>
      <c r="C352" s="99">
        <v>4</v>
      </c>
      <c r="D352" s="98" t="s">
        <v>1004</v>
      </c>
      <c r="H352" s="77" t="s">
        <v>647</v>
      </c>
      <c r="I352" s="94"/>
      <c r="O352" s="77" t="s">
        <v>700</v>
      </c>
      <c r="P352" s="105"/>
      <c r="Q352" s="97"/>
      <c r="R352" s="97"/>
      <c r="AB352" s="72">
        <v>1</v>
      </c>
      <c r="AE352" s="96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 t="str">
        <f>"   " &amp; TEXT(AF352,"#0.00%") &amp; " " &amp; "Install Tower Stair" &amp; " " &amp; IF(Q352="","",TEXT(Q352,"M/D-")) &amp; IF(R352="","",TEXT(R352,"M/D")) &amp; " "</f>
        <v xml:space="preserve">   0.00% Install Tower Stair  </v>
      </c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  <c r="DF352" s="94"/>
      <c r="DG352" s="94"/>
      <c r="DH352" s="94"/>
      <c r="DI352" s="94"/>
      <c r="DJ352" s="94"/>
      <c r="DK352" s="94"/>
      <c r="DL352" s="94"/>
      <c r="DM352" s="94"/>
      <c r="DN352" s="94"/>
      <c r="DO352" s="94"/>
      <c r="DP352" s="94"/>
      <c r="DQ352" s="94"/>
    </row>
    <row r="353" spans="1:121" ht="15" customHeight="1" outlineLevel="3" x14ac:dyDescent="0.3">
      <c r="A353" s="100"/>
      <c r="B353" s="100"/>
      <c r="C353" s="99">
        <v>4</v>
      </c>
      <c r="D353" s="98" t="s">
        <v>1003</v>
      </c>
      <c r="H353" s="77" t="s">
        <v>702</v>
      </c>
      <c r="I353" s="94"/>
      <c r="O353" s="77" t="s">
        <v>700</v>
      </c>
      <c r="P353" s="105"/>
      <c r="Q353" s="97"/>
      <c r="R353" s="97"/>
      <c r="AB353" s="72">
        <v>1</v>
      </c>
      <c r="AE353" s="96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94"/>
      <c r="BZ353" s="94"/>
      <c r="CA353" s="94"/>
      <c r="CB353" s="94"/>
      <c r="CC353" s="94"/>
      <c r="CD353" s="94"/>
      <c r="CE353" s="94"/>
      <c r="CF353" s="94"/>
      <c r="CG353" s="94"/>
      <c r="CH353" s="94"/>
      <c r="CI353" s="94" t="str">
        <f>"     " &amp; TEXT(AF353,"#0.00%") &amp; " " &amp; "Check Vertical(Deck Post&amp;Tower Stair)" &amp; " " &amp; IF(Q353="","",TEXT(Q353,"M/D-")) &amp; IF(R353="","",TEXT(R353,"M/D")) &amp; " "</f>
        <v xml:space="preserve">     0.00% Check Vertical(Deck Post&amp;Tower Stair)  </v>
      </c>
      <c r="CJ353" s="94"/>
      <c r="CK353" s="94"/>
      <c r="CL353" s="94"/>
      <c r="CM353" s="94"/>
      <c r="CN353" s="94"/>
      <c r="CO353" s="94"/>
      <c r="CP353" s="94"/>
      <c r="CQ353" s="94"/>
      <c r="CR353" s="94"/>
      <c r="CS353" s="94"/>
      <c r="CT353" s="94"/>
      <c r="CU353" s="94"/>
      <c r="CV353" s="94"/>
      <c r="CW353" s="94"/>
      <c r="CX353" s="94"/>
      <c r="CY353" s="94"/>
      <c r="CZ353" s="94"/>
      <c r="DA353" s="94"/>
      <c r="DB353" s="94"/>
      <c r="DC353" s="94"/>
      <c r="DD353" s="94"/>
      <c r="DE353" s="94"/>
      <c r="DF353" s="94"/>
      <c r="DG353" s="94"/>
      <c r="DH353" s="94"/>
      <c r="DI353" s="94"/>
      <c r="DJ353" s="94"/>
      <c r="DK353" s="94"/>
      <c r="DL353" s="94"/>
      <c r="DM353" s="94"/>
      <c r="DN353" s="94"/>
      <c r="DO353" s="94"/>
      <c r="DP353" s="94"/>
      <c r="DQ353" s="94"/>
    </row>
    <row r="354" spans="1:121" ht="15" customHeight="1" outlineLevel="3" x14ac:dyDescent="0.3">
      <c r="A354" s="100"/>
      <c r="B354" s="100"/>
      <c r="C354" s="99">
        <v>4</v>
      </c>
      <c r="D354" s="98" t="s">
        <v>1002</v>
      </c>
      <c r="H354" s="77" t="s">
        <v>546</v>
      </c>
      <c r="I354" s="94"/>
      <c r="O354" s="77" t="s">
        <v>700</v>
      </c>
      <c r="P354" s="105"/>
      <c r="Q354" s="97"/>
      <c r="R354" s="97"/>
      <c r="AB354" s="72">
        <v>1</v>
      </c>
      <c r="AE354" s="96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 t="str">
        <f>"" &amp; TEXT(AF354,"#0.00%") &amp; " " &amp; "Install Deck Frame&amp;Hand Rail" &amp; " " &amp; IF(Q354="","",TEXT(Q354,"M/D-")) &amp; IF(R354="","",TEXT(R354,"M/D")) &amp; " "</f>
        <v xml:space="preserve">0.00% Install Deck Frame&amp;Hand Rail  </v>
      </c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  <c r="CW354" s="94"/>
      <c r="CX354" s="94"/>
      <c r="CY354" s="94"/>
      <c r="CZ354" s="94"/>
      <c r="DA354" s="94"/>
      <c r="DB354" s="94"/>
      <c r="DC354" s="94"/>
      <c r="DD354" s="94"/>
      <c r="DE354" s="94"/>
      <c r="DF354" s="94"/>
      <c r="DG354" s="94"/>
      <c r="DH354" s="94"/>
      <c r="DI354" s="94"/>
      <c r="DJ354" s="94"/>
      <c r="DK354" s="94"/>
      <c r="DL354" s="94"/>
      <c r="DM354" s="94"/>
      <c r="DN354" s="94"/>
      <c r="DO354" s="94"/>
      <c r="DP354" s="94"/>
      <c r="DQ354" s="94"/>
    </row>
    <row r="355" spans="1:121" ht="15" customHeight="1" outlineLevel="3" x14ac:dyDescent="0.3">
      <c r="A355" s="100"/>
      <c r="B355" s="100"/>
      <c r="C355" s="99">
        <v>4</v>
      </c>
      <c r="D355" s="98" t="s">
        <v>1001</v>
      </c>
      <c r="H355" s="77" t="s">
        <v>528</v>
      </c>
      <c r="I355" s="94"/>
      <c r="O355" s="77" t="s">
        <v>518</v>
      </c>
      <c r="P355" s="105"/>
      <c r="Q355" s="97"/>
      <c r="R355" s="97"/>
      <c r="AB355" s="72">
        <v>1</v>
      </c>
      <c r="AE355" s="96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 t="str">
        <f>" " &amp; TEXT(AF355,"#0.00%") &amp; " " &amp; "Check Track Number" &amp; " " &amp; IF(Q355="","",TEXT(Q355,"M/D-")) &amp; IF(R355="","",TEXT(R355,"M/D")) &amp; " "</f>
        <v xml:space="preserve"> 0.00% Check Track Number  </v>
      </c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  <c r="DF355" s="94"/>
      <c r="DG355" s="94"/>
      <c r="DH355" s="94"/>
      <c r="DI355" s="94"/>
      <c r="DJ355" s="94"/>
      <c r="DK355" s="94"/>
      <c r="DL355" s="94"/>
      <c r="DM355" s="94"/>
      <c r="DN355" s="94"/>
      <c r="DO355" s="94"/>
      <c r="DP355" s="94"/>
      <c r="DQ355" s="94"/>
    </row>
    <row r="356" spans="1:121" ht="15" customHeight="1" outlineLevel="3" x14ac:dyDescent="0.3">
      <c r="A356" s="100"/>
      <c r="B356" s="100"/>
      <c r="C356" s="99">
        <v>4</v>
      </c>
      <c r="D356" s="98" t="s">
        <v>1000</v>
      </c>
      <c r="H356" s="77" t="s">
        <v>544</v>
      </c>
      <c r="I356" s="94"/>
      <c r="O356" s="77" t="s">
        <v>518</v>
      </c>
      <c r="P356" s="105"/>
      <c r="Q356" s="97"/>
      <c r="R356" s="97"/>
      <c r="AB356" s="72">
        <v>1</v>
      </c>
      <c r="AE356" s="96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 t="str">
        <f>" " &amp; TEXT(AF356,"#0.00%") &amp; " " &amp; "Install Lifter" &amp; " " &amp; IF(Q356="","",TEXT(Q356,"M/D-")) &amp; IF(R356="","",TEXT(R356,"M/D")) &amp; " "</f>
        <v xml:space="preserve"> 0.00% Install Lifter  </v>
      </c>
      <c r="CK356" s="94"/>
      <c r="CL356" s="94"/>
      <c r="CM356" s="94"/>
      <c r="CN356" s="94"/>
      <c r="CO356" s="94"/>
      <c r="CP356" s="94"/>
      <c r="CQ356" s="94"/>
      <c r="CR356" s="94"/>
      <c r="CS356" s="94"/>
      <c r="CT356" s="94"/>
      <c r="CU356" s="94"/>
      <c r="CV356" s="94"/>
      <c r="CW356" s="94"/>
      <c r="CX356" s="94"/>
      <c r="CY356" s="94"/>
      <c r="CZ356" s="94"/>
      <c r="DA356" s="94"/>
      <c r="DB356" s="94"/>
      <c r="DC356" s="94"/>
      <c r="DD356" s="94"/>
      <c r="DE356" s="94"/>
      <c r="DF356" s="94"/>
      <c r="DG356" s="94"/>
      <c r="DH356" s="94"/>
      <c r="DI356" s="94"/>
      <c r="DJ356" s="94"/>
      <c r="DK356" s="94"/>
      <c r="DL356" s="94"/>
      <c r="DM356" s="94"/>
      <c r="DN356" s="94"/>
      <c r="DO356" s="94"/>
      <c r="DP356" s="94"/>
      <c r="DQ356" s="94"/>
    </row>
    <row r="357" spans="1:121" ht="15" customHeight="1" outlineLevel="3" x14ac:dyDescent="0.3">
      <c r="A357" s="100"/>
      <c r="B357" s="100"/>
      <c r="C357" s="99">
        <v>4</v>
      </c>
      <c r="D357" s="98" t="s">
        <v>999</v>
      </c>
      <c r="H357" s="77" t="s">
        <v>998</v>
      </c>
      <c r="I357" s="94"/>
      <c r="O357" s="77" t="s">
        <v>518</v>
      </c>
      <c r="P357" s="105"/>
      <c r="Q357" s="97"/>
      <c r="R357" s="97"/>
      <c r="AB357" s="72">
        <v>1</v>
      </c>
      <c r="AE357" s="96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94"/>
      <c r="BZ357" s="94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 t="str">
        <f>"   " &amp; TEXT(AF357,"#0.00%") &amp; " " &amp; "Check Vertical" &amp; " " &amp; IF(Q357="","",TEXT(Q357,"M/D-")) &amp; IF(R357="","",TEXT(R357,"M/D")) &amp; " "</f>
        <v xml:space="preserve">   0.00% Check Vertical  </v>
      </c>
      <c r="CK357" s="94"/>
      <c r="CL357" s="94"/>
      <c r="CM357" s="94"/>
      <c r="CN357" s="94"/>
      <c r="CO357" s="94"/>
      <c r="CP357" s="94"/>
      <c r="CQ357" s="94"/>
      <c r="CR357" s="94"/>
      <c r="CS357" s="94"/>
      <c r="CT357" s="94"/>
      <c r="CU357" s="94"/>
      <c r="CV357" s="94"/>
      <c r="CW357" s="94"/>
      <c r="CX357" s="94"/>
      <c r="CY357" s="94"/>
      <c r="CZ357" s="94"/>
      <c r="DA357" s="94"/>
      <c r="DB357" s="94"/>
      <c r="DC357" s="94"/>
      <c r="DD357" s="94"/>
      <c r="DE357" s="94"/>
      <c r="DF357" s="94"/>
      <c r="DG357" s="94"/>
      <c r="DH357" s="94"/>
      <c r="DI357" s="94"/>
      <c r="DJ357" s="94"/>
      <c r="DK357" s="94"/>
      <c r="DL357" s="94"/>
      <c r="DM357" s="94"/>
      <c r="DN357" s="94"/>
      <c r="DO357" s="94"/>
      <c r="DP357" s="94"/>
      <c r="DQ357" s="94"/>
    </row>
    <row r="358" spans="1:121" ht="15" customHeight="1" outlineLevel="3" x14ac:dyDescent="0.3">
      <c r="A358" s="100"/>
      <c r="B358" s="100"/>
      <c r="C358" s="99">
        <v>4</v>
      </c>
      <c r="D358" s="98" t="s">
        <v>997</v>
      </c>
      <c r="H358" s="77" t="s">
        <v>996</v>
      </c>
      <c r="I358" s="94"/>
      <c r="O358" s="77" t="s">
        <v>518</v>
      </c>
      <c r="P358" s="105"/>
      <c r="Q358" s="97"/>
      <c r="R358" s="97"/>
      <c r="AB358" s="72">
        <v>1</v>
      </c>
      <c r="AE358" s="96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94"/>
      <c r="BZ358" s="94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 t="str">
        <f>"     " &amp; TEXT(AF358,"#0.00%") &amp; " " &amp; "Setting Lifter Driving Accessories" &amp; " " &amp; IF(Q358="","",TEXT(Q358,"M/D-")) &amp; IF(R358="","",TEXT(R358,"M/D")) &amp; " "</f>
        <v xml:space="preserve">     0.00% Setting Lifter Driving Accessories  </v>
      </c>
      <c r="CK358" s="94"/>
      <c r="CL358" s="94"/>
      <c r="CM358" s="94"/>
      <c r="CN358" s="94"/>
      <c r="CO358" s="94"/>
      <c r="CP358" s="94"/>
      <c r="CQ358" s="94"/>
      <c r="CR358" s="94"/>
      <c r="CS358" s="94"/>
      <c r="CT358" s="94"/>
      <c r="CU358" s="94"/>
      <c r="CV358" s="94"/>
      <c r="CW358" s="94"/>
      <c r="CX358" s="94"/>
      <c r="CY358" s="94"/>
      <c r="CZ358" s="94"/>
      <c r="DA358" s="94"/>
      <c r="DB358" s="94"/>
      <c r="DC358" s="94"/>
      <c r="DD358" s="94"/>
      <c r="DE358" s="94"/>
      <c r="DF358" s="94"/>
      <c r="DG358" s="94"/>
      <c r="DH358" s="94"/>
      <c r="DI358" s="94"/>
      <c r="DJ358" s="94"/>
      <c r="DK358" s="94"/>
      <c r="DL358" s="94"/>
      <c r="DM358" s="94"/>
      <c r="DN358" s="94"/>
      <c r="DO358" s="94"/>
      <c r="DP358" s="94"/>
      <c r="DQ358" s="94"/>
    </row>
    <row r="359" spans="1:121" ht="15" customHeight="1" outlineLevel="3" x14ac:dyDescent="0.3">
      <c r="A359" s="100"/>
      <c r="B359" s="100"/>
      <c r="C359" s="99">
        <v>4</v>
      </c>
      <c r="D359" s="98" t="s">
        <v>995</v>
      </c>
      <c r="H359" s="77" t="s">
        <v>550</v>
      </c>
      <c r="I359" s="94"/>
      <c r="O359" s="77" t="s">
        <v>518</v>
      </c>
      <c r="P359" s="105"/>
      <c r="Q359" s="97"/>
      <c r="R359" s="97"/>
      <c r="AB359" s="72">
        <v>1</v>
      </c>
      <c r="AE359" s="96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94"/>
      <c r="BZ359" s="94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 t="str">
        <f>"" &amp; TEXT(AF359,"#0.00%") &amp; " " &amp; "Install Anchor" &amp; " " &amp; IF(Q359="","",TEXT(Q359,"M/D-")) &amp; IF(R359="","",TEXT(R359,"M/D")) &amp; " "</f>
        <v xml:space="preserve">0.00% Install Anchor  </v>
      </c>
      <c r="CL359" s="94"/>
      <c r="CM359" s="94"/>
      <c r="CN359" s="94"/>
      <c r="CO359" s="94"/>
      <c r="CP359" s="94"/>
      <c r="CQ359" s="94"/>
      <c r="CR359" s="94"/>
      <c r="CS359" s="94"/>
      <c r="CT359" s="94"/>
      <c r="CU359" s="94"/>
      <c r="CV359" s="94"/>
      <c r="CW359" s="94"/>
      <c r="CX359" s="94"/>
      <c r="CY359" s="94"/>
      <c r="CZ359" s="94"/>
      <c r="DA359" s="94"/>
      <c r="DB359" s="94"/>
      <c r="DC359" s="94"/>
      <c r="DD359" s="94"/>
      <c r="DE359" s="94"/>
      <c r="DF359" s="94"/>
      <c r="DG359" s="94"/>
      <c r="DH359" s="94"/>
      <c r="DI359" s="94"/>
      <c r="DJ359" s="94"/>
      <c r="DK359" s="94"/>
      <c r="DL359" s="94"/>
      <c r="DM359" s="94"/>
      <c r="DN359" s="94"/>
      <c r="DO359" s="94"/>
      <c r="DP359" s="94"/>
      <c r="DQ359" s="94"/>
    </row>
    <row r="360" spans="1:121" ht="15" customHeight="1" outlineLevel="3" x14ac:dyDescent="0.3">
      <c r="A360" s="100"/>
      <c r="B360" s="100"/>
      <c r="C360" s="99">
        <v>4</v>
      </c>
      <c r="D360" s="98" t="s">
        <v>994</v>
      </c>
      <c r="H360" s="77" t="s">
        <v>706</v>
      </c>
      <c r="I360" s="94"/>
      <c r="O360" s="77" t="s">
        <v>984</v>
      </c>
      <c r="P360" s="105"/>
      <c r="Q360" s="97"/>
      <c r="R360" s="97"/>
      <c r="AB360" s="72">
        <v>1</v>
      </c>
      <c r="AE360" s="96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94"/>
      <c r="BZ360" s="94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 t="str">
        <f>"" &amp; TEXT(AF360,"#0.00%") &amp; " " &amp; "Install Anchor &amp; Nut" &amp; " " &amp; IF(Q360="","",TEXT(Q360,"M/D-")) &amp; IF(R360="","",TEXT(R360,"M/D")) &amp; " "</f>
        <v xml:space="preserve">0.00% Install Anchor &amp; Nut  </v>
      </c>
      <c r="CK360" s="94"/>
      <c r="CL360" s="94"/>
      <c r="CM360" s="94"/>
      <c r="CN360" s="94"/>
      <c r="CO360" s="94"/>
      <c r="CP360" s="94"/>
      <c r="CQ360" s="94"/>
      <c r="CR360" s="94"/>
      <c r="CS360" s="94"/>
      <c r="CT360" s="94"/>
      <c r="CU360" s="94"/>
      <c r="CV360" s="94"/>
      <c r="CW360" s="94"/>
      <c r="CX360" s="94"/>
      <c r="CY360" s="94"/>
      <c r="CZ360" s="94"/>
      <c r="DA360" s="94"/>
      <c r="DB360" s="94"/>
      <c r="DC360" s="94"/>
      <c r="DD360" s="94"/>
      <c r="DE360" s="94"/>
      <c r="DF360" s="94"/>
      <c r="DG360" s="94"/>
      <c r="DH360" s="94"/>
      <c r="DI360" s="94"/>
      <c r="DJ360" s="94"/>
      <c r="DK360" s="94"/>
      <c r="DL360" s="94"/>
      <c r="DM360" s="94"/>
      <c r="DN360" s="94"/>
      <c r="DO360" s="94"/>
      <c r="DP360" s="94"/>
      <c r="DQ360" s="94"/>
    </row>
    <row r="361" spans="1:121" ht="15" customHeight="1" outlineLevel="3" x14ac:dyDescent="0.3">
      <c r="A361" s="100"/>
      <c r="B361" s="100"/>
      <c r="C361" s="99">
        <v>4</v>
      </c>
      <c r="D361" s="98" t="s">
        <v>993</v>
      </c>
      <c r="H361" s="77" t="s">
        <v>902</v>
      </c>
      <c r="I361" s="94"/>
      <c r="O361" s="77" t="s">
        <v>984</v>
      </c>
      <c r="P361" s="105"/>
      <c r="Q361" s="97"/>
      <c r="R361" s="97"/>
      <c r="AB361" s="72">
        <v>1</v>
      </c>
      <c r="AE361" s="96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94"/>
      <c r="BZ361" s="94"/>
      <c r="CA361" s="94"/>
      <c r="CB361" s="94"/>
      <c r="CC361" s="94"/>
      <c r="CD361" s="94"/>
      <c r="CE361" s="94"/>
      <c r="CF361" s="94"/>
      <c r="CG361" s="94"/>
      <c r="CH361" s="94"/>
      <c r="CI361" s="94"/>
      <c r="CJ361" s="94" t="str">
        <f>" " &amp; TEXT(AF361,"#0.00%") &amp; " " &amp; "Check Nut Level" &amp; " " &amp; IF(Q361="","",TEXT(Q361,"M/D-")) &amp; IF(R361="","",TEXT(R361,"M/D")) &amp; " "</f>
        <v xml:space="preserve"> 0.00% Check Nut Level  </v>
      </c>
      <c r="CK361" s="94"/>
      <c r="CL361" s="94"/>
      <c r="CM361" s="94"/>
      <c r="CN361" s="94"/>
      <c r="CO361" s="94"/>
      <c r="CP361" s="94"/>
      <c r="CQ361" s="94"/>
      <c r="CR361" s="94"/>
      <c r="CS361" s="94"/>
      <c r="CT361" s="94"/>
      <c r="CU361" s="94"/>
      <c r="CV361" s="94"/>
      <c r="CW361" s="94"/>
      <c r="CX361" s="94"/>
      <c r="CY361" s="94"/>
      <c r="CZ361" s="94"/>
      <c r="DA361" s="94"/>
      <c r="DB361" s="94"/>
      <c r="DC361" s="94"/>
      <c r="DD361" s="94"/>
      <c r="DE361" s="94"/>
      <c r="DF361" s="94"/>
      <c r="DG361" s="94"/>
      <c r="DH361" s="94"/>
      <c r="DI361" s="94"/>
      <c r="DJ361" s="94"/>
      <c r="DK361" s="94"/>
      <c r="DL361" s="94"/>
      <c r="DM361" s="94"/>
      <c r="DN361" s="94"/>
      <c r="DO361" s="94"/>
      <c r="DP361" s="94"/>
      <c r="DQ361" s="94"/>
    </row>
    <row r="362" spans="1:121" ht="15" customHeight="1" outlineLevel="3" x14ac:dyDescent="0.3">
      <c r="A362" s="100"/>
      <c r="B362" s="100"/>
      <c r="C362" s="99">
        <v>4</v>
      </c>
      <c r="D362" s="98" t="s">
        <v>992</v>
      </c>
      <c r="H362" s="77" t="s">
        <v>991</v>
      </c>
      <c r="I362" s="94"/>
      <c r="O362" s="77" t="s">
        <v>984</v>
      </c>
      <c r="P362" s="105"/>
      <c r="Q362" s="97"/>
      <c r="R362" s="97"/>
      <c r="AB362" s="72">
        <v>1</v>
      </c>
      <c r="AE362" s="96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94"/>
      <c r="BZ362" s="94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 t="str">
        <f>"   " &amp; TEXT(AF362,"#0.00%") &amp; " " &amp; "Install Deck Post&amp;Girder(Floor 2)" &amp; " " &amp; IF(Q362="","",TEXT(Q362,"M/D-")) &amp; IF(R362="","",TEXT(R362,"M/D")) &amp; " "</f>
        <v xml:space="preserve">   0.00% Install Deck Post&amp;Girder(Floor 2)  </v>
      </c>
      <c r="CK362" s="94"/>
      <c r="CL362" s="94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  <c r="CW362" s="94"/>
      <c r="CX362" s="94"/>
      <c r="CY362" s="94"/>
      <c r="CZ362" s="94"/>
      <c r="DA362" s="94"/>
      <c r="DB362" s="94"/>
      <c r="DC362" s="94"/>
      <c r="DD362" s="94"/>
      <c r="DE362" s="94"/>
      <c r="DF362" s="94"/>
      <c r="DG362" s="94"/>
      <c r="DH362" s="94"/>
      <c r="DI362" s="94"/>
      <c r="DJ362" s="94"/>
      <c r="DK362" s="94"/>
      <c r="DL362" s="94"/>
      <c r="DM362" s="94"/>
      <c r="DN362" s="94"/>
      <c r="DO362" s="94"/>
      <c r="DP362" s="94"/>
      <c r="DQ362" s="94"/>
    </row>
    <row r="363" spans="1:121" ht="15" customHeight="1" outlineLevel="3" x14ac:dyDescent="0.3">
      <c r="A363" s="100"/>
      <c r="B363" s="100"/>
      <c r="C363" s="99">
        <v>4</v>
      </c>
      <c r="D363" s="98" t="s">
        <v>990</v>
      </c>
      <c r="H363" s="77" t="s">
        <v>989</v>
      </c>
      <c r="I363" s="94"/>
      <c r="O363" s="77" t="s">
        <v>984</v>
      </c>
      <c r="P363" s="105"/>
      <c r="Q363" s="97"/>
      <c r="R363" s="97"/>
      <c r="AB363" s="72">
        <v>1</v>
      </c>
      <c r="AE363" s="96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94"/>
      <c r="BZ363" s="94"/>
      <c r="CA363" s="94"/>
      <c r="CB363" s="94"/>
      <c r="CC363" s="94"/>
      <c r="CD363" s="94"/>
      <c r="CE363" s="94"/>
      <c r="CF363" s="94"/>
      <c r="CG363" s="94"/>
      <c r="CH363" s="94"/>
      <c r="CI363" s="94"/>
      <c r="CJ363" s="94"/>
      <c r="CK363" s="94" t="str">
        <f>"      " &amp; TEXT(AF363,"#0.00%") &amp; " " &amp; "Install Rail Base(Floor 2)" &amp; " " &amp; IF(Q363="","",TEXT(Q363,"M/D-")) &amp; IF(R363="","",TEXT(R363,"M/D")) &amp; " "</f>
        <v xml:space="preserve">      0.00% Install Rail Base(Floor 2)  </v>
      </c>
      <c r="CL363" s="94"/>
      <c r="CM363" s="94"/>
      <c r="CN363" s="94"/>
      <c r="CO363" s="94"/>
      <c r="CP363" s="94"/>
      <c r="CQ363" s="94"/>
      <c r="CR363" s="94"/>
      <c r="CS363" s="94"/>
      <c r="CT363" s="94"/>
      <c r="CU363" s="94"/>
      <c r="CV363" s="94"/>
      <c r="CW363" s="94"/>
      <c r="CX363" s="94"/>
      <c r="CY363" s="94"/>
      <c r="CZ363" s="94"/>
      <c r="DA363" s="94"/>
      <c r="DB363" s="94"/>
      <c r="DC363" s="94"/>
      <c r="DD363" s="94"/>
      <c r="DE363" s="94"/>
      <c r="DF363" s="94"/>
      <c r="DG363" s="94"/>
      <c r="DH363" s="94"/>
      <c r="DI363" s="94"/>
      <c r="DJ363" s="94"/>
      <c r="DK363" s="94"/>
      <c r="DL363" s="94"/>
      <c r="DM363" s="94"/>
      <c r="DN363" s="94"/>
      <c r="DO363" s="94"/>
      <c r="DP363" s="94"/>
      <c r="DQ363" s="94"/>
    </row>
    <row r="364" spans="1:121" ht="15" customHeight="1" outlineLevel="3" x14ac:dyDescent="0.3">
      <c r="A364" s="100"/>
      <c r="B364" s="100"/>
      <c r="C364" s="99">
        <v>4</v>
      </c>
      <c r="D364" s="98" t="s">
        <v>988</v>
      </c>
      <c r="H364" s="77" t="s">
        <v>987</v>
      </c>
      <c r="I364" s="94"/>
      <c r="O364" s="77" t="s">
        <v>984</v>
      </c>
      <c r="P364" s="105"/>
      <c r="Q364" s="97"/>
      <c r="R364" s="97"/>
      <c r="AB364" s="72">
        <v>1</v>
      </c>
      <c r="AE364" s="96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 t="str">
        <f>"    " &amp; TEXT(AF364,"#0.00%") &amp; " " &amp; "Check Rail Base Level" &amp; " " &amp; IF(Q364="","",TEXT(Q364,"M/D-")) &amp; IF(R364="","",TEXT(R364,"M/D")) &amp; " "</f>
        <v xml:space="preserve">    0.00% Check Rail Base Level  </v>
      </c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</row>
    <row r="365" spans="1:121" ht="15" customHeight="1" outlineLevel="3" x14ac:dyDescent="0.3">
      <c r="A365" s="100"/>
      <c r="B365" s="100"/>
      <c r="C365" s="99">
        <v>4</v>
      </c>
      <c r="D365" s="98" t="s">
        <v>986</v>
      </c>
      <c r="H365" s="77" t="s">
        <v>985</v>
      </c>
      <c r="I365" s="94"/>
      <c r="O365" s="77" t="s">
        <v>984</v>
      </c>
      <c r="P365" s="105"/>
      <c r="Q365" s="97"/>
      <c r="R365" s="97"/>
      <c r="AB365" s="72">
        <v>1</v>
      </c>
      <c r="AE365" s="96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94"/>
      <c r="BZ365" s="94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4"/>
      <c r="CM365" s="94" t="str">
        <f>"" &amp; TEXT(AF365,"#0.00%") &amp; " " &amp; "Install Deck Frame(Floor 2)" &amp; " " &amp; IF(Q365="","",TEXT(Q365,"M/D-")) &amp; IF(R365="","",TEXT(R365,"M/D")) &amp; " "</f>
        <v xml:space="preserve">0.00% Install Deck Frame(Floor 2)  </v>
      </c>
      <c r="CN365" s="94"/>
      <c r="CO365" s="94"/>
      <c r="CP365" s="94"/>
      <c r="CQ365" s="94"/>
      <c r="CR365" s="94"/>
      <c r="CS365" s="94"/>
      <c r="CT365" s="94"/>
      <c r="CU365" s="94"/>
      <c r="CV365" s="94"/>
      <c r="CW365" s="94"/>
      <c r="CX365" s="94"/>
      <c r="CY365" s="94"/>
      <c r="CZ365" s="94"/>
      <c r="DA365" s="94"/>
      <c r="DB365" s="94"/>
      <c r="DC365" s="94"/>
      <c r="DD365" s="94"/>
      <c r="DE365" s="94"/>
      <c r="DF365" s="94"/>
      <c r="DG365" s="94"/>
      <c r="DH365" s="94"/>
      <c r="DI365" s="94"/>
      <c r="DJ365" s="94"/>
      <c r="DK365" s="94"/>
      <c r="DL365" s="94"/>
      <c r="DM365" s="94"/>
      <c r="DN365" s="94"/>
      <c r="DO365" s="94"/>
      <c r="DP365" s="94"/>
      <c r="DQ365" s="94"/>
    </row>
    <row r="366" spans="1:121" ht="15" customHeight="1" outlineLevel="3" x14ac:dyDescent="0.3">
      <c r="A366" s="100"/>
      <c r="B366" s="100"/>
      <c r="C366" s="99">
        <v>4</v>
      </c>
      <c r="D366" s="98" t="s">
        <v>983</v>
      </c>
      <c r="H366" s="77" t="s">
        <v>528</v>
      </c>
      <c r="I366" s="94"/>
      <c r="O366" s="77" t="s">
        <v>972</v>
      </c>
      <c r="P366" s="105"/>
      <c r="Q366" s="97"/>
      <c r="R366" s="97"/>
      <c r="AB366" s="72">
        <v>1</v>
      </c>
      <c r="AE366" s="96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94"/>
      <c r="BZ366" s="94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4"/>
      <c r="CM366" s="94" t="str">
        <f>"  " &amp; TEXT(AF366,"#0.00%") &amp; " " &amp; "Check Track Number" &amp; " " &amp; IF(Q366="","",TEXT(Q366,"M/D-")) &amp; IF(R366="","",TEXT(R366,"M/D")) &amp; " "</f>
        <v xml:space="preserve">  0.00% Check Track Number  </v>
      </c>
      <c r="CN366" s="94"/>
      <c r="CO366" s="94"/>
      <c r="CP366" s="94"/>
      <c r="CQ366" s="94"/>
      <c r="CR366" s="94"/>
      <c r="CS366" s="94"/>
      <c r="CT366" s="94"/>
      <c r="CU366" s="94"/>
      <c r="CV366" s="94"/>
      <c r="CW366" s="94"/>
      <c r="CX366" s="94"/>
      <c r="CY366" s="94"/>
      <c r="CZ366" s="94"/>
      <c r="DA366" s="94"/>
      <c r="DB366" s="94"/>
      <c r="DC366" s="94"/>
      <c r="DD366" s="94"/>
      <c r="DE366" s="94"/>
      <c r="DF366" s="94"/>
      <c r="DG366" s="94"/>
      <c r="DH366" s="94"/>
      <c r="DI366" s="94"/>
      <c r="DJ366" s="94"/>
      <c r="DK366" s="94"/>
      <c r="DL366" s="94"/>
      <c r="DM366" s="94"/>
      <c r="DN366" s="94"/>
      <c r="DO366" s="94"/>
      <c r="DP366" s="94"/>
      <c r="DQ366" s="94"/>
    </row>
    <row r="367" spans="1:121" ht="15" customHeight="1" outlineLevel="3" x14ac:dyDescent="0.3">
      <c r="A367" s="100"/>
      <c r="B367" s="100"/>
      <c r="C367" s="99">
        <v>4</v>
      </c>
      <c r="D367" s="98" t="s">
        <v>982</v>
      </c>
      <c r="H367" s="77" t="s">
        <v>981</v>
      </c>
      <c r="I367" s="94"/>
      <c r="O367" s="77" t="s">
        <v>972</v>
      </c>
      <c r="P367" s="105"/>
      <c r="Q367" s="97"/>
      <c r="R367" s="97"/>
      <c r="AB367" s="72">
        <v>1</v>
      </c>
      <c r="AE367" s="96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94"/>
      <c r="BZ367" s="94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4"/>
      <c r="CM367" s="94" t="str">
        <f>"   " &amp; TEXT(AF367,"#0.00%") &amp; " " &amp; "Install C/V(Floor 2)" &amp; " " &amp; IF(Q367="","",TEXT(Q367,"M/D-")) &amp; IF(R367="","",TEXT(R367,"M/D")) &amp; " "</f>
        <v xml:space="preserve">   0.00% Install C/V(Floor 2)  </v>
      </c>
      <c r="CN367" s="94"/>
      <c r="CO367" s="94"/>
      <c r="CP367" s="94"/>
      <c r="CQ367" s="94"/>
      <c r="CR367" s="94"/>
      <c r="CS367" s="94"/>
      <c r="CT367" s="94"/>
      <c r="CU367" s="94"/>
      <c r="CV367" s="94"/>
      <c r="CW367" s="94"/>
      <c r="CX367" s="94"/>
      <c r="CY367" s="94"/>
      <c r="CZ367" s="94"/>
      <c r="DA367" s="94"/>
      <c r="DB367" s="94"/>
      <c r="DC367" s="94"/>
      <c r="DD367" s="94"/>
      <c r="DE367" s="94"/>
      <c r="DF367" s="94"/>
      <c r="DG367" s="94"/>
      <c r="DH367" s="94"/>
      <c r="DI367" s="94"/>
      <c r="DJ367" s="94"/>
      <c r="DK367" s="94"/>
      <c r="DL367" s="94"/>
      <c r="DM367" s="94"/>
      <c r="DN367" s="94"/>
      <c r="DO367" s="94"/>
      <c r="DP367" s="94"/>
      <c r="DQ367" s="94"/>
    </row>
    <row r="368" spans="1:121" ht="15" customHeight="1" outlineLevel="3" x14ac:dyDescent="0.3">
      <c r="A368" s="100"/>
      <c r="B368" s="100"/>
      <c r="C368" s="99">
        <v>4</v>
      </c>
      <c r="D368" s="98" t="s">
        <v>980</v>
      </c>
      <c r="H368" s="77" t="s">
        <v>979</v>
      </c>
      <c r="I368" s="94"/>
      <c r="O368" s="77" t="s">
        <v>972</v>
      </c>
      <c r="P368" s="105"/>
      <c r="Q368" s="97"/>
      <c r="R368" s="97"/>
      <c r="AB368" s="72">
        <v>1</v>
      </c>
      <c r="AE368" s="96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94"/>
      <c r="BZ368" s="94"/>
      <c r="CA368" s="94"/>
      <c r="CB368" s="94"/>
      <c r="CC368" s="94"/>
      <c r="CD368" s="94"/>
      <c r="CE368" s="94"/>
      <c r="CF368" s="94"/>
      <c r="CG368" s="94"/>
      <c r="CH368" s="94"/>
      <c r="CI368" s="94"/>
      <c r="CJ368" s="94"/>
      <c r="CK368" s="94"/>
      <c r="CL368" s="94"/>
      <c r="CM368" s="94" t="str">
        <f>"    " &amp; TEXT(AF368,"#0.00%") &amp; " " &amp; "Install C/V(Floor 1)" &amp; " " &amp; IF(Q368="","",TEXT(Q368,"M/D-")) &amp; IF(R368="","",TEXT(R368,"M/D")) &amp; " "</f>
        <v xml:space="preserve">    0.00% Install C/V(Floor 1)  </v>
      </c>
      <c r="CN368" s="94"/>
      <c r="CO368" s="94"/>
      <c r="CP368" s="94"/>
      <c r="CQ368" s="94"/>
      <c r="CR368" s="94"/>
      <c r="CS368" s="94"/>
      <c r="CT368" s="94"/>
      <c r="CU368" s="94"/>
      <c r="CV368" s="94"/>
      <c r="CW368" s="94"/>
      <c r="CX368" s="94"/>
      <c r="CY368" s="94"/>
      <c r="CZ368" s="94"/>
      <c r="DA368" s="94"/>
      <c r="DB368" s="94"/>
      <c r="DC368" s="94"/>
      <c r="DD368" s="94"/>
      <c r="DE368" s="94"/>
      <c r="DF368" s="94"/>
      <c r="DG368" s="94"/>
      <c r="DH368" s="94"/>
      <c r="DI368" s="94"/>
      <c r="DJ368" s="94"/>
      <c r="DK368" s="94"/>
      <c r="DL368" s="94"/>
      <c r="DM368" s="94"/>
      <c r="DN368" s="94"/>
      <c r="DO368" s="94"/>
      <c r="DP368" s="94"/>
      <c r="DQ368" s="94"/>
    </row>
    <row r="369" spans="1:121" ht="15" customHeight="1" outlineLevel="3" x14ac:dyDescent="0.3">
      <c r="A369" s="100"/>
      <c r="B369" s="100"/>
      <c r="C369" s="99">
        <v>4</v>
      </c>
      <c r="D369" s="98" t="s">
        <v>978</v>
      </c>
      <c r="H369" s="77" t="s">
        <v>966</v>
      </c>
      <c r="I369" s="94"/>
      <c r="O369" s="77" t="s">
        <v>972</v>
      </c>
      <c r="P369" s="105"/>
      <c r="Q369" s="97"/>
      <c r="R369" s="97"/>
      <c r="AB369" s="72">
        <v>1</v>
      </c>
      <c r="AE369" s="96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94"/>
      <c r="BZ369" s="94"/>
      <c r="CA369" s="94"/>
      <c r="CB369" s="94"/>
      <c r="CC369" s="94"/>
      <c r="CD369" s="94"/>
      <c r="CE369" s="94"/>
      <c r="CF369" s="94"/>
      <c r="CG369" s="94"/>
      <c r="CH369" s="94"/>
      <c r="CI369" s="94"/>
      <c r="CJ369" s="94"/>
      <c r="CK369" s="94"/>
      <c r="CL369" s="94"/>
      <c r="CM369" s="94" t="str">
        <f>"     " &amp; TEXT(AF369,"#0.00%") &amp; " " &amp; "Check Center Line" &amp; " " &amp; IF(Q369="","",TEXT(Q369,"M/D-")) &amp; IF(R369="","",TEXT(R369,"M/D")) &amp; " "</f>
        <v xml:space="preserve">     0.00% Check Center Line  </v>
      </c>
      <c r="CN369" s="94"/>
      <c r="CO369" s="94"/>
      <c r="CP369" s="94"/>
      <c r="CQ369" s="94"/>
      <c r="CR369" s="94"/>
      <c r="CS369" s="94"/>
      <c r="CT369" s="94"/>
      <c r="CU369" s="94"/>
      <c r="CV369" s="94"/>
      <c r="CW369" s="94"/>
      <c r="CX369" s="94"/>
      <c r="CY369" s="94"/>
      <c r="CZ369" s="94"/>
      <c r="DA369" s="94"/>
      <c r="DB369" s="94"/>
      <c r="DC369" s="94"/>
      <c r="DD369" s="94"/>
      <c r="DE369" s="94"/>
      <c r="DF369" s="94"/>
      <c r="DG369" s="94"/>
      <c r="DH369" s="94"/>
      <c r="DI369" s="94"/>
      <c r="DJ369" s="94"/>
      <c r="DK369" s="94"/>
      <c r="DL369" s="94"/>
      <c r="DM369" s="94"/>
      <c r="DN369" s="94"/>
      <c r="DO369" s="94"/>
      <c r="DP369" s="94"/>
      <c r="DQ369" s="94"/>
    </row>
    <row r="370" spans="1:121" ht="15" customHeight="1" outlineLevel="3" x14ac:dyDescent="0.3">
      <c r="A370" s="100"/>
      <c r="B370" s="100"/>
      <c r="C370" s="99">
        <v>4</v>
      </c>
      <c r="D370" s="98" t="s">
        <v>977</v>
      </c>
      <c r="H370" s="77" t="s">
        <v>976</v>
      </c>
      <c r="I370" s="94"/>
      <c r="O370" s="77" t="s">
        <v>972</v>
      </c>
      <c r="P370" s="105"/>
      <c r="Q370" s="97"/>
      <c r="R370" s="97"/>
      <c r="AB370" s="72">
        <v>1</v>
      </c>
      <c r="AE370" s="96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94"/>
      <c r="BZ370" s="94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4"/>
      <c r="CM370" s="94" t="str">
        <f>"     " &amp; TEXT(AF370,"#0.00%") &amp; " " &amp; "Check C/V Level" &amp; " " &amp; IF(Q370="","",TEXT(Q370,"M/D-")) &amp; IF(R370="","",TEXT(R370,"M/D")) &amp; " "</f>
        <v xml:space="preserve">     0.00% Check C/V Level  </v>
      </c>
      <c r="CN370" s="94"/>
      <c r="CO370" s="94"/>
      <c r="CP370" s="94"/>
      <c r="CQ370" s="94"/>
      <c r="CR370" s="94"/>
      <c r="CS370" s="94"/>
      <c r="CT370" s="94"/>
      <c r="CU370" s="94"/>
      <c r="CV370" s="94"/>
      <c r="CW370" s="94"/>
      <c r="CX370" s="94"/>
      <c r="CY370" s="94"/>
      <c r="CZ370" s="94"/>
      <c r="DA370" s="94"/>
      <c r="DB370" s="94"/>
      <c r="DC370" s="94"/>
      <c r="DD370" s="94"/>
      <c r="DE370" s="94"/>
      <c r="DF370" s="94"/>
      <c r="DG370" s="94"/>
      <c r="DH370" s="94"/>
      <c r="DI370" s="94"/>
      <c r="DJ370" s="94"/>
      <c r="DK370" s="94"/>
      <c r="DL370" s="94"/>
      <c r="DM370" s="94"/>
      <c r="DN370" s="94"/>
      <c r="DO370" s="94"/>
      <c r="DP370" s="94"/>
      <c r="DQ370" s="94"/>
    </row>
    <row r="371" spans="1:121" ht="15" customHeight="1" outlineLevel="3" x14ac:dyDescent="0.3">
      <c r="A371" s="100"/>
      <c r="B371" s="100"/>
      <c r="C371" s="99">
        <v>4</v>
      </c>
      <c r="D371" s="98" t="s">
        <v>975</v>
      </c>
      <c r="H371" s="77" t="s">
        <v>550</v>
      </c>
      <c r="I371" s="94"/>
      <c r="O371" s="77" t="s">
        <v>972</v>
      </c>
      <c r="P371" s="105"/>
      <c r="Q371" s="97"/>
      <c r="R371" s="97"/>
      <c r="AB371" s="72">
        <v>1</v>
      </c>
      <c r="AE371" s="96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 t="str">
        <f>"     " &amp; TEXT(AF371,"#0.00%") &amp; " " &amp; "Install Anchor" &amp; " " &amp; IF(Q371="","",TEXT(Q371,"M/D-")) &amp; IF(R371="","",TEXT(R371,"M/D")) &amp; " "</f>
        <v xml:space="preserve">     0.00% Install Anchor  </v>
      </c>
      <c r="CN371" s="94"/>
      <c r="CO371" s="94"/>
      <c r="CP371" s="94"/>
      <c r="CQ371" s="94"/>
      <c r="CR371" s="94"/>
      <c r="CS371" s="94"/>
      <c r="CT371" s="94"/>
      <c r="CU371" s="94"/>
      <c r="CV371" s="94"/>
      <c r="CW371" s="94"/>
      <c r="CX371" s="94"/>
      <c r="CY371" s="94"/>
      <c r="CZ371" s="94"/>
      <c r="DA371" s="94"/>
      <c r="DB371" s="94"/>
      <c r="DC371" s="94"/>
      <c r="DD371" s="94"/>
      <c r="DE371" s="94"/>
      <c r="DF371" s="94"/>
      <c r="DG371" s="94"/>
      <c r="DH371" s="94"/>
      <c r="DI371" s="94"/>
      <c r="DJ371" s="94"/>
      <c r="DK371" s="94"/>
      <c r="DL371" s="94"/>
      <c r="DM371" s="94"/>
      <c r="DN371" s="94"/>
      <c r="DO371" s="94"/>
      <c r="DP371" s="94"/>
      <c r="DQ371" s="94"/>
    </row>
    <row r="372" spans="1:121" ht="15" customHeight="1" outlineLevel="3" x14ac:dyDescent="0.3">
      <c r="A372" s="100"/>
      <c r="B372" s="100"/>
      <c r="C372" s="99">
        <v>4</v>
      </c>
      <c r="D372" s="98" t="s">
        <v>974</v>
      </c>
      <c r="H372" s="77" t="s">
        <v>973</v>
      </c>
      <c r="I372" s="94"/>
      <c r="O372" s="77" t="s">
        <v>972</v>
      </c>
      <c r="P372" s="105"/>
      <c r="Q372" s="97"/>
      <c r="R372" s="97"/>
      <c r="AB372" s="72">
        <v>1</v>
      </c>
      <c r="AE372" s="96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94"/>
      <c r="BZ372" s="94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4"/>
      <c r="CM372" s="94"/>
      <c r="CN372" s="94" t="str">
        <f>"    " &amp; TEXT(AF372,"#0.00%") &amp; " " &amp; "Install Fence" &amp; " " &amp; IF(Q372="","",TEXT(Q372,"M/D-")) &amp; IF(R372="","",TEXT(R372,"M/D")) &amp; " "</f>
        <v xml:space="preserve">    0.00% Install Fence  </v>
      </c>
      <c r="CO372" s="94"/>
      <c r="CP372" s="94"/>
      <c r="CQ372" s="94"/>
      <c r="CR372" s="94"/>
      <c r="CS372" s="94"/>
      <c r="CT372" s="94"/>
      <c r="CU372" s="94"/>
      <c r="CV372" s="94"/>
      <c r="CW372" s="94"/>
      <c r="CX372" s="94"/>
      <c r="CY372" s="94"/>
      <c r="CZ372" s="94"/>
      <c r="DA372" s="94"/>
      <c r="DB372" s="94"/>
      <c r="DC372" s="94"/>
      <c r="DD372" s="94"/>
      <c r="DE372" s="94"/>
      <c r="DF372" s="94"/>
      <c r="DG372" s="94"/>
      <c r="DH372" s="94"/>
      <c r="DI372" s="94"/>
      <c r="DJ372" s="94"/>
      <c r="DK372" s="94"/>
      <c r="DL372" s="94"/>
      <c r="DM372" s="94"/>
      <c r="DN372" s="94"/>
      <c r="DO372" s="94"/>
      <c r="DP372" s="94"/>
      <c r="DQ372" s="94"/>
    </row>
    <row r="373" spans="1:121" ht="15" customHeight="1" outlineLevel="3" x14ac:dyDescent="0.3">
      <c r="A373" s="100"/>
      <c r="B373" s="100"/>
      <c r="C373" s="99">
        <v>4</v>
      </c>
      <c r="D373" s="98" t="s">
        <v>971</v>
      </c>
      <c r="H373" s="77" t="s">
        <v>970</v>
      </c>
      <c r="I373" s="94"/>
      <c r="O373" s="77" t="s">
        <v>649</v>
      </c>
      <c r="P373" s="105"/>
      <c r="Q373" s="97"/>
      <c r="R373" s="97"/>
      <c r="AB373" s="72">
        <v>1</v>
      </c>
      <c r="AE373" s="96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94"/>
      <c r="BZ373" s="94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4"/>
      <c r="CM373" s="94" t="str">
        <f>"  " &amp; TEXT(AF373,"#0.00%") &amp; " " &amp; "Install Under Rail &amp; Top Rail" &amp; " " &amp; IF(Q373="","",TEXT(Q373,"M/D-")) &amp; IF(R373="","",TEXT(R373,"M/D")) &amp; " "</f>
        <v xml:space="preserve">  0.00% Install Under Rail &amp; Top Rail  </v>
      </c>
      <c r="CN373" s="94"/>
      <c r="CO373" s="94"/>
      <c r="CP373" s="94"/>
      <c r="CQ373" s="94"/>
      <c r="CR373" s="94"/>
      <c r="CS373" s="94"/>
      <c r="CT373" s="94"/>
      <c r="CU373" s="94"/>
      <c r="CV373" s="94"/>
      <c r="CW373" s="94"/>
      <c r="CX373" s="94"/>
      <c r="CY373" s="94"/>
      <c r="CZ373" s="94"/>
      <c r="DA373" s="94"/>
      <c r="DB373" s="94"/>
      <c r="DC373" s="94"/>
      <c r="DD373" s="94"/>
      <c r="DE373" s="94"/>
      <c r="DF373" s="94"/>
      <c r="DG373" s="94"/>
      <c r="DH373" s="94"/>
      <c r="DI373" s="94"/>
      <c r="DJ373" s="94"/>
      <c r="DK373" s="94"/>
      <c r="DL373" s="94"/>
      <c r="DM373" s="94"/>
      <c r="DN373" s="94"/>
      <c r="DO373" s="94"/>
      <c r="DP373" s="94"/>
      <c r="DQ373" s="94"/>
    </row>
    <row r="374" spans="1:121" ht="15" customHeight="1" outlineLevel="3" x14ac:dyDescent="0.3">
      <c r="A374" s="100"/>
      <c r="B374" s="100"/>
      <c r="C374" s="99">
        <v>4</v>
      </c>
      <c r="D374" s="98" t="s">
        <v>969</v>
      </c>
      <c r="H374" s="77" t="s">
        <v>968</v>
      </c>
      <c r="I374" s="94"/>
      <c r="O374" s="77" t="s">
        <v>649</v>
      </c>
      <c r="P374" s="105"/>
      <c r="Q374" s="97"/>
      <c r="R374" s="97"/>
      <c r="AB374" s="72">
        <v>1</v>
      </c>
      <c r="AE374" s="96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94"/>
      <c r="BZ374" s="94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4"/>
      <c r="CM374" s="94" t="str">
        <f>"    " &amp; TEXT(AF374,"#0.00%") &amp; " " &amp; "Check Leveling(U.R &amp; T.R)" &amp; " " &amp; IF(Q374="","",TEXT(Q374,"M/D-")) &amp; IF(R374="","",TEXT(R374,"M/D")) &amp; " "</f>
        <v xml:space="preserve">    0.00% Check Leveling(U.R &amp; T.R)  </v>
      </c>
      <c r="CN374" s="94"/>
      <c r="CO374" s="94"/>
      <c r="CP374" s="94"/>
      <c r="CQ374" s="94"/>
      <c r="CR374" s="94"/>
      <c r="CS374" s="94"/>
      <c r="CT374" s="94"/>
      <c r="CU374" s="94"/>
      <c r="CV374" s="94"/>
      <c r="CW374" s="94"/>
      <c r="CX374" s="94"/>
      <c r="CY374" s="94"/>
      <c r="CZ374" s="94"/>
      <c r="DA374" s="94"/>
      <c r="DB374" s="94"/>
      <c r="DC374" s="94"/>
      <c r="DD374" s="94"/>
      <c r="DE374" s="94"/>
      <c r="DF374" s="94"/>
      <c r="DG374" s="94"/>
      <c r="DH374" s="94"/>
      <c r="DI374" s="94"/>
      <c r="DJ374" s="94"/>
      <c r="DK374" s="94"/>
      <c r="DL374" s="94"/>
      <c r="DM374" s="94"/>
      <c r="DN374" s="94"/>
      <c r="DO374" s="94"/>
      <c r="DP374" s="94"/>
      <c r="DQ374" s="94"/>
    </row>
    <row r="375" spans="1:121" ht="15" customHeight="1" outlineLevel="3" x14ac:dyDescent="0.3">
      <c r="A375" s="100"/>
      <c r="B375" s="100"/>
      <c r="C375" s="99">
        <v>4</v>
      </c>
      <c r="D375" s="98" t="s">
        <v>967</v>
      </c>
      <c r="H375" s="77" t="s">
        <v>966</v>
      </c>
      <c r="I375" s="94"/>
      <c r="O375" s="77" t="s">
        <v>649</v>
      </c>
      <c r="P375" s="105"/>
      <c r="Q375" s="97"/>
      <c r="R375" s="97"/>
      <c r="AB375" s="72">
        <v>1</v>
      </c>
      <c r="AE375" s="96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94"/>
      <c r="BZ375" s="94"/>
      <c r="CA375" s="94"/>
      <c r="CB375" s="94"/>
      <c r="CC375" s="94"/>
      <c r="CD375" s="94"/>
      <c r="CE375" s="94"/>
      <c r="CF375" s="94"/>
      <c r="CG375" s="94"/>
      <c r="CH375" s="94"/>
      <c r="CI375" s="94"/>
      <c r="CJ375" s="94"/>
      <c r="CK375" s="94"/>
      <c r="CL375" s="94"/>
      <c r="CM375" s="94"/>
      <c r="CN375" s="94" t="str">
        <f>"  " &amp; TEXT(AF375,"#0.00%") &amp; " " &amp; "Check Center Line" &amp; " " &amp; IF(Q375="","",TEXT(Q375,"M/D-")) &amp; IF(R375="","",TEXT(R375,"M/D")) &amp; " "</f>
        <v xml:space="preserve">  0.00% Check Center Line  </v>
      </c>
      <c r="CO375" s="94"/>
      <c r="CP375" s="94"/>
      <c r="CQ375" s="94"/>
      <c r="CR375" s="94"/>
      <c r="CS375" s="94"/>
      <c r="CT375" s="94"/>
      <c r="CU375" s="94"/>
      <c r="CV375" s="94"/>
      <c r="CW375" s="94"/>
      <c r="CX375" s="94"/>
      <c r="CY375" s="94"/>
      <c r="CZ375" s="94"/>
      <c r="DA375" s="94"/>
      <c r="DB375" s="94"/>
      <c r="DC375" s="94"/>
      <c r="DD375" s="94"/>
      <c r="DE375" s="94"/>
      <c r="DF375" s="94"/>
      <c r="DG375" s="94"/>
      <c r="DH375" s="94"/>
      <c r="DI375" s="94"/>
      <c r="DJ375" s="94"/>
      <c r="DK375" s="94"/>
      <c r="DL375" s="94"/>
      <c r="DM375" s="94"/>
      <c r="DN375" s="94"/>
      <c r="DO375" s="94"/>
      <c r="DP375" s="94"/>
      <c r="DQ375" s="94"/>
    </row>
    <row r="376" spans="1:121" ht="15" customHeight="1" outlineLevel="3" x14ac:dyDescent="0.3">
      <c r="A376" s="100"/>
      <c r="B376" s="100"/>
      <c r="C376" s="99">
        <v>4</v>
      </c>
      <c r="D376" s="98" t="s">
        <v>965</v>
      </c>
      <c r="H376" s="77" t="s">
        <v>765</v>
      </c>
      <c r="I376" s="94"/>
      <c r="O376" s="77" t="s">
        <v>649</v>
      </c>
      <c r="P376" s="105"/>
      <c r="Q376" s="97"/>
      <c r="R376" s="97"/>
      <c r="AB376" s="72">
        <v>1</v>
      </c>
      <c r="AE376" s="96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 t="str">
        <f>"     " &amp; TEXT(AF376,"#0.00%") &amp; " " &amp; "Install MSC" &amp; " " &amp; IF(Q376="","",TEXT(Q376,"M/D-")) &amp; IF(R376="","",TEXT(R376,"M/D")) &amp; " "</f>
        <v xml:space="preserve">     0.00% Install MSC  </v>
      </c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</row>
    <row r="377" spans="1:121" ht="15" customHeight="1" outlineLevel="3" x14ac:dyDescent="0.3">
      <c r="A377" s="100"/>
      <c r="B377" s="100"/>
      <c r="C377" s="99">
        <v>4</v>
      </c>
      <c r="D377" s="98" t="s">
        <v>964</v>
      </c>
      <c r="H377" s="77" t="s">
        <v>963</v>
      </c>
      <c r="I377" s="94"/>
      <c r="O377" s="77" t="s">
        <v>649</v>
      </c>
      <c r="P377" s="105"/>
      <c r="Q377" s="97"/>
      <c r="R377" s="97"/>
      <c r="AB377" s="72">
        <v>1</v>
      </c>
      <c r="AE377" s="96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 t="str">
        <f>"" &amp; TEXT(AF377,"#0.00%") &amp; " " &amp; "Install MSC Aceessories" &amp; " " &amp; IF(Q377="","",TEXT(Q377,"M/D-")) &amp; IF(R377="","",TEXT(R377,"M/D")) &amp; " "</f>
        <v xml:space="preserve">0.00% Install MSC Aceessories  </v>
      </c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</row>
    <row r="378" spans="1:121" ht="15" customHeight="1" outlineLevel="3" x14ac:dyDescent="0.3">
      <c r="A378" s="100"/>
      <c r="B378" s="100"/>
      <c r="C378" s="99">
        <v>4</v>
      </c>
      <c r="D378" s="98" t="s">
        <v>962</v>
      </c>
      <c r="H378" s="77" t="s">
        <v>961</v>
      </c>
      <c r="I378" s="94"/>
      <c r="O378" s="77" t="s">
        <v>959</v>
      </c>
      <c r="P378" s="105"/>
      <c r="Q378" s="97"/>
      <c r="R378" s="97"/>
      <c r="AB378" s="72">
        <v>1</v>
      </c>
      <c r="AE378" s="96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 t="str">
        <f>"  " &amp; TEXT(AF378,"#0.00%") &amp; " " &amp; "Install Water Tank" &amp; " " &amp; IF(Q378="","",TEXT(Q378,"M/D-")) &amp; IF(R378="","",TEXT(R378,"M/D")) &amp; " "</f>
        <v xml:space="preserve">  0.00% Install Water Tank  </v>
      </c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  <c r="DA378" s="94"/>
      <c r="DB378" s="94"/>
      <c r="DC378" s="94"/>
      <c r="DD378" s="94"/>
      <c r="DE378" s="94"/>
      <c r="DF378" s="94"/>
      <c r="DG378" s="94"/>
      <c r="DH378" s="94"/>
      <c r="DI378" s="94"/>
      <c r="DJ378" s="94"/>
      <c r="DK378" s="94"/>
      <c r="DL378" s="94"/>
      <c r="DM378" s="94"/>
      <c r="DN378" s="94"/>
      <c r="DO378" s="94"/>
      <c r="DP378" s="94"/>
      <c r="DQ378" s="94"/>
    </row>
    <row r="379" spans="1:121" ht="15" customHeight="1" outlineLevel="3" x14ac:dyDescent="0.3">
      <c r="A379" s="100"/>
      <c r="B379" s="100"/>
      <c r="C379" s="99">
        <v>4</v>
      </c>
      <c r="D379" s="98" t="s">
        <v>960</v>
      </c>
      <c r="H379" s="77" t="s">
        <v>638</v>
      </c>
      <c r="I379" s="94"/>
      <c r="O379" s="77" t="s">
        <v>959</v>
      </c>
      <c r="P379" s="105"/>
      <c r="Q379" s="97"/>
      <c r="R379" s="97"/>
      <c r="AB379" s="72">
        <v>1</v>
      </c>
      <c r="AE379" s="96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94"/>
      <c r="BZ379" s="94"/>
      <c r="CA379" s="94"/>
      <c r="CB379" s="94"/>
      <c r="CC379" s="94"/>
      <c r="CD379" s="94"/>
      <c r="CE379" s="94" t="str">
        <f>"      " &amp; TEXT(AF379,"#0.00%") &amp; " " &amp; "Grouting &amp; Cleaning" &amp; " " &amp; IF(Q379="","",TEXT(Q379,"M/D-")) &amp; IF(R379="","",TEXT(R379,"M/D")) &amp; " "</f>
        <v xml:space="preserve">      0.00% Grouting &amp; Cleaning  </v>
      </c>
      <c r="CF379" s="94"/>
      <c r="CG379" s="94"/>
      <c r="CH379" s="94"/>
      <c r="CI379" s="94"/>
      <c r="CJ379" s="94"/>
      <c r="CK379" s="94"/>
      <c r="CL379" s="94"/>
      <c r="CM379" s="94"/>
      <c r="CN379" s="94"/>
      <c r="CO379" s="94"/>
      <c r="CP379" s="94"/>
      <c r="CQ379" s="94"/>
      <c r="CR379" s="94"/>
      <c r="CS379" s="94"/>
      <c r="CT379" s="94"/>
      <c r="CU379" s="94"/>
      <c r="CV379" s="94"/>
      <c r="CW379" s="94"/>
      <c r="CX379" s="94"/>
      <c r="CY379" s="94"/>
      <c r="CZ379" s="94"/>
      <c r="DA379" s="94"/>
      <c r="DB379" s="94"/>
      <c r="DC379" s="94"/>
      <c r="DD379" s="94"/>
      <c r="DE379" s="94"/>
      <c r="DF379" s="94"/>
      <c r="DG379" s="94"/>
      <c r="DH379" s="94"/>
      <c r="DI379" s="94"/>
      <c r="DJ379" s="94"/>
      <c r="DK379" s="94"/>
      <c r="DL379" s="94"/>
      <c r="DM379" s="94"/>
      <c r="DN379" s="94"/>
      <c r="DO379" s="94"/>
      <c r="DP379" s="94"/>
      <c r="DQ379" s="94"/>
    </row>
    <row r="380" spans="1:121" ht="15" customHeight="1" outlineLevel="2" x14ac:dyDescent="0.3">
      <c r="A380" s="100"/>
      <c r="B380" s="100" t="s">
        <v>298</v>
      </c>
      <c r="C380" s="99">
        <v>3</v>
      </c>
      <c r="D380" s="98" t="s">
        <v>958</v>
      </c>
      <c r="G380" s="77" t="s">
        <v>452</v>
      </c>
      <c r="J380" s="94"/>
      <c r="O380" s="77" t="s">
        <v>451</v>
      </c>
      <c r="P380" s="105"/>
      <c r="Q380" s="97"/>
      <c r="R380" s="97"/>
      <c r="AE380" s="96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94"/>
      <c r="BZ380" s="94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4" t="str">
        <f>"   " &amp; TEXT(AF380,"#0.00%") &amp; " "</f>
        <v xml:space="preserve">   0.00% </v>
      </c>
      <c r="CM380" s="94"/>
      <c r="CN380" s="94"/>
      <c r="CO380" s="94"/>
      <c r="CP380" s="94"/>
      <c r="CQ380" s="94"/>
      <c r="CR380" s="94"/>
      <c r="CS380" s="94"/>
      <c r="CT380" s="94" t="str">
        <f>"  " &amp; "NT#1" &amp; " " &amp; IF(Q380="","",TEXT(Q380,"M/D-")) &amp; IF(R380="","",TEXT(R380,"M/D")) &amp; " "</f>
        <v xml:space="preserve">  NT#1  </v>
      </c>
      <c r="CU380" s="94"/>
      <c r="CV380" s="94"/>
      <c r="CW380" s="94"/>
      <c r="CX380" s="94"/>
      <c r="CY380" s="94"/>
      <c r="CZ380" s="94"/>
      <c r="DA380" s="94"/>
      <c r="DB380" s="94"/>
      <c r="DC380" s="94"/>
      <c r="DD380" s="94"/>
      <c r="DE380" s="94"/>
      <c r="DF380" s="94"/>
      <c r="DG380" s="94"/>
      <c r="DH380" s="94"/>
      <c r="DI380" s="94"/>
      <c r="DJ380" s="94"/>
      <c r="DK380" s="94"/>
      <c r="DL380" s="94"/>
      <c r="DM380" s="94"/>
      <c r="DN380" s="94"/>
      <c r="DO380" s="94"/>
      <c r="DP380" s="94"/>
      <c r="DQ380" s="94"/>
    </row>
    <row r="381" spans="1:121" ht="15" customHeight="1" outlineLevel="3" x14ac:dyDescent="0.3">
      <c r="A381" s="100"/>
      <c r="B381" s="100"/>
      <c r="C381" s="99">
        <v>4</v>
      </c>
      <c r="D381" s="98" t="s">
        <v>957</v>
      </c>
      <c r="H381" s="77" t="s">
        <v>534</v>
      </c>
      <c r="J381" s="94"/>
      <c r="O381" s="77" t="s">
        <v>708</v>
      </c>
      <c r="P381" s="105"/>
      <c r="Q381" s="97"/>
      <c r="R381" s="97"/>
      <c r="AB381" s="72">
        <v>1</v>
      </c>
      <c r="AE381" s="96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 t="str">
        <f>"   " &amp; TEXT(AF381,"#0.00%") &amp; " " &amp; "Line Marking" &amp; " " &amp; IF(Q381="","",TEXT(Q381,"M/D-")) &amp; IF(R381="","",TEXT(R381,"M/D")) &amp; " "</f>
        <v xml:space="preserve">   0.00% Line Marking  </v>
      </c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  <c r="DA381" s="94"/>
      <c r="DB381" s="94"/>
      <c r="DC381" s="94"/>
      <c r="DD381" s="94"/>
      <c r="DE381" s="94"/>
      <c r="DF381" s="94"/>
      <c r="DG381" s="94"/>
      <c r="DH381" s="94"/>
      <c r="DI381" s="94"/>
      <c r="DJ381" s="94"/>
      <c r="DK381" s="94"/>
      <c r="DL381" s="94"/>
      <c r="DM381" s="94"/>
      <c r="DN381" s="94"/>
      <c r="DO381" s="94"/>
      <c r="DP381" s="94"/>
      <c r="DQ381" s="94"/>
    </row>
    <row r="382" spans="1:121" ht="15" customHeight="1" outlineLevel="3" x14ac:dyDescent="0.3">
      <c r="A382" s="100"/>
      <c r="B382" s="100"/>
      <c r="C382" s="99">
        <v>4</v>
      </c>
      <c r="D382" s="98" t="s">
        <v>956</v>
      </c>
      <c r="H382" s="77" t="s">
        <v>712</v>
      </c>
      <c r="J382" s="94"/>
      <c r="O382" s="77" t="s">
        <v>708</v>
      </c>
      <c r="P382" s="105"/>
      <c r="Q382" s="97"/>
      <c r="R382" s="97"/>
      <c r="AB382" s="72">
        <v>1</v>
      </c>
      <c r="AE382" s="96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94"/>
      <c r="BZ382" s="94"/>
      <c r="CA382" s="94"/>
      <c r="CB382" s="94"/>
      <c r="CC382" s="94"/>
      <c r="CD382" s="94"/>
      <c r="CE382" s="94"/>
      <c r="CF382" s="94"/>
      <c r="CG382" s="94"/>
      <c r="CH382" s="94" t="str">
        <f>"     " &amp; TEXT(AF382,"#0.00%") &amp; " " &amp; "Check Floor Level" &amp; " " &amp; IF(Q382="","",TEXT(Q382,"M/D-")) &amp; IF(R382="","",TEXT(R382,"M/D")) &amp; " "</f>
        <v xml:space="preserve">     0.00% Check Floor Level  </v>
      </c>
      <c r="CI382" s="94"/>
      <c r="CJ382" s="94"/>
      <c r="CK382" s="94"/>
      <c r="CL382" s="94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  <c r="CW382" s="94"/>
      <c r="CX382" s="94"/>
      <c r="CY382" s="94"/>
      <c r="CZ382" s="94"/>
      <c r="DA382" s="94"/>
      <c r="DB382" s="94"/>
      <c r="DC382" s="94"/>
      <c r="DD382" s="94"/>
      <c r="DE382" s="94"/>
      <c r="DF382" s="94"/>
      <c r="DG382" s="94"/>
      <c r="DH382" s="94"/>
      <c r="DI382" s="94"/>
      <c r="DJ382" s="94"/>
      <c r="DK382" s="94"/>
      <c r="DL382" s="94"/>
      <c r="DM382" s="94"/>
      <c r="DN382" s="94"/>
      <c r="DO382" s="94"/>
      <c r="DP382" s="94"/>
      <c r="DQ382" s="94"/>
    </row>
    <row r="383" spans="1:121" ht="15" customHeight="1" outlineLevel="3" x14ac:dyDescent="0.3">
      <c r="A383" s="100"/>
      <c r="B383" s="100"/>
      <c r="C383" s="99">
        <v>4</v>
      </c>
      <c r="D383" s="98" t="s">
        <v>955</v>
      </c>
      <c r="H383" s="77" t="s">
        <v>532</v>
      </c>
      <c r="J383" s="94"/>
      <c r="O383" s="77" t="s">
        <v>708</v>
      </c>
      <c r="P383" s="105"/>
      <c r="Q383" s="97"/>
      <c r="R383" s="97"/>
      <c r="AB383" s="72">
        <v>1</v>
      </c>
      <c r="AE383" s="96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94"/>
      <c r="BZ383" s="94"/>
      <c r="CA383" s="94"/>
      <c r="CB383" s="94"/>
      <c r="CC383" s="94"/>
      <c r="CD383" s="94"/>
      <c r="CE383" s="94"/>
      <c r="CF383" s="94"/>
      <c r="CG383" s="94"/>
      <c r="CH383" s="94" t="str">
        <f>"     " &amp; TEXT(AF383,"#0.00%") &amp; " " &amp; "Check Line Marking" &amp; " " &amp; IF(Q383="","",TEXT(Q383,"M/D-")) &amp; IF(R383="","",TEXT(R383,"M/D")) &amp; " "</f>
        <v xml:space="preserve">     0.00% Check Line Marking  </v>
      </c>
      <c r="CI383" s="94"/>
      <c r="CJ383" s="94"/>
      <c r="CK383" s="94"/>
      <c r="CL383" s="94"/>
      <c r="CM383" s="94"/>
      <c r="CN383" s="94"/>
      <c r="CO383" s="94"/>
      <c r="CP383" s="94"/>
      <c r="CQ383" s="94"/>
      <c r="CR383" s="94"/>
      <c r="CS383" s="94"/>
      <c r="CT383" s="94"/>
      <c r="CU383" s="94"/>
      <c r="CV383" s="94"/>
      <c r="CW383" s="94"/>
      <c r="CX383" s="94"/>
      <c r="CY383" s="94"/>
      <c r="CZ383" s="94"/>
      <c r="DA383" s="94"/>
      <c r="DB383" s="94"/>
      <c r="DC383" s="94"/>
      <c r="DD383" s="94"/>
      <c r="DE383" s="94"/>
      <c r="DF383" s="94"/>
      <c r="DG383" s="94"/>
      <c r="DH383" s="94"/>
      <c r="DI383" s="94"/>
      <c r="DJ383" s="94"/>
      <c r="DK383" s="94"/>
      <c r="DL383" s="94"/>
      <c r="DM383" s="94"/>
      <c r="DN383" s="94"/>
      <c r="DO383" s="94"/>
      <c r="DP383" s="94"/>
      <c r="DQ383" s="94"/>
    </row>
    <row r="384" spans="1:121" ht="15" customHeight="1" outlineLevel="3" x14ac:dyDescent="0.3">
      <c r="A384" s="100"/>
      <c r="B384" s="100"/>
      <c r="C384" s="99">
        <v>4</v>
      </c>
      <c r="D384" s="98" t="s">
        <v>954</v>
      </c>
      <c r="H384" s="77" t="s">
        <v>589</v>
      </c>
      <c r="J384" s="94"/>
      <c r="O384" s="77" t="s">
        <v>708</v>
      </c>
      <c r="P384" s="105"/>
      <c r="Q384" s="97"/>
      <c r="R384" s="97"/>
      <c r="AB384" s="72">
        <v>1</v>
      </c>
      <c r="AE384" s="96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94"/>
      <c r="BZ384" s="94"/>
      <c r="CA384" s="94"/>
      <c r="CB384" s="94"/>
      <c r="CC384" s="94"/>
      <c r="CD384" s="94"/>
      <c r="CE384" s="94"/>
      <c r="CF384" s="94"/>
      <c r="CG384" s="94"/>
      <c r="CH384" s="94"/>
      <c r="CI384" s="94" t="str">
        <f>" " &amp; TEXT(AF384,"#0.00%") &amp; " " &amp; "Drilling Anchor Hole" &amp; " " &amp; IF(Q384="","",TEXT(Q384,"M/D-")) &amp; IF(R384="","",TEXT(R384,"M/D")) &amp; " "</f>
        <v xml:space="preserve"> 0.00% Drilling Anchor Hole  </v>
      </c>
      <c r="CJ384" s="94"/>
      <c r="CK384" s="94"/>
      <c r="CL384" s="94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  <c r="CW384" s="94"/>
      <c r="CX384" s="94"/>
      <c r="CY384" s="94"/>
      <c r="CZ384" s="94"/>
      <c r="DA384" s="94"/>
      <c r="DB384" s="94"/>
      <c r="DC384" s="94"/>
      <c r="DD384" s="94"/>
      <c r="DE384" s="94"/>
      <c r="DF384" s="94"/>
      <c r="DG384" s="94"/>
      <c r="DH384" s="94"/>
      <c r="DI384" s="94"/>
      <c r="DJ384" s="94"/>
      <c r="DK384" s="94"/>
      <c r="DL384" s="94"/>
      <c r="DM384" s="94"/>
      <c r="DN384" s="94"/>
      <c r="DO384" s="94"/>
      <c r="DP384" s="94"/>
      <c r="DQ384" s="94"/>
    </row>
    <row r="385" spans="1:121" ht="15" customHeight="1" outlineLevel="3" x14ac:dyDescent="0.3">
      <c r="A385" s="100"/>
      <c r="B385" s="100"/>
      <c r="C385" s="99">
        <v>4</v>
      </c>
      <c r="D385" s="98" t="s">
        <v>953</v>
      </c>
      <c r="H385" s="77" t="s">
        <v>530</v>
      </c>
      <c r="J385" s="94"/>
      <c r="O385" s="77" t="s">
        <v>708</v>
      </c>
      <c r="P385" s="105"/>
      <c r="Q385" s="97"/>
      <c r="R385" s="97"/>
      <c r="AB385" s="72">
        <v>1</v>
      </c>
      <c r="AE385" s="96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94"/>
      <c r="BZ385" s="94"/>
      <c r="CA385" s="94"/>
      <c r="CB385" s="94"/>
      <c r="CC385" s="94"/>
      <c r="CD385" s="94"/>
      <c r="CE385" s="94"/>
      <c r="CF385" s="94"/>
      <c r="CG385" s="94"/>
      <c r="CH385" s="94"/>
      <c r="CI385" s="94" t="str">
        <f>"" &amp; TEXT(AF385,"#0.00%") &amp; " "</f>
        <v xml:space="preserve">0.00% </v>
      </c>
      <c r="CJ385" s="94"/>
      <c r="CK385" s="94"/>
      <c r="CL385" s="94"/>
      <c r="CM385" s="94"/>
      <c r="CN385" s="94"/>
      <c r="CO385" s="94"/>
      <c r="CP385" s="94"/>
      <c r="CQ385" s="94"/>
      <c r="CR385" s="94"/>
      <c r="CS385" s="94"/>
      <c r="CT385" s="94" t="str">
        <f>"  " &amp; "Move In" &amp; " " &amp; IF(Q385="","",TEXT(Q385,"M/D-")) &amp; IF(R385="","",TEXT(R385,"M/D")) &amp; " "</f>
        <v xml:space="preserve">  Move In  </v>
      </c>
      <c r="CU385" s="94"/>
      <c r="CV385" s="94"/>
      <c r="CW385" s="94"/>
      <c r="CX385" s="94"/>
      <c r="CY385" s="94"/>
      <c r="CZ385" s="94"/>
      <c r="DA385" s="94"/>
      <c r="DB385" s="94"/>
      <c r="DC385" s="94"/>
      <c r="DD385" s="94"/>
      <c r="DE385" s="94"/>
      <c r="DF385" s="94"/>
      <c r="DG385" s="94"/>
      <c r="DH385" s="94"/>
      <c r="DI385" s="94"/>
      <c r="DJ385" s="94"/>
      <c r="DK385" s="94"/>
      <c r="DL385" s="94"/>
      <c r="DM385" s="94"/>
      <c r="DN385" s="94"/>
      <c r="DO385" s="94"/>
      <c r="DP385" s="94"/>
      <c r="DQ385" s="94"/>
    </row>
    <row r="386" spans="1:121" ht="15" customHeight="1" outlineLevel="3" x14ac:dyDescent="0.3">
      <c r="A386" s="100"/>
      <c r="B386" s="100"/>
      <c r="C386" s="99">
        <v>4</v>
      </c>
      <c r="D386" s="98" t="s">
        <v>952</v>
      </c>
      <c r="H386" s="77" t="s">
        <v>706</v>
      </c>
      <c r="J386" s="94"/>
      <c r="O386" s="77" t="s">
        <v>700</v>
      </c>
      <c r="P386" s="105"/>
      <c r="Q386" s="97"/>
      <c r="R386" s="97"/>
      <c r="AB386" s="72">
        <v>1</v>
      </c>
      <c r="AE386" s="96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94"/>
      <c r="BZ386" s="94"/>
      <c r="CA386" s="94"/>
      <c r="CB386" s="94"/>
      <c r="CC386" s="94"/>
      <c r="CD386" s="94"/>
      <c r="CE386" s="94"/>
      <c r="CF386" s="94"/>
      <c r="CG386" s="94"/>
      <c r="CH386" s="94"/>
      <c r="CI386" s="94" t="str">
        <f>" " &amp; TEXT(AF386,"#0.00%") &amp; " " &amp; "Install Anchor &amp; Nut" &amp; " " &amp; IF(Q386="","",TEXT(Q386,"M/D-")) &amp; IF(R386="","",TEXT(R386,"M/D")) &amp; " "</f>
        <v xml:space="preserve"> 0.00% Install Anchor &amp; Nut  </v>
      </c>
      <c r="CJ386" s="94"/>
      <c r="CK386" s="94"/>
      <c r="CL386" s="94"/>
      <c r="CM386" s="94"/>
      <c r="CN386" s="94"/>
      <c r="CO386" s="94"/>
      <c r="CP386" s="94"/>
      <c r="CQ386" s="94"/>
      <c r="CR386" s="94"/>
      <c r="CS386" s="94"/>
      <c r="CT386" s="94"/>
      <c r="CU386" s="94"/>
      <c r="CV386" s="94"/>
      <c r="CW386" s="94"/>
      <c r="CX386" s="94"/>
      <c r="CY386" s="94"/>
      <c r="CZ386" s="94"/>
      <c r="DA386" s="94"/>
      <c r="DB386" s="94"/>
      <c r="DC386" s="94"/>
      <c r="DD386" s="94"/>
      <c r="DE386" s="94"/>
      <c r="DF386" s="94"/>
      <c r="DG386" s="94"/>
      <c r="DH386" s="94"/>
      <c r="DI386" s="94"/>
      <c r="DJ386" s="94"/>
      <c r="DK386" s="94"/>
      <c r="DL386" s="94"/>
      <c r="DM386" s="94"/>
      <c r="DN386" s="94"/>
      <c r="DO386" s="94"/>
      <c r="DP386" s="94"/>
      <c r="DQ386" s="94"/>
    </row>
    <row r="387" spans="1:121" ht="15" customHeight="1" outlineLevel="3" x14ac:dyDescent="0.3">
      <c r="A387" s="100"/>
      <c r="B387" s="100"/>
      <c r="C387" s="99">
        <v>4</v>
      </c>
      <c r="D387" s="98" t="s">
        <v>951</v>
      </c>
      <c r="H387" s="77" t="s">
        <v>704</v>
      </c>
      <c r="J387" s="94"/>
      <c r="O387" s="77" t="s">
        <v>700</v>
      </c>
      <c r="P387" s="105"/>
      <c r="Q387" s="97"/>
      <c r="R387" s="97"/>
      <c r="AB387" s="72">
        <v>1</v>
      </c>
      <c r="AE387" s="96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94"/>
      <c r="BZ387" s="94"/>
      <c r="CA387" s="94"/>
      <c r="CB387" s="94"/>
      <c r="CC387" s="94"/>
      <c r="CD387" s="94"/>
      <c r="CE387" s="94"/>
      <c r="CF387" s="94"/>
      <c r="CG387" s="94"/>
      <c r="CH387" s="94"/>
      <c r="CI387" s="94" t="str">
        <f>"   " &amp; TEXT(AF387,"#0.00%") &amp; " " &amp; "Install Deck Post&amp;Girder&amp;Bracing" &amp; " " &amp; IF(Q387="","",TEXT(Q387,"M/D-")) &amp; IF(R387="","",TEXT(R387,"M/D")) &amp; " "</f>
        <v xml:space="preserve">   0.00% Install Deck Post&amp;Girder&amp;Bracing  </v>
      </c>
      <c r="CJ387" s="94"/>
      <c r="CK387" s="94"/>
      <c r="CL387" s="94"/>
      <c r="CM387" s="94"/>
      <c r="CN387" s="94"/>
      <c r="CO387" s="94"/>
      <c r="CP387" s="94"/>
      <c r="CQ387" s="94"/>
      <c r="CR387" s="94"/>
      <c r="CS387" s="94"/>
      <c r="CT387" s="94"/>
      <c r="CU387" s="94"/>
      <c r="CV387" s="94"/>
      <c r="CW387" s="94"/>
      <c r="CX387" s="94"/>
      <c r="CY387" s="94"/>
      <c r="CZ387" s="94"/>
      <c r="DA387" s="94"/>
      <c r="DB387" s="94"/>
      <c r="DC387" s="94"/>
      <c r="DD387" s="94"/>
      <c r="DE387" s="94"/>
      <c r="DF387" s="94"/>
      <c r="DG387" s="94"/>
      <c r="DH387" s="94"/>
      <c r="DI387" s="94"/>
      <c r="DJ387" s="94"/>
      <c r="DK387" s="94"/>
      <c r="DL387" s="94"/>
      <c r="DM387" s="94"/>
      <c r="DN387" s="94"/>
      <c r="DO387" s="94"/>
      <c r="DP387" s="94"/>
      <c r="DQ387" s="94"/>
    </row>
    <row r="388" spans="1:121" ht="15" customHeight="1" outlineLevel="3" x14ac:dyDescent="0.3">
      <c r="A388" s="100"/>
      <c r="B388" s="100"/>
      <c r="C388" s="99">
        <v>4</v>
      </c>
      <c r="D388" s="98" t="s">
        <v>950</v>
      </c>
      <c r="H388" s="77" t="s">
        <v>647</v>
      </c>
      <c r="J388" s="94"/>
      <c r="O388" s="77" t="s">
        <v>700</v>
      </c>
      <c r="P388" s="105"/>
      <c r="Q388" s="97"/>
      <c r="R388" s="97"/>
      <c r="AB388" s="72">
        <v>1</v>
      </c>
      <c r="AE388" s="96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94"/>
      <c r="BZ388" s="94"/>
      <c r="CA388" s="94"/>
      <c r="CB388" s="94"/>
      <c r="CC388" s="94"/>
      <c r="CD388" s="94"/>
      <c r="CE388" s="94"/>
      <c r="CF388" s="94"/>
      <c r="CG388" s="94"/>
      <c r="CH388" s="94"/>
      <c r="CI388" s="94" t="str">
        <f>"      " &amp; TEXT(AF388,"#0.00%") &amp; " " &amp; "Install Tower Stair" &amp; " " &amp; IF(Q388="","",TEXT(Q388,"M/D-")) &amp; IF(R388="","",TEXT(R388,"M/D")) &amp; " "</f>
        <v xml:space="preserve">      0.00% Install Tower Stair  </v>
      </c>
      <c r="CJ388" s="94"/>
      <c r="CK388" s="94"/>
      <c r="CL388" s="94"/>
      <c r="CM388" s="94"/>
      <c r="CN388" s="94"/>
      <c r="CO388" s="94"/>
      <c r="CP388" s="94"/>
      <c r="CQ388" s="94"/>
      <c r="CR388" s="94"/>
      <c r="CS388" s="94"/>
      <c r="CT388" s="94"/>
      <c r="CU388" s="94"/>
      <c r="CV388" s="94"/>
      <c r="CW388" s="94"/>
      <c r="CX388" s="94"/>
      <c r="CY388" s="94"/>
      <c r="CZ388" s="94"/>
      <c r="DA388" s="94"/>
      <c r="DB388" s="94"/>
      <c r="DC388" s="94"/>
      <c r="DD388" s="94"/>
      <c r="DE388" s="94"/>
      <c r="DF388" s="94"/>
      <c r="DG388" s="94"/>
      <c r="DH388" s="94"/>
      <c r="DI388" s="94"/>
      <c r="DJ388" s="94"/>
      <c r="DK388" s="94"/>
      <c r="DL388" s="94"/>
      <c r="DM388" s="94"/>
      <c r="DN388" s="94"/>
      <c r="DO388" s="94"/>
      <c r="DP388" s="94"/>
      <c r="DQ388" s="94"/>
    </row>
    <row r="389" spans="1:121" ht="15" customHeight="1" outlineLevel="3" x14ac:dyDescent="0.3">
      <c r="A389" s="100"/>
      <c r="B389" s="100"/>
      <c r="C389" s="99">
        <v>4</v>
      </c>
      <c r="D389" s="98" t="s">
        <v>949</v>
      </c>
      <c r="H389" s="77" t="s">
        <v>702</v>
      </c>
      <c r="J389" s="94"/>
      <c r="O389" s="77" t="s">
        <v>700</v>
      </c>
      <c r="P389" s="105"/>
      <c r="Q389" s="97"/>
      <c r="R389" s="97"/>
      <c r="AB389" s="72">
        <v>1</v>
      </c>
      <c r="AE389" s="96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94"/>
      <c r="BZ389" s="94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 t="str">
        <f>"  " &amp; TEXT(AF389,"#0.00%") &amp; " " &amp; "Check Vertical(Deck Post&amp;Tower Stair)" &amp; " " &amp; IF(Q389="","",TEXT(Q389,"M/D-")) &amp; IF(R389="","",TEXT(R389,"M/D")) &amp; " "</f>
        <v xml:space="preserve">  0.00% Check Vertical(Deck Post&amp;Tower Stair)  </v>
      </c>
      <c r="CK389" s="94"/>
      <c r="CL389" s="94"/>
      <c r="CM389" s="94"/>
      <c r="CN389" s="94"/>
      <c r="CO389" s="94"/>
      <c r="CP389" s="94"/>
      <c r="CQ389" s="94"/>
      <c r="CR389" s="94"/>
      <c r="CS389" s="94"/>
      <c r="CT389" s="94"/>
      <c r="CU389" s="94"/>
      <c r="CV389" s="94"/>
      <c r="CW389" s="94"/>
      <c r="CX389" s="94"/>
      <c r="CY389" s="94"/>
      <c r="CZ389" s="94"/>
      <c r="DA389" s="94"/>
      <c r="DB389" s="94"/>
      <c r="DC389" s="94"/>
      <c r="DD389" s="94"/>
      <c r="DE389" s="94"/>
      <c r="DF389" s="94"/>
      <c r="DG389" s="94"/>
      <c r="DH389" s="94"/>
      <c r="DI389" s="94"/>
      <c r="DJ389" s="94"/>
      <c r="DK389" s="94"/>
      <c r="DL389" s="94"/>
      <c r="DM389" s="94"/>
      <c r="DN389" s="94"/>
      <c r="DO389" s="94"/>
      <c r="DP389" s="94"/>
      <c r="DQ389" s="94"/>
    </row>
    <row r="390" spans="1:121" ht="15" customHeight="1" outlineLevel="3" x14ac:dyDescent="0.3">
      <c r="A390" s="100"/>
      <c r="B390" s="100"/>
      <c r="C390" s="99">
        <v>4</v>
      </c>
      <c r="D390" s="98" t="s">
        <v>948</v>
      </c>
      <c r="H390" s="77" t="s">
        <v>546</v>
      </c>
      <c r="J390" s="94"/>
      <c r="O390" s="77" t="s">
        <v>700</v>
      </c>
      <c r="P390" s="105"/>
      <c r="Q390" s="97"/>
      <c r="R390" s="97"/>
      <c r="AB390" s="72">
        <v>1</v>
      </c>
      <c r="AE390" s="96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 t="str">
        <f>"    " &amp; TEXT(AF390,"#0.00%") &amp; " " &amp; "Install Deck Frame&amp;Hand Rail" &amp; " " &amp; IF(Q390="","",TEXT(Q390,"M/D-")) &amp; IF(R390="","",TEXT(R390,"M/D")) &amp; " "</f>
        <v xml:space="preserve">    0.00% Install Deck Frame&amp;Hand Rail  </v>
      </c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</row>
    <row r="391" spans="1:121" ht="15" customHeight="1" outlineLevel="3" x14ac:dyDescent="0.3">
      <c r="A391" s="100"/>
      <c r="B391" s="100"/>
      <c r="C391" s="99">
        <v>4</v>
      </c>
      <c r="D391" s="98" t="s">
        <v>947</v>
      </c>
      <c r="H391" s="77" t="s">
        <v>550</v>
      </c>
      <c r="J391" s="94"/>
      <c r="O391" s="77" t="s">
        <v>640</v>
      </c>
      <c r="P391" s="105"/>
      <c r="Q391" s="97"/>
      <c r="R391" s="97"/>
      <c r="AB391" s="72">
        <v>1</v>
      </c>
      <c r="AE391" s="96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94"/>
      <c r="BZ391" s="94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 t="str">
        <f>"" &amp; TEXT(AF391,"#0.00%") &amp; " " &amp; "Install Anchor" &amp; " " &amp; IF(Q391="","",TEXT(Q391,"M/D-")) &amp; IF(R391="","",TEXT(R391,"M/D")) &amp; " "</f>
        <v xml:space="preserve">0.00% Install Anchor  </v>
      </c>
      <c r="CL391" s="94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  <c r="CW391" s="94"/>
      <c r="CX391" s="94"/>
      <c r="CY391" s="94"/>
      <c r="CZ391" s="94"/>
      <c r="DA391" s="94"/>
      <c r="DB391" s="94"/>
      <c r="DC391" s="94"/>
      <c r="DD391" s="94"/>
      <c r="DE391" s="94"/>
      <c r="DF391" s="94"/>
      <c r="DG391" s="94"/>
      <c r="DH391" s="94"/>
      <c r="DI391" s="94"/>
      <c r="DJ391" s="94"/>
      <c r="DK391" s="94"/>
      <c r="DL391" s="94"/>
      <c r="DM391" s="94"/>
      <c r="DN391" s="94"/>
      <c r="DO391" s="94"/>
      <c r="DP391" s="94"/>
      <c r="DQ391" s="94"/>
    </row>
    <row r="392" spans="1:121" ht="15" customHeight="1" outlineLevel="3" x14ac:dyDescent="0.3">
      <c r="A392" s="100"/>
      <c r="B392" s="100"/>
      <c r="C392" s="99">
        <v>4</v>
      </c>
      <c r="D392" s="98" t="s">
        <v>946</v>
      </c>
      <c r="H392" s="77" t="s">
        <v>697</v>
      </c>
      <c r="J392" s="94"/>
      <c r="O392" s="77" t="s">
        <v>640</v>
      </c>
      <c r="P392" s="105"/>
      <c r="Q392" s="97"/>
      <c r="R392" s="97"/>
      <c r="AB392" s="72">
        <v>1</v>
      </c>
      <c r="AE392" s="96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94"/>
      <c r="BZ392" s="94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 t="str">
        <f>" " &amp; TEXT(AF392,"#0.00%") &amp; " " &amp; "Install Liner" &amp; " " &amp; IF(Q392="","",TEXT(Q392,"M/D-")) &amp; IF(R392="","",TEXT(R392,"M/D")) &amp; " "</f>
        <v xml:space="preserve"> 0.00% Install Liner  </v>
      </c>
      <c r="CL392" s="94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  <c r="CW392" s="94"/>
      <c r="CX392" s="94"/>
      <c r="CY392" s="94"/>
      <c r="CZ392" s="94"/>
      <c r="DA392" s="94"/>
      <c r="DB392" s="94"/>
      <c r="DC392" s="94"/>
      <c r="DD392" s="94"/>
      <c r="DE392" s="94"/>
      <c r="DF392" s="94"/>
      <c r="DG392" s="94"/>
      <c r="DH392" s="94"/>
      <c r="DI392" s="94"/>
      <c r="DJ392" s="94"/>
      <c r="DK392" s="94"/>
      <c r="DL392" s="94"/>
      <c r="DM392" s="94"/>
      <c r="DN392" s="94"/>
      <c r="DO392" s="94"/>
      <c r="DP392" s="94"/>
      <c r="DQ392" s="94"/>
    </row>
    <row r="393" spans="1:121" ht="15" customHeight="1" outlineLevel="3" x14ac:dyDescent="0.3">
      <c r="A393" s="100"/>
      <c r="B393" s="100"/>
      <c r="C393" s="99">
        <v>4</v>
      </c>
      <c r="D393" s="98" t="s">
        <v>945</v>
      </c>
      <c r="H393" s="77" t="s">
        <v>695</v>
      </c>
      <c r="J393" s="94"/>
      <c r="O393" s="77" t="s">
        <v>640</v>
      </c>
      <c r="P393" s="105"/>
      <c r="Q393" s="97"/>
      <c r="R393" s="97"/>
      <c r="AB393" s="72">
        <v>1</v>
      </c>
      <c r="AE393" s="96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94"/>
      <c r="BZ393" s="94"/>
      <c r="CA393" s="94"/>
      <c r="CB393" s="94"/>
      <c r="CC393" s="94"/>
      <c r="CD393" s="94"/>
      <c r="CE393" s="94"/>
      <c r="CF393" s="94"/>
      <c r="CG393" s="94"/>
      <c r="CH393" s="94"/>
      <c r="CI393" s="94"/>
      <c r="CJ393" s="94"/>
      <c r="CK393" s="94" t="str">
        <f>" " &amp; TEXT(AF393,"#0.00%") &amp; " " &amp; "Check Liner Leveling(Laser)" &amp; " " &amp; IF(Q393="","",TEXT(Q393,"M/D-")) &amp; IF(R393="","",TEXT(R393,"M/D")) &amp; " "</f>
        <v xml:space="preserve"> 0.00% Check Liner Leveling(Laser)  </v>
      </c>
      <c r="CL393" s="94"/>
      <c r="CM393" s="94"/>
      <c r="CN393" s="94"/>
      <c r="CO393" s="94"/>
      <c r="CP393" s="94"/>
      <c r="CQ393" s="94"/>
      <c r="CR393" s="94"/>
      <c r="CS393" s="94"/>
      <c r="CT393" s="94"/>
      <c r="CU393" s="94"/>
      <c r="CV393" s="94"/>
      <c r="CW393" s="94"/>
      <c r="CX393" s="94"/>
      <c r="CY393" s="94"/>
      <c r="CZ393" s="94"/>
      <c r="DA393" s="94"/>
      <c r="DB393" s="94"/>
      <c r="DC393" s="94"/>
      <c r="DD393" s="94"/>
      <c r="DE393" s="94"/>
      <c r="DF393" s="94"/>
      <c r="DG393" s="94"/>
      <c r="DH393" s="94"/>
      <c r="DI393" s="94"/>
      <c r="DJ393" s="94"/>
      <c r="DK393" s="94"/>
      <c r="DL393" s="94"/>
      <c r="DM393" s="94"/>
      <c r="DN393" s="94"/>
      <c r="DO393" s="94"/>
      <c r="DP393" s="94"/>
      <c r="DQ393" s="94"/>
    </row>
    <row r="394" spans="1:121" ht="15" customHeight="1" outlineLevel="3" x14ac:dyDescent="0.3">
      <c r="A394" s="100"/>
      <c r="B394" s="100"/>
      <c r="C394" s="99">
        <v>4</v>
      </c>
      <c r="D394" s="98" t="s">
        <v>944</v>
      </c>
      <c r="H394" s="77" t="s">
        <v>693</v>
      </c>
      <c r="J394" s="94"/>
      <c r="O394" s="77" t="s">
        <v>640</v>
      </c>
      <c r="P394" s="105"/>
      <c r="Q394" s="97"/>
      <c r="R394" s="97"/>
      <c r="AB394" s="72">
        <v>1</v>
      </c>
      <c r="AE394" s="96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94"/>
      <c r="BZ394" s="94"/>
      <c r="CA394" s="94"/>
      <c r="CB394" s="94"/>
      <c r="CC394" s="94"/>
      <c r="CD394" s="94"/>
      <c r="CE394" s="94"/>
      <c r="CF394" s="94"/>
      <c r="CG394" s="94"/>
      <c r="CH394" s="94"/>
      <c r="CI394" s="94"/>
      <c r="CJ394" s="94"/>
      <c r="CK394" s="94" t="str">
        <f>"  " &amp; TEXT(AF394,"#0.00%") &amp; " " &amp; "Install Base Plate" &amp; " " &amp; IF(Q394="","",TEXT(Q394,"M/D-")) &amp; IF(R394="","",TEXT(R394,"M/D")) &amp; " "</f>
        <v xml:space="preserve">  0.00% Install Base Plate  </v>
      </c>
      <c r="CL394" s="94"/>
      <c r="CM394" s="94"/>
      <c r="CN394" s="94"/>
      <c r="CO394" s="94"/>
      <c r="CP394" s="94"/>
      <c r="CQ394" s="94"/>
      <c r="CR394" s="94"/>
      <c r="CS394" s="94"/>
      <c r="CT394" s="94"/>
      <c r="CU394" s="94"/>
      <c r="CV394" s="94"/>
      <c r="CW394" s="94"/>
      <c r="CX394" s="94"/>
      <c r="CY394" s="94"/>
      <c r="CZ394" s="94"/>
      <c r="DA394" s="94"/>
      <c r="DB394" s="94"/>
      <c r="DC394" s="94"/>
      <c r="DD394" s="94"/>
      <c r="DE394" s="94"/>
      <c r="DF394" s="94"/>
      <c r="DG394" s="94"/>
      <c r="DH394" s="94"/>
      <c r="DI394" s="94"/>
      <c r="DJ394" s="94"/>
      <c r="DK394" s="94"/>
      <c r="DL394" s="94"/>
      <c r="DM394" s="94"/>
      <c r="DN394" s="94"/>
      <c r="DO394" s="94"/>
      <c r="DP394" s="94"/>
      <c r="DQ394" s="94"/>
    </row>
    <row r="395" spans="1:121" ht="15" customHeight="1" outlineLevel="3" x14ac:dyDescent="0.3">
      <c r="A395" s="100"/>
      <c r="B395" s="100"/>
      <c r="C395" s="99">
        <v>4</v>
      </c>
      <c r="D395" s="98" t="s">
        <v>943</v>
      </c>
      <c r="H395" s="77" t="s">
        <v>691</v>
      </c>
      <c r="J395" s="94"/>
      <c r="O395" s="77" t="s">
        <v>640</v>
      </c>
      <c r="P395" s="105"/>
      <c r="Q395" s="97"/>
      <c r="R395" s="97"/>
      <c r="AB395" s="72">
        <v>1</v>
      </c>
      <c r="AE395" s="96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94"/>
      <c r="BZ395" s="94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 t="str">
        <f>"   " &amp; TEXT(AF395,"#0.00%") &amp; " " &amp; "Erect Rack(2th)" &amp; " " &amp; IF(Q395="","",TEXT(Q395,"M/D-")) &amp; IF(R395="","",TEXT(R395,"M/D")) &amp; " "</f>
        <v xml:space="preserve">   0.00% Erect Rack(2th)  </v>
      </c>
      <c r="CL395" s="94"/>
      <c r="CM395" s="94"/>
      <c r="CN395" s="94"/>
      <c r="CO395" s="94"/>
      <c r="CP395" s="94"/>
      <c r="CQ395" s="94"/>
      <c r="CR395" s="94"/>
      <c r="CS395" s="94"/>
      <c r="CT395" s="94"/>
      <c r="CU395" s="94"/>
      <c r="CV395" s="94"/>
      <c r="CW395" s="94"/>
      <c r="CX395" s="94"/>
      <c r="CY395" s="94"/>
      <c r="CZ395" s="94"/>
      <c r="DA395" s="94"/>
      <c r="DB395" s="94"/>
      <c r="DC395" s="94"/>
      <c r="DD395" s="94"/>
      <c r="DE395" s="94"/>
      <c r="DF395" s="94"/>
      <c r="DG395" s="94"/>
      <c r="DH395" s="94"/>
      <c r="DI395" s="94"/>
      <c r="DJ395" s="94"/>
      <c r="DK395" s="94"/>
      <c r="DL395" s="94"/>
      <c r="DM395" s="94"/>
      <c r="DN395" s="94"/>
      <c r="DO395" s="94"/>
      <c r="DP395" s="94"/>
      <c r="DQ395" s="94"/>
    </row>
    <row r="396" spans="1:121" ht="15" customHeight="1" outlineLevel="3" x14ac:dyDescent="0.3">
      <c r="A396" s="100"/>
      <c r="B396" s="100"/>
      <c r="C396" s="99">
        <v>4</v>
      </c>
      <c r="D396" s="98" t="s">
        <v>942</v>
      </c>
      <c r="H396" s="77" t="s">
        <v>544</v>
      </c>
      <c r="J396" s="94"/>
      <c r="O396" s="77" t="s">
        <v>518</v>
      </c>
      <c r="P396" s="105"/>
      <c r="Q396" s="97"/>
      <c r="R396" s="97"/>
      <c r="AB396" s="72">
        <v>1</v>
      </c>
      <c r="AE396" s="96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94"/>
      <c r="BZ396" s="94"/>
      <c r="CA396" s="94"/>
      <c r="CB396" s="94"/>
      <c r="CC396" s="94"/>
      <c r="CD396" s="94"/>
      <c r="CE396" s="94"/>
      <c r="CF396" s="94"/>
      <c r="CG396" s="94"/>
      <c r="CH396" s="94"/>
      <c r="CI396" s="94"/>
      <c r="CJ396" s="94"/>
      <c r="CK396" s="94" t="str">
        <f>"    " &amp; TEXT(AF396,"#0.00%") &amp; " " &amp; "Install Lifter" &amp; " " &amp; IF(Q396="","",TEXT(Q396,"M/D-")) &amp; IF(R396="","",TEXT(R396,"M/D")) &amp; " "</f>
        <v xml:space="preserve">    0.00% Install Lifter  </v>
      </c>
      <c r="CL396" s="94"/>
      <c r="CM396" s="94"/>
      <c r="CN396" s="94"/>
      <c r="CO396" s="94"/>
      <c r="CP396" s="94"/>
      <c r="CQ396" s="94"/>
      <c r="CR396" s="94"/>
      <c r="CS396" s="94"/>
      <c r="CT396" s="94"/>
      <c r="CU396" s="94"/>
      <c r="CV396" s="94"/>
      <c r="CW396" s="94"/>
      <c r="CX396" s="94"/>
      <c r="CY396" s="94"/>
      <c r="CZ396" s="94"/>
      <c r="DA396" s="94"/>
      <c r="DB396" s="94"/>
      <c r="DC396" s="94"/>
      <c r="DD396" s="94"/>
      <c r="DE396" s="94"/>
      <c r="DF396" s="94"/>
      <c r="DG396" s="94"/>
      <c r="DH396" s="94"/>
      <c r="DI396" s="94"/>
      <c r="DJ396" s="94"/>
      <c r="DK396" s="94"/>
      <c r="DL396" s="94"/>
      <c r="DM396" s="94"/>
      <c r="DN396" s="94"/>
      <c r="DO396" s="94"/>
      <c r="DP396" s="94"/>
      <c r="DQ396" s="94"/>
    </row>
    <row r="397" spans="1:121" ht="15" customHeight="1" outlineLevel="3" x14ac:dyDescent="0.3">
      <c r="A397" s="100"/>
      <c r="B397" s="100"/>
      <c r="C397" s="99">
        <v>4</v>
      </c>
      <c r="D397" s="98" t="s">
        <v>941</v>
      </c>
      <c r="H397" s="77" t="s">
        <v>688</v>
      </c>
      <c r="J397" s="94"/>
      <c r="O397" s="77" t="s">
        <v>640</v>
      </c>
      <c r="P397" s="105"/>
      <c r="Q397" s="97"/>
      <c r="R397" s="97"/>
      <c r="AB397" s="72">
        <v>1</v>
      </c>
      <c r="AE397" s="96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94"/>
      <c r="BZ397" s="94"/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 t="str">
        <f>"     " &amp; TEXT(AF397,"#0.00%") &amp; " " &amp; "Install Beam&amp;Bracing(2th)" &amp; " " &amp; IF(Q397="","",TEXT(Q397,"M/D-")) &amp; IF(R397="","",TEXT(R397,"M/D")) &amp; " "</f>
        <v xml:space="preserve">     0.00% Install Beam&amp;Bracing(2th)  </v>
      </c>
      <c r="CL397" s="94"/>
      <c r="CM397" s="94"/>
      <c r="CN397" s="94"/>
      <c r="CO397" s="94"/>
      <c r="CP397" s="94"/>
      <c r="CQ397" s="94"/>
      <c r="CR397" s="94"/>
      <c r="CS397" s="94"/>
      <c r="CT397" s="94"/>
      <c r="CU397" s="94"/>
      <c r="CV397" s="94"/>
      <c r="CW397" s="94"/>
      <c r="CX397" s="94"/>
      <c r="CY397" s="94"/>
      <c r="CZ397" s="94"/>
      <c r="DA397" s="94"/>
      <c r="DB397" s="94"/>
      <c r="DC397" s="94"/>
      <c r="DD397" s="94"/>
      <c r="DE397" s="94"/>
      <c r="DF397" s="94"/>
      <c r="DG397" s="94"/>
      <c r="DH397" s="94"/>
      <c r="DI397" s="94"/>
      <c r="DJ397" s="94"/>
      <c r="DK397" s="94"/>
      <c r="DL397" s="94"/>
      <c r="DM397" s="94"/>
      <c r="DN397" s="94"/>
      <c r="DO397" s="94"/>
      <c r="DP397" s="94"/>
      <c r="DQ397" s="94"/>
    </row>
    <row r="398" spans="1:121" ht="15" customHeight="1" outlineLevel="3" x14ac:dyDescent="0.3">
      <c r="A398" s="100"/>
      <c r="B398" s="100"/>
      <c r="C398" s="99">
        <v>4</v>
      </c>
      <c r="D398" s="98" t="s">
        <v>940</v>
      </c>
      <c r="H398" s="77" t="s">
        <v>686</v>
      </c>
      <c r="J398" s="94"/>
      <c r="O398" s="77" t="s">
        <v>640</v>
      </c>
      <c r="P398" s="105"/>
      <c r="Q398" s="97"/>
      <c r="R398" s="97"/>
      <c r="AB398" s="72">
        <v>1</v>
      </c>
      <c r="AE398" s="96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94"/>
      <c r="BZ398" s="94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4" t="str">
        <f>"  " &amp; TEXT(AF398,"#0.00%") &amp; " " &amp; "Install Rack&amp;Beam&amp;Bracing(5th)" &amp; " " &amp; IF(Q398="","",TEXT(Q398,"M/D-")) &amp; IF(R398="","",TEXT(R398,"M/D")) &amp; " "</f>
        <v xml:space="preserve">  0.00% Install Rack&amp;Beam&amp;Bracing(5th)  </v>
      </c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  <c r="CW398" s="94"/>
      <c r="CX398" s="94"/>
      <c r="CY398" s="94"/>
      <c r="CZ398" s="94"/>
      <c r="DA398" s="94"/>
      <c r="DB398" s="94"/>
      <c r="DC398" s="94"/>
      <c r="DD398" s="94"/>
      <c r="DE398" s="94"/>
      <c r="DF398" s="94"/>
      <c r="DG398" s="94"/>
      <c r="DH398" s="94"/>
      <c r="DI398" s="94"/>
      <c r="DJ398" s="94"/>
      <c r="DK398" s="94"/>
      <c r="DL398" s="94"/>
      <c r="DM398" s="94"/>
      <c r="DN398" s="94"/>
      <c r="DO398" s="94"/>
      <c r="DP398" s="94"/>
      <c r="DQ398" s="94"/>
    </row>
    <row r="399" spans="1:121" ht="15" customHeight="1" outlineLevel="3" x14ac:dyDescent="0.3">
      <c r="A399" s="100"/>
      <c r="B399" s="100"/>
      <c r="C399" s="99">
        <v>4</v>
      </c>
      <c r="D399" s="98" t="s">
        <v>939</v>
      </c>
      <c r="H399" s="77" t="s">
        <v>546</v>
      </c>
      <c r="J399" s="94"/>
      <c r="O399" s="77" t="s">
        <v>640</v>
      </c>
      <c r="P399" s="105"/>
      <c r="Q399" s="97"/>
      <c r="R399" s="97"/>
      <c r="AB399" s="72">
        <v>1</v>
      </c>
      <c r="AE399" s="96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94"/>
      <c r="BZ399" s="94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4" t="str">
        <f>"     " &amp; TEXT(AF399,"#0.00%") &amp; " " &amp; "Install Deck Frame&amp;Hand Rail" &amp; " " &amp; IF(Q399="","",TEXT(Q399,"M/D-")) &amp; IF(R399="","",TEXT(R399,"M/D")) &amp; " "</f>
        <v xml:space="preserve">     0.00% Install Deck Frame&amp;Hand Rail  </v>
      </c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  <c r="CW399" s="94"/>
      <c r="CX399" s="94"/>
      <c r="CY399" s="94"/>
      <c r="CZ399" s="94"/>
      <c r="DA399" s="94"/>
      <c r="DB399" s="94"/>
      <c r="DC399" s="94"/>
      <c r="DD399" s="94"/>
      <c r="DE399" s="94"/>
      <c r="DF399" s="94"/>
      <c r="DG399" s="94"/>
      <c r="DH399" s="94"/>
      <c r="DI399" s="94"/>
      <c r="DJ399" s="94"/>
      <c r="DK399" s="94"/>
      <c r="DL399" s="94"/>
      <c r="DM399" s="94"/>
      <c r="DN399" s="94"/>
      <c r="DO399" s="94"/>
      <c r="DP399" s="94"/>
      <c r="DQ399" s="94"/>
    </row>
    <row r="400" spans="1:121" ht="15" customHeight="1" outlineLevel="3" x14ac:dyDescent="0.3">
      <c r="A400" s="100"/>
      <c r="B400" s="100"/>
      <c r="C400" s="99">
        <v>4</v>
      </c>
      <c r="D400" s="98" t="s">
        <v>938</v>
      </c>
      <c r="H400" s="77" t="s">
        <v>683</v>
      </c>
      <c r="J400" s="94"/>
      <c r="O400" s="77" t="s">
        <v>678</v>
      </c>
      <c r="P400" s="105"/>
      <c r="Q400" s="97"/>
      <c r="R400" s="97"/>
      <c r="AB400" s="72">
        <v>1</v>
      </c>
      <c r="AE400" s="96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94"/>
      <c r="BZ400" s="94"/>
      <c r="CA400" s="94"/>
      <c r="CB400" s="94"/>
      <c r="CC400" s="94"/>
      <c r="CD400" s="94"/>
      <c r="CE400" s="94"/>
      <c r="CF400" s="94"/>
      <c r="CG400" s="94"/>
      <c r="CH400" s="94"/>
      <c r="CI400" s="94"/>
      <c r="CJ400" s="94"/>
      <c r="CK400" s="94"/>
      <c r="CL400" s="94"/>
      <c r="CM400" s="94" t="str">
        <f>"" &amp; TEXT(AF400,"#0.00%") &amp; " " &amp; "Check Track No." &amp; " " &amp; IF(Q400="","",TEXT(Q400,"M/D-")) &amp; IF(R400="","",TEXT(R400,"M/D")) &amp; " "</f>
        <v xml:space="preserve">0.00% Check Track No.  </v>
      </c>
      <c r="CN400" s="94"/>
      <c r="CO400" s="94"/>
      <c r="CP400" s="94"/>
      <c r="CQ400" s="94"/>
      <c r="CR400" s="94"/>
      <c r="CS400" s="94"/>
      <c r="CT400" s="94"/>
      <c r="CU400" s="94"/>
      <c r="CV400" s="94"/>
      <c r="CW400" s="94"/>
      <c r="CX400" s="94"/>
      <c r="CY400" s="94"/>
      <c r="CZ400" s="94"/>
      <c r="DA400" s="94"/>
      <c r="DB400" s="94"/>
      <c r="DC400" s="94"/>
      <c r="DD400" s="94"/>
      <c r="DE400" s="94"/>
      <c r="DF400" s="94"/>
      <c r="DG400" s="94"/>
      <c r="DH400" s="94"/>
      <c r="DI400" s="94"/>
      <c r="DJ400" s="94"/>
      <c r="DK400" s="94"/>
      <c r="DL400" s="94"/>
      <c r="DM400" s="94"/>
      <c r="DN400" s="94"/>
      <c r="DO400" s="94"/>
      <c r="DP400" s="94"/>
      <c r="DQ400" s="94"/>
    </row>
    <row r="401" spans="1:121" ht="15" customHeight="1" outlineLevel="3" x14ac:dyDescent="0.3">
      <c r="A401" s="100"/>
      <c r="B401" s="100"/>
      <c r="C401" s="99">
        <v>4</v>
      </c>
      <c r="D401" s="98" t="s">
        <v>937</v>
      </c>
      <c r="H401" s="77" t="s">
        <v>681</v>
      </c>
      <c r="J401" s="94"/>
      <c r="O401" s="77" t="s">
        <v>678</v>
      </c>
      <c r="P401" s="105"/>
      <c r="Q401" s="97"/>
      <c r="R401" s="97"/>
      <c r="AB401" s="72">
        <v>1</v>
      </c>
      <c r="AE401" s="96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94"/>
      <c r="BZ401" s="94"/>
      <c r="CA401" s="94"/>
      <c r="CB401" s="94"/>
      <c r="CC401" s="94"/>
      <c r="CD401" s="94"/>
      <c r="CE401" s="94"/>
      <c r="CF401" s="94"/>
      <c r="CG401" s="94"/>
      <c r="CH401" s="94"/>
      <c r="CI401" s="94"/>
      <c r="CJ401" s="94"/>
      <c r="CK401" s="94"/>
      <c r="CL401" s="94"/>
      <c r="CM401" s="94" t="str">
        <f>"  " &amp; TEXT(AF401,"#0.00%") &amp; " " &amp; "Install HP Home Stand &amp; C/V" &amp; " " &amp; IF(Q401="","",TEXT(Q401,"M/D-")) &amp; IF(R401="","",TEXT(R401,"M/D")) &amp; " "</f>
        <v xml:space="preserve">  0.00% Install HP Home Stand &amp; C/V  </v>
      </c>
      <c r="CN401" s="94"/>
      <c r="CO401" s="94"/>
      <c r="CP401" s="94"/>
      <c r="CQ401" s="94"/>
      <c r="CR401" s="94"/>
      <c r="CS401" s="94"/>
      <c r="CT401" s="94"/>
      <c r="CU401" s="94"/>
      <c r="CV401" s="94"/>
      <c r="CW401" s="94"/>
      <c r="CX401" s="94"/>
      <c r="CY401" s="94"/>
      <c r="CZ401" s="94"/>
      <c r="DA401" s="94"/>
      <c r="DB401" s="94"/>
      <c r="DC401" s="94"/>
      <c r="DD401" s="94"/>
      <c r="DE401" s="94"/>
      <c r="DF401" s="94"/>
      <c r="DG401" s="94"/>
      <c r="DH401" s="94"/>
      <c r="DI401" s="94"/>
      <c r="DJ401" s="94"/>
      <c r="DK401" s="94"/>
      <c r="DL401" s="94"/>
      <c r="DM401" s="94"/>
      <c r="DN401" s="94"/>
      <c r="DO401" s="94"/>
      <c r="DP401" s="94"/>
      <c r="DQ401" s="94"/>
    </row>
    <row r="402" spans="1:121" ht="15" customHeight="1" outlineLevel="3" x14ac:dyDescent="0.3">
      <c r="A402" s="100"/>
      <c r="B402" s="100"/>
      <c r="C402" s="99">
        <v>4</v>
      </c>
      <c r="D402" s="98" t="s">
        <v>936</v>
      </c>
      <c r="H402" s="77" t="s">
        <v>679</v>
      </c>
      <c r="J402" s="94"/>
      <c r="O402" s="77" t="s">
        <v>678</v>
      </c>
      <c r="P402" s="105"/>
      <c r="Q402" s="97"/>
      <c r="R402" s="97"/>
      <c r="AB402" s="72">
        <v>1</v>
      </c>
      <c r="AE402" s="96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94"/>
      <c r="BZ402" s="94"/>
      <c r="CA402" s="94"/>
      <c r="CB402" s="94"/>
      <c r="CC402" s="94"/>
      <c r="CD402" s="94"/>
      <c r="CE402" s="94"/>
      <c r="CF402" s="94"/>
      <c r="CG402" s="94"/>
      <c r="CH402" s="94"/>
      <c r="CI402" s="94"/>
      <c r="CJ402" s="94"/>
      <c r="CK402" s="94"/>
      <c r="CL402" s="94"/>
      <c r="CM402" s="94" t="str">
        <f>"     " &amp; TEXT(AF402,"#0.00%") &amp; " " &amp; "Check home stand CV Level &amp; Center line" &amp; " " &amp; IF(Q402="","",TEXT(Q402,"M/D-")) &amp; IF(R402="","",TEXT(R402,"M/D")) &amp; " "</f>
        <v xml:space="preserve">     0.00% Check home stand CV Level &amp; Center line  </v>
      </c>
      <c r="CN402" s="94"/>
      <c r="CO402" s="94"/>
      <c r="CP402" s="94"/>
      <c r="CQ402" s="94"/>
      <c r="CR402" s="94"/>
      <c r="CS402" s="94"/>
      <c r="CT402" s="94"/>
      <c r="CU402" s="94"/>
      <c r="CV402" s="94"/>
      <c r="CW402" s="94"/>
      <c r="CX402" s="94"/>
      <c r="CY402" s="94"/>
      <c r="CZ402" s="94"/>
      <c r="DA402" s="94"/>
      <c r="DB402" s="94"/>
      <c r="DC402" s="94"/>
      <c r="DD402" s="94"/>
      <c r="DE402" s="94"/>
      <c r="DF402" s="94"/>
      <c r="DG402" s="94"/>
      <c r="DH402" s="94"/>
      <c r="DI402" s="94"/>
      <c r="DJ402" s="94"/>
      <c r="DK402" s="94"/>
      <c r="DL402" s="94"/>
      <c r="DM402" s="94"/>
      <c r="DN402" s="94"/>
      <c r="DO402" s="94"/>
      <c r="DP402" s="94"/>
      <c r="DQ402" s="94"/>
    </row>
    <row r="403" spans="1:121" ht="15" customHeight="1" outlineLevel="3" x14ac:dyDescent="0.3">
      <c r="A403" s="100"/>
      <c r="B403" s="100"/>
      <c r="C403" s="99">
        <v>4</v>
      </c>
      <c r="D403" s="98" t="s">
        <v>935</v>
      </c>
      <c r="H403" s="77" t="s">
        <v>934</v>
      </c>
      <c r="J403" s="94"/>
      <c r="O403" s="77" t="s">
        <v>640</v>
      </c>
      <c r="P403" s="105"/>
      <c r="Q403" s="97"/>
      <c r="R403" s="97"/>
      <c r="AB403" s="72">
        <v>1</v>
      </c>
      <c r="AE403" s="96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94"/>
      <c r="BZ403" s="94"/>
      <c r="CA403" s="94"/>
      <c r="CB403" s="94"/>
      <c r="CC403" s="94"/>
      <c r="CD403" s="94"/>
      <c r="CE403" s="94"/>
      <c r="CF403" s="94"/>
      <c r="CG403" s="94"/>
      <c r="CH403" s="94"/>
      <c r="CI403" s="94" t="str">
        <f>" " &amp; TEXT(AF403,"#0.00%") &amp; " " &amp; "Pre-Assembly Rack(5~54Th)" &amp; " " &amp; IF(Q403="","",TEXT(Q403,"M/D-")) &amp; IF(R403="","",TEXT(R403,"M/D")) &amp; " "</f>
        <v xml:space="preserve"> 0.00% Pre-Assembly Rack(5~54Th)  </v>
      </c>
      <c r="CJ403" s="94"/>
      <c r="CK403" s="94"/>
      <c r="CL403" s="94"/>
      <c r="CM403" s="94"/>
      <c r="CN403" s="94"/>
      <c r="CO403" s="94"/>
      <c r="CP403" s="94"/>
      <c r="CQ403" s="94"/>
      <c r="CR403" s="94"/>
      <c r="CS403" s="94"/>
      <c r="CT403" s="94"/>
      <c r="CU403" s="94"/>
      <c r="CV403" s="94"/>
      <c r="CW403" s="94"/>
      <c r="CX403" s="94"/>
      <c r="CY403" s="94"/>
      <c r="CZ403" s="94"/>
      <c r="DA403" s="94"/>
      <c r="DB403" s="94"/>
      <c r="DC403" s="94"/>
      <c r="DD403" s="94"/>
      <c r="DE403" s="94"/>
      <c r="DF403" s="94"/>
      <c r="DG403" s="94"/>
      <c r="DH403" s="94"/>
      <c r="DI403" s="94"/>
      <c r="DJ403" s="94"/>
      <c r="DK403" s="94"/>
      <c r="DL403" s="94"/>
      <c r="DM403" s="94"/>
      <c r="DN403" s="94"/>
      <c r="DO403" s="94"/>
      <c r="DP403" s="94"/>
      <c r="DQ403" s="94"/>
    </row>
    <row r="404" spans="1:121" ht="15" customHeight="1" outlineLevel="3" x14ac:dyDescent="0.3">
      <c r="A404" s="100"/>
      <c r="B404" s="100"/>
      <c r="C404" s="99">
        <v>4</v>
      </c>
      <c r="D404" s="98" t="s">
        <v>933</v>
      </c>
      <c r="H404" s="77" t="s">
        <v>674</v>
      </c>
      <c r="J404" s="94"/>
      <c r="O404" s="77" t="s">
        <v>640</v>
      </c>
      <c r="P404" s="105"/>
      <c r="Q404" s="97"/>
      <c r="R404" s="97"/>
      <c r="AB404" s="72">
        <v>1</v>
      </c>
      <c r="AE404" s="96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94"/>
      <c r="BZ404" s="94"/>
      <c r="CA404" s="94"/>
      <c r="CB404" s="94"/>
      <c r="CC404" s="94"/>
      <c r="CD404" s="94"/>
      <c r="CE404" s="94"/>
      <c r="CF404" s="94"/>
      <c r="CG404" s="94"/>
      <c r="CH404" s="94"/>
      <c r="CI404" s="94" t="str">
        <f>"   " &amp; TEXT(AF404,"#0.00%") &amp; " " &amp; "Install Rack&amp;Beam&amp;Bracing&amp;Rail Base(10th)" &amp; " " &amp; IF(Q404="","",TEXT(Q404,"M/D-")) &amp; IF(R404="","",TEXT(R404,"M/D")) &amp; " "</f>
        <v xml:space="preserve">   0.00% Install Rack&amp;Beam&amp;Bracing&amp;Rail Base(10th)  </v>
      </c>
      <c r="CJ404" s="94"/>
      <c r="CK404" s="94"/>
      <c r="CL404" s="94"/>
      <c r="CM404" s="94"/>
      <c r="CN404" s="94"/>
      <c r="CO404" s="94"/>
      <c r="CP404" s="94"/>
      <c r="CQ404" s="94"/>
      <c r="CR404" s="94"/>
      <c r="CS404" s="94"/>
      <c r="CT404" s="94"/>
      <c r="CU404" s="94"/>
      <c r="CV404" s="94"/>
      <c r="CW404" s="94"/>
      <c r="CX404" s="94"/>
      <c r="CY404" s="94"/>
      <c r="CZ404" s="94"/>
      <c r="DA404" s="94"/>
      <c r="DB404" s="94"/>
      <c r="DC404" s="94"/>
      <c r="DD404" s="94"/>
      <c r="DE404" s="94"/>
      <c r="DF404" s="94"/>
      <c r="DG404" s="94"/>
      <c r="DH404" s="94"/>
      <c r="DI404" s="94"/>
      <c r="DJ404" s="94"/>
      <c r="DK404" s="94"/>
      <c r="DL404" s="94"/>
      <c r="DM404" s="94"/>
      <c r="DN404" s="94"/>
      <c r="DO404" s="94"/>
      <c r="DP404" s="94"/>
      <c r="DQ404" s="94"/>
    </row>
    <row r="405" spans="1:121" ht="15" customHeight="1" outlineLevel="3" x14ac:dyDescent="0.3">
      <c r="A405" s="100"/>
      <c r="B405" s="100"/>
      <c r="C405" s="99">
        <v>4</v>
      </c>
      <c r="D405" s="98" t="s">
        <v>932</v>
      </c>
      <c r="H405" s="77" t="s">
        <v>672</v>
      </c>
      <c r="J405" s="94"/>
      <c r="O405" s="77" t="s">
        <v>640</v>
      </c>
      <c r="P405" s="105"/>
      <c r="Q405" s="97"/>
      <c r="R405" s="97"/>
      <c r="AB405" s="72">
        <v>1</v>
      </c>
      <c r="AE405" s="96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94"/>
      <c r="BZ405" s="94"/>
      <c r="CA405" s="94"/>
      <c r="CB405" s="94"/>
      <c r="CC405" s="94"/>
      <c r="CD405" s="94"/>
      <c r="CE405" s="94"/>
      <c r="CF405" s="94"/>
      <c r="CG405" s="94"/>
      <c r="CH405" s="94"/>
      <c r="CI405" s="94"/>
      <c r="CJ405" s="94" t="str">
        <f>"" &amp; TEXT(AF405,"#0.00%") &amp; " " &amp; "Check Vertical(1~10th)" &amp; " " &amp; IF(Q405="","",TEXT(Q405,"M/D-")) &amp; IF(R405="","",TEXT(R405,"M/D")) &amp; " "</f>
        <v xml:space="preserve">0.00% Check Vertical(1~10th)  </v>
      </c>
      <c r="CK405" s="94"/>
      <c r="CL405" s="94"/>
      <c r="CM405" s="94"/>
      <c r="CN405" s="94"/>
      <c r="CO405" s="94"/>
      <c r="CP405" s="94"/>
      <c r="CQ405" s="94"/>
      <c r="CR405" s="94"/>
      <c r="CS405" s="94"/>
      <c r="CT405" s="94"/>
      <c r="CU405" s="94"/>
      <c r="CV405" s="94"/>
      <c r="CW405" s="94"/>
      <c r="CX405" s="94"/>
      <c r="CY405" s="94"/>
      <c r="CZ405" s="94"/>
      <c r="DA405" s="94"/>
      <c r="DB405" s="94"/>
      <c r="DC405" s="94"/>
      <c r="DD405" s="94"/>
      <c r="DE405" s="94"/>
      <c r="DF405" s="94"/>
      <c r="DG405" s="94"/>
      <c r="DH405" s="94"/>
      <c r="DI405" s="94"/>
      <c r="DJ405" s="94"/>
      <c r="DK405" s="94"/>
      <c r="DL405" s="94"/>
      <c r="DM405" s="94"/>
      <c r="DN405" s="94"/>
      <c r="DO405" s="94"/>
      <c r="DP405" s="94"/>
      <c r="DQ405" s="94"/>
    </row>
    <row r="406" spans="1:121" ht="15" customHeight="1" outlineLevel="3" x14ac:dyDescent="0.3">
      <c r="A406" s="100"/>
      <c r="B406" s="100"/>
      <c r="C406" s="99">
        <v>4</v>
      </c>
      <c r="D406" s="98" t="s">
        <v>931</v>
      </c>
      <c r="H406" s="77" t="s">
        <v>670</v>
      </c>
      <c r="J406" s="94"/>
      <c r="O406" s="77" t="s">
        <v>649</v>
      </c>
      <c r="P406" s="105"/>
      <c r="Q406" s="97"/>
      <c r="R406" s="97"/>
      <c r="AB406" s="72">
        <v>1</v>
      </c>
      <c r="AE406" s="96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94"/>
      <c r="BZ406" s="94"/>
      <c r="CA406" s="94"/>
      <c r="CB406" s="94"/>
      <c r="CC406" s="94"/>
      <c r="CD406" s="94"/>
      <c r="CE406" s="94"/>
      <c r="CF406" s="94"/>
      <c r="CG406" s="94"/>
      <c r="CH406" s="94"/>
      <c r="CI406" s="94"/>
      <c r="CJ406" s="94" t="str">
        <f>"   " &amp; TEXT(AF406,"#0.00%") &amp; " " &amp; "Install MSC Rail(1st rail)" &amp; " " &amp; IF(Q406="","",TEXT(Q406,"M/D-")) &amp; IF(R406="","",TEXT(R406,"M/D")) &amp; " "</f>
        <v xml:space="preserve">   0.00% Install MSC Rail(1st rail)  </v>
      </c>
      <c r="CK406" s="94"/>
      <c r="CL406" s="94"/>
      <c r="CM406" s="94"/>
      <c r="CN406" s="94"/>
      <c r="CO406" s="94"/>
      <c r="CP406" s="94"/>
      <c r="CQ406" s="94"/>
      <c r="CR406" s="94"/>
      <c r="CS406" s="94"/>
      <c r="CT406" s="94"/>
      <c r="CU406" s="94"/>
      <c r="CV406" s="94"/>
      <c r="CW406" s="94"/>
      <c r="CX406" s="94"/>
      <c r="CY406" s="94"/>
      <c r="CZ406" s="94"/>
      <c r="DA406" s="94"/>
      <c r="DB406" s="94"/>
      <c r="DC406" s="94"/>
      <c r="DD406" s="94"/>
      <c r="DE406" s="94"/>
      <c r="DF406" s="94"/>
      <c r="DG406" s="94"/>
      <c r="DH406" s="94"/>
      <c r="DI406" s="94"/>
      <c r="DJ406" s="94"/>
      <c r="DK406" s="94"/>
      <c r="DL406" s="94"/>
      <c r="DM406" s="94"/>
      <c r="DN406" s="94"/>
      <c r="DO406" s="94"/>
      <c r="DP406" s="94"/>
      <c r="DQ406" s="94"/>
    </row>
    <row r="407" spans="1:121" ht="15" customHeight="1" outlineLevel="3" x14ac:dyDescent="0.3">
      <c r="A407" s="100"/>
      <c r="B407" s="100"/>
      <c r="C407" s="99">
        <v>4</v>
      </c>
      <c r="D407" s="98" t="s">
        <v>930</v>
      </c>
      <c r="H407" s="77" t="s">
        <v>668</v>
      </c>
      <c r="J407" s="94"/>
      <c r="O407" s="77" t="s">
        <v>649</v>
      </c>
      <c r="P407" s="105"/>
      <c r="Q407" s="97"/>
      <c r="R407" s="97"/>
      <c r="AB407" s="72">
        <v>1</v>
      </c>
      <c r="AE407" s="96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94"/>
      <c r="BZ407" s="94"/>
      <c r="CA407" s="94"/>
      <c r="CB407" s="94"/>
      <c r="CC407" s="94"/>
      <c r="CD407" s="94"/>
      <c r="CE407" s="94"/>
      <c r="CF407" s="94"/>
      <c r="CG407" s="94"/>
      <c r="CH407" s="94"/>
      <c r="CI407" s="94"/>
      <c r="CJ407" s="94" t="str">
        <f>"      " &amp; TEXT(AF407,"#0.00%") &amp; " " &amp; "Lifting MSC" &amp; " " &amp; IF(Q407="","",TEXT(Q407,"M/D-")) &amp; IF(R407="","",TEXT(R407,"M/D")) &amp; " "</f>
        <v xml:space="preserve">      0.00% Lifting MSC  </v>
      </c>
      <c r="CK407" s="94"/>
      <c r="CL407" s="94"/>
      <c r="CM407" s="94"/>
      <c r="CN407" s="94"/>
      <c r="CO407" s="94"/>
      <c r="CP407" s="94"/>
      <c r="CQ407" s="94"/>
      <c r="CR407" s="94"/>
      <c r="CS407" s="94"/>
      <c r="CT407" s="94"/>
      <c r="CU407" s="94"/>
      <c r="CV407" s="94"/>
      <c r="CW407" s="94"/>
      <c r="CX407" s="94"/>
      <c r="CY407" s="94"/>
      <c r="CZ407" s="94"/>
      <c r="DA407" s="94"/>
      <c r="DB407" s="94"/>
      <c r="DC407" s="94"/>
      <c r="DD407" s="94"/>
      <c r="DE407" s="94"/>
      <c r="DF407" s="94"/>
      <c r="DG407" s="94"/>
      <c r="DH407" s="94"/>
      <c r="DI407" s="94"/>
      <c r="DJ407" s="94"/>
      <c r="DK407" s="94"/>
      <c r="DL407" s="94"/>
      <c r="DM407" s="94"/>
      <c r="DN407" s="94"/>
      <c r="DO407" s="94"/>
      <c r="DP407" s="94"/>
      <c r="DQ407" s="94"/>
    </row>
    <row r="408" spans="1:121" ht="15" customHeight="1" outlineLevel="3" x14ac:dyDescent="0.3">
      <c r="A408" s="100"/>
      <c r="B408" s="100"/>
      <c r="C408" s="99">
        <v>4</v>
      </c>
      <c r="D408" s="98" t="s">
        <v>929</v>
      </c>
      <c r="H408" s="77" t="s">
        <v>928</v>
      </c>
      <c r="J408" s="94"/>
      <c r="O408" s="77" t="s">
        <v>640</v>
      </c>
      <c r="P408" s="105"/>
      <c r="Q408" s="97"/>
      <c r="R408" s="97"/>
      <c r="AB408" s="72">
        <v>1</v>
      </c>
      <c r="AE408" s="96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94"/>
      <c r="BZ408" s="94"/>
      <c r="CA408" s="94"/>
      <c r="CB408" s="94"/>
      <c r="CC408" s="94"/>
      <c r="CD408" s="94"/>
      <c r="CE408" s="94"/>
      <c r="CF408" s="94"/>
      <c r="CG408" s="94"/>
      <c r="CH408" s="94"/>
      <c r="CI408" s="94"/>
      <c r="CJ408" s="94"/>
      <c r="CK408" s="94" t="str">
        <f>"   " &amp; TEXT(AF408,"#0.00%") &amp; " " &amp; "Install Rack&amp;Beam&amp;Bracing&amp;Rail Base(Every 10th, ~54th)" &amp; " " &amp; IF(Q408="","",TEXT(Q408,"M/D-")) &amp; IF(R408="","",TEXT(R408,"M/D")) &amp; " "</f>
        <v xml:space="preserve">   0.00% Install Rack&amp;Beam&amp;Bracing&amp;Rail Base(Every 10th, ~54th)  </v>
      </c>
      <c r="CL408" s="94"/>
      <c r="CM408" s="94"/>
      <c r="CN408" s="94"/>
      <c r="CO408" s="94"/>
      <c r="CP408" s="94"/>
      <c r="CQ408" s="94"/>
      <c r="CR408" s="94"/>
      <c r="CS408" s="94"/>
      <c r="CT408" s="94"/>
      <c r="CU408" s="94"/>
      <c r="CV408" s="94"/>
      <c r="CW408" s="94"/>
      <c r="CX408" s="94"/>
      <c r="CY408" s="94"/>
      <c r="CZ408" s="94"/>
      <c r="DA408" s="94"/>
      <c r="DB408" s="94"/>
      <c r="DC408" s="94"/>
      <c r="DD408" s="94"/>
      <c r="DE408" s="94"/>
      <c r="DF408" s="94"/>
      <c r="DG408" s="94"/>
      <c r="DH408" s="94"/>
      <c r="DI408" s="94"/>
      <c r="DJ408" s="94"/>
      <c r="DK408" s="94"/>
      <c r="DL408" s="94"/>
      <c r="DM408" s="94"/>
      <c r="DN408" s="94"/>
      <c r="DO408" s="94"/>
      <c r="DP408" s="94"/>
      <c r="DQ408" s="94"/>
    </row>
    <row r="409" spans="1:121" ht="15" customHeight="1" outlineLevel="3" x14ac:dyDescent="0.3">
      <c r="A409" s="100"/>
      <c r="B409" s="100"/>
      <c r="C409" s="99">
        <v>4</v>
      </c>
      <c r="D409" s="98" t="s">
        <v>927</v>
      </c>
      <c r="H409" s="77" t="s">
        <v>926</v>
      </c>
      <c r="J409" s="94"/>
      <c r="O409" s="77" t="s">
        <v>640</v>
      </c>
      <c r="P409" s="105"/>
      <c r="Q409" s="97"/>
      <c r="R409" s="97"/>
      <c r="AB409" s="72">
        <v>1</v>
      </c>
      <c r="AE409" s="96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94"/>
      <c r="BZ409" s="94"/>
      <c r="CA409" s="94"/>
      <c r="CB409" s="94"/>
      <c r="CC409" s="94"/>
      <c r="CD409" s="94"/>
      <c r="CE409" s="94"/>
      <c r="CF409" s="94"/>
      <c r="CG409" s="94"/>
      <c r="CH409" s="94"/>
      <c r="CI409" s="94"/>
      <c r="CJ409" s="94"/>
      <c r="CK409" s="94"/>
      <c r="CL409" s="94" t="str">
        <f>"" &amp; TEXT(AF409,"#0.00%") &amp; " " &amp; "Check Vertical(Every 10th, ~54th)" &amp; " " &amp; IF(Q409="","",TEXT(Q409,"M/D-")) &amp; IF(R409="","",TEXT(R409,"M/D")) &amp; " "</f>
        <v xml:space="preserve">0.00% Check Vertical(Every 10th, ~54th)  </v>
      </c>
      <c r="CM409" s="94"/>
      <c r="CN409" s="94"/>
      <c r="CO409" s="94"/>
      <c r="CP409" s="94"/>
      <c r="CQ409" s="94"/>
      <c r="CR409" s="94"/>
      <c r="CS409" s="94"/>
      <c r="CT409" s="94"/>
      <c r="CU409" s="94"/>
      <c r="CV409" s="94"/>
      <c r="CW409" s="94"/>
      <c r="CX409" s="94"/>
      <c r="CY409" s="94"/>
      <c r="CZ409" s="94"/>
      <c r="DA409" s="94"/>
      <c r="DB409" s="94"/>
      <c r="DC409" s="94"/>
      <c r="DD409" s="94"/>
      <c r="DE409" s="94"/>
      <c r="DF409" s="94"/>
      <c r="DG409" s="94"/>
      <c r="DH409" s="94"/>
      <c r="DI409" s="94"/>
      <c r="DJ409" s="94"/>
      <c r="DK409" s="94"/>
      <c r="DL409" s="94"/>
      <c r="DM409" s="94"/>
      <c r="DN409" s="94"/>
      <c r="DO409" s="94"/>
      <c r="DP409" s="94"/>
      <c r="DQ409" s="94"/>
    </row>
    <row r="410" spans="1:121" ht="15" customHeight="1" outlineLevel="3" x14ac:dyDescent="0.3">
      <c r="A410" s="100"/>
      <c r="B410" s="100"/>
      <c r="C410" s="99">
        <v>4</v>
      </c>
      <c r="D410" s="98" t="s">
        <v>925</v>
      </c>
      <c r="H410" s="77" t="s">
        <v>924</v>
      </c>
      <c r="J410" s="94"/>
      <c r="O410" s="77" t="s">
        <v>649</v>
      </c>
      <c r="P410" s="105"/>
      <c r="Q410" s="97"/>
      <c r="R410" s="97"/>
      <c r="AB410" s="72">
        <v>1</v>
      </c>
      <c r="AE410" s="96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94"/>
      <c r="BZ410" s="94"/>
      <c r="CA410" s="94"/>
      <c r="CB410" s="94"/>
      <c r="CC410" s="94"/>
      <c r="CD410" s="94"/>
      <c r="CE410" s="94"/>
      <c r="CF410" s="94"/>
      <c r="CG410" s="94"/>
      <c r="CH410" s="94"/>
      <c r="CI410" s="94"/>
      <c r="CJ410" s="94"/>
      <c r="CK410" s="94"/>
      <c r="CL410" s="94" t="str">
        <f>" " &amp; TEXT(AF410,"#0.00%") &amp; " " &amp; "Install MSC Rail(Every 10th, ~54th)" &amp; " " &amp; IF(Q410="","",TEXT(Q410,"M/D-")) &amp; IF(R410="","",TEXT(R410,"M/D")) &amp; " "</f>
        <v xml:space="preserve"> 0.00% Install MSC Rail(Every 10th, ~54th)  </v>
      </c>
      <c r="CM410" s="94"/>
      <c r="CN410" s="94"/>
      <c r="CO410" s="94"/>
      <c r="CP410" s="94"/>
      <c r="CQ410" s="94"/>
      <c r="CR410" s="94"/>
      <c r="CS410" s="94"/>
      <c r="CT410" s="94"/>
      <c r="CU410" s="94"/>
      <c r="CV410" s="94"/>
      <c r="CW410" s="94"/>
      <c r="CX410" s="94"/>
      <c r="CY410" s="94"/>
      <c r="CZ410" s="94"/>
      <c r="DA410" s="94"/>
      <c r="DB410" s="94"/>
      <c r="DC410" s="94"/>
      <c r="DD410" s="94"/>
      <c r="DE410" s="94"/>
      <c r="DF410" s="94"/>
      <c r="DG410" s="94"/>
      <c r="DH410" s="94"/>
      <c r="DI410" s="94"/>
      <c r="DJ410" s="94"/>
      <c r="DK410" s="94"/>
      <c r="DL410" s="94"/>
      <c r="DM410" s="94"/>
      <c r="DN410" s="94"/>
      <c r="DO410" s="94"/>
      <c r="DP410" s="94"/>
      <c r="DQ410" s="94"/>
    </row>
    <row r="411" spans="1:121" ht="15" customHeight="1" outlineLevel="3" x14ac:dyDescent="0.3">
      <c r="A411" s="100"/>
      <c r="B411" s="100"/>
      <c r="C411" s="99">
        <v>4</v>
      </c>
      <c r="D411" s="98" t="s">
        <v>923</v>
      </c>
      <c r="H411" s="77" t="s">
        <v>660</v>
      </c>
      <c r="J411" s="94"/>
      <c r="O411" s="77" t="s">
        <v>659</v>
      </c>
      <c r="P411" s="105"/>
      <c r="Q411" s="97"/>
      <c r="R411" s="97"/>
      <c r="AB411" s="72">
        <v>1</v>
      </c>
      <c r="AE411" s="96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94"/>
      <c r="BZ411" s="94"/>
      <c r="CA411" s="94"/>
      <c r="CB411" s="94"/>
      <c r="CC411" s="94"/>
      <c r="CD411" s="94"/>
      <c r="CE411" s="94"/>
      <c r="CF411" s="94"/>
      <c r="CG411" s="94"/>
      <c r="CH411" s="94"/>
      <c r="CI411" s="94"/>
      <c r="CJ411" s="94"/>
      <c r="CK411" s="94"/>
      <c r="CL411" s="94"/>
      <c r="CM411" s="94"/>
      <c r="CN411" s="94" t="str">
        <f>" " &amp; TEXT(AF411,"#0.00%") &amp; " " &amp; "Install Water Tank Assembly" &amp; " " &amp; IF(Q411="","",TEXT(Q411,"M/D-")) &amp; IF(R411="","",TEXT(R411,"M/D")) &amp; " "</f>
        <v xml:space="preserve"> 0.00% Install Water Tank Assembly  </v>
      </c>
      <c r="CO411" s="94"/>
      <c r="CP411" s="94"/>
      <c r="CQ411" s="94"/>
      <c r="CR411" s="94"/>
      <c r="CS411" s="94"/>
      <c r="CT411" s="94"/>
      <c r="CU411" s="94"/>
      <c r="CV411" s="94"/>
      <c r="CW411" s="94"/>
      <c r="CX411" s="94"/>
      <c r="CY411" s="94"/>
      <c r="CZ411" s="94"/>
      <c r="DA411" s="94"/>
      <c r="DB411" s="94"/>
      <c r="DC411" s="94"/>
      <c r="DD411" s="94"/>
      <c r="DE411" s="94"/>
      <c r="DF411" s="94"/>
      <c r="DG411" s="94"/>
      <c r="DH411" s="94"/>
      <c r="DI411" s="94"/>
      <c r="DJ411" s="94"/>
      <c r="DK411" s="94"/>
      <c r="DL411" s="94"/>
      <c r="DM411" s="94"/>
      <c r="DN411" s="94"/>
      <c r="DO411" s="94"/>
      <c r="DP411" s="94"/>
      <c r="DQ411" s="94"/>
    </row>
    <row r="412" spans="1:121" ht="15" customHeight="1" outlineLevel="3" x14ac:dyDescent="0.3">
      <c r="A412" s="100"/>
      <c r="B412" s="100"/>
      <c r="C412" s="99">
        <v>4</v>
      </c>
      <c r="D412" s="98" t="s">
        <v>922</v>
      </c>
      <c r="H412" s="77" t="s">
        <v>921</v>
      </c>
      <c r="J412" s="94"/>
      <c r="O412" s="77" t="s">
        <v>640</v>
      </c>
      <c r="P412" s="105"/>
      <c r="Q412" s="97"/>
      <c r="R412" s="97"/>
      <c r="AB412" s="72">
        <v>1</v>
      </c>
      <c r="AE412" s="96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94"/>
      <c r="BZ412" s="94"/>
      <c r="CA412" s="94"/>
      <c r="CB412" s="94"/>
      <c r="CC412" s="94"/>
      <c r="CD412" s="94"/>
      <c r="CE412" s="94"/>
      <c r="CF412" s="94"/>
      <c r="CG412" s="94"/>
      <c r="CH412" s="94"/>
      <c r="CI412" s="94"/>
      <c r="CJ412" s="94"/>
      <c r="CK412" s="94"/>
      <c r="CL412" s="94"/>
      <c r="CM412" s="94"/>
      <c r="CN412" s="94" t="str">
        <f>"     " &amp; TEXT(AF412,"#0.00%") &amp; " " &amp; "Install Rack&amp;Beam&amp;Bracing&amp;Rail Base(~59th)" &amp; " " &amp; IF(Q412="","",TEXT(Q412,"M/D-")) &amp; IF(R412="","",TEXT(R412,"M/D")) &amp; " "</f>
        <v xml:space="preserve">     0.00% Install Rack&amp;Beam&amp;Bracing&amp;Rail Base(~59th)  </v>
      </c>
      <c r="CO412" s="94"/>
      <c r="CP412" s="94"/>
      <c r="CQ412" s="94"/>
      <c r="CR412" s="94"/>
      <c r="CS412" s="94"/>
      <c r="CT412" s="94"/>
      <c r="CU412" s="94"/>
      <c r="CV412" s="94"/>
      <c r="CW412" s="94"/>
      <c r="CX412" s="94"/>
      <c r="CY412" s="94"/>
      <c r="CZ412" s="94"/>
      <c r="DA412" s="94"/>
      <c r="DB412" s="94"/>
      <c r="DC412" s="94"/>
      <c r="DD412" s="94"/>
      <c r="DE412" s="94"/>
      <c r="DF412" s="94"/>
      <c r="DG412" s="94"/>
      <c r="DH412" s="94"/>
      <c r="DI412" s="94"/>
      <c r="DJ412" s="94"/>
      <c r="DK412" s="94"/>
      <c r="DL412" s="94"/>
      <c r="DM412" s="94"/>
      <c r="DN412" s="94"/>
      <c r="DO412" s="94"/>
      <c r="DP412" s="94"/>
      <c r="DQ412" s="94"/>
    </row>
    <row r="413" spans="1:121" ht="15" customHeight="1" outlineLevel="3" x14ac:dyDescent="0.3">
      <c r="A413" s="100"/>
      <c r="B413" s="100"/>
      <c r="C413" s="99">
        <v>4</v>
      </c>
      <c r="D413" s="98" t="s">
        <v>920</v>
      </c>
      <c r="H413" s="77" t="s">
        <v>546</v>
      </c>
      <c r="J413" s="94"/>
      <c r="O413" s="77" t="s">
        <v>640</v>
      </c>
      <c r="P413" s="105"/>
      <c r="Q413" s="97"/>
      <c r="R413" s="97"/>
      <c r="AB413" s="72">
        <v>1</v>
      </c>
      <c r="AE413" s="96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94"/>
      <c r="BZ413" s="94"/>
      <c r="CA413" s="94"/>
      <c r="CB413" s="94"/>
      <c r="CC413" s="94"/>
      <c r="CD413" s="94"/>
      <c r="CE413" s="94"/>
      <c r="CF413" s="94"/>
      <c r="CG413" s="94"/>
      <c r="CH413" s="94"/>
      <c r="CI413" s="94"/>
      <c r="CJ413" s="94"/>
      <c r="CK413" s="94"/>
      <c r="CL413" s="94"/>
      <c r="CM413" s="94"/>
      <c r="CN413" s="94"/>
      <c r="CO413" s="94" t="str">
        <f>"  " &amp; TEXT(AF413,"#0.00%") &amp; " " &amp; "Install Deck Frame&amp;Hand Rail" &amp; " " &amp; IF(Q413="","",TEXT(Q413,"M/D-")) &amp; IF(R413="","",TEXT(R413,"M/D")) &amp; " "</f>
        <v xml:space="preserve">  0.00% Install Deck Frame&amp;Hand Rail  </v>
      </c>
      <c r="CP413" s="94"/>
      <c r="CQ413" s="94"/>
      <c r="CR413" s="94"/>
      <c r="CS413" s="94"/>
      <c r="CT413" s="94"/>
      <c r="CU413" s="94"/>
      <c r="CV413" s="94"/>
      <c r="CW413" s="94"/>
      <c r="CX413" s="94"/>
      <c r="CY413" s="94"/>
      <c r="CZ413" s="94"/>
      <c r="DA413" s="94"/>
      <c r="DB413" s="94"/>
      <c r="DC413" s="94"/>
      <c r="DD413" s="94"/>
      <c r="DE413" s="94"/>
      <c r="DF413" s="94"/>
      <c r="DG413" s="94"/>
      <c r="DH413" s="94"/>
      <c r="DI413" s="94"/>
      <c r="DJ413" s="94"/>
      <c r="DK413" s="94"/>
      <c r="DL413" s="94"/>
      <c r="DM413" s="94"/>
      <c r="DN413" s="94"/>
      <c r="DO413" s="94"/>
      <c r="DP413" s="94"/>
      <c r="DQ413" s="94"/>
    </row>
    <row r="414" spans="1:121" ht="15" customHeight="1" outlineLevel="3" x14ac:dyDescent="0.3">
      <c r="A414" s="100"/>
      <c r="B414" s="100"/>
      <c r="C414" s="99">
        <v>4</v>
      </c>
      <c r="D414" s="98" t="s">
        <v>919</v>
      </c>
      <c r="H414" s="77" t="s">
        <v>683</v>
      </c>
      <c r="J414" s="94"/>
      <c r="O414" s="77" t="s">
        <v>915</v>
      </c>
      <c r="P414" s="105"/>
      <c r="Q414" s="97"/>
      <c r="R414" s="97"/>
      <c r="AB414" s="72">
        <v>1</v>
      </c>
      <c r="AE414" s="96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94"/>
      <c r="BZ414" s="94"/>
      <c r="CA414" s="94"/>
      <c r="CB414" s="94"/>
      <c r="CC414" s="94"/>
      <c r="CD414" s="94"/>
      <c r="CE414" s="94"/>
      <c r="CF414" s="94"/>
      <c r="CG414" s="94"/>
      <c r="CH414" s="94"/>
      <c r="CI414" s="94"/>
      <c r="CJ414" s="94"/>
      <c r="CK414" s="94"/>
      <c r="CL414" s="94"/>
      <c r="CM414" s="94"/>
      <c r="CN414" s="94"/>
      <c r="CO414" s="94"/>
      <c r="CP414" s="94" t="str">
        <f>"" &amp; TEXT(AF414,"#0.00%") &amp; " " &amp; "Check Track No." &amp; " " &amp; IF(Q414="","",TEXT(Q414,"M/D-")) &amp; IF(R414="","",TEXT(R414,"M/D")) &amp; " "</f>
        <v xml:space="preserve">0.00% Check Track No.  </v>
      </c>
      <c r="CQ414" s="94"/>
      <c r="CR414" s="94"/>
      <c r="CS414" s="94"/>
      <c r="CT414" s="94"/>
      <c r="CU414" s="94"/>
      <c r="CV414" s="94"/>
      <c r="CW414" s="94"/>
      <c r="CX414" s="94"/>
      <c r="CY414" s="94"/>
      <c r="CZ414" s="94"/>
      <c r="DA414" s="94"/>
      <c r="DB414" s="94"/>
      <c r="DC414" s="94"/>
      <c r="DD414" s="94"/>
      <c r="DE414" s="94"/>
      <c r="DF414" s="94"/>
      <c r="DG414" s="94"/>
      <c r="DH414" s="94"/>
      <c r="DI414" s="94"/>
      <c r="DJ414" s="94"/>
      <c r="DK414" s="94"/>
      <c r="DL414" s="94"/>
      <c r="DM414" s="94"/>
      <c r="DN414" s="94"/>
      <c r="DO414" s="94"/>
      <c r="DP414" s="94"/>
      <c r="DQ414" s="94"/>
    </row>
    <row r="415" spans="1:121" ht="15" customHeight="1" outlineLevel="3" x14ac:dyDescent="0.3">
      <c r="A415" s="100"/>
      <c r="B415" s="100"/>
      <c r="C415" s="99">
        <v>4</v>
      </c>
      <c r="D415" s="98" t="s">
        <v>918</v>
      </c>
      <c r="H415" s="77" t="s">
        <v>917</v>
      </c>
      <c r="J415" s="94"/>
      <c r="O415" s="77" t="s">
        <v>915</v>
      </c>
      <c r="P415" s="105"/>
      <c r="Q415" s="97"/>
      <c r="R415" s="97"/>
      <c r="AB415" s="72">
        <v>1</v>
      </c>
      <c r="AE415" s="96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94"/>
      <c r="BZ415" s="94"/>
      <c r="CA415" s="94"/>
      <c r="CB415" s="94"/>
      <c r="CC415" s="94"/>
      <c r="CD415" s="94"/>
      <c r="CE415" s="94"/>
      <c r="CF415" s="94"/>
      <c r="CG415" s="94"/>
      <c r="CH415" s="94"/>
      <c r="CI415" s="94"/>
      <c r="CJ415" s="94"/>
      <c r="CK415" s="94"/>
      <c r="CL415" s="94"/>
      <c r="CM415" s="94"/>
      <c r="CN415" s="94"/>
      <c r="CO415" s="94"/>
      <c r="CP415" s="94" t="str">
        <f>" " &amp; TEXT(AF415,"#0.00%") &amp; " " &amp; "Install OP Home Stand" &amp; " " &amp; IF(Q415="","",TEXT(Q415,"M/D-")) &amp; IF(R415="","",TEXT(R415,"M/D")) &amp; " "</f>
        <v xml:space="preserve"> 0.00% Install OP Home Stand  </v>
      </c>
      <c r="CQ415" s="94"/>
      <c r="CR415" s="94"/>
      <c r="CS415" s="94"/>
      <c r="CT415" s="94"/>
      <c r="CU415" s="94"/>
      <c r="CV415" s="94"/>
      <c r="CW415" s="94"/>
      <c r="CX415" s="94"/>
      <c r="CY415" s="94"/>
      <c r="CZ415" s="94"/>
      <c r="DA415" s="94"/>
      <c r="DB415" s="94"/>
      <c r="DC415" s="94"/>
      <c r="DD415" s="94"/>
      <c r="DE415" s="94"/>
      <c r="DF415" s="94"/>
      <c r="DG415" s="94"/>
      <c r="DH415" s="94"/>
      <c r="DI415" s="94"/>
      <c r="DJ415" s="94"/>
      <c r="DK415" s="94"/>
      <c r="DL415" s="94"/>
      <c r="DM415" s="94"/>
      <c r="DN415" s="94"/>
      <c r="DO415" s="94"/>
      <c r="DP415" s="94"/>
      <c r="DQ415" s="94"/>
    </row>
    <row r="416" spans="1:121" ht="15" customHeight="1" outlineLevel="3" x14ac:dyDescent="0.3">
      <c r="A416" s="100"/>
      <c r="B416" s="100"/>
      <c r="C416" s="99">
        <v>4</v>
      </c>
      <c r="D416" s="98" t="s">
        <v>916</v>
      </c>
      <c r="H416" s="77" t="s">
        <v>679</v>
      </c>
      <c r="J416" s="94"/>
      <c r="O416" s="77" t="s">
        <v>915</v>
      </c>
      <c r="P416" s="105"/>
      <c r="Q416" s="97"/>
      <c r="R416" s="97"/>
      <c r="AB416" s="72">
        <v>1</v>
      </c>
      <c r="AE416" s="96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94"/>
      <c r="BZ416" s="94"/>
      <c r="CA416" s="94"/>
      <c r="CB416" s="94"/>
      <c r="CC416" s="94"/>
      <c r="CD416" s="94"/>
      <c r="CE416" s="94" t="str">
        <f>"  " &amp; TEXT(AF416,"#0.00%") &amp; " " &amp; "Check home stand CV Level &amp; Center line" &amp; " " &amp; IF(Q416="","",TEXT(Q416,"M/D-")) &amp; IF(R416="","",TEXT(R416,"M/D")) &amp; " "</f>
        <v xml:space="preserve">  0.00% Check home stand CV Level &amp; Center line  </v>
      </c>
      <c r="CF416" s="94"/>
      <c r="CG416" s="94"/>
      <c r="CH416" s="94"/>
      <c r="CI416" s="94"/>
      <c r="CJ416" s="94"/>
      <c r="CK416" s="94"/>
      <c r="CL416" s="94"/>
      <c r="CM416" s="94"/>
      <c r="CN416" s="94"/>
      <c r="CO416" s="94"/>
      <c r="CP416" s="94"/>
      <c r="CQ416" s="94"/>
      <c r="CR416" s="94"/>
      <c r="CS416" s="94"/>
      <c r="CT416" s="94"/>
      <c r="CU416" s="94"/>
      <c r="CV416" s="94"/>
      <c r="CW416" s="94"/>
      <c r="CX416" s="94"/>
      <c r="CY416" s="94"/>
      <c r="CZ416" s="94"/>
      <c r="DA416" s="94"/>
      <c r="DB416" s="94"/>
      <c r="DC416" s="94"/>
      <c r="DD416" s="94"/>
      <c r="DE416" s="94"/>
      <c r="DF416" s="94"/>
      <c r="DG416" s="94"/>
      <c r="DH416" s="94"/>
      <c r="DI416" s="94"/>
      <c r="DJ416" s="94"/>
      <c r="DK416" s="94"/>
      <c r="DL416" s="94"/>
      <c r="DM416" s="94"/>
      <c r="DN416" s="94"/>
      <c r="DO416" s="94"/>
      <c r="DP416" s="94"/>
      <c r="DQ416" s="94"/>
    </row>
    <row r="417" spans="1:121" ht="15" customHeight="1" outlineLevel="3" x14ac:dyDescent="0.3">
      <c r="A417" s="100"/>
      <c r="B417" s="100"/>
      <c r="C417" s="99">
        <v>4</v>
      </c>
      <c r="D417" s="98" t="s">
        <v>914</v>
      </c>
      <c r="H417" s="77" t="s">
        <v>913</v>
      </c>
      <c r="J417" s="94"/>
      <c r="O417" s="77" t="s">
        <v>640</v>
      </c>
      <c r="P417" s="105"/>
      <c r="Q417" s="97"/>
      <c r="R417" s="97"/>
      <c r="AB417" s="72">
        <v>1</v>
      </c>
      <c r="AE417" s="96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94"/>
      <c r="BZ417" s="94"/>
      <c r="CA417" s="94"/>
      <c r="CB417" s="94"/>
      <c r="CC417" s="94"/>
      <c r="CD417" s="94"/>
      <c r="CE417" s="94"/>
      <c r="CF417" s="94"/>
      <c r="CG417" s="94"/>
      <c r="CH417" s="94"/>
      <c r="CI417" s="94"/>
      <c r="CJ417" s="94"/>
      <c r="CK417" s="94"/>
      <c r="CL417" s="94"/>
      <c r="CM417" s="94"/>
      <c r="CN417" s="94"/>
      <c r="CO417" s="94"/>
      <c r="CP417" s="94" t="str">
        <f>" " &amp; TEXT(AF417,"#0.00%") &amp; " " &amp; "Install Rack(~60th)" &amp; " " &amp; IF(Q417="","",TEXT(Q417,"M/D-")) &amp; IF(R417="","",TEXT(R417,"M/D")) &amp; " "</f>
        <v xml:space="preserve"> 0.00% Install Rack(~60th)  </v>
      </c>
      <c r="CQ417" s="94"/>
      <c r="CR417" s="94"/>
      <c r="CS417" s="94"/>
      <c r="CT417" s="94"/>
      <c r="CU417" s="94"/>
      <c r="CV417" s="94"/>
      <c r="CW417" s="94"/>
      <c r="CX417" s="94"/>
      <c r="CY417" s="94"/>
      <c r="CZ417" s="94"/>
      <c r="DA417" s="94"/>
      <c r="DB417" s="94"/>
      <c r="DC417" s="94"/>
      <c r="DD417" s="94"/>
      <c r="DE417" s="94"/>
      <c r="DF417" s="94"/>
      <c r="DG417" s="94"/>
      <c r="DH417" s="94"/>
      <c r="DI417" s="94"/>
      <c r="DJ417" s="94"/>
      <c r="DK417" s="94"/>
      <c r="DL417" s="94"/>
      <c r="DM417" s="94"/>
      <c r="DN417" s="94"/>
      <c r="DO417" s="94"/>
      <c r="DP417" s="94"/>
      <c r="DQ417" s="94"/>
    </row>
    <row r="418" spans="1:121" ht="15" customHeight="1" outlineLevel="3" x14ac:dyDescent="0.3">
      <c r="A418" s="100"/>
      <c r="B418" s="100"/>
      <c r="C418" s="99">
        <v>4</v>
      </c>
      <c r="D418" s="98" t="s">
        <v>912</v>
      </c>
      <c r="H418" s="77" t="s">
        <v>544</v>
      </c>
      <c r="J418" s="94"/>
      <c r="O418" s="77" t="s">
        <v>518</v>
      </c>
      <c r="P418" s="105"/>
      <c r="Q418" s="97"/>
      <c r="R418" s="97"/>
      <c r="AB418" s="72">
        <v>1</v>
      </c>
      <c r="AE418" s="96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94"/>
      <c r="BZ418" s="94"/>
      <c r="CA418" s="94"/>
      <c r="CB418" s="94"/>
      <c r="CC418" s="94"/>
      <c r="CD418" s="94"/>
      <c r="CE418" s="94"/>
      <c r="CF418" s="94"/>
      <c r="CG418" s="94"/>
      <c r="CH418" s="94"/>
      <c r="CI418" s="94"/>
      <c r="CJ418" s="94"/>
      <c r="CK418" s="94"/>
      <c r="CL418" s="94"/>
      <c r="CM418" s="94"/>
      <c r="CN418" s="94"/>
      <c r="CO418" s="94"/>
      <c r="CP418" s="94" t="str">
        <f>"   " &amp; TEXT(AF418,"#0.00%") &amp; " " &amp; "Install Lifter" &amp; " " &amp; IF(Q418="","",TEXT(Q418,"M/D-")) &amp; IF(R418="","",TEXT(R418,"M/D")) &amp; " "</f>
        <v xml:space="preserve">   0.00% Install Lifter  </v>
      </c>
      <c r="CQ418" s="94"/>
      <c r="CR418" s="94"/>
      <c r="CS418" s="94"/>
      <c r="CT418" s="94"/>
      <c r="CU418" s="94"/>
      <c r="CV418" s="94"/>
      <c r="CW418" s="94"/>
      <c r="CX418" s="94"/>
      <c r="CY418" s="94"/>
      <c r="CZ418" s="94"/>
      <c r="DA418" s="94"/>
      <c r="DB418" s="94"/>
      <c r="DC418" s="94"/>
      <c r="DD418" s="94"/>
      <c r="DE418" s="94"/>
      <c r="DF418" s="94"/>
      <c r="DG418" s="94"/>
      <c r="DH418" s="94"/>
      <c r="DI418" s="94"/>
      <c r="DJ418" s="94"/>
      <c r="DK418" s="94"/>
      <c r="DL418" s="94"/>
      <c r="DM418" s="94"/>
      <c r="DN418" s="94"/>
      <c r="DO418" s="94"/>
      <c r="DP418" s="94"/>
      <c r="DQ418" s="94"/>
    </row>
    <row r="419" spans="1:121" ht="15" customHeight="1" outlineLevel="3" x14ac:dyDescent="0.3">
      <c r="A419" s="100"/>
      <c r="B419" s="100"/>
      <c r="C419" s="99">
        <v>4</v>
      </c>
      <c r="D419" s="98" t="s">
        <v>911</v>
      </c>
      <c r="H419" s="77" t="s">
        <v>647</v>
      </c>
      <c r="J419" s="94"/>
      <c r="O419" s="77" t="s">
        <v>640</v>
      </c>
      <c r="P419" s="105"/>
      <c r="Q419" s="97"/>
      <c r="R419" s="97"/>
      <c r="AB419" s="72">
        <v>1</v>
      </c>
      <c r="AE419" s="96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94"/>
      <c r="BZ419" s="94"/>
      <c r="CA419" s="94"/>
      <c r="CB419" s="94"/>
      <c r="CC419" s="94"/>
      <c r="CD419" s="94"/>
      <c r="CE419" s="94"/>
      <c r="CF419" s="94"/>
      <c r="CG419" s="94"/>
      <c r="CH419" s="94"/>
      <c r="CI419" s="94"/>
      <c r="CJ419" s="94"/>
      <c r="CK419" s="94"/>
      <c r="CL419" s="94"/>
      <c r="CM419" s="94"/>
      <c r="CN419" s="94"/>
      <c r="CO419" s="94"/>
      <c r="CP419" s="94"/>
      <c r="CQ419" s="94" t="str">
        <f>"" &amp; TEXT(AF419,"#0.00%") &amp; " " &amp; "Install Tower Stair" &amp; " " &amp; IF(Q419="","",TEXT(Q419,"M/D-")) &amp; IF(R419="","",TEXT(R419,"M/D")) &amp; " "</f>
        <v xml:space="preserve">0.00% Install Tower Stair  </v>
      </c>
      <c r="CR419" s="94"/>
      <c r="CS419" s="94"/>
      <c r="CT419" s="94"/>
      <c r="CU419" s="94"/>
      <c r="CV419" s="94"/>
      <c r="CW419" s="94"/>
      <c r="CX419" s="94"/>
      <c r="CY419" s="94"/>
      <c r="CZ419" s="94"/>
      <c r="DA419" s="94"/>
      <c r="DB419" s="94"/>
      <c r="DC419" s="94"/>
      <c r="DD419" s="94"/>
      <c r="DE419" s="94"/>
      <c r="DF419" s="94"/>
      <c r="DG419" s="94"/>
      <c r="DH419" s="94"/>
      <c r="DI419" s="94"/>
      <c r="DJ419" s="94"/>
      <c r="DK419" s="94"/>
      <c r="DL419" s="94"/>
      <c r="DM419" s="94"/>
      <c r="DN419" s="94"/>
      <c r="DO419" s="94"/>
      <c r="DP419" s="94"/>
      <c r="DQ419" s="94"/>
    </row>
    <row r="420" spans="1:121" ht="15" customHeight="1" outlineLevel="3" x14ac:dyDescent="0.3">
      <c r="A420" s="100"/>
      <c r="B420" s="100"/>
      <c r="C420" s="99">
        <v>4</v>
      </c>
      <c r="D420" s="98" t="s">
        <v>910</v>
      </c>
      <c r="H420" s="77" t="s">
        <v>909</v>
      </c>
      <c r="J420" s="94"/>
      <c r="O420" s="77" t="s">
        <v>640</v>
      </c>
      <c r="P420" s="105"/>
      <c r="Q420" s="97"/>
      <c r="R420" s="97"/>
      <c r="AB420" s="72">
        <v>1</v>
      </c>
      <c r="AE420" s="96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94"/>
      <c r="BZ420" s="94"/>
      <c r="CA420" s="94"/>
      <c r="CB420" s="94"/>
      <c r="CC420" s="94"/>
      <c r="CD420" s="94"/>
      <c r="CE420" s="94"/>
      <c r="CF420" s="94"/>
      <c r="CG420" s="94"/>
      <c r="CH420" s="94"/>
      <c r="CI420" s="94"/>
      <c r="CJ420" s="94"/>
      <c r="CK420" s="94"/>
      <c r="CL420" s="94"/>
      <c r="CM420" s="94"/>
      <c r="CN420" s="94"/>
      <c r="CO420" s="94"/>
      <c r="CP420" s="94"/>
      <c r="CQ420" s="94" t="str">
        <f>"  " &amp; TEXT(AF420,"#0.00%") &amp; " " &amp; "Install Rack(~61th)" &amp; " " &amp; IF(Q420="","",TEXT(Q420,"M/D-")) &amp; IF(R420="","",TEXT(R420,"M/D")) &amp; " "</f>
        <v xml:space="preserve">  0.00% Install Rack(~61th)  </v>
      </c>
      <c r="CR420" s="94"/>
      <c r="CS420" s="94"/>
      <c r="CT420" s="94"/>
      <c r="CU420" s="94"/>
      <c r="CV420" s="94"/>
      <c r="CW420" s="94"/>
      <c r="CX420" s="94"/>
      <c r="CY420" s="94"/>
      <c r="CZ420" s="94"/>
      <c r="DA420" s="94"/>
      <c r="DB420" s="94"/>
      <c r="DC420" s="94"/>
      <c r="DD420" s="94"/>
      <c r="DE420" s="94"/>
      <c r="DF420" s="94"/>
      <c r="DG420" s="94"/>
      <c r="DH420" s="94"/>
      <c r="DI420" s="94"/>
      <c r="DJ420" s="94"/>
      <c r="DK420" s="94"/>
      <c r="DL420" s="94"/>
      <c r="DM420" s="94"/>
      <c r="DN420" s="94"/>
      <c r="DO420" s="94"/>
      <c r="DP420" s="94"/>
      <c r="DQ420" s="94"/>
    </row>
    <row r="421" spans="1:121" ht="15" customHeight="1" outlineLevel="3" x14ac:dyDescent="0.3">
      <c r="A421" s="100"/>
      <c r="B421" s="100"/>
      <c r="C421" s="99">
        <v>4</v>
      </c>
      <c r="D421" s="98" t="s">
        <v>908</v>
      </c>
      <c r="H421" s="77" t="s">
        <v>654</v>
      </c>
      <c r="J421" s="94"/>
      <c r="O421" s="77" t="s">
        <v>640</v>
      </c>
      <c r="P421" s="105"/>
      <c r="Q421" s="97"/>
      <c r="R421" s="97"/>
      <c r="AB421" s="72">
        <v>1</v>
      </c>
      <c r="AE421" s="96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94"/>
      <c r="BZ421" s="94"/>
      <c r="CA421" s="94"/>
      <c r="CB421" s="94"/>
      <c r="CC421" s="94"/>
      <c r="CD421" s="94"/>
      <c r="CE421" s="94"/>
      <c r="CF421" s="94"/>
      <c r="CG421" s="94"/>
      <c r="CH421" s="94"/>
      <c r="CI421" s="94"/>
      <c r="CJ421" s="94"/>
      <c r="CK421" s="94"/>
      <c r="CL421" s="94"/>
      <c r="CM421" s="94"/>
      <c r="CN421" s="94"/>
      <c r="CO421" s="94"/>
      <c r="CP421" s="94"/>
      <c r="CQ421" s="94" t="str">
        <f>"    " &amp; TEXT(AF421,"#0.00%") &amp; " " &amp; "Install Top Cover, Rail Walk-Way, Top Maintenance Walk-Way" &amp; " " &amp; IF(Q421="","",TEXT(Q421,"M/D-")) &amp; IF(R421="","",TEXT(R421,"M/D")) &amp; " "</f>
        <v xml:space="preserve">    0.00% Install Top Cover, Rail Walk-Way, Top Maintenance Walk-Way  </v>
      </c>
      <c r="CR421" s="94"/>
      <c r="CS421" s="94"/>
      <c r="CT421" s="94"/>
      <c r="CU421" s="94"/>
      <c r="CV421" s="94"/>
      <c r="CW421" s="94"/>
      <c r="CX421" s="94"/>
      <c r="CY421" s="94"/>
      <c r="CZ421" s="94"/>
      <c r="DA421" s="94"/>
      <c r="DB421" s="94"/>
      <c r="DC421" s="94"/>
      <c r="DD421" s="94"/>
      <c r="DE421" s="94"/>
      <c r="DF421" s="94"/>
      <c r="DG421" s="94"/>
      <c r="DH421" s="94"/>
      <c r="DI421" s="94"/>
      <c r="DJ421" s="94"/>
      <c r="DK421" s="94"/>
      <c r="DL421" s="94"/>
      <c r="DM421" s="94"/>
      <c r="DN421" s="94"/>
      <c r="DO421" s="94"/>
      <c r="DP421" s="94"/>
      <c r="DQ421" s="94"/>
    </row>
    <row r="422" spans="1:121" ht="15" customHeight="1" outlineLevel="3" x14ac:dyDescent="0.3">
      <c r="A422" s="100"/>
      <c r="B422" s="100"/>
      <c r="C422" s="99">
        <v>4</v>
      </c>
      <c r="D422" s="98" t="s">
        <v>907</v>
      </c>
      <c r="H422" s="77" t="s">
        <v>652</v>
      </c>
      <c r="J422" s="94"/>
      <c r="O422" s="77" t="s">
        <v>649</v>
      </c>
      <c r="P422" s="105"/>
      <c r="Q422" s="97"/>
      <c r="R422" s="97"/>
      <c r="AB422" s="72">
        <v>1</v>
      </c>
      <c r="AE422" s="96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94"/>
      <c r="BZ422" s="94"/>
      <c r="CA422" s="94"/>
      <c r="CB422" s="94"/>
      <c r="CC422" s="94"/>
      <c r="CD422" s="94"/>
      <c r="CE422" s="94"/>
      <c r="CF422" s="94"/>
      <c r="CG422" s="94"/>
      <c r="CH422" s="94"/>
      <c r="CI422" s="94"/>
      <c r="CJ422" s="94"/>
      <c r="CK422" s="94"/>
      <c r="CL422" s="94"/>
      <c r="CM422" s="94"/>
      <c r="CN422" s="94"/>
      <c r="CO422" s="94"/>
      <c r="CP422" s="94"/>
      <c r="CQ422" s="94"/>
      <c r="CR422" s="94" t="str">
        <f>"" &amp; TEXT(AF422,"#0.00%") &amp; " " &amp; "Install MSC Accessories" &amp; " " &amp; IF(Q422="","",TEXT(Q422,"M/D-")) &amp; IF(R422="","",TEXT(R422,"M/D")) &amp; " "</f>
        <v xml:space="preserve">0.00% Install MSC Accessories  </v>
      </c>
      <c r="CS422" s="94"/>
      <c r="CT422" s="94"/>
      <c r="CU422" s="94"/>
      <c r="CV422" s="94"/>
      <c r="CW422" s="94"/>
      <c r="CX422" s="94"/>
      <c r="CY422" s="94"/>
      <c r="CZ422" s="94"/>
      <c r="DA422" s="94"/>
      <c r="DB422" s="94"/>
      <c r="DC422" s="94"/>
      <c r="DD422" s="94"/>
      <c r="DE422" s="94"/>
      <c r="DF422" s="94"/>
      <c r="DG422" s="94"/>
      <c r="DH422" s="94"/>
      <c r="DI422" s="94"/>
      <c r="DJ422" s="94"/>
      <c r="DK422" s="94"/>
      <c r="DL422" s="94"/>
      <c r="DM422" s="94"/>
      <c r="DN422" s="94"/>
      <c r="DO422" s="94"/>
      <c r="DP422" s="94"/>
      <c r="DQ422" s="94"/>
    </row>
    <row r="423" spans="1:121" ht="15" customHeight="1" outlineLevel="3" x14ac:dyDescent="0.3">
      <c r="A423" s="100"/>
      <c r="B423" s="100"/>
      <c r="C423" s="99">
        <v>4</v>
      </c>
      <c r="D423" s="98" t="s">
        <v>906</v>
      </c>
      <c r="H423" s="77" t="s">
        <v>650</v>
      </c>
      <c r="J423" s="94"/>
      <c r="O423" s="77" t="s">
        <v>649</v>
      </c>
      <c r="P423" s="105"/>
      <c r="Q423" s="97"/>
      <c r="R423" s="97"/>
      <c r="AB423" s="72">
        <v>1</v>
      </c>
      <c r="AE423" s="96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94"/>
      <c r="BZ423" s="94"/>
      <c r="CA423" s="94"/>
      <c r="CB423" s="94"/>
      <c r="CC423" s="94"/>
      <c r="CD423" s="94"/>
      <c r="CE423" s="94"/>
      <c r="CF423" s="94"/>
      <c r="CG423" s="94"/>
      <c r="CH423" s="94"/>
      <c r="CI423" s="94"/>
      <c r="CJ423" s="94"/>
      <c r="CK423" s="94"/>
      <c r="CL423" s="94"/>
      <c r="CM423" s="94"/>
      <c r="CN423" s="94"/>
      <c r="CO423" s="94"/>
      <c r="CP423" s="94"/>
      <c r="CQ423" s="94"/>
      <c r="CR423" s="94" t="str">
        <f>"      " &amp; TEXT(AF423,"#0.00%") &amp; " " &amp; "Check MSC rail straightness &amp; rail/load arm level" &amp; " " &amp; IF(Q423="","",TEXT(Q423,"M/D-")) &amp; IF(R423="","",TEXT(R423,"M/D")) &amp; " "</f>
        <v xml:space="preserve">      0.00% Check MSC rail straightness &amp; rail/load arm level  </v>
      </c>
      <c r="CS423" s="94"/>
      <c r="CT423" s="94"/>
      <c r="CU423" s="94"/>
      <c r="CV423" s="94"/>
      <c r="CW423" s="94"/>
      <c r="CX423" s="94"/>
      <c r="CY423" s="94"/>
      <c r="CZ423" s="94"/>
      <c r="DA423" s="94"/>
      <c r="DB423" s="94"/>
      <c r="DC423" s="94"/>
      <c r="DD423" s="94"/>
      <c r="DE423" s="94"/>
      <c r="DF423" s="94"/>
      <c r="DG423" s="94"/>
      <c r="DH423" s="94"/>
      <c r="DI423" s="94"/>
      <c r="DJ423" s="94"/>
      <c r="DK423" s="94"/>
      <c r="DL423" s="94"/>
      <c r="DM423" s="94"/>
      <c r="DN423" s="94"/>
      <c r="DO423" s="94"/>
      <c r="DP423" s="94"/>
      <c r="DQ423" s="94"/>
    </row>
    <row r="424" spans="1:121" ht="15" customHeight="1" outlineLevel="3" x14ac:dyDescent="0.3">
      <c r="A424" s="100"/>
      <c r="B424" s="100"/>
      <c r="C424" s="99">
        <v>4</v>
      </c>
      <c r="D424" s="98" t="s">
        <v>905</v>
      </c>
      <c r="H424" s="77" t="s">
        <v>644</v>
      </c>
      <c r="J424" s="94"/>
      <c r="O424" s="77" t="s">
        <v>643</v>
      </c>
      <c r="P424" s="105"/>
      <c r="Q424" s="97"/>
      <c r="R424" s="97"/>
      <c r="AB424" s="72">
        <v>1</v>
      </c>
      <c r="AE424" s="96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94"/>
      <c r="BZ424" s="94"/>
      <c r="CA424" s="94"/>
      <c r="CB424" s="94"/>
      <c r="CC424" s="94"/>
      <c r="CD424" s="94"/>
      <c r="CE424" s="94"/>
      <c r="CF424" s="94"/>
      <c r="CG424" s="94"/>
      <c r="CH424" s="94"/>
      <c r="CI424" s="94"/>
      <c r="CJ424" s="94"/>
      <c r="CK424" s="94"/>
      <c r="CL424" s="94"/>
      <c r="CM424" s="94"/>
      <c r="CN424" s="94"/>
      <c r="CO424" s="94"/>
      <c r="CP424" s="94"/>
      <c r="CQ424" s="94"/>
      <c r="CR424" s="94" t="str">
        <f>"     " &amp; TEXT(AF424,"#0.00%") &amp; " " &amp; "Install Smoke Detector" &amp; " " &amp; IF(Q424="","",TEXT(Q424,"M/D-")) &amp; IF(R424="","",TEXT(R424,"M/D")) &amp; " "</f>
        <v xml:space="preserve">     0.00% Install Smoke Detector  </v>
      </c>
      <c r="CS424" s="94"/>
      <c r="CT424" s="94"/>
      <c r="CU424" s="94"/>
      <c r="CV424" s="94"/>
      <c r="CW424" s="94"/>
      <c r="CX424" s="94"/>
      <c r="CY424" s="94"/>
      <c r="CZ424" s="94"/>
      <c r="DA424" s="94"/>
      <c r="DB424" s="94"/>
      <c r="DC424" s="94"/>
      <c r="DD424" s="94"/>
      <c r="DE424" s="94"/>
      <c r="DF424" s="94"/>
      <c r="DG424" s="94"/>
      <c r="DH424" s="94"/>
      <c r="DI424" s="94"/>
      <c r="DJ424" s="94"/>
      <c r="DK424" s="94"/>
      <c r="DL424" s="94"/>
      <c r="DM424" s="94"/>
      <c r="DN424" s="94"/>
      <c r="DO424" s="94"/>
      <c r="DP424" s="94"/>
      <c r="DQ424" s="94"/>
    </row>
    <row r="425" spans="1:121" ht="15" customHeight="1" outlineLevel="3" x14ac:dyDescent="0.3">
      <c r="A425" s="100"/>
      <c r="B425" s="100"/>
      <c r="C425" s="99">
        <v>4</v>
      </c>
      <c r="D425" s="98" t="s">
        <v>904</v>
      </c>
      <c r="H425" s="77" t="s">
        <v>706</v>
      </c>
      <c r="J425" s="94"/>
      <c r="O425" s="77" t="s">
        <v>897</v>
      </c>
      <c r="P425" s="105"/>
      <c r="Q425" s="97"/>
      <c r="R425" s="97"/>
      <c r="AB425" s="72">
        <v>1</v>
      </c>
      <c r="AE425" s="96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94"/>
      <c r="BZ425" s="94"/>
      <c r="CA425" s="94"/>
      <c r="CB425" s="94"/>
      <c r="CC425" s="94"/>
      <c r="CD425" s="94"/>
      <c r="CE425" s="94"/>
      <c r="CF425" s="94"/>
      <c r="CG425" s="94"/>
      <c r="CH425" s="94"/>
      <c r="CI425" s="94"/>
      <c r="CJ425" s="94"/>
      <c r="CK425" s="94"/>
      <c r="CL425" s="94"/>
      <c r="CM425" s="94"/>
      <c r="CN425" s="94"/>
      <c r="CO425" s="94"/>
      <c r="CP425" s="94"/>
      <c r="CQ425" s="94" t="str">
        <f>"    " &amp; TEXT(AF425,"#0.00%") &amp; " " &amp; "Install Anchor &amp; Nut" &amp; " " &amp; IF(Q425="","",TEXT(Q425,"M/D-")) &amp; IF(R425="","",TEXT(R425,"M/D")) &amp; " "</f>
        <v xml:space="preserve">    0.00% Install Anchor &amp; Nut  </v>
      </c>
      <c r="CR425" s="94"/>
      <c r="CS425" s="94"/>
      <c r="CT425" s="94"/>
      <c r="CU425" s="94"/>
      <c r="CV425" s="94"/>
      <c r="CW425" s="94"/>
      <c r="CX425" s="94"/>
      <c r="CY425" s="94"/>
      <c r="CZ425" s="94"/>
      <c r="DA425" s="94"/>
      <c r="DB425" s="94"/>
      <c r="DC425" s="94"/>
      <c r="DD425" s="94"/>
      <c r="DE425" s="94"/>
      <c r="DF425" s="94"/>
      <c r="DG425" s="94"/>
      <c r="DH425" s="94"/>
      <c r="DI425" s="94"/>
      <c r="DJ425" s="94"/>
      <c r="DK425" s="94"/>
      <c r="DL425" s="94"/>
      <c r="DM425" s="94"/>
      <c r="DN425" s="94"/>
      <c r="DO425" s="94"/>
      <c r="DP425" s="94"/>
      <c r="DQ425" s="94"/>
    </row>
    <row r="426" spans="1:121" ht="15" customHeight="1" outlineLevel="3" x14ac:dyDescent="0.3">
      <c r="A426" s="100"/>
      <c r="B426" s="100"/>
      <c r="C426" s="99">
        <v>4</v>
      </c>
      <c r="D426" s="98" t="s">
        <v>903</v>
      </c>
      <c r="H426" s="77" t="s">
        <v>902</v>
      </c>
      <c r="J426" s="94"/>
      <c r="O426" s="77" t="s">
        <v>897</v>
      </c>
      <c r="P426" s="105"/>
      <c r="Q426" s="97"/>
      <c r="R426" s="97"/>
      <c r="AB426" s="72">
        <v>1</v>
      </c>
      <c r="AE426" s="96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94"/>
      <c r="BZ426" s="94"/>
      <c r="CA426" s="94"/>
      <c r="CB426" s="94"/>
      <c r="CC426" s="94"/>
      <c r="CD426" s="94"/>
      <c r="CE426" s="94"/>
      <c r="CF426" s="94"/>
      <c r="CG426" s="94"/>
      <c r="CH426" s="94"/>
      <c r="CI426" s="94"/>
      <c r="CJ426" s="94"/>
      <c r="CK426" s="94"/>
      <c r="CL426" s="94"/>
      <c r="CM426" s="94"/>
      <c r="CN426" s="94"/>
      <c r="CO426" s="94"/>
      <c r="CP426" s="94"/>
      <c r="CQ426" s="94" t="str">
        <f>"      " &amp; TEXT(AF426,"#0.00%") &amp; " " &amp; "Check Nut Level" &amp; " " &amp; IF(Q426="","",TEXT(Q426,"M/D-")) &amp; IF(R426="","",TEXT(R426,"M/D")) &amp; " "</f>
        <v xml:space="preserve">      0.00% Check Nut Level  </v>
      </c>
      <c r="CR426" s="94"/>
      <c r="CS426" s="94"/>
      <c r="CT426" s="94"/>
      <c r="CU426" s="94"/>
      <c r="CV426" s="94"/>
      <c r="CW426" s="94"/>
      <c r="CX426" s="94"/>
      <c r="CY426" s="94"/>
      <c r="CZ426" s="94"/>
      <c r="DA426" s="94"/>
      <c r="DB426" s="94"/>
      <c r="DC426" s="94"/>
      <c r="DD426" s="94"/>
      <c r="DE426" s="94"/>
      <c r="DF426" s="94"/>
      <c r="DG426" s="94"/>
      <c r="DH426" s="94"/>
      <c r="DI426" s="94"/>
      <c r="DJ426" s="94"/>
      <c r="DK426" s="94"/>
      <c r="DL426" s="94"/>
      <c r="DM426" s="94"/>
      <c r="DN426" s="94"/>
      <c r="DO426" s="94"/>
      <c r="DP426" s="94"/>
      <c r="DQ426" s="94"/>
    </row>
    <row r="427" spans="1:121" ht="15" customHeight="1" outlineLevel="3" x14ac:dyDescent="0.3">
      <c r="A427" s="100"/>
      <c r="B427" s="100"/>
      <c r="C427" s="99">
        <v>4</v>
      </c>
      <c r="D427" s="98" t="s">
        <v>901</v>
      </c>
      <c r="H427" s="77" t="s">
        <v>704</v>
      </c>
      <c r="J427" s="94"/>
      <c r="O427" s="77" t="s">
        <v>897</v>
      </c>
      <c r="P427" s="105"/>
      <c r="Q427" s="97"/>
      <c r="R427" s="97"/>
      <c r="AB427" s="72">
        <v>1</v>
      </c>
      <c r="AE427" s="96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94"/>
      <c r="BZ427" s="94"/>
      <c r="CA427" s="94"/>
      <c r="CB427" s="94"/>
      <c r="CC427" s="94"/>
      <c r="CD427" s="94"/>
      <c r="CE427" s="94"/>
      <c r="CF427" s="94"/>
      <c r="CG427" s="94"/>
      <c r="CH427" s="94"/>
      <c r="CI427" s="94"/>
      <c r="CJ427" s="94"/>
      <c r="CK427" s="94"/>
      <c r="CL427" s="94"/>
      <c r="CM427" s="94"/>
      <c r="CN427" s="94"/>
      <c r="CO427" s="94"/>
      <c r="CP427" s="94"/>
      <c r="CQ427" s="94"/>
      <c r="CR427" s="94" t="str">
        <f>"" &amp; TEXT(AF427,"#0.00%") &amp; " " &amp; "Install Deck Post&amp;Girder&amp;Bracing" &amp; " " &amp; IF(Q427="","",TEXT(Q427,"M/D-")) &amp; IF(R427="","",TEXT(R427,"M/D")) &amp; " "</f>
        <v xml:space="preserve">0.00% Install Deck Post&amp;Girder&amp;Bracing  </v>
      </c>
      <c r="CS427" s="94"/>
      <c r="CT427" s="94"/>
      <c r="CU427" s="94"/>
      <c r="CV427" s="94"/>
      <c r="CW427" s="94"/>
      <c r="CX427" s="94"/>
      <c r="CY427" s="94"/>
      <c r="CZ427" s="94"/>
      <c r="DA427" s="94"/>
      <c r="DB427" s="94"/>
      <c r="DC427" s="94"/>
      <c r="DD427" s="94"/>
      <c r="DE427" s="94"/>
      <c r="DF427" s="94"/>
      <c r="DG427" s="94"/>
      <c r="DH427" s="94"/>
      <c r="DI427" s="94"/>
      <c r="DJ427" s="94"/>
      <c r="DK427" s="94"/>
      <c r="DL427" s="94"/>
      <c r="DM427" s="94"/>
      <c r="DN427" s="94"/>
      <c r="DO427" s="94"/>
      <c r="DP427" s="94"/>
      <c r="DQ427" s="94"/>
    </row>
    <row r="428" spans="1:121" ht="15" customHeight="1" outlineLevel="3" x14ac:dyDescent="0.3">
      <c r="A428" s="100"/>
      <c r="B428" s="100"/>
      <c r="C428" s="99">
        <v>4</v>
      </c>
      <c r="D428" s="98" t="s">
        <v>900</v>
      </c>
      <c r="H428" s="77" t="s">
        <v>899</v>
      </c>
      <c r="J428" s="94"/>
      <c r="O428" s="77" t="s">
        <v>897</v>
      </c>
      <c r="P428" s="105"/>
      <c r="Q428" s="97"/>
      <c r="R428" s="97"/>
      <c r="AB428" s="72">
        <v>1</v>
      </c>
      <c r="AE428" s="96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94"/>
      <c r="BZ428" s="94"/>
      <c r="CA428" s="94"/>
      <c r="CB428" s="94"/>
      <c r="CC428" s="94"/>
      <c r="CD428" s="94"/>
      <c r="CE428" s="94"/>
      <c r="CF428" s="94"/>
      <c r="CG428" s="94"/>
      <c r="CH428" s="94"/>
      <c r="CI428" s="94"/>
      <c r="CJ428" s="94"/>
      <c r="CK428" s="94"/>
      <c r="CL428" s="94"/>
      <c r="CM428" s="94"/>
      <c r="CN428" s="94"/>
      <c r="CO428" s="94"/>
      <c r="CP428" s="94"/>
      <c r="CQ428" s="94"/>
      <c r="CR428" s="94" t="str">
        <f>"   " &amp; TEXT(AF428,"#0.00%") &amp; " " &amp; "Check Vertical(Deck Post)" &amp; " " &amp; IF(Q428="","",TEXT(Q428,"M/D-")) &amp; IF(R428="","",TEXT(R428,"M/D")) &amp; " "</f>
        <v xml:space="preserve">   0.00% Check Vertical(Deck Post)  </v>
      </c>
      <c r="CS428" s="94"/>
      <c r="CT428" s="94"/>
      <c r="CU428" s="94"/>
      <c r="CV428" s="94"/>
      <c r="CW428" s="94"/>
      <c r="CX428" s="94"/>
      <c r="CY428" s="94"/>
      <c r="CZ428" s="94"/>
      <c r="DA428" s="94"/>
      <c r="DB428" s="94"/>
      <c r="DC428" s="94"/>
      <c r="DD428" s="94"/>
      <c r="DE428" s="94"/>
      <c r="DF428" s="94"/>
      <c r="DG428" s="94"/>
      <c r="DH428" s="94"/>
      <c r="DI428" s="94"/>
      <c r="DJ428" s="94"/>
      <c r="DK428" s="94"/>
      <c r="DL428" s="94"/>
      <c r="DM428" s="94"/>
      <c r="DN428" s="94"/>
      <c r="DO428" s="94"/>
      <c r="DP428" s="94"/>
      <c r="DQ428" s="94"/>
    </row>
    <row r="429" spans="1:121" ht="15" customHeight="1" outlineLevel="3" x14ac:dyDescent="0.3">
      <c r="A429" s="100"/>
      <c r="B429" s="100"/>
      <c r="C429" s="99">
        <v>4</v>
      </c>
      <c r="D429" s="98" t="s">
        <v>898</v>
      </c>
      <c r="H429" s="77" t="s">
        <v>546</v>
      </c>
      <c r="J429" s="94"/>
      <c r="O429" s="77" t="s">
        <v>897</v>
      </c>
      <c r="P429" s="105"/>
      <c r="Q429" s="97"/>
      <c r="R429" s="97"/>
      <c r="AB429" s="72">
        <v>1</v>
      </c>
      <c r="AE429" s="96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94"/>
      <c r="BZ429" s="94"/>
      <c r="CA429" s="94"/>
      <c r="CB429" s="94"/>
      <c r="CC429" s="94"/>
      <c r="CD429" s="94"/>
      <c r="CE429" s="94"/>
      <c r="CF429" s="94"/>
      <c r="CG429" s="94"/>
      <c r="CH429" s="94"/>
      <c r="CI429" s="94"/>
      <c r="CJ429" s="94"/>
      <c r="CK429" s="94"/>
      <c r="CL429" s="94"/>
      <c r="CM429" s="94"/>
      <c r="CN429" s="94"/>
      <c r="CO429" s="94"/>
      <c r="CP429" s="94"/>
      <c r="CQ429" s="94"/>
      <c r="CR429" s="94" t="str">
        <f>"   " &amp; TEXT(AF429,"#0.00%") &amp; " " &amp; "Install Deck Frame&amp;Hand Rail" &amp; " " &amp; IF(Q429="","",TEXT(Q429,"M/D-")) &amp; IF(R429="","",TEXT(R429,"M/D")) &amp; " "</f>
        <v xml:space="preserve">   0.00% Install Deck Frame&amp;Hand Rail  </v>
      </c>
      <c r="CS429" s="94"/>
      <c r="CT429" s="94"/>
      <c r="CU429" s="94"/>
      <c r="CV429" s="94"/>
      <c r="CW429" s="94"/>
      <c r="CX429" s="94"/>
      <c r="CY429" s="94"/>
      <c r="CZ429" s="94"/>
      <c r="DA429" s="94"/>
      <c r="DB429" s="94"/>
      <c r="DC429" s="94"/>
      <c r="DD429" s="94"/>
      <c r="DE429" s="94"/>
      <c r="DF429" s="94"/>
      <c r="DG429" s="94"/>
      <c r="DH429" s="94"/>
      <c r="DI429" s="94"/>
      <c r="DJ429" s="94"/>
      <c r="DK429" s="94"/>
      <c r="DL429" s="94"/>
      <c r="DM429" s="94"/>
      <c r="DN429" s="94"/>
      <c r="DO429" s="94"/>
      <c r="DP429" s="94"/>
      <c r="DQ429" s="94"/>
    </row>
    <row r="430" spans="1:121" ht="15" customHeight="1" outlineLevel="3" x14ac:dyDescent="0.3">
      <c r="A430" s="100"/>
      <c r="B430" s="100"/>
      <c r="C430" s="99">
        <v>4</v>
      </c>
      <c r="D430" s="98" t="s">
        <v>896</v>
      </c>
      <c r="H430" s="77" t="s">
        <v>683</v>
      </c>
      <c r="J430" s="94"/>
      <c r="O430" s="77" t="s">
        <v>506</v>
      </c>
      <c r="P430" s="105"/>
      <c r="Q430" s="97"/>
      <c r="R430" s="97"/>
      <c r="AB430" s="72">
        <v>1</v>
      </c>
      <c r="AE430" s="96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94"/>
      <c r="BZ430" s="94"/>
      <c r="CA430" s="94"/>
      <c r="CB430" s="94"/>
      <c r="CC430" s="94"/>
      <c r="CD430" s="94"/>
      <c r="CE430" s="94"/>
      <c r="CF430" s="94"/>
      <c r="CG430" s="94"/>
      <c r="CH430" s="94"/>
      <c r="CI430" s="94"/>
      <c r="CJ430" s="94"/>
      <c r="CK430" s="94"/>
      <c r="CL430" s="94"/>
      <c r="CM430" s="94"/>
      <c r="CN430" s="94"/>
      <c r="CO430" s="94"/>
      <c r="CP430" s="94"/>
      <c r="CQ430" s="94"/>
      <c r="CR430" s="94" t="str">
        <f>"    " &amp; TEXT(AF430,"#0.00%") &amp; " " &amp; "Check Track No." &amp; " " &amp; IF(Q430="","",TEXT(Q430,"M/D-")) &amp; IF(R430="","",TEXT(R430,"M/D")) &amp; " "</f>
        <v xml:space="preserve">    0.00% Check Track No.  </v>
      </c>
      <c r="CS430" s="94"/>
      <c r="CT430" s="94"/>
      <c r="CU430" s="94"/>
      <c r="CV430" s="94"/>
      <c r="CW430" s="94"/>
      <c r="CX430" s="94"/>
      <c r="CY430" s="94"/>
      <c r="CZ430" s="94"/>
      <c r="DA430" s="94"/>
      <c r="DB430" s="94"/>
      <c r="DC430" s="94"/>
      <c r="DD430" s="94"/>
      <c r="DE430" s="94"/>
      <c r="DF430" s="94"/>
      <c r="DG430" s="94"/>
      <c r="DH430" s="94"/>
      <c r="DI430" s="94"/>
      <c r="DJ430" s="94"/>
      <c r="DK430" s="94"/>
      <c r="DL430" s="94"/>
      <c r="DM430" s="94"/>
      <c r="DN430" s="94"/>
      <c r="DO430" s="94"/>
      <c r="DP430" s="94"/>
      <c r="DQ430" s="94"/>
    </row>
    <row r="431" spans="1:121" ht="15" customHeight="1" outlineLevel="3" x14ac:dyDescent="0.3">
      <c r="A431" s="100"/>
      <c r="B431" s="100"/>
      <c r="C431" s="99">
        <v>4</v>
      </c>
      <c r="D431" s="98" t="s">
        <v>895</v>
      </c>
      <c r="H431" s="77" t="s">
        <v>623</v>
      </c>
      <c r="J431" s="94"/>
      <c r="O431" s="77" t="s">
        <v>506</v>
      </c>
      <c r="P431" s="105"/>
      <c r="Q431" s="97"/>
      <c r="R431" s="97"/>
      <c r="AB431" s="72">
        <v>1</v>
      </c>
      <c r="AE431" s="96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94"/>
      <c r="BZ431" s="94"/>
      <c r="CA431" s="94"/>
      <c r="CB431" s="94"/>
      <c r="CC431" s="94"/>
      <c r="CD431" s="94"/>
      <c r="CE431" s="94"/>
      <c r="CF431" s="94"/>
      <c r="CG431" s="94"/>
      <c r="CH431" s="94"/>
      <c r="CI431" s="94"/>
      <c r="CJ431" s="94"/>
      <c r="CK431" s="94"/>
      <c r="CL431" s="94"/>
      <c r="CM431" s="94"/>
      <c r="CN431" s="94"/>
      <c r="CO431" s="94"/>
      <c r="CP431" s="94"/>
      <c r="CQ431" s="94"/>
      <c r="CR431" s="94" t="str">
        <f>"     " &amp; TEXT(AF431,"#0.00%") &amp; " " &amp; "Install C/V" &amp; " " &amp; IF(Q431="","",TEXT(Q431,"M/D-")) &amp; IF(R431="","",TEXT(R431,"M/D")) &amp; " "</f>
        <v xml:space="preserve">     0.00% Install C/V  </v>
      </c>
      <c r="CS431" s="94"/>
      <c r="CT431" s="94"/>
      <c r="CU431" s="94"/>
      <c r="CV431" s="94"/>
      <c r="CW431" s="94"/>
      <c r="CX431" s="94"/>
      <c r="CY431" s="94"/>
      <c r="CZ431" s="94"/>
      <c r="DA431" s="94"/>
      <c r="DB431" s="94"/>
      <c r="DC431" s="94"/>
      <c r="DD431" s="94"/>
      <c r="DE431" s="94"/>
      <c r="DF431" s="94"/>
      <c r="DG431" s="94"/>
      <c r="DH431" s="94"/>
      <c r="DI431" s="94"/>
      <c r="DJ431" s="94"/>
      <c r="DK431" s="94"/>
      <c r="DL431" s="94"/>
      <c r="DM431" s="94"/>
      <c r="DN431" s="94"/>
      <c r="DO431" s="94"/>
      <c r="DP431" s="94"/>
      <c r="DQ431" s="94"/>
    </row>
    <row r="432" spans="1:121" ht="15" customHeight="1" outlineLevel="3" x14ac:dyDescent="0.3">
      <c r="A432" s="100"/>
      <c r="B432" s="100"/>
      <c r="C432" s="99">
        <v>4</v>
      </c>
      <c r="D432" s="98" t="s">
        <v>894</v>
      </c>
      <c r="H432" s="77" t="s">
        <v>893</v>
      </c>
      <c r="J432" s="94"/>
      <c r="O432" s="77" t="s">
        <v>506</v>
      </c>
      <c r="P432" s="105"/>
      <c r="Q432" s="97"/>
      <c r="R432" s="97"/>
      <c r="AB432" s="72">
        <v>1</v>
      </c>
      <c r="AE432" s="96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94"/>
      <c r="BZ432" s="94"/>
      <c r="CA432" s="94"/>
      <c r="CB432" s="94"/>
      <c r="CC432" s="94"/>
      <c r="CD432" s="94"/>
      <c r="CE432" s="94"/>
      <c r="CF432" s="94"/>
      <c r="CG432" s="94"/>
      <c r="CH432" s="94"/>
      <c r="CI432" s="94"/>
      <c r="CJ432" s="94"/>
      <c r="CK432" s="94"/>
      <c r="CL432" s="94"/>
      <c r="CM432" s="94"/>
      <c r="CN432" s="94"/>
      <c r="CO432" s="94"/>
      <c r="CP432" s="94"/>
      <c r="CQ432" s="94"/>
      <c r="CR432" s="94" t="str">
        <f>"      " &amp; TEXT(AF432,"#0.00%") &amp; " " &amp; "Check C/V Level &amp; Center line (TBD)" &amp; " " &amp; IF(Q432="","",TEXT(Q432,"M/D-")) &amp; IF(R432="","",TEXT(R432,"M/D")) &amp; " "</f>
        <v xml:space="preserve">      0.00% Check C/V Level &amp; Center line (TBD)  </v>
      </c>
      <c r="CS432" s="94"/>
      <c r="CT432" s="94"/>
      <c r="CU432" s="94"/>
      <c r="CV432" s="94"/>
      <c r="CW432" s="94"/>
      <c r="CX432" s="94"/>
      <c r="CY432" s="94"/>
      <c r="CZ432" s="94"/>
      <c r="DA432" s="94"/>
      <c r="DB432" s="94"/>
      <c r="DC432" s="94"/>
      <c r="DD432" s="94"/>
      <c r="DE432" s="94"/>
      <c r="DF432" s="94"/>
      <c r="DG432" s="94"/>
      <c r="DH432" s="94"/>
      <c r="DI432" s="94"/>
      <c r="DJ432" s="94"/>
      <c r="DK432" s="94"/>
      <c r="DL432" s="94"/>
      <c r="DM432" s="94"/>
      <c r="DN432" s="94"/>
      <c r="DO432" s="94"/>
      <c r="DP432" s="94"/>
      <c r="DQ432" s="94"/>
    </row>
    <row r="433" spans="1:121" ht="15" customHeight="1" outlineLevel="3" x14ac:dyDescent="0.3">
      <c r="A433" s="100"/>
      <c r="B433" s="100"/>
      <c r="C433" s="99">
        <v>4</v>
      </c>
      <c r="D433" s="98" t="s">
        <v>892</v>
      </c>
      <c r="H433" s="77" t="s">
        <v>641</v>
      </c>
      <c r="J433" s="94"/>
      <c r="O433" s="77" t="s">
        <v>640</v>
      </c>
      <c r="P433" s="105"/>
      <c r="Q433" s="97"/>
      <c r="R433" s="97"/>
      <c r="AB433" s="72">
        <v>1</v>
      </c>
      <c r="AE433" s="96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94"/>
      <c r="BZ433" s="94"/>
      <c r="CA433" s="94"/>
      <c r="CB433" s="94"/>
      <c r="CC433" s="94"/>
      <c r="CD433" s="94"/>
      <c r="CE433" s="94"/>
      <c r="CF433" s="94"/>
      <c r="CG433" s="94"/>
      <c r="CH433" s="94"/>
      <c r="CI433" s="94"/>
      <c r="CJ433" s="94"/>
      <c r="CK433" s="94"/>
      <c r="CL433" s="94"/>
      <c r="CM433" s="94"/>
      <c r="CN433" s="94"/>
      <c r="CO433" s="94"/>
      <c r="CP433" s="94"/>
      <c r="CQ433" s="94"/>
      <c r="CR433" s="94"/>
      <c r="CS433" s="94" t="str">
        <f>"" &amp; TEXT(AF433,"#0.00%") &amp; " " &amp; "install fence" &amp; " " &amp; IF(Q433="","",TEXT(Q433,"M/D-")) &amp; IF(R433="","",TEXT(R433,"M/D")) &amp; " "</f>
        <v xml:space="preserve">0.00% install fence  </v>
      </c>
      <c r="CT433" s="94"/>
      <c r="CU433" s="94"/>
      <c r="CV433" s="94"/>
      <c r="CW433" s="94"/>
      <c r="CX433" s="94"/>
      <c r="CY433" s="94"/>
      <c r="CZ433" s="94"/>
      <c r="DA433" s="94"/>
      <c r="DB433" s="94"/>
      <c r="DC433" s="94"/>
      <c r="DD433" s="94"/>
      <c r="DE433" s="94"/>
      <c r="DF433" s="94"/>
      <c r="DG433" s="94"/>
      <c r="DH433" s="94"/>
      <c r="DI433" s="94"/>
      <c r="DJ433" s="94"/>
      <c r="DK433" s="94"/>
      <c r="DL433" s="94"/>
      <c r="DM433" s="94"/>
      <c r="DN433" s="94"/>
      <c r="DO433" s="94"/>
      <c r="DP433" s="94"/>
      <c r="DQ433" s="94"/>
    </row>
    <row r="434" spans="1:121" ht="15" customHeight="1" outlineLevel="3" x14ac:dyDescent="0.3">
      <c r="A434" s="100"/>
      <c r="B434" s="100"/>
      <c r="C434" s="99">
        <v>4</v>
      </c>
      <c r="D434" s="98" t="s">
        <v>891</v>
      </c>
      <c r="H434" s="77" t="s">
        <v>638</v>
      </c>
      <c r="J434" s="94"/>
      <c r="O434" s="77" t="s">
        <v>515</v>
      </c>
      <c r="P434" s="105"/>
      <c r="Q434" s="97"/>
      <c r="R434" s="97"/>
      <c r="AB434" s="72">
        <v>1</v>
      </c>
      <c r="AE434" s="96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94"/>
      <c r="BZ434" s="94"/>
      <c r="CA434" s="94"/>
      <c r="CB434" s="94"/>
      <c r="CC434" s="94"/>
      <c r="CD434" s="94"/>
      <c r="CE434" s="94"/>
      <c r="CF434" s="94"/>
      <c r="CG434" s="94"/>
      <c r="CH434" s="94"/>
      <c r="CI434" s="94"/>
      <c r="CJ434" s="94"/>
      <c r="CK434" s="94"/>
      <c r="CL434" s="94"/>
      <c r="CM434" s="94"/>
      <c r="CN434" s="94"/>
      <c r="CO434" s="94"/>
      <c r="CP434" s="94"/>
      <c r="CQ434" s="94"/>
      <c r="CR434" s="94"/>
      <c r="CS434" s="94" t="str">
        <f>"      " &amp; TEXT(AF434,"#0.00%") &amp; " " &amp; "Grouting &amp; Cleaning" &amp; " " &amp; IF(Q434="","",TEXT(Q434,"M/D-")) &amp; IF(R434="","",TEXT(R434,"M/D")) &amp; " "</f>
        <v xml:space="preserve">      0.00% Grouting &amp; Cleaning  </v>
      </c>
      <c r="CT434" s="94"/>
      <c r="CU434" s="94"/>
      <c r="CV434" s="94"/>
      <c r="CW434" s="94"/>
      <c r="CX434" s="94"/>
      <c r="CY434" s="94"/>
      <c r="CZ434" s="94"/>
      <c r="DA434" s="94"/>
      <c r="DB434" s="94"/>
      <c r="DC434" s="94"/>
      <c r="DD434" s="94"/>
      <c r="DE434" s="94"/>
      <c r="DF434" s="94"/>
      <c r="DG434" s="94"/>
      <c r="DH434" s="94"/>
      <c r="DI434" s="94"/>
      <c r="DJ434" s="94"/>
      <c r="DK434" s="94"/>
      <c r="DL434" s="94"/>
      <c r="DM434" s="94"/>
      <c r="DN434" s="94"/>
      <c r="DO434" s="94"/>
      <c r="DP434" s="94"/>
      <c r="DQ434" s="94"/>
    </row>
    <row r="435" spans="1:121" ht="15" customHeight="1" outlineLevel="2" x14ac:dyDescent="0.3">
      <c r="A435" s="100"/>
      <c r="B435" s="100" t="s">
        <v>298</v>
      </c>
      <c r="C435" s="99">
        <v>3</v>
      </c>
      <c r="D435" s="98" t="s">
        <v>890</v>
      </c>
      <c r="G435" s="77" t="s">
        <v>889</v>
      </c>
      <c r="O435" s="77" t="s">
        <v>435</v>
      </c>
      <c r="Q435" s="97"/>
      <c r="R435" s="97"/>
      <c r="AE435" s="96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94"/>
      <c r="BZ435" s="94"/>
      <c r="CA435" s="94"/>
      <c r="CB435" s="94"/>
      <c r="CC435" s="94"/>
      <c r="CD435" s="94"/>
      <c r="CE435" s="94"/>
      <c r="CF435" s="94"/>
      <c r="CG435" s="94"/>
      <c r="CH435" s="94" t="str">
        <f>"    " &amp; TEXT(AF435,"#0.00%") &amp; " "</f>
        <v xml:space="preserve">    0.00% </v>
      </c>
      <c r="CI435" s="94"/>
      <c r="CJ435" s="94"/>
      <c r="CK435" s="94"/>
      <c r="CL435" s="94"/>
      <c r="CM435" s="94"/>
      <c r="CN435" s="94"/>
      <c r="CO435" s="94"/>
      <c r="CP435" s="94"/>
      <c r="CQ435" s="94" t="str">
        <f>"     " &amp; "NT#2,3(4,5,6Lane)" &amp; " " &amp; IF(Q435="","",TEXT(Q435,"M/D-")) &amp; IF(R435="","",TEXT(R435,"M/D")) &amp; " "</f>
        <v xml:space="preserve">     NT#2,3(4,5,6Lane)  </v>
      </c>
      <c r="CR435" s="94"/>
      <c r="CS435" s="94"/>
      <c r="CT435" s="94"/>
      <c r="CU435" s="94"/>
      <c r="CV435" s="94"/>
      <c r="CW435" s="94"/>
      <c r="CX435" s="94"/>
      <c r="CY435" s="94"/>
      <c r="CZ435" s="94"/>
      <c r="DA435" s="94"/>
      <c r="DB435" s="94"/>
      <c r="DC435" s="94"/>
      <c r="DD435" s="94"/>
      <c r="DE435" s="94"/>
      <c r="DF435" s="94"/>
      <c r="DG435" s="94"/>
      <c r="DH435" s="94"/>
      <c r="DI435" s="94"/>
      <c r="DJ435" s="94"/>
      <c r="DK435" s="94"/>
      <c r="DL435" s="94"/>
      <c r="DM435" s="94"/>
      <c r="DN435" s="94"/>
      <c r="DO435" s="94"/>
      <c r="DP435" s="94"/>
      <c r="DQ435" s="94"/>
    </row>
    <row r="436" spans="1:121" ht="15" customHeight="1" outlineLevel="3" x14ac:dyDescent="0.3">
      <c r="A436" s="100"/>
      <c r="B436" s="100"/>
      <c r="C436" s="99">
        <v>4</v>
      </c>
      <c r="D436" s="98" t="s">
        <v>888</v>
      </c>
      <c r="H436" s="77" t="s">
        <v>534</v>
      </c>
      <c r="J436" s="94"/>
      <c r="O436" s="77" t="s">
        <v>708</v>
      </c>
      <c r="P436" s="105"/>
      <c r="Q436" s="97"/>
      <c r="R436" s="97"/>
      <c r="AB436" s="72">
        <v>1</v>
      </c>
      <c r="AE436" s="96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94"/>
      <c r="BZ436" s="94"/>
      <c r="CA436" s="94"/>
      <c r="CB436" s="94"/>
      <c r="CC436" s="94"/>
      <c r="CD436" s="94"/>
      <c r="CE436" s="94"/>
      <c r="CF436" s="94"/>
      <c r="CG436" s="94"/>
      <c r="CH436" s="94" t="str">
        <f>"     " &amp; TEXT(AF436,"#0.00%") &amp; " " &amp; "Line Marking" &amp; " " &amp; IF(Q436="","",TEXT(Q436,"M/D-")) &amp; IF(R436="","",TEXT(R436,"M/D")) &amp; " "</f>
        <v xml:space="preserve">     0.00% Line Marking  </v>
      </c>
      <c r="CI436" s="94"/>
      <c r="CJ436" s="94"/>
      <c r="CK436" s="94"/>
      <c r="CL436" s="94"/>
      <c r="CM436" s="94"/>
      <c r="CN436" s="94"/>
      <c r="CO436" s="94"/>
      <c r="CP436" s="94"/>
      <c r="CQ436" s="94"/>
      <c r="CR436" s="94"/>
      <c r="CS436" s="94"/>
      <c r="CT436" s="94"/>
      <c r="CU436" s="94"/>
      <c r="CV436" s="94"/>
      <c r="CW436" s="94"/>
      <c r="CX436" s="94"/>
      <c r="CY436" s="94"/>
      <c r="CZ436" s="94"/>
      <c r="DA436" s="94"/>
      <c r="DB436" s="94"/>
      <c r="DC436" s="94"/>
      <c r="DD436" s="94"/>
      <c r="DE436" s="94"/>
      <c r="DF436" s="94"/>
      <c r="DG436" s="94"/>
      <c r="DH436" s="94"/>
      <c r="DI436" s="94"/>
      <c r="DJ436" s="94"/>
      <c r="DK436" s="94"/>
      <c r="DL436" s="94"/>
      <c r="DM436" s="94"/>
      <c r="DN436" s="94"/>
      <c r="DO436" s="94"/>
      <c r="DP436" s="94"/>
      <c r="DQ436" s="94"/>
    </row>
    <row r="437" spans="1:121" ht="15" customHeight="1" outlineLevel="3" x14ac:dyDescent="0.3">
      <c r="A437" s="100"/>
      <c r="B437" s="100"/>
      <c r="C437" s="99">
        <v>4</v>
      </c>
      <c r="D437" s="98" t="s">
        <v>887</v>
      </c>
      <c r="H437" s="77" t="s">
        <v>712</v>
      </c>
      <c r="J437" s="94"/>
      <c r="O437" s="77" t="s">
        <v>708</v>
      </c>
      <c r="P437" s="105"/>
      <c r="Q437" s="97"/>
      <c r="R437" s="97"/>
      <c r="AB437" s="72">
        <v>1</v>
      </c>
      <c r="AE437" s="96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94"/>
      <c r="BZ437" s="94"/>
      <c r="CA437" s="94"/>
      <c r="CB437" s="94"/>
      <c r="CC437" s="94"/>
      <c r="CD437" s="94"/>
      <c r="CE437" s="94"/>
      <c r="CF437" s="94"/>
      <c r="CG437" s="94"/>
      <c r="CH437" s="94" t="str">
        <f>"     " &amp; TEXT(AF437,"#0.00%") &amp; " " &amp; "Check Floor Level" &amp; " " &amp; IF(Q437="","",TEXT(Q437,"M/D-")) &amp; IF(R437="","",TEXT(R437,"M/D")) &amp; " "</f>
        <v xml:space="preserve">     0.00% Check Floor Level  </v>
      </c>
      <c r="CI437" s="94"/>
      <c r="CJ437" s="94"/>
      <c r="CK437" s="94"/>
      <c r="CL437" s="94"/>
      <c r="CM437" s="94"/>
      <c r="CN437" s="94"/>
      <c r="CO437" s="94"/>
      <c r="CP437" s="94"/>
      <c r="CQ437" s="94"/>
      <c r="CR437" s="94"/>
      <c r="CS437" s="94"/>
      <c r="CT437" s="94"/>
      <c r="CU437" s="94"/>
      <c r="CV437" s="94"/>
      <c r="CW437" s="94"/>
      <c r="CX437" s="94"/>
      <c r="CY437" s="94"/>
      <c r="CZ437" s="94"/>
      <c r="DA437" s="94"/>
      <c r="DB437" s="94"/>
      <c r="DC437" s="94"/>
      <c r="DD437" s="94"/>
      <c r="DE437" s="94"/>
      <c r="DF437" s="94"/>
      <c r="DG437" s="94"/>
      <c r="DH437" s="94"/>
      <c r="DI437" s="94"/>
      <c r="DJ437" s="94"/>
      <c r="DK437" s="94"/>
      <c r="DL437" s="94"/>
      <c r="DM437" s="94"/>
      <c r="DN437" s="94"/>
      <c r="DO437" s="94"/>
      <c r="DP437" s="94"/>
      <c r="DQ437" s="94"/>
    </row>
    <row r="438" spans="1:121" ht="15" customHeight="1" outlineLevel="3" x14ac:dyDescent="0.3">
      <c r="A438" s="100"/>
      <c r="B438" s="100"/>
      <c r="C438" s="99">
        <v>4</v>
      </c>
      <c r="D438" s="98" t="s">
        <v>886</v>
      </c>
      <c r="H438" s="77" t="s">
        <v>532</v>
      </c>
      <c r="J438" s="94"/>
      <c r="O438" s="77" t="s">
        <v>708</v>
      </c>
      <c r="P438" s="105"/>
      <c r="Q438" s="97"/>
      <c r="R438" s="97"/>
      <c r="AB438" s="72">
        <v>1</v>
      </c>
      <c r="AE438" s="96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94"/>
      <c r="BZ438" s="94"/>
      <c r="CA438" s="94"/>
      <c r="CB438" s="94"/>
      <c r="CC438" s="94"/>
      <c r="CD438" s="94"/>
      <c r="CE438" s="94"/>
      <c r="CF438" s="94"/>
      <c r="CG438" s="94"/>
      <c r="CH438" s="94" t="str">
        <f>"     " &amp; TEXT(AF438,"#0.00%") &amp; " " &amp; "Check Line Marking" &amp; " " &amp; IF(Q438="","",TEXT(Q438,"M/D-")) &amp; IF(R438="","",TEXT(R438,"M/D")) &amp; " "</f>
        <v xml:space="preserve">     0.00% Check Line Marking  </v>
      </c>
      <c r="CI438" s="94"/>
      <c r="CJ438" s="94"/>
      <c r="CK438" s="94"/>
      <c r="CL438" s="94"/>
      <c r="CM438" s="94"/>
      <c r="CN438" s="94"/>
      <c r="CO438" s="94"/>
      <c r="CP438" s="94"/>
      <c r="CQ438" s="94"/>
      <c r="CR438" s="94"/>
      <c r="CS438" s="94"/>
      <c r="CT438" s="94"/>
      <c r="CU438" s="94"/>
      <c r="CV438" s="94"/>
      <c r="CW438" s="94"/>
      <c r="CX438" s="94"/>
      <c r="CY438" s="94"/>
      <c r="CZ438" s="94"/>
      <c r="DA438" s="94"/>
      <c r="DB438" s="94"/>
      <c r="DC438" s="94"/>
      <c r="DD438" s="94"/>
      <c r="DE438" s="94"/>
      <c r="DF438" s="94"/>
      <c r="DG438" s="94"/>
      <c r="DH438" s="94"/>
      <c r="DI438" s="94"/>
      <c r="DJ438" s="94"/>
      <c r="DK438" s="94"/>
      <c r="DL438" s="94"/>
      <c r="DM438" s="94"/>
      <c r="DN438" s="94"/>
      <c r="DO438" s="94"/>
      <c r="DP438" s="94"/>
      <c r="DQ438" s="94"/>
    </row>
    <row r="439" spans="1:121" ht="15" customHeight="1" outlineLevel="3" x14ac:dyDescent="0.3">
      <c r="A439" s="100"/>
      <c r="B439" s="100"/>
      <c r="C439" s="99">
        <v>4</v>
      </c>
      <c r="D439" s="98" t="s">
        <v>885</v>
      </c>
      <c r="H439" s="77" t="s">
        <v>589</v>
      </c>
      <c r="J439" s="94"/>
      <c r="O439" s="77" t="s">
        <v>708</v>
      </c>
      <c r="P439" s="105"/>
      <c r="Q439" s="97"/>
      <c r="R439" s="97"/>
      <c r="AB439" s="72">
        <v>1</v>
      </c>
      <c r="AE439" s="96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94"/>
      <c r="BZ439" s="94"/>
      <c r="CA439" s="94"/>
      <c r="CB439" s="94"/>
      <c r="CC439" s="94"/>
      <c r="CD439" s="94"/>
      <c r="CE439" s="94"/>
      <c r="CF439" s="94"/>
      <c r="CG439" s="94"/>
      <c r="CH439" s="94"/>
      <c r="CI439" s="94" t="str">
        <f>" " &amp; TEXT(AF439,"#0.00%") &amp; " " &amp; "Drilling Anchor Hole" &amp; " " &amp; IF(Q439="","",TEXT(Q439,"M/D-")) &amp; IF(R439="","",TEXT(R439,"M/D")) &amp; " "</f>
        <v xml:space="preserve"> 0.00% Drilling Anchor Hole  </v>
      </c>
      <c r="CJ439" s="94"/>
      <c r="CK439" s="94"/>
      <c r="CL439" s="94"/>
      <c r="CM439" s="94"/>
      <c r="CN439" s="94"/>
      <c r="CO439" s="94"/>
      <c r="CP439" s="94"/>
      <c r="CQ439" s="94"/>
      <c r="CR439" s="94"/>
      <c r="CS439" s="94"/>
      <c r="CT439" s="94"/>
      <c r="CU439" s="94"/>
      <c r="CV439" s="94"/>
      <c r="CW439" s="94"/>
      <c r="CX439" s="94"/>
      <c r="CY439" s="94"/>
      <c r="CZ439" s="94"/>
      <c r="DA439" s="94"/>
      <c r="DB439" s="94"/>
      <c r="DC439" s="94"/>
      <c r="DD439" s="94"/>
      <c r="DE439" s="94"/>
      <c r="DF439" s="94"/>
      <c r="DG439" s="94"/>
      <c r="DH439" s="94"/>
      <c r="DI439" s="94"/>
      <c r="DJ439" s="94"/>
      <c r="DK439" s="94"/>
      <c r="DL439" s="94"/>
      <c r="DM439" s="94"/>
      <c r="DN439" s="94"/>
      <c r="DO439" s="94"/>
      <c r="DP439" s="94"/>
      <c r="DQ439" s="94"/>
    </row>
    <row r="440" spans="1:121" ht="15" customHeight="1" outlineLevel="3" x14ac:dyDescent="0.3">
      <c r="A440" s="100"/>
      <c r="B440" s="100"/>
      <c r="C440" s="99">
        <v>4</v>
      </c>
      <c r="D440" s="98" t="s">
        <v>884</v>
      </c>
      <c r="H440" s="77" t="s">
        <v>530</v>
      </c>
      <c r="J440" s="94"/>
      <c r="O440" s="77" t="s">
        <v>708</v>
      </c>
      <c r="P440" s="105"/>
      <c r="Q440" s="97"/>
      <c r="R440" s="97"/>
      <c r="AB440" s="72">
        <v>1</v>
      </c>
      <c r="AE440" s="96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94"/>
      <c r="BZ440" s="94"/>
      <c r="CA440" s="94"/>
      <c r="CB440" s="94"/>
      <c r="CC440" s="94"/>
      <c r="CD440" s="94"/>
      <c r="CE440" s="94"/>
      <c r="CF440" s="94"/>
      <c r="CG440" s="94"/>
      <c r="CH440" s="94"/>
      <c r="CI440" s="94" t="str">
        <f>"" &amp; TEXT(AF440,"#0.00%") &amp; " "</f>
        <v xml:space="preserve">0.00% </v>
      </c>
      <c r="CJ440" s="94"/>
      <c r="CK440" s="94"/>
      <c r="CL440" s="94"/>
      <c r="CM440" s="94"/>
      <c r="CN440" s="94"/>
      <c r="CO440" s="94"/>
      <c r="CP440" s="94"/>
      <c r="CQ440" s="94" t="str">
        <f>"     " &amp; "Move In" &amp; " " &amp; IF(Q440="","",TEXT(Q440,"M/D-")) &amp; IF(R440="","",TEXT(R440,"M/D")) &amp; " "</f>
        <v xml:space="preserve">     Move In  </v>
      </c>
      <c r="CR440" s="94"/>
      <c r="CS440" s="94"/>
      <c r="CT440" s="94"/>
      <c r="CU440" s="94"/>
      <c r="CV440" s="94"/>
      <c r="CW440" s="94"/>
      <c r="CX440" s="94"/>
      <c r="CY440" s="94"/>
      <c r="CZ440" s="94"/>
      <c r="DA440" s="94"/>
      <c r="DB440" s="94"/>
      <c r="DC440" s="94"/>
      <c r="DD440" s="94"/>
      <c r="DE440" s="94"/>
      <c r="DF440" s="94"/>
      <c r="DG440" s="94"/>
      <c r="DH440" s="94"/>
      <c r="DI440" s="94"/>
      <c r="DJ440" s="94"/>
      <c r="DK440" s="94"/>
      <c r="DL440" s="94"/>
      <c r="DM440" s="94"/>
      <c r="DN440" s="94"/>
      <c r="DO440" s="94"/>
      <c r="DP440" s="94"/>
      <c r="DQ440" s="94"/>
    </row>
    <row r="441" spans="1:121" ht="15" customHeight="1" outlineLevel="3" x14ac:dyDescent="0.3">
      <c r="A441" s="100"/>
      <c r="B441" s="100"/>
      <c r="C441" s="99">
        <v>4</v>
      </c>
      <c r="D441" s="98" t="s">
        <v>883</v>
      </c>
      <c r="H441" s="77" t="s">
        <v>706</v>
      </c>
      <c r="J441" s="94"/>
      <c r="O441" s="77" t="s">
        <v>700</v>
      </c>
      <c r="P441" s="105"/>
      <c r="Q441" s="97"/>
      <c r="R441" s="97"/>
      <c r="AB441" s="72">
        <v>1</v>
      </c>
      <c r="AE441" s="96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94"/>
      <c r="BZ441" s="94"/>
      <c r="CA441" s="94"/>
      <c r="CB441" s="94"/>
      <c r="CC441" s="94"/>
      <c r="CD441" s="94"/>
      <c r="CE441" s="94"/>
      <c r="CF441" s="94"/>
      <c r="CG441" s="94"/>
      <c r="CH441" s="94"/>
      <c r="CI441" s="94" t="str">
        <f>" " &amp; TEXT(AF441,"#0.00%") &amp; " " &amp; "Install Anchor &amp; Nut" &amp; " " &amp; IF(Q441="","",TEXT(Q441,"M/D-")) &amp; IF(R441="","",TEXT(R441,"M/D")) &amp; " "</f>
        <v xml:space="preserve"> 0.00% Install Anchor &amp; Nut  </v>
      </c>
      <c r="CJ441" s="94"/>
      <c r="CK441" s="94"/>
      <c r="CL441" s="94"/>
      <c r="CM441" s="94"/>
      <c r="CN441" s="94"/>
      <c r="CO441" s="94"/>
      <c r="CP441" s="94"/>
      <c r="CQ441" s="94"/>
      <c r="CR441" s="94"/>
      <c r="CS441" s="94"/>
      <c r="CT441" s="94"/>
      <c r="CU441" s="94"/>
      <c r="CV441" s="94"/>
      <c r="CW441" s="94"/>
      <c r="CX441" s="94"/>
      <c r="CY441" s="94"/>
      <c r="CZ441" s="94"/>
      <c r="DA441" s="94"/>
      <c r="DB441" s="94"/>
      <c r="DC441" s="94"/>
      <c r="DD441" s="94"/>
      <c r="DE441" s="94"/>
      <c r="DF441" s="94"/>
      <c r="DG441" s="94"/>
      <c r="DH441" s="94"/>
      <c r="DI441" s="94"/>
      <c r="DJ441" s="94"/>
      <c r="DK441" s="94"/>
      <c r="DL441" s="94"/>
      <c r="DM441" s="94"/>
      <c r="DN441" s="94"/>
      <c r="DO441" s="94"/>
      <c r="DP441" s="94"/>
      <c r="DQ441" s="94"/>
    </row>
    <row r="442" spans="1:121" ht="15" customHeight="1" outlineLevel="3" x14ac:dyDescent="0.3">
      <c r="A442" s="100"/>
      <c r="B442" s="100"/>
      <c r="C442" s="99">
        <v>4</v>
      </c>
      <c r="D442" s="98" t="s">
        <v>882</v>
      </c>
      <c r="H442" s="77" t="s">
        <v>704</v>
      </c>
      <c r="J442" s="94"/>
      <c r="O442" s="77" t="s">
        <v>700</v>
      </c>
      <c r="P442" s="105"/>
      <c r="Q442" s="97"/>
      <c r="R442" s="97"/>
      <c r="AB442" s="72">
        <v>1</v>
      </c>
      <c r="AE442" s="96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94"/>
      <c r="BZ442" s="94"/>
      <c r="CA442" s="94"/>
      <c r="CB442" s="94"/>
      <c r="CC442" s="94"/>
      <c r="CD442" s="94"/>
      <c r="CE442" s="94"/>
      <c r="CF442" s="94"/>
      <c r="CG442" s="94"/>
      <c r="CH442" s="94"/>
      <c r="CI442" s="94" t="str">
        <f>"   " &amp; TEXT(AF442,"#0.00%") &amp; " " &amp; "Install Deck Post&amp;Girder&amp;Bracing" &amp; " " &amp; IF(Q442="","",TEXT(Q442,"M/D-")) &amp; IF(R442="","",TEXT(R442,"M/D")) &amp; " "</f>
        <v xml:space="preserve">   0.00% Install Deck Post&amp;Girder&amp;Bracing  </v>
      </c>
      <c r="CJ442" s="94"/>
      <c r="CK442" s="94"/>
      <c r="CL442" s="94"/>
      <c r="CM442" s="94"/>
      <c r="CN442" s="94"/>
      <c r="CO442" s="94"/>
      <c r="CP442" s="94"/>
      <c r="CQ442" s="94"/>
      <c r="CR442" s="94"/>
      <c r="CS442" s="94"/>
      <c r="CT442" s="94"/>
      <c r="CU442" s="94"/>
      <c r="CV442" s="94"/>
      <c r="CW442" s="94"/>
      <c r="CX442" s="94"/>
      <c r="CY442" s="94"/>
      <c r="CZ442" s="94"/>
      <c r="DA442" s="94"/>
      <c r="DB442" s="94"/>
      <c r="DC442" s="94"/>
      <c r="DD442" s="94"/>
      <c r="DE442" s="94"/>
      <c r="DF442" s="94"/>
      <c r="DG442" s="94"/>
      <c r="DH442" s="94"/>
      <c r="DI442" s="94"/>
      <c r="DJ442" s="94"/>
      <c r="DK442" s="94"/>
      <c r="DL442" s="94"/>
      <c r="DM442" s="94"/>
      <c r="DN442" s="94"/>
      <c r="DO442" s="94"/>
      <c r="DP442" s="94"/>
      <c r="DQ442" s="94"/>
    </row>
    <row r="443" spans="1:121" ht="15" customHeight="1" outlineLevel="3" x14ac:dyDescent="0.3">
      <c r="A443" s="100"/>
      <c r="B443" s="100"/>
      <c r="C443" s="99">
        <v>4</v>
      </c>
      <c r="D443" s="98" t="s">
        <v>881</v>
      </c>
      <c r="H443" s="77" t="s">
        <v>702</v>
      </c>
      <c r="J443" s="94"/>
      <c r="O443" s="77" t="s">
        <v>700</v>
      </c>
      <c r="P443" s="105"/>
      <c r="Q443" s="97"/>
      <c r="R443" s="97"/>
      <c r="AB443" s="72">
        <v>1</v>
      </c>
      <c r="AE443" s="96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94"/>
      <c r="BZ443" s="94"/>
      <c r="CA443" s="94"/>
      <c r="CB443" s="94"/>
      <c r="CC443" s="94"/>
      <c r="CD443" s="94"/>
      <c r="CE443" s="94"/>
      <c r="CF443" s="94"/>
      <c r="CG443" s="94"/>
      <c r="CH443" s="94"/>
      <c r="CI443" s="94" t="str">
        <f>"    " &amp; TEXT(AF443,"#0.00%") &amp; " " &amp; "Check Vertical(Deck Post&amp;Tower Stair)" &amp; " " &amp; IF(Q443="","",TEXT(Q443,"M/D-")) &amp; IF(R443="","",TEXT(R443,"M/D")) &amp; " "</f>
        <v xml:space="preserve">    0.00% Check Vertical(Deck Post&amp;Tower Stair)  </v>
      </c>
      <c r="CJ443" s="94"/>
      <c r="CK443" s="94"/>
      <c r="CL443" s="94"/>
      <c r="CM443" s="94"/>
      <c r="CN443" s="94"/>
      <c r="CO443" s="94"/>
      <c r="CP443" s="94"/>
      <c r="CQ443" s="94"/>
      <c r="CR443" s="94"/>
      <c r="CS443" s="94"/>
      <c r="CT443" s="94"/>
      <c r="CU443" s="94"/>
      <c r="CV443" s="94"/>
      <c r="CW443" s="94"/>
      <c r="CX443" s="94"/>
      <c r="CY443" s="94"/>
      <c r="CZ443" s="94"/>
      <c r="DA443" s="94"/>
      <c r="DB443" s="94"/>
      <c r="DC443" s="94"/>
      <c r="DD443" s="94"/>
      <c r="DE443" s="94"/>
      <c r="DF443" s="94"/>
      <c r="DG443" s="94"/>
      <c r="DH443" s="94"/>
      <c r="DI443" s="94"/>
      <c r="DJ443" s="94"/>
      <c r="DK443" s="94"/>
      <c r="DL443" s="94"/>
      <c r="DM443" s="94"/>
      <c r="DN443" s="94"/>
      <c r="DO443" s="94"/>
      <c r="DP443" s="94"/>
      <c r="DQ443" s="94"/>
    </row>
    <row r="444" spans="1:121" ht="15" customHeight="1" outlineLevel="3" x14ac:dyDescent="0.3">
      <c r="A444" s="100"/>
      <c r="B444" s="100"/>
      <c r="C444" s="99">
        <v>4</v>
      </c>
      <c r="D444" s="98" t="s">
        <v>880</v>
      </c>
      <c r="H444" s="77" t="s">
        <v>546</v>
      </c>
      <c r="J444" s="94"/>
      <c r="O444" s="77" t="s">
        <v>700</v>
      </c>
      <c r="P444" s="105"/>
      <c r="Q444" s="97"/>
      <c r="R444" s="97"/>
      <c r="AB444" s="72">
        <v>1</v>
      </c>
      <c r="AE444" s="96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94"/>
      <c r="BZ444" s="94"/>
      <c r="CA444" s="94"/>
      <c r="CB444" s="94"/>
      <c r="CC444" s="94"/>
      <c r="CD444" s="94"/>
      <c r="CE444" s="94"/>
      <c r="CF444" s="94"/>
      <c r="CG444" s="94"/>
      <c r="CH444" s="94"/>
      <c r="CI444" s="94" t="str">
        <f>"      " &amp; TEXT(AF444,"#0.00%") &amp; " " &amp; "Install Deck Frame&amp;Hand Rail" &amp; " " &amp; IF(Q444="","",TEXT(Q444,"M/D-")) &amp; IF(R444="","",TEXT(R444,"M/D")) &amp; " "</f>
        <v xml:space="preserve">      0.00% Install Deck Frame&amp;Hand Rail  </v>
      </c>
      <c r="CJ444" s="94"/>
      <c r="CK444" s="94"/>
      <c r="CL444" s="94"/>
      <c r="CM444" s="94"/>
      <c r="CN444" s="94"/>
      <c r="CO444" s="94"/>
      <c r="CP444" s="94"/>
      <c r="CQ444" s="94"/>
      <c r="CR444" s="94"/>
      <c r="CS444" s="94"/>
      <c r="CT444" s="94"/>
      <c r="CU444" s="94"/>
      <c r="CV444" s="94"/>
      <c r="CW444" s="94"/>
      <c r="CX444" s="94"/>
      <c r="CY444" s="94"/>
      <c r="CZ444" s="94"/>
      <c r="DA444" s="94"/>
      <c r="DB444" s="94"/>
      <c r="DC444" s="94"/>
      <c r="DD444" s="94"/>
      <c r="DE444" s="94"/>
      <c r="DF444" s="94"/>
      <c r="DG444" s="94"/>
      <c r="DH444" s="94"/>
      <c r="DI444" s="94"/>
      <c r="DJ444" s="94"/>
      <c r="DK444" s="94"/>
      <c r="DL444" s="94"/>
      <c r="DM444" s="94"/>
      <c r="DN444" s="94"/>
      <c r="DO444" s="94"/>
      <c r="DP444" s="94"/>
      <c r="DQ444" s="94"/>
    </row>
    <row r="445" spans="1:121" ht="15" customHeight="1" outlineLevel="3" x14ac:dyDescent="0.3">
      <c r="A445" s="100"/>
      <c r="B445" s="100"/>
      <c r="C445" s="99">
        <v>4</v>
      </c>
      <c r="D445" s="98" t="s">
        <v>879</v>
      </c>
      <c r="H445" s="77" t="s">
        <v>550</v>
      </c>
      <c r="J445" s="94"/>
      <c r="O445" s="77" t="s">
        <v>640</v>
      </c>
      <c r="P445" s="105"/>
      <c r="Q445" s="97"/>
      <c r="R445" s="97"/>
      <c r="AB445" s="72">
        <v>1</v>
      </c>
      <c r="AE445" s="96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94"/>
      <c r="BZ445" s="94"/>
      <c r="CA445" s="94"/>
      <c r="CB445" s="94"/>
      <c r="CC445" s="94"/>
      <c r="CD445" s="94"/>
      <c r="CE445" s="94"/>
      <c r="CF445" s="94"/>
      <c r="CG445" s="94"/>
      <c r="CH445" s="94"/>
      <c r="CI445" s="94"/>
      <c r="CJ445" s="94" t="str">
        <f>"  " &amp; TEXT(AF445,"#0.00%") &amp; " " &amp; "Install Anchor" &amp; " " &amp; IF(Q445="","",TEXT(Q445,"M/D-")) &amp; IF(R445="","",TEXT(R445,"M/D")) &amp; " "</f>
        <v xml:space="preserve">  0.00% Install Anchor  </v>
      </c>
      <c r="CK445" s="94"/>
      <c r="CL445" s="94"/>
      <c r="CM445" s="94"/>
      <c r="CN445" s="94"/>
      <c r="CO445" s="94"/>
      <c r="CP445" s="94"/>
      <c r="CQ445" s="94"/>
      <c r="CR445" s="94"/>
      <c r="CS445" s="94"/>
      <c r="CT445" s="94"/>
      <c r="CU445" s="94"/>
      <c r="CV445" s="94"/>
      <c r="CW445" s="94"/>
      <c r="CX445" s="94"/>
      <c r="CY445" s="94"/>
      <c r="CZ445" s="94"/>
      <c r="DA445" s="94"/>
      <c r="DB445" s="94"/>
      <c r="DC445" s="94"/>
      <c r="DD445" s="94"/>
      <c r="DE445" s="94"/>
      <c r="DF445" s="94"/>
      <c r="DG445" s="94"/>
      <c r="DH445" s="94"/>
      <c r="DI445" s="94"/>
      <c r="DJ445" s="94"/>
      <c r="DK445" s="94"/>
      <c r="DL445" s="94"/>
      <c r="DM445" s="94"/>
      <c r="DN445" s="94"/>
      <c r="DO445" s="94"/>
      <c r="DP445" s="94"/>
      <c r="DQ445" s="94"/>
    </row>
    <row r="446" spans="1:121" ht="15" customHeight="1" outlineLevel="3" x14ac:dyDescent="0.3">
      <c r="A446" s="100"/>
      <c r="B446" s="100"/>
      <c r="C446" s="99">
        <v>4</v>
      </c>
      <c r="D446" s="98" t="s">
        <v>878</v>
      </c>
      <c r="H446" s="77" t="s">
        <v>697</v>
      </c>
      <c r="J446" s="94"/>
      <c r="O446" s="77" t="s">
        <v>640</v>
      </c>
      <c r="P446" s="105"/>
      <c r="Q446" s="97"/>
      <c r="R446" s="97"/>
      <c r="AB446" s="72">
        <v>1</v>
      </c>
      <c r="AE446" s="96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94"/>
      <c r="BZ446" s="94"/>
      <c r="CA446" s="94"/>
      <c r="CB446" s="94"/>
      <c r="CC446" s="94"/>
      <c r="CD446" s="94"/>
      <c r="CE446" s="94"/>
      <c r="CF446" s="94"/>
      <c r="CG446" s="94"/>
      <c r="CH446" s="94"/>
      <c r="CI446" s="94"/>
      <c r="CJ446" s="94" t="str">
        <f>"   " &amp; TEXT(AF446,"#0.00%") &amp; " " &amp; "Install Liner" &amp; " " &amp; IF(Q446="","",TEXT(Q446,"M/D-")) &amp; IF(R446="","",TEXT(R446,"M/D")) &amp; " "</f>
        <v xml:space="preserve">   0.00% Install Liner  </v>
      </c>
      <c r="CK446" s="94"/>
      <c r="CL446" s="94"/>
      <c r="CM446" s="94"/>
      <c r="CN446" s="94"/>
      <c r="CO446" s="94"/>
      <c r="CP446" s="94"/>
      <c r="CQ446" s="94"/>
      <c r="CR446" s="94"/>
      <c r="CS446" s="94"/>
      <c r="CT446" s="94"/>
      <c r="CU446" s="94"/>
      <c r="CV446" s="94"/>
      <c r="CW446" s="94"/>
      <c r="CX446" s="94"/>
      <c r="CY446" s="94"/>
      <c r="CZ446" s="94"/>
      <c r="DA446" s="94"/>
      <c r="DB446" s="94"/>
      <c r="DC446" s="94"/>
      <c r="DD446" s="94"/>
      <c r="DE446" s="94"/>
      <c r="DF446" s="94"/>
      <c r="DG446" s="94"/>
      <c r="DH446" s="94"/>
      <c r="DI446" s="94"/>
      <c r="DJ446" s="94"/>
      <c r="DK446" s="94"/>
      <c r="DL446" s="94"/>
      <c r="DM446" s="94"/>
      <c r="DN446" s="94"/>
      <c r="DO446" s="94"/>
      <c r="DP446" s="94"/>
      <c r="DQ446" s="94"/>
    </row>
    <row r="447" spans="1:121" ht="15" customHeight="1" outlineLevel="3" x14ac:dyDescent="0.3">
      <c r="A447" s="100"/>
      <c r="B447" s="100"/>
      <c r="C447" s="99">
        <v>4</v>
      </c>
      <c r="D447" s="98" t="s">
        <v>877</v>
      </c>
      <c r="H447" s="77" t="s">
        <v>695</v>
      </c>
      <c r="J447" s="94"/>
      <c r="O447" s="77" t="s">
        <v>640</v>
      </c>
      <c r="P447" s="105"/>
      <c r="Q447" s="97"/>
      <c r="R447" s="97"/>
      <c r="AB447" s="72">
        <v>1</v>
      </c>
      <c r="AE447" s="96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94"/>
      <c r="BZ447" s="94"/>
      <c r="CA447" s="94"/>
      <c r="CB447" s="94"/>
      <c r="CC447" s="94"/>
      <c r="CD447" s="94"/>
      <c r="CE447" s="94"/>
      <c r="CF447" s="94"/>
      <c r="CG447" s="94"/>
      <c r="CH447" s="94"/>
      <c r="CI447" s="94"/>
      <c r="CJ447" s="94" t="str">
        <f>"   " &amp; TEXT(AF447,"#0.00%") &amp; " " &amp; "Check Liner Leveling(Laser)" &amp; " " &amp; IF(Q447="","",TEXT(Q447,"M/D-")) &amp; IF(R447="","",TEXT(R447,"M/D")) &amp; " "</f>
        <v xml:space="preserve">   0.00% Check Liner Leveling(Laser)  </v>
      </c>
      <c r="CK447" s="94"/>
      <c r="CL447" s="94"/>
      <c r="CM447" s="94"/>
      <c r="CN447" s="94"/>
      <c r="CO447" s="94"/>
      <c r="CP447" s="94"/>
      <c r="CQ447" s="94"/>
      <c r="CR447" s="94"/>
      <c r="CS447" s="94"/>
      <c r="CT447" s="94"/>
      <c r="CU447" s="94"/>
      <c r="CV447" s="94"/>
      <c r="CW447" s="94"/>
      <c r="CX447" s="94"/>
      <c r="CY447" s="94"/>
      <c r="CZ447" s="94"/>
      <c r="DA447" s="94"/>
      <c r="DB447" s="94"/>
      <c r="DC447" s="94"/>
      <c r="DD447" s="94"/>
      <c r="DE447" s="94"/>
      <c r="DF447" s="94"/>
      <c r="DG447" s="94"/>
      <c r="DH447" s="94"/>
      <c r="DI447" s="94"/>
      <c r="DJ447" s="94"/>
      <c r="DK447" s="94"/>
      <c r="DL447" s="94"/>
      <c r="DM447" s="94"/>
      <c r="DN447" s="94"/>
      <c r="DO447" s="94"/>
      <c r="DP447" s="94"/>
      <c r="DQ447" s="94"/>
    </row>
    <row r="448" spans="1:121" ht="15" customHeight="1" outlineLevel="3" x14ac:dyDescent="0.3">
      <c r="A448" s="100"/>
      <c r="B448" s="100"/>
      <c r="C448" s="99">
        <v>4</v>
      </c>
      <c r="D448" s="98" t="s">
        <v>876</v>
      </c>
      <c r="H448" s="77" t="s">
        <v>693</v>
      </c>
      <c r="J448" s="94"/>
      <c r="O448" s="77" t="s">
        <v>640</v>
      </c>
      <c r="P448" s="105"/>
      <c r="Q448" s="97"/>
      <c r="R448" s="97"/>
      <c r="AB448" s="72">
        <v>1</v>
      </c>
      <c r="AE448" s="96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94"/>
      <c r="BZ448" s="94"/>
      <c r="CA448" s="94"/>
      <c r="CB448" s="94"/>
      <c r="CC448" s="94"/>
      <c r="CD448" s="94"/>
      <c r="CE448" s="94"/>
      <c r="CF448" s="94"/>
      <c r="CG448" s="94"/>
      <c r="CH448" s="94"/>
      <c r="CI448" s="94"/>
      <c r="CJ448" s="94" t="str">
        <f>"    " &amp; TEXT(AF448,"#0.00%") &amp; " " &amp; "Install Base Plate" &amp; " " &amp; IF(Q448="","",TEXT(Q448,"M/D-")) &amp; IF(R448="","",TEXT(R448,"M/D")) &amp; " "</f>
        <v xml:space="preserve">    0.00% Install Base Plate  </v>
      </c>
      <c r="CK448" s="94"/>
      <c r="CL448" s="94"/>
      <c r="CM448" s="94"/>
      <c r="CN448" s="94"/>
      <c r="CO448" s="94"/>
      <c r="CP448" s="94"/>
      <c r="CQ448" s="94"/>
      <c r="CR448" s="94"/>
      <c r="CS448" s="94"/>
      <c r="CT448" s="94"/>
      <c r="CU448" s="94"/>
      <c r="CV448" s="94"/>
      <c r="CW448" s="94"/>
      <c r="CX448" s="94"/>
      <c r="CY448" s="94"/>
      <c r="CZ448" s="94"/>
      <c r="DA448" s="94"/>
      <c r="DB448" s="94"/>
      <c r="DC448" s="94"/>
      <c r="DD448" s="94"/>
      <c r="DE448" s="94"/>
      <c r="DF448" s="94"/>
      <c r="DG448" s="94"/>
      <c r="DH448" s="94"/>
      <c r="DI448" s="94"/>
      <c r="DJ448" s="94"/>
      <c r="DK448" s="94"/>
      <c r="DL448" s="94"/>
      <c r="DM448" s="94"/>
      <c r="DN448" s="94"/>
      <c r="DO448" s="94"/>
      <c r="DP448" s="94"/>
      <c r="DQ448" s="94"/>
    </row>
    <row r="449" spans="1:121" ht="15" customHeight="1" outlineLevel="3" x14ac:dyDescent="0.3">
      <c r="A449" s="100"/>
      <c r="B449" s="100"/>
      <c r="C449" s="99">
        <v>4</v>
      </c>
      <c r="D449" s="98" t="s">
        <v>875</v>
      </c>
      <c r="H449" s="77" t="s">
        <v>691</v>
      </c>
      <c r="J449" s="94"/>
      <c r="O449" s="77" t="s">
        <v>640</v>
      </c>
      <c r="P449" s="105"/>
      <c r="Q449" s="97"/>
      <c r="R449" s="97"/>
      <c r="AB449" s="72">
        <v>1</v>
      </c>
      <c r="AE449" s="96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94"/>
      <c r="BZ449" s="94"/>
      <c r="CA449" s="94"/>
      <c r="CB449" s="94"/>
      <c r="CC449" s="94"/>
      <c r="CD449" s="94"/>
      <c r="CE449" s="94"/>
      <c r="CF449" s="94"/>
      <c r="CG449" s="94"/>
      <c r="CH449" s="94"/>
      <c r="CI449" s="94"/>
      <c r="CJ449" s="94" t="str">
        <f>"     " &amp; TEXT(AF449,"#0.00%") &amp; " " &amp; "Erect Rack(2th)" &amp; " " &amp; IF(Q449="","",TEXT(Q449,"M/D-")) &amp; IF(R449="","",TEXT(R449,"M/D")) &amp; " "</f>
        <v xml:space="preserve">     0.00% Erect Rack(2th)  </v>
      </c>
      <c r="CK449" s="94"/>
      <c r="CL449" s="94"/>
      <c r="CM449" s="94"/>
      <c r="CN449" s="94"/>
      <c r="CO449" s="94"/>
      <c r="CP449" s="94"/>
      <c r="CQ449" s="94"/>
      <c r="CR449" s="94"/>
      <c r="CS449" s="94"/>
      <c r="CT449" s="94"/>
      <c r="CU449" s="94"/>
      <c r="CV449" s="94"/>
      <c r="CW449" s="94"/>
      <c r="CX449" s="94"/>
      <c r="CY449" s="94"/>
      <c r="CZ449" s="94"/>
      <c r="DA449" s="94"/>
      <c r="DB449" s="94"/>
      <c r="DC449" s="94"/>
      <c r="DD449" s="94"/>
      <c r="DE449" s="94"/>
      <c r="DF449" s="94"/>
      <c r="DG449" s="94"/>
      <c r="DH449" s="94"/>
      <c r="DI449" s="94"/>
      <c r="DJ449" s="94"/>
      <c r="DK449" s="94"/>
      <c r="DL449" s="94"/>
      <c r="DM449" s="94"/>
      <c r="DN449" s="94"/>
      <c r="DO449" s="94"/>
      <c r="DP449" s="94"/>
      <c r="DQ449" s="94"/>
    </row>
    <row r="450" spans="1:121" ht="15" customHeight="1" outlineLevel="3" x14ac:dyDescent="0.3">
      <c r="A450" s="100"/>
      <c r="B450" s="100"/>
      <c r="C450" s="99">
        <v>4</v>
      </c>
      <c r="D450" s="98" t="s">
        <v>874</v>
      </c>
      <c r="H450" s="77" t="s">
        <v>544</v>
      </c>
      <c r="J450" s="94"/>
      <c r="O450" s="77" t="s">
        <v>518</v>
      </c>
      <c r="P450" s="105"/>
      <c r="Q450" s="97"/>
      <c r="R450" s="97"/>
      <c r="AB450" s="72">
        <v>1</v>
      </c>
      <c r="AE450" s="96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94"/>
      <c r="BZ450" s="94"/>
      <c r="CA450" s="94"/>
      <c r="CB450" s="94"/>
      <c r="CC450" s="94"/>
      <c r="CD450" s="94"/>
      <c r="CE450" s="94"/>
      <c r="CF450" s="94"/>
      <c r="CG450" s="94"/>
      <c r="CH450" s="94"/>
      <c r="CI450" s="94"/>
      <c r="CJ450" s="94" t="str">
        <f>"      " &amp; TEXT(AF450,"#0.00%") &amp; " " &amp; "Install Lifter" &amp; " " &amp; IF(Q450="","",TEXT(Q450,"M/D-")) &amp; IF(R450="","",TEXT(R450,"M/D")) &amp; " "</f>
        <v xml:space="preserve">      0.00% Install Lifter  </v>
      </c>
      <c r="CK450" s="94"/>
      <c r="CL450" s="94"/>
      <c r="CM450" s="94"/>
      <c r="CN450" s="94"/>
      <c r="CO450" s="94"/>
      <c r="CP450" s="94"/>
      <c r="CQ450" s="94"/>
      <c r="CR450" s="94"/>
      <c r="CS450" s="94"/>
      <c r="CT450" s="94"/>
      <c r="CU450" s="94"/>
      <c r="CV450" s="94"/>
      <c r="CW450" s="94"/>
      <c r="CX450" s="94"/>
      <c r="CY450" s="94"/>
      <c r="CZ450" s="94"/>
      <c r="DA450" s="94"/>
      <c r="DB450" s="94"/>
      <c r="DC450" s="94"/>
      <c r="DD450" s="94"/>
      <c r="DE450" s="94"/>
      <c r="DF450" s="94"/>
      <c r="DG450" s="94"/>
      <c r="DH450" s="94"/>
      <c r="DI450" s="94"/>
      <c r="DJ450" s="94"/>
      <c r="DK450" s="94"/>
      <c r="DL450" s="94"/>
      <c r="DM450" s="94"/>
      <c r="DN450" s="94"/>
      <c r="DO450" s="94"/>
      <c r="DP450" s="94"/>
      <c r="DQ450" s="94"/>
    </row>
    <row r="451" spans="1:121" ht="15" customHeight="1" outlineLevel="3" x14ac:dyDescent="0.3">
      <c r="A451" s="100"/>
      <c r="B451" s="100"/>
      <c r="C451" s="99">
        <v>4</v>
      </c>
      <c r="D451" s="98" t="s">
        <v>873</v>
      </c>
      <c r="H451" s="77" t="s">
        <v>688</v>
      </c>
      <c r="J451" s="94"/>
      <c r="O451" s="77" t="s">
        <v>640</v>
      </c>
      <c r="P451" s="105"/>
      <c r="Q451" s="97"/>
      <c r="R451" s="97"/>
      <c r="AB451" s="72">
        <v>1</v>
      </c>
      <c r="AE451" s="96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94"/>
      <c r="BZ451" s="94"/>
      <c r="CA451" s="94"/>
      <c r="CB451" s="94"/>
      <c r="CC451" s="94"/>
      <c r="CD451" s="94"/>
      <c r="CE451" s="94"/>
      <c r="CF451" s="94"/>
      <c r="CG451" s="94"/>
      <c r="CH451" s="94"/>
      <c r="CI451" s="94"/>
      <c r="CJ451" s="94"/>
      <c r="CK451" s="94" t="str">
        <f>"" &amp; TEXT(AF451,"#0.00%") &amp; " " &amp; "Install Beam&amp;Bracing(2th)" &amp; " " &amp; IF(Q451="","",TEXT(Q451,"M/D-")) &amp; IF(R451="","",TEXT(R451,"M/D")) &amp; " "</f>
        <v xml:space="preserve">0.00% Install Beam&amp;Bracing(2th)  </v>
      </c>
      <c r="CL451" s="94"/>
      <c r="CM451" s="94"/>
      <c r="CN451" s="94"/>
      <c r="CO451" s="94"/>
      <c r="CP451" s="94"/>
      <c r="CQ451" s="94"/>
      <c r="CR451" s="94"/>
      <c r="CS451" s="94"/>
      <c r="CT451" s="94"/>
      <c r="CU451" s="94"/>
      <c r="CV451" s="94"/>
      <c r="CW451" s="94"/>
      <c r="CX451" s="94"/>
      <c r="CY451" s="94"/>
      <c r="CZ451" s="94"/>
      <c r="DA451" s="94"/>
      <c r="DB451" s="94"/>
      <c r="DC451" s="94"/>
      <c r="DD451" s="94"/>
      <c r="DE451" s="94"/>
      <c r="DF451" s="94"/>
      <c r="DG451" s="94"/>
      <c r="DH451" s="94"/>
      <c r="DI451" s="94"/>
      <c r="DJ451" s="94"/>
      <c r="DK451" s="94"/>
      <c r="DL451" s="94"/>
      <c r="DM451" s="94"/>
      <c r="DN451" s="94"/>
      <c r="DO451" s="94"/>
      <c r="DP451" s="94"/>
      <c r="DQ451" s="94"/>
    </row>
    <row r="452" spans="1:121" ht="15" customHeight="1" outlineLevel="3" x14ac:dyDescent="0.3">
      <c r="A452" s="100"/>
      <c r="B452" s="100"/>
      <c r="C452" s="99">
        <v>4</v>
      </c>
      <c r="D452" s="98" t="s">
        <v>872</v>
      </c>
      <c r="H452" s="77" t="s">
        <v>686</v>
      </c>
      <c r="J452" s="94"/>
      <c r="O452" s="77" t="s">
        <v>640</v>
      </c>
      <c r="P452" s="105"/>
      <c r="Q452" s="97"/>
      <c r="R452" s="97"/>
      <c r="AB452" s="72">
        <v>1</v>
      </c>
      <c r="AE452" s="96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94"/>
      <c r="BZ452" s="94"/>
      <c r="CA452" s="94"/>
      <c r="CB452" s="94"/>
      <c r="CC452" s="94"/>
      <c r="CD452" s="94"/>
      <c r="CE452" s="94"/>
      <c r="CF452" s="94"/>
      <c r="CG452" s="94"/>
      <c r="CH452" s="94"/>
      <c r="CI452" s="94"/>
      <c r="CJ452" s="94"/>
      <c r="CK452" s="94" t="str">
        <f>"    " &amp; TEXT(AF452,"#0.00%") &amp; " " &amp; "Install Rack&amp;Beam&amp;Bracing(5th)" &amp; " " &amp; IF(Q452="","",TEXT(Q452,"M/D-")) &amp; IF(R452="","",TEXT(R452,"M/D")) &amp; " "</f>
        <v xml:space="preserve">    0.00% Install Rack&amp;Beam&amp;Bracing(5th)  </v>
      </c>
      <c r="CL452" s="94"/>
      <c r="CM452" s="94"/>
      <c r="CN452" s="94"/>
      <c r="CO452" s="94"/>
      <c r="CP452" s="94"/>
      <c r="CQ452" s="94"/>
      <c r="CR452" s="94"/>
      <c r="CS452" s="94"/>
      <c r="CT452" s="94"/>
      <c r="CU452" s="94"/>
      <c r="CV452" s="94"/>
      <c r="CW452" s="94"/>
      <c r="CX452" s="94"/>
      <c r="CY452" s="94"/>
      <c r="CZ452" s="94"/>
      <c r="DA452" s="94"/>
      <c r="DB452" s="94"/>
      <c r="DC452" s="94"/>
      <c r="DD452" s="94"/>
      <c r="DE452" s="94"/>
      <c r="DF452" s="94"/>
      <c r="DG452" s="94"/>
      <c r="DH452" s="94"/>
      <c r="DI452" s="94"/>
      <c r="DJ452" s="94"/>
      <c r="DK452" s="94"/>
      <c r="DL452" s="94"/>
      <c r="DM452" s="94"/>
      <c r="DN452" s="94"/>
      <c r="DO452" s="94"/>
      <c r="DP452" s="94"/>
      <c r="DQ452" s="94"/>
    </row>
    <row r="453" spans="1:121" ht="15" customHeight="1" outlineLevel="3" x14ac:dyDescent="0.3">
      <c r="A453" s="100"/>
      <c r="B453" s="100"/>
      <c r="C453" s="99">
        <v>4</v>
      </c>
      <c r="D453" s="98" t="s">
        <v>871</v>
      </c>
      <c r="H453" s="77" t="s">
        <v>546</v>
      </c>
      <c r="J453" s="94"/>
      <c r="O453" s="77" t="s">
        <v>640</v>
      </c>
      <c r="P453" s="105"/>
      <c r="Q453" s="97"/>
      <c r="R453" s="97"/>
      <c r="AB453" s="72">
        <v>1</v>
      </c>
      <c r="AE453" s="96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94"/>
      <c r="BZ453" s="94"/>
      <c r="CA453" s="94"/>
      <c r="CB453" s="94"/>
      <c r="CC453" s="94"/>
      <c r="CD453" s="94"/>
      <c r="CE453" s="94"/>
      <c r="CF453" s="94"/>
      <c r="CG453" s="94"/>
      <c r="CH453" s="94"/>
      <c r="CI453" s="94"/>
      <c r="CJ453" s="94"/>
      <c r="CK453" s="94"/>
      <c r="CL453" s="94" t="str">
        <f>"" &amp; TEXT(AF453,"#0.00%") &amp; " " &amp; "Install Deck Frame&amp;Hand Rail" &amp; " " &amp; IF(Q453="","",TEXT(Q453,"M/D-")) &amp; IF(R453="","",TEXT(R453,"M/D")) &amp; " "</f>
        <v xml:space="preserve">0.00% Install Deck Frame&amp;Hand Rail  </v>
      </c>
      <c r="CM453" s="94"/>
      <c r="CN453" s="94"/>
      <c r="CO453" s="94"/>
      <c r="CP453" s="94"/>
      <c r="CQ453" s="94"/>
      <c r="CR453" s="94"/>
      <c r="CS453" s="94"/>
      <c r="CT453" s="94"/>
      <c r="CU453" s="94"/>
      <c r="CV453" s="94"/>
      <c r="CW453" s="94"/>
      <c r="CX453" s="94"/>
      <c r="CY453" s="94"/>
      <c r="CZ453" s="94"/>
      <c r="DA453" s="94"/>
      <c r="DB453" s="94"/>
      <c r="DC453" s="94"/>
      <c r="DD453" s="94"/>
      <c r="DE453" s="94"/>
      <c r="DF453" s="94"/>
      <c r="DG453" s="94"/>
      <c r="DH453" s="94"/>
      <c r="DI453" s="94"/>
      <c r="DJ453" s="94"/>
      <c r="DK453" s="94"/>
      <c r="DL453" s="94"/>
      <c r="DM453" s="94"/>
      <c r="DN453" s="94"/>
      <c r="DO453" s="94"/>
      <c r="DP453" s="94"/>
      <c r="DQ453" s="94"/>
    </row>
    <row r="454" spans="1:121" ht="15" customHeight="1" outlineLevel="3" x14ac:dyDescent="0.3">
      <c r="A454" s="100"/>
      <c r="B454" s="100"/>
      <c r="C454" s="99">
        <v>4</v>
      </c>
      <c r="D454" s="98" t="s">
        <v>870</v>
      </c>
      <c r="H454" s="77" t="s">
        <v>683</v>
      </c>
      <c r="J454" s="94"/>
      <c r="O454" s="77" t="s">
        <v>678</v>
      </c>
      <c r="P454" s="105"/>
      <c r="Q454" s="97"/>
      <c r="R454" s="97"/>
      <c r="AB454" s="72">
        <v>1</v>
      </c>
      <c r="AE454" s="96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94"/>
      <c r="BZ454" s="94"/>
      <c r="CA454" s="94"/>
      <c r="CB454" s="94"/>
      <c r="CC454" s="94"/>
      <c r="CD454" s="94"/>
      <c r="CE454" s="94"/>
      <c r="CF454" s="94"/>
      <c r="CG454" s="94"/>
      <c r="CH454" s="94"/>
      <c r="CI454" s="94"/>
      <c r="CJ454" s="94"/>
      <c r="CK454" s="94"/>
      <c r="CL454" s="94" t="str">
        <f>"  " &amp; TEXT(AF454,"#0.00%") &amp; " " &amp; "Check Track No." &amp; " " &amp; IF(Q454="","",TEXT(Q454,"M/D-")) &amp; IF(R454="","",TEXT(R454,"M/D")) &amp; " "</f>
        <v xml:space="preserve">  0.00% Check Track No.  </v>
      </c>
      <c r="CM454" s="94"/>
      <c r="CN454" s="94"/>
      <c r="CO454" s="94"/>
      <c r="CP454" s="94"/>
      <c r="CQ454" s="94"/>
      <c r="CR454" s="94"/>
      <c r="CS454" s="94"/>
      <c r="CT454" s="94"/>
      <c r="CU454" s="94"/>
      <c r="CV454" s="94"/>
      <c r="CW454" s="94"/>
      <c r="CX454" s="94"/>
      <c r="CY454" s="94"/>
      <c r="CZ454" s="94"/>
      <c r="DA454" s="94"/>
      <c r="DB454" s="94"/>
      <c r="DC454" s="94"/>
      <c r="DD454" s="94"/>
      <c r="DE454" s="94"/>
      <c r="DF454" s="94"/>
      <c r="DG454" s="94"/>
      <c r="DH454" s="94"/>
      <c r="DI454" s="94"/>
      <c r="DJ454" s="94"/>
      <c r="DK454" s="94"/>
      <c r="DL454" s="94"/>
      <c r="DM454" s="94"/>
      <c r="DN454" s="94"/>
      <c r="DO454" s="94"/>
      <c r="DP454" s="94"/>
      <c r="DQ454" s="94"/>
    </row>
    <row r="455" spans="1:121" ht="15" customHeight="1" outlineLevel="3" x14ac:dyDescent="0.3">
      <c r="A455" s="100"/>
      <c r="B455" s="100"/>
      <c r="C455" s="99">
        <v>4</v>
      </c>
      <c r="D455" s="98" t="s">
        <v>869</v>
      </c>
      <c r="H455" s="77" t="s">
        <v>681</v>
      </c>
      <c r="J455" s="94"/>
      <c r="O455" s="77" t="s">
        <v>678</v>
      </c>
      <c r="P455" s="105"/>
      <c r="Q455" s="97"/>
      <c r="R455" s="97"/>
      <c r="AB455" s="72">
        <v>1</v>
      </c>
      <c r="AE455" s="96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94"/>
      <c r="BZ455" s="94"/>
      <c r="CA455" s="94"/>
      <c r="CB455" s="94"/>
      <c r="CC455" s="94"/>
      <c r="CD455" s="94"/>
      <c r="CE455" s="94"/>
      <c r="CF455" s="94"/>
      <c r="CG455" s="94"/>
      <c r="CH455" s="94"/>
      <c r="CI455" s="94"/>
      <c r="CJ455" s="94"/>
      <c r="CK455" s="94"/>
      <c r="CL455" s="94" t="str">
        <f>"    " &amp; TEXT(AF455,"#0.00%") &amp; " " &amp; "Install HP Home Stand &amp; C/V" &amp; " " &amp; IF(Q455="","",TEXT(Q455,"M/D-")) &amp; IF(R455="","",TEXT(R455,"M/D")) &amp; " "</f>
        <v xml:space="preserve">    0.00% Install HP Home Stand &amp; C/V  </v>
      </c>
      <c r="CM455" s="94"/>
      <c r="CN455" s="94"/>
      <c r="CO455" s="94"/>
      <c r="CP455" s="94"/>
      <c r="CQ455" s="94"/>
      <c r="CR455" s="94"/>
      <c r="CS455" s="94"/>
      <c r="CT455" s="94"/>
      <c r="CU455" s="94"/>
      <c r="CV455" s="94"/>
      <c r="CW455" s="94"/>
      <c r="CX455" s="94"/>
      <c r="CY455" s="94"/>
      <c r="CZ455" s="94"/>
      <c r="DA455" s="94"/>
      <c r="DB455" s="94"/>
      <c r="DC455" s="94"/>
      <c r="DD455" s="94"/>
      <c r="DE455" s="94"/>
      <c r="DF455" s="94"/>
      <c r="DG455" s="94"/>
      <c r="DH455" s="94"/>
      <c r="DI455" s="94"/>
      <c r="DJ455" s="94"/>
      <c r="DK455" s="94"/>
      <c r="DL455" s="94"/>
      <c r="DM455" s="94"/>
      <c r="DN455" s="94"/>
      <c r="DO455" s="94"/>
      <c r="DP455" s="94"/>
      <c r="DQ455" s="94"/>
    </row>
    <row r="456" spans="1:121" ht="15" customHeight="1" outlineLevel="3" x14ac:dyDescent="0.3">
      <c r="A456" s="100"/>
      <c r="B456" s="100"/>
      <c r="C456" s="99">
        <v>4</v>
      </c>
      <c r="D456" s="98" t="s">
        <v>868</v>
      </c>
      <c r="H456" s="77" t="s">
        <v>679</v>
      </c>
      <c r="J456" s="94"/>
      <c r="O456" s="77" t="s">
        <v>678</v>
      </c>
      <c r="P456" s="105"/>
      <c r="Q456" s="97"/>
      <c r="R456" s="97"/>
      <c r="AB456" s="72">
        <v>1</v>
      </c>
      <c r="AE456" s="96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94"/>
      <c r="BZ456" s="94"/>
      <c r="CA456" s="94"/>
      <c r="CB456" s="94"/>
      <c r="CC456" s="94"/>
      <c r="CD456" s="94"/>
      <c r="CE456" s="94"/>
      <c r="CF456" s="94"/>
      <c r="CG456" s="94"/>
      <c r="CH456" s="94"/>
      <c r="CI456" s="94"/>
      <c r="CJ456" s="94"/>
      <c r="CK456" s="94"/>
      <c r="CL456" s="94"/>
      <c r="CM456" s="94" t="str">
        <f>"" &amp; TEXT(AF456,"#0.00%") &amp; " " &amp; "Check home stand CV Level &amp; Center line" &amp; " " &amp; IF(Q456="","",TEXT(Q456,"M/D-")) &amp; IF(R456="","",TEXT(R456,"M/D")) &amp; " "</f>
        <v xml:space="preserve">0.00% Check home stand CV Level &amp; Center line  </v>
      </c>
      <c r="CN456" s="94"/>
      <c r="CO456" s="94"/>
      <c r="CP456" s="94"/>
      <c r="CQ456" s="94"/>
      <c r="CR456" s="94"/>
      <c r="CS456" s="94"/>
      <c r="CT456" s="94"/>
      <c r="CU456" s="94"/>
      <c r="CV456" s="94"/>
      <c r="CW456" s="94"/>
      <c r="CX456" s="94"/>
      <c r="CY456" s="94"/>
      <c r="CZ456" s="94"/>
      <c r="DA456" s="94"/>
      <c r="DB456" s="94"/>
      <c r="DC456" s="94"/>
      <c r="DD456" s="94"/>
      <c r="DE456" s="94"/>
      <c r="DF456" s="94"/>
      <c r="DG456" s="94"/>
      <c r="DH456" s="94"/>
      <c r="DI456" s="94"/>
      <c r="DJ456" s="94"/>
      <c r="DK456" s="94"/>
      <c r="DL456" s="94"/>
      <c r="DM456" s="94"/>
      <c r="DN456" s="94"/>
      <c r="DO456" s="94"/>
      <c r="DP456" s="94"/>
      <c r="DQ456" s="94"/>
    </row>
    <row r="457" spans="1:121" ht="15" customHeight="1" outlineLevel="3" x14ac:dyDescent="0.3">
      <c r="A457" s="100"/>
      <c r="B457" s="100"/>
      <c r="C457" s="99">
        <v>4</v>
      </c>
      <c r="D457" s="98" t="s">
        <v>867</v>
      </c>
      <c r="H457" s="77" t="s">
        <v>825</v>
      </c>
      <c r="J457" s="94"/>
      <c r="O457" s="77" t="s">
        <v>640</v>
      </c>
      <c r="P457" s="105"/>
      <c r="Q457" s="97"/>
      <c r="R457" s="97"/>
      <c r="AB457" s="72">
        <v>1</v>
      </c>
      <c r="AE457" s="96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 t="str">
        <f>" " &amp; TEXT(AF457,"#0.00%") &amp; " " &amp; "Pre-Assembly Rack(5~69h)" &amp; " " &amp; IF(Q457="","",TEXT(Q457,"M/D-")) &amp; IF(R457="","",TEXT(R457,"M/D")) &amp; " "</f>
        <v xml:space="preserve"> 0.00% Pre-Assembly Rack(5~69h)  </v>
      </c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  <c r="CW457" s="94"/>
      <c r="CX457" s="94"/>
      <c r="CY457" s="94"/>
      <c r="CZ457" s="94"/>
      <c r="DA457" s="94"/>
      <c r="DB457" s="94"/>
      <c r="DC457" s="94"/>
      <c r="DD457" s="94"/>
      <c r="DE457" s="94"/>
      <c r="DF457" s="94"/>
      <c r="DG457" s="94"/>
      <c r="DH457" s="94"/>
      <c r="DI457" s="94"/>
      <c r="DJ457" s="94"/>
      <c r="DK457" s="94"/>
      <c r="DL457" s="94"/>
      <c r="DM457" s="94"/>
      <c r="DN457" s="94"/>
      <c r="DO457" s="94"/>
      <c r="DP457" s="94"/>
      <c r="DQ457" s="94"/>
    </row>
    <row r="458" spans="1:121" ht="15" customHeight="1" outlineLevel="3" x14ac:dyDescent="0.3">
      <c r="A458" s="100"/>
      <c r="B458" s="100"/>
      <c r="C458" s="99">
        <v>4</v>
      </c>
      <c r="D458" s="98" t="s">
        <v>866</v>
      </c>
      <c r="H458" s="77" t="s">
        <v>674</v>
      </c>
      <c r="J458" s="94"/>
      <c r="O458" s="77" t="s">
        <v>640</v>
      </c>
      <c r="P458" s="105"/>
      <c r="Q458" s="97"/>
      <c r="R458" s="97"/>
      <c r="AB458" s="72">
        <v>1</v>
      </c>
      <c r="AE458" s="96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 t="str">
        <f>"   " &amp; TEXT(AF458,"#0.00%") &amp; " " &amp; "Install Rack&amp;Beam&amp;Bracing&amp;Rail Base(10th)" &amp; " " &amp; IF(Q458="","",TEXT(Q458,"M/D-")) &amp; IF(R458="","",TEXT(R458,"M/D")) &amp; " "</f>
        <v xml:space="preserve">   0.00% Install Rack&amp;Beam&amp;Bracing&amp;Rail Base(10th)  </v>
      </c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  <c r="CW458" s="94"/>
      <c r="CX458" s="94"/>
      <c r="CY458" s="94"/>
      <c r="CZ458" s="94"/>
      <c r="DA458" s="94"/>
      <c r="DB458" s="94"/>
      <c r="DC458" s="94"/>
      <c r="DD458" s="94"/>
      <c r="DE458" s="94"/>
      <c r="DF458" s="94"/>
      <c r="DG458" s="94"/>
      <c r="DH458" s="94"/>
      <c r="DI458" s="94"/>
      <c r="DJ458" s="94"/>
      <c r="DK458" s="94"/>
      <c r="DL458" s="94"/>
      <c r="DM458" s="94"/>
      <c r="DN458" s="94"/>
      <c r="DO458" s="94"/>
      <c r="DP458" s="94"/>
      <c r="DQ458" s="94"/>
    </row>
    <row r="459" spans="1:121" ht="15" customHeight="1" outlineLevel="3" x14ac:dyDescent="0.3">
      <c r="A459" s="100"/>
      <c r="B459" s="100"/>
      <c r="C459" s="99">
        <v>4</v>
      </c>
      <c r="D459" s="98" t="s">
        <v>865</v>
      </c>
      <c r="H459" s="77" t="s">
        <v>672</v>
      </c>
      <c r="J459" s="94"/>
      <c r="O459" s="77" t="s">
        <v>640</v>
      </c>
      <c r="P459" s="105"/>
      <c r="Q459" s="97"/>
      <c r="R459" s="97"/>
      <c r="AB459" s="72">
        <v>1</v>
      </c>
      <c r="AE459" s="96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 t="str">
        <f>"" &amp; TEXT(AF459,"#0.00%") &amp; " " &amp; "Check Vertical(1~10th)" &amp; " " &amp; IF(Q459="","",TEXT(Q459,"M/D-")) &amp; IF(R459="","",TEXT(R459,"M/D")) &amp; " "</f>
        <v xml:space="preserve">0.00% Check Vertical(1~10th)  </v>
      </c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  <c r="CW459" s="94"/>
      <c r="CX459" s="94"/>
      <c r="CY459" s="94"/>
      <c r="CZ459" s="94"/>
      <c r="DA459" s="94"/>
      <c r="DB459" s="94"/>
      <c r="DC459" s="94"/>
      <c r="DD459" s="94"/>
      <c r="DE459" s="94"/>
      <c r="DF459" s="94"/>
      <c r="DG459" s="94"/>
      <c r="DH459" s="94"/>
      <c r="DI459" s="94"/>
      <c r="DJ459" s="94"/>
      <c r="DK459" s="94"/>
      <c r="DL459" s="94"/>
      <c r="DM459" s="94"/>
      <c r="DN459" s="94"/>
      <c r="DO459" s="94"/>
      <c r="DP459" s="94"/>
      <c r="DQ459" s="94"/>
    </row>
    <row r="460" spans="1:121" ht="15" customHeight="1" outlineLevel="3" x14ac:dyDescent="0.3">
      <c r="A460" s="100"/>
      <c r="B460" s="100"/>
      <c r="C460" s="99">
        <v>4</v>
      </c>
      <c r="D460" s="98" t="s">
        <v>864</v>
      </c>
      <c r="H460" s="77" t="s">
        <v>670</v>
      </c>
      <c r="J460" s="94"/>
      <c r="O460" s="77" t="s">
        <v>649</v>
      </c>
      <c r="P460" s="105"/>
      <c r="Q460" s="97"/>
      <c r="R460" s="97"/>
      <c r="AB460" s="72">
        <v>1</v>
      </c>
      <c r="AE460" s="96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94"/>
      <c r="BZ460" s="94"/>
      <c r="CA460" s="94"/>
      <c r="CB460" s="94"/>
      <c r="CC460" s="94"/>
      <c r="CD460" s="94"/>
      <c r="CE460" s="94"/>
      <c r="CF460" s="94"/>
      <c r="CG460" s="94"/>
      <c r="CH460" s="94"/>
      <c r="CI460" s="94"/>
      <c r="CJ460" s="94" t="str">
        <f>"   " &amp; TEXT(AF460,"#0.00%") &amp; " " &amp; "Install MSC Rail(1st rail)" &amp; " " &amp; IF(Q460="","",TEXT(Q460,"M/D-")) &amp; IF(R460="","",TEXT(R460,"M/D")) &amp; " "</f>
        <v xml:space="preserve">   0.00% Install MSC Rail(1st rail)  </v>
      </c>
      <c r="CK460" s="94"/>
      <c r="CL460" s="94"/>
      <c r="CM460" s="94"/>
      <c r="CN460" s="94"/>
      <c r="CO460" s="94"/>
      <c r="CP460" s="94"/>
      <c r="CQ460" s="94"/>
      <c r="CR460" s="94"/>
      <c r="CS460" s="94"/>
      <c r="CT460" s="94"/>
      <c r="CU460" s="94"/>
      <c r="CV460" s="94"/>
      <c r="CW460" s="94"/>
      <c r="CX460" s="94"/>
      <c r="CY460" s="94"/>
      <c r="CZ460" s="94"/>
      <c r="DA460" s="94"/>
      <c r="DB460" s="94"/>
      <c r="DC460" s="94"/>
      <c r="DD460" s="94"/>
      <c r="DE460" s="94"/>
      <c r="DF460" s="94"/>
      <c r="DG460" s="94"/>
      <c r="DH460" s="94"/>
      <c r="DI460" s="94"/>
      <c r="DJ460" s="94"/>
      <c r="DK460" s="94"/>
      <c r="DL460" s="94"/>
      <c r="DM460" s="94"/>
      <c r="DN460" s="94"/>
      <c r="DO460" s="94"/>
      <c r="DP460" s="94"/>
      <c r="DQ460" s="94"/>
    </row>
    <row r="461" spans="1:121" ht="15" customHeight="1" outlineLevel="3" x14ac:dyDescent="0.3">
      <c r="A461" s="100"/>
      <c r="B461" s="100"/>
      <c r="C461" s="99">
        <v>4</v>
      </c>
      <c r="D461" s="98" t="s">
        <v>863</v>
      </c>
      <c r="H461" s="77" t="s">
        <v>668</v>
      </c>
      <c r="J461" s="94"/>
      <c r="O461" s="77" t="s">
        <v>649</v>
      </c>
      <c r="P461" s="105"/>
      <c r="Q461" s="97"/>
      <c r="R461" s="97"/>
      <c r="AB461" s="72">
        <v>1</v>
      </c>
      <c r="AE461" s="96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94"/>
      <c r="BZ461" s="94"/>
      <c r="CA461" s="94"/>
      <c r="CB461" s="94"/>
      <c r="CC461" s="94"/>
      <c r="CD461" s="94"/>
      <c r="CE461" s="94"/>
      <c r="CF461" s="94"/>
      <c r="CG461" s="94"/>
      <c r="CH461" s="94"/>
      <c r="CI461" s="94"/>
      <c r="CJ461" s="94" t="str">
        <f>"      " &amp; TEXT(AF461,"#0.00%") &amp; " " &amp; "Lifting MSC" &amp; " " &amp; IF(Q461="","",TEXT(Q461,"M/D-")) &amp; IF(R461="","",TEXT(R461,"M/D")) &amp; " "</f>
        <v xml:space="preserve">      0.00% Lifting MSC  </v>
      </c>
      <c r="CK461" s="94"/>
      <c r="CL461" s="94"/>
      <c r="CM461" s="94"/>
      <c r="CN461" s="94"/>
      <c r="CO461" s="94"/>
      <c r="CP461" s="94"/>
      <c r="CQ461" s="94"/>
      <c r="CR461" s="94"/>
      <c r="CS461" s="94"/>
      <c r="CT461" s="94"/>
      <c r="CU461" s="94"/>
      <c r="CV461" s="94"/>
      <c r="CW461" s="94"/>
      <c r="CX461" s="94"/>
      <c r="CY461" s="94"/>
      <c r="CZ461" s="94"/>
      <c r="DA461" s="94"/>
      <c r="DB461" s="94"/>
      <c r="DC461" s="94"/>
      <c r="DD461" s="94"/>
      <c r="DE461" s="94"/>
      <c r="DF461" s="94"/>
      <c r="DG461" s="94"/>
      <c r="DH461" s="94"/>
      <c r="DI461" s="94"/>
      <c r="DJ461" s="94"/>
      <c r="DK461" s="94"/>
      <c r="DL461" s="94"/>
      <c r="DM461" s="94"/>
      <c r="DN461" s="94"/>
      <c r="DO461" s="94"/>
      <c r="DP461" s="94"/>
      <c r="DQ461" s="94"/>
    </row>
    <row r="462" spans="1:121" ht="15" customHeight="1" outlineLevel="3" x14ac:dyDescent="0.3">
      <c r="A462" s="100"/>
      <c r="B462" s="100"/>
      <c r="C462" s="99">
        <v>4</v>
      </c>
      <c r="D462" s="98" t="s">
        <v>862</v>
      </c>
      <c r="H462" s="77" t="s">
        <v>819</v>
      </c>
      <c r="J462" s="94"/>
      <c r="O462" s="77" t="s">
        <v>640</v>
      </c>
      <c r="P462" s="105"/>
      <c r="Q462" s="97"/>
      <c r="R462" s="97"/>
      <c r="AB462" s="72">
        <v>1</v>
      </c>
      <c r="AE462" s="96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94"/>
      <c r="BZ462" s="94"/>
      <c r="CA462" s="94"/>
      <c r="CB462" s="94"/>
      <c r="CC462" s="94"/>
      <c r="CD462" s="94"/>
      <c r="CE462" s="94"/>
      <c r="CF462" s="94"/>
      <c r="CG462" s="94"/>
      <c r="CH462" s="94"/>
      <c r="CI462" s="94"/>
      <c r="CJ462" s="94"/>
      <c r="CK462" s="94" t="str">
        <f>"   " &amp; TEXT(AF462,"#0.00%") &amp; " " &amp; "Install Rack&amp;Beam&amp;Bracing&amp;Rail Base(Every 10th, ~69th)" &amp; " " &amp; IF(Q462="","",TEXT(Q462,"M/D-")) &amp; IF(R462="","",TEXT(R462,"M/D")) &amp; " "</f>
        <v xml:space="preserve">   0.00% Install Rack&amp;Beam&amp;Bracing&amp;Rail Base(Every 10th, ~69th)  </v>
      </c>
      <c r="CL462" s="94"/>
      <c r="CM462" s="94"/>
      <c r="CN462" s="94"/>
      <c r="CO462" s="94"/>
      <c r="CP462" s="94"/>
      <c r="CQ462" s="94"/>
      <c r="CR462" s="94"/>
      <c r="CS462" s="94"/>
      <c r="CT462" s="94"/>
      <c r="CU462" s="94"/>
      <c r="CV462" s="94"/>
      <c r="CW462" s="94"/>
      <c r="CX462" s="94"/>
      <c r="CY462" s="94"/>
      <c r="CZ462" s="94"/>
      <c r="DA462" s="94"/>
      <c r="DB462" s="94"/>
      <c r="DC462" s="94"/>
      <c r="DD462" s="94"/>
      <c r="DE462" s="94"/>
      <c r="DF462" s="94"/>
      <c r="DG462" s="94"/>
      <c r="DH462" s="94"/>
      <c r="DI462" s="94"/>
      <c r="DJ462" s="94"/>
      <c r="DK462" s="94"/>
      <c r="DL462" s="94"/>
      <c r="DM462" s="94"/>
      <c r="DN462" s="94"/>
      <c r="DO462" s="94"/>
      <c r="DP462" s="94"/>
      <c r="DQ462" s="94"/>
    </row>
    <row r="463" spans="1:121" ht="15" customHeight="1" outlineLevel="3" x14ac:dyDescent="0.3">
      <c r="A463" s="100"/>
      <c r="B463" s="100"/>
      <c r="C463" s="99">
        <v>4</v>
      </c>
      <c r="D463" s="98" t="s">
        <v>861</v>
      </c>
      <c r="H463" s="77" t="s">
        <v>817</v>
      </c>
      <c r="J463" s="94"/>
      <c r="O463" s="77" t="s">
        <v>640</v>
      </c>
      <c r="P463" s="105"/>
      <c r="Q463" s="97"/>
      <c r="R463" s="97"/>
      <c r="AB463" s="72">
        <v>1</v>
      </c>
      <c r="AE463" s="96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94"/>
      <c r="BZ463" s="94"/>
      <c r="CA463" s="94"/>
      <c r="CB463" s="94"/>
      <c r="CC463" s="94"/>
      <c r="CD463" s="94"/>
      <c r="CE463" s="94"/>
      <c r="CF463" s="94"/>
      <c r="CG463" s="94"/>
      <c r="CH463" s="94"/>
      <c r="CI463" s="94"/>
      <c r="CJ463" s="94"/>
      <c r="CK463" s="94"/>
      <c r="CL463" s="94" t="str">
        <f>"" &amp; TEXT(AF463,"#0.00%") &amp; " " &amp; "Check Vertical(Every 10th, ~69th)" &amp; " " &amp; IF(Q463="","",TEXT(Q463,"M/D-")) &amp; IF(R463="","",TEXT(R463,"M/D")) &amp; " "</f>
        <v xml:space="preserve">0.00% Check Vertical(Every 10th, ~69th)  </v>
      </c>
      <c r="CM463" s="94"/>
      <c r="CN463" s="94"/>
      <c r="CO463" s="94"/>
      <c r="CP463" s="94"/>
      <c r="CQ463" s="94"/>
      <c r="CR463" s="94"/>
      <c r="CS463" s="94"/>
      <c r="CT463" s="94"/>
      <c r="CU463" s="94"/>
      <c r="CV463" s="94"/>
      <c r="CW463" s="94"/>
      <c r="CX463" s="94"/>
      <c r="CY463" s="94"/>
      <c r="CZ463" s="94"/>
      <c r="DA463" s="94"/>
      <c r="DB463" s="94"/>
      <c r="DC463" s="94"/>
      <c r="DD463" s="94"/>
      <c r="DE463" s="94"/>
      <c r="DF463" s="94"/>
      <c r="DG463" s="94"/>
      <c r="DH463" s="94"/>
      <c r="DI463" s="94"/>
      <c r="DJ463" s="94"/>
      <c r="DK463" s="94"/>
      <c r="DL463" s="94"/>
      <c r="DM463" s="94"/>
      <c r="DN463" s="94"/>
      <c r="DO463" s="94"/>
      <c r="DP463" s="94"/>
      <c r="DQ463" s="94"/>
    </row>
    <row r="464" spans="1:121" ht="15" customHeight="1" outlineLevel="3" x14ac:dyDescent="0.3">
      <c r="A464" s="100"/>
      <c r="B464" s="100"/>
      <c r="C464" s="99">
        <v>4</v>
      </c>
      <c r="D464" s="98" t="s">
        <v>860</v>
      </c>
      <c r="H464" s="77" t="s">
        <v>815</v>
      </c>
      <c r="J464" s="94"/>
      <c r="O464" s="77" t="s">
        <v>649</v>
      </c>
      <c r="P464" s="105"/>
      <c r="Q464" s="97"/>
      <c r="R464" s="97"/>
      <c r="AB464" s="72">
        <v>1</v>
      </c>
      <c r="AE464" s="96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94"/>
      <c r="BZ464" s="94"/>
      <c r="CA464" s="94"/>
      <c r="CB464" s="94"/>
      <c r="CC464" s="94"/>
      <c r="CD464" s="94"/>
      <c r="CE464" s="94"/>
      <c r="CF464" s="94"/>
      <c r="CG464" s="94"/>
      <c r="CH464" s="94"/>
      <c r="CI464" s="94"/>
      <c r="CJ464" s="94"/>
      <c r="CK464" s="94"/>
      <c r="CL464" s="94" t="str">
        <f>" " &amp; TEXT(AF464,"#0.00%") &amp; " " &amp; "Install MSC Rail(Every 10th, ~69th)" &amp; " " &amp; IF(Q464="","",TEXT(Q464,"M/D-")) &amp; IF(R464="","",TEXT(R464,"M/D")) &amp; " "</f>
        <v xml:space="preserve"> 0.00% Install MSC Rail(Every 10th, ~69th)  </v>
      </c>
      <c r="CM464" s="94"/>
      <c r="CN464" s="94"/>
      <c r="CO464" s="94"/>
      <c r="CP464" s="94"/>
      <c r="CQ464" s="94"/>
      <c r="CR464" s="94"/>
      <c r="CS464" s="94"/>
      <c r="CT464" s="94"/>
      <c r="CU464" s="94"/>
      <c r="CV464" s="94"/>
      <c r="CW464" s="94"/>
      <c r="CX464" s="94"/>
      <c r="CY464" s="94"/>
      <c r="CZ464" s="94"/>
      <c r="DA464" s="94"/>
      <c r="DB464" s="94"/>
      <c r="DC464" s="94"/>
      <c r="DD464" s="94"/>
      <c r="DE464" s="94"/>
      <c r="DF464" s="94"/>
      <c r="DG464" s="94"/>
      <c r="DH464" s="94"/>
      <c r="DI464" s="94"/>
      <c r="DJ464" s="94"/>
      <c r="DK464" s="94"/>
      <c r="DL464" s="94"/>
      <c r="DM464" s="94"/>
      <c r="DN464" s="94"/>
      <c r="DO464" s="94"/>
      <c r="DP464" s="94"/>
      <c r="DQ464" s="94"/>
    </row>
    <row r="465" spans="1:121" ht="15" customHeight="1" outlineLevel="3" x14ac:dyDescent="0.3">
      <c r="A465" s="100"/>
      <c r="B465" s="100"/>
      <c r="C465" s="99">
        <v>4</v>
      </c>
      <c r="D465" s="98" t="s">
        <v>859</v>
      </c>
      <c r="H465" s="77" t="s">
        <v>660</v>
      </c>
      <c r="J465" s="94"/>
      <c r="O465" s="77" t="s">
        <v>659</v>
      </c>
      <c r="P465" s="105"/>
      <c r="Q465" s="97"/>
      <c r="R465" s="97"/>
      <c r="AB465" s="72">
        <v>1</v>
      </c>
      <c r="AE465" s="96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94"/>
      <c r="BZ465" s="94"/>
      <c r="CA465" s="94"/>
      <c r="CB465" s="94"/>
      <c r="CC465" s="94"/>
      <c r="CD465" s="94"/>
      <c r="CE465" s="94"/>
      <c r="CF465" s="94"/>
      <c r="CG465" s="94"/>
      <c r="CH465" s="94"/>
      <c r="CI465" s="94"/>
      <c r="CJ465" s="94"/>
      <c r="CK465" s="94"/>
      <c r="CL465" s="94"/>
      <c r="CM465" s="94"/>
      <c r="CN465" s="94" t="str">
        <f>" " &amp; TEXT(AF465,"#0.00%") &amp; " " &amp; "Install Water Tank Assembly" &amp; " " &amp; IF(Q465="","",TEXT(Q465,"M/D-")) &amp; IF(R465="","",TEXT(R465,"M/D")) &amp; " "</f>
        <v xml:space="preserve"> 0.00% Install Water Tank Assembly  </v>
      </c>
      <c r="CO465" s="94"/>
      <c r="CP465" s="94"/>
      <c r="CQ465" s="94"/>
      <c r="CR465" s="94"/>
      <c r="CS465" s="94"/>
      <c r="CT465" s="94"/>
      <c r="CU465" s="94"/>
      <c r="CV465" s="94"/>
      <c r="CW465" s="94"/>
      <c r="CX465" s="94"/>
      <c r="CY465" s="94"/>
      <c r="CZ465" s="94"/>
      <c r="DA465" s="94"/>
      <c r="DB465" s="94"/>
      <c r="DC465" s="94"/>
      <c r="DD465" s="94"/>
      <c r="DE465" s="94"/>
      <c r="DF465" s="94"/>
      <c r="DG465" s="94"/>
      <c r="DH465" s="94"/>
      <c r="DI465" s="94"/>
      <c r="DJ465" s="94"/>
      <c r="DK465" s="94"/>
      <c r="DL465" s="94"/>
      <c r="DM465" s="94"/>
      <c r="DN465" s="94"/>
      <c r="DO465" s="94"/>
      <c r="DP465" s="94"/>
      <c r="DQ465" s="94"/>
    </row>
    <row r="466" spans="1:121" ht="15" customHeight="1" outlineLevel="3" x14ac:dyDescent="0.3">
      <c r="A466" s="100"/>
      <c r="B466" s="100"/>
      <c r="C466" s="99">
        <v>4</v>
      </c>
      <c r="D466" s="98" t="s">
        <v>858</v>
      </c>
      <c r="H466" s="77" t="s">
        <v>812</v>
      </c>
      <c r="J466" s="94"/>
      <c r="O466" s="77" t="s">
        <v>640</v>
      </c>
      <c r="P466" s="105"/>
      <c r="Q466" s="97"/>
      <c r="R466" s="97"/>
      <c r="AB466" s="72">
        <v>1</v>
      </c>
      <c r="AE466" s="96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94"/>
      <c r="BZ466" s="94"/>
      <c r="CA466" s="94"/>
      <c r="CB466" s="94"/>
      <c r="CC466" s="94"/>
      <c r="CD466" s="94"/>
      <c r="CE466" s="94"/>
      <c r="CF466" s="94"/>
      <c r="CG466" s="94"/>
      <c r="CH466" s="94"/>
      <c r="CI466" s="94"/>
      <c r="CJ466" s="94"/>
      <c r="CK466" s="94"/>
      <c r="CL466" s="94"/>
      <c r="CM466" s="94"/>
      <c r="CN466" s="94" t="str">
        <f>"     " &amp; TEXT(AF466,"#0.00%") &amp; " " &amp; "Install Rack&amp;Beam&amp;Bracing&amp;Rail Base(~75th)" &amp; " " &amp; IF(Q466="","",TEXT(Q466,"M/D-")) &amp; IF(R466="","",TEXT(R466,"M/D")) &amp; " "</f>
        <v xml:space="preserve">     0.00% Install Rack&amp;Beam&amp;Bracing&amp;Rail Base(~75th)  </v>
      </c>
      <c r="CO466" s="94"/>
      <c r="CP466" s="94"/>
      <c r="CQ466" s="94"/>
      <c r="CR466" s="94"/>
      <c r="CS466" s="94"/>
      <c r="CT466" s="94"/>
      <c r="CU466" s="94"/>
      <c r="CV466" s="94"/>
      <c r="CW466" s="94"/>
      <c r="CX466" s="94"/>
      <c r="CY466" s="94"/>
      <c r="CZ466" s="94"/>
      <c r="DA466" s="94"/>
      <c r="DB466" s="94"/>
      <c r="DC466" s="94"/>
      <c r="DD466" s="94"/>
      <c r="DE466" s="94"/>
      <c r="DF466" s="94"/>
      <c r="DG466" s="94"/>
      <c r="DH466" s="94"/>
      <c r="DI466" s="94"/>
      <c r="DJ466" s="94"/>
      <c r="DK466" s="94"/>
      <c r="DL466" s="94"/>
      <c r="DM466" s="94"/>
      <c r="DN466" s="94"/>
      <c r="DO466" s="94"/>
      <c r="DP466" s="94"/>
      <c r="DQ466" s="94"/>
    </row>
    <row r="467" spans="1:121" ht="15" customHeight="1" outlineLevel="3" x14ac:dyDescent="0.3">
      <c r="A467" s="100"/>
      <c r="B467" s="100"/>
      <c r="C467" s="99">
        <v>4</v>
      </c>
      <c r="D467" s="98" t="s">
        <v>857</v>
      </c>
      <c r="H467" s="77" t="s">
        <v>546</v>
      </c>
      <c r="J467" s="94"/>
      <c r="O467" s="77" t="s">
        <v>640</v>
      </c>
      <c r="P467" s="105"/>
      <c r="Q467" s="97"/>
      <c r="R467" s="97"/>
      <c r="AB467" s="72">
        <v>1</v>
      </c>
      <c r="AE467" s="96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94"/>
      <c r="BZ467" s="94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4"/>
      <c r="CN467" s="94"/>
      <c r="CO467" s="94" t="str">
        <f>"  " &amp; TEXT(AF467,"#0.00%") &amp; " " &amp; "Install Deck Frame&amp;Hand Rail" &amp; " " &amp; IF(Q467="","",TEXT(Q467,"M/D-")) &amp; IF(R467="","",TEXT(R467,"M/D")) &amp; " "</f>
        <v xml:space="preserve">  0.00% Install Deck Frame&amp;Hand Rail  </v>
      </c>
      <c r="CP467" s="94"/>
      <c r="CQ467" s="94"/>
      <c r="CR467" s="94"/>
      <c r="CS467" s="94"/>
      <c r="CT467" s="94"/>
      <c r="CU467" s="94"/>
      <c r="CV467" s="94"/>
      <c r="CW467" s="94"/>
      <c r="CX467" s="94"/>
      <c r="CY467" s="94"/>
      <c r="CZ467" s="94"/>
      <c r="DA467" s="94"/>
      <c r="DB467" s="94"/>
      <c r="DC467" s="94"/>
      <c r="DD467" s="94"/>
      <c r="DE467" s="94"/>
      <c r="DF467" s="94"/>
      <c r="DG467" s="94"/>
      <c r="DH467" s="94"/>
      <c r="DI467" s="94"/>
      <c r="DJ467" s="94"/>
      <c r="DK467" s="94"/>
      <c r="DL467" s="94"/>
      <c r="DM467" s="94"/>
      <c r="DN467" s="94"/>
      <c r="DO467" s="94"/>
      <c r="DP467" s="94"/>
      <c r="DQ467" s="94"/>
    </row>
    <row r="468" spans="1:121" ht="15" customHeight="1" outlineLevel="3" x14ac:dyDescent="0.3">
      <c r="A468" s="100"/>
      <c r="B468" s="100"/>
      <c r="C468" s="99">
        <v>4</v>
      </c>
      <c r="D468" s="98" t="s">
        <v>856</v>
      </c>
      <c r="H468" s="77" t="s">
        <v>647</v>
      </c>
      <c r="J468" s="94"/>
      <c r="O468" s="77" t="s">
        <v>646</v>
      </c>
      <c r="P468" s="105"/>
      <c r="Q468" s="97"/>
      <c r="R468" s="97"/>
      <c r="AB468" s="72">
        <v>1</v>
      </c>
      <c r="AE468" s="96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94"/>
      <c r="BZ468" s="94"/>
      <c r="CA468" s="94"/>
      <c r="CB468" s="94"/>
      <c r="CC468" s="94"/>
      <c r="CD468" s="94"/>
      <c r="CE468" s="94"/>
      <c r="CF468" s="94"/>
      <c r="CG468" s="94"/>
      <c r="CH468" s="94"/>
      <c r="CI468" s="94"/>
      <c r="CJ468" s="94"/>
      <c r="CK468" s="94"/>
      <c r="CL468" s="94"/>
      <c r="CM468" s="94"/>
      <c r="CN468" s="94"/>
      <c r="CO468" s="94" t="str">
        <f>"   " &amp; TEXT(AF468,"#0.00%") &amp; " " &amp; "Install Tower Stair" &amp; " " &amp; IF(Q468="","",TEXT(Q468,"M/D-")) &amp; IF(R468="","",TEXT(R468,"M/D")) &amp; " "</f>
        <v xml:space="preserve">   0.00% Install Tower Stair  </v>
      </c>
      <c r="CP468" s="94"/>
      <c r="CQ468" s="94"/>
      <c r="CR468" s="94"/>
      <c r="CS468" s="94"/>
      <c r="CT468" s="94"/>
      <c r="CU468" s="94"/>
      <c r="CV468" s="94"/>
      <c r="CW468" s="94"/>
      <c r="CX468" s="94"/>
      <c r="CY468" s="94"/>
      <c r="CZ468" s="94"/>
      <c r="DA468" s="94"/>
      <c r="DB468" s="94"/>
      <c r="DC468" s="94"/>
      <c r="DD468" s="94"/>
      <c r="DE468" s="94"/>
      <c r="DF468" s="94"/>
      <c r="DG468" s="94"/>
      <c r="DH468" s="94"/>
      <c r="DI468" s="94"/>
      <c r="DJ468" s="94"/>
      <c r="DK468" s="94"/>
      <c r="DL468" s="94"/>
      <c r="DM468" s="94"/>
      <c r="DN468" s="94"/>
      <c r="DO468" s="94"/>
      <c r="DP468" s="94"/>
      <c r="DQ468" s="94"/>
    </row>
    <row r="469" spans="1:121" ht="15" customHeight="1" outlineLevel="3" x14ac:dyDescent="0.3">
      <c r="A469" s="100"/>
      <c r="B469" s="100"/>
      <c r="C469" s="99">
        <v>4</v>
      </c>
      <c r="D469" s="98" t="s">
        <v>855</v>
      </c>
      <c r="H469" s="77" t="s">
        <v>654</v>
      </c>
      <c r="J469" s="94"/>
      <c r="O469" s="77" t="s">
        <v>640</v>
      </c>
      <c r="P469" s="105"/>
      <c r="Q469" s="97"/>
      <c r="R469" s="97"/>
      <c r="AB469" s="72">
        <v>1</v>
      </c>
      <c r="AE469" s="96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 t="str">
        <f>"      " &amp; TEXT(AF469,"#0.00%") &amp; " " &amp; "Install Top Cover, Rail Walk-Way, Top Maintenance Walk-Way" &amp; " " &amp; IF(Q469="","",TEXT(Q469,"M/D-")) &amp; IF(R469="","",TEXT(R469,"M/D")) &amp; " "</f>
        <v xml:space="preserve">      0.00% Install Top Cover, Rail Walk-Way, Top Maintenance Walk-Way  </v>
      </c>
      <c r="CP469" s="94"/>
      <c r="CQ469" s="94"/>
      <c r="CR469" s="94"/>
      <c r="CS469" s="94"/>
      <c r="CT469" s="94"/>
      <c r="CU469" s="94"/>
      <c r="CV469" s="94"/>
      <c r="CW469" s="94"/>
      <c r="CX469" s="94"/>
      <c r="CY469" s="94"/>
      <c r="CZ469" s="94"/>
      <c r="DA469" s="94"/>
      <c r="DB469" s="94"/>
      <c r="DC469" s="94"/>
      <c r="DD469" s="94"/>
      <c r="DE469" s="94"/>
      <c r="DF469" s="94"/>
      <c r="DG469" s="94"/>
      <c r="DH469" s="94"/>
      <c r="DI469" s="94"/>
      <c r="DJ469" s="94"/>
      <c r="DK469" s="94"/>
      <c r="DL469" s="94"/>
      <c r="DM469" s="94"/>
      <c r="DN469" s="94"/>
      <c r="DO469" s="94"/>
      <c r="DP469" s="94"/>
      <c r="DQ469" s="94"/>
    </row>
    <row r="470" spans="1:121" ht="15" customHeight="1" outlineLevel="3" x14ac:dyDescent="0.3">
      <c r="A470" s="100"/>
      <c r="B470" s="100"/>
      <c r="C470" s="99">
        <v>4</v>
      </c>
      <c r="D470" s="98" t="s">
        <v>854</v>
      </c>
      <c r="H470" s="77" t="s">
        <v>652</v>
      </c>
      <c r="J470" s="94"/>
      <c r="O470" s="77" t="s">
        <v>649</v>
      </c>
      <c r="P470" s="105"/>
      <c r="Q470" s="97"/>
      <c r="R470" s="97"/>
      <c r="AB470" s="72">
        <v>1</v>
      </c>
      <c r="AE470" s="96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 t="str">
        <f>"     " &amp; TEXT(AF470,"#0.00%") &amp; " " &amp; "Install MSC Accessories" &amp; " " &amp; IF(Q470="","",TEXT(Q470,"M/D-")) &amp; IF(R470="","",TEXT(R470,"M/D")) &amp; " "</f>
        <v xml:space="preserve">     0.00% Install MSC Accessories  </v>
      </c>
      <c r="CQ470" s="94"/>
      <c r="CR470" s="94"/>
      <c r="CS470" s="94"/>
      <c r="CT470" s="94"/>
      <c r="CU470" s="94"/>
      <c r="CV470" s="94"/>
      <c r="CW470" s="94"/>
      <c r="CX470" s="94"/>
      <c r="CY470" s="94"/>
      <c r="CZ470" s="94"/>
      <c r="DA470" s="94"/>
      <c r="DB470" s="94"/>
      <c r="DC470" s="94"/>
      <c r="DD470" s="94"/>
      <c r="DE470" s="94"/>
      <c r="DF470" s="94"/>
      <c r="DG470" s="94"/>
      <c r="DH470" s="94"/>
      <c r="DI470" s="94"/>
      <c r="DJ470" s="94"/>
      <c r="DK470" s="94"/>
      <c r="DL470" s="94"/>
      <c r="DM470" s="94"/>
      <c r="DN470" s="94"/>
      <c r="DO470" s="94"/>
      <c r="DP470" s="94"/>
      <c r="DQ470" s="94"/>
    </row>
    <row r="471" spans="1:121" ht="15" customHeight="1" outlineLevel="3" x14ac:dyDescent="0.3">
      <c r="A471" s="100"/>
      <c r="B471" s="100"/>
      <c r="C471" s="99">
        <v>4</v>
      </c>
      <c r="D471" s="98" t="s">
        <v>853</v>
      </c>
      <c r="H471" s="77" t="s">
        <v>650</v>
      </c>
      <c r="J471" s="94"/>
      <c r="O471" s="77" t="s">
        <v>649</v>
      </c>
      <c r="P471" s="105"/>
      <c r="Q471" s="97"/>
      <c r="R471" s="97"/>
      <c r="AB471" s="72">
        <v>1</v>
      </c>
      <c r="AE471" s="96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 t="str">
        <f>"    " &amp; TEXT(AF471,"#0.00%") &amp; " " &amp; "Check MSC rail straightness &amp; rail/load arm level" &amp; " " &amp; IF(Q471="","",TEXT(Q471,"M/D-")) &amp; IF(R471="","",TEXT(R471,"M/D")) &amp; " "</f>
        <v xml:space="preserve">    0.00% Check MSC rail straightness &amp; rail/load arm level  </v>
      </c>
      <c r="CQ471" s="94"/>
      <c r="CR471" s="94"/>
      <c r="CS471" s="94"/>
      <c r="CT471" s="94"/>
      <c r="CU471" s="94"/>
      <c r="CV471" s="94"/>
      <c r="CW471" s="94"/>
      <c r="CX471" s="94"/>
      <c r="CY471" s="94"/>
      <c r="CZ471" s="94"/>
      <c r="DA471" s="94"/>
      <c r="DB471" s="94"/>
      <c r="DC471" s="94"/>
      <c r="DD471" s="94"/>
      <c r="DE471" s="94"/>
      <c r="DF471" s="94"/>
      <c r="DG471" s="94"/>
      <c r="DH471" s="94"/>
      <c r="DI471" s="94"/>
      <c r="DJ471" s="94"/>
      <c r="DK471" s="94"/>
      <c r="DL471" s="94"/>
      <c r="DM471" s="94"/>
      <c r="DN471" s="94"/>
      <c r="DO471" s="94"/>
      <c r="DP471" s="94"/>
      <c r="DQ471" s="94"/>
    </row>
    <row r="472" spans="1:121" ht="15" customHeight="1" outlineLevel="3" x14ac:dyDescent="0.3">
      <c r="A472" s="100"/>
      <c r="B472" s="100"/>
      <c r="C472" s="99">
        <v>4</v>
      </c>
      <c r="D472" s="98" t="s">
        <v>852</v>
      </c>
      <c r="H472" s="77" t="s">
        <v>644</v>
      </c>
      <c r="J472" s="94"/>
      <c r="O472" s="77" t="s">
        <v>643</v>
      </c>
      <c r="P472" s="105"/>
      <c r="Q472" s="97"/>
      <c r="R472" s="97"/>
      <c r="AB472" s="72">
        <v>1</v>
      </c>
      <c r="AE472" s="96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 t="str">
        <f>"   " &amp; TEXT(AF472,"#0.00%") &amp; " " &amp; "Install Smoke Detector" &amp; " " &amp; IF(Q472="","",TEXT(Q472,"M/D-")) &amp; IF(R472="","",TEXT(R472,"M/D")) &amp; " "</f>
        <v xml:space="preserve">   0.00% Install Smoke Detector  </v>
      </c>
      <c r="CQ472" s="94"/>
      <c r="CR472" s="94"/>
      <c r="CS472" s="94"/>
      <c r="CT472" s="94"/>
      <c r="CU472" s="94"/>
      <c r="CV472" s="94"/>
      <c r="CW472" s="94"/>
      <c r="CX472" s="94"/>
      <c r="CY472" s="94"/>
      <c r="CZ472" s="94"/>
      <c r="DA472" s="94"/>
      <c r="DB472" s="94"/>
      <c r="DC472" s="94"/>
      <c r="DD472" s="94"/>
      <c r="DE472" s="94"/>
      <c r="DF472" s="94"/>
      <c r="DG472" s="94"/>
      <c r="DH472" s="94"/>
      <c r="DI472" s="94"/>
      <c r="DJ472" s="94"/>
      <c r="DK472" s="94"/>
      <c r="DL472" s="94"/>
      <c r="DM472" s="94"/>
      <c r="DN472" s="94"/>
      <c r="DO472" s="94"/>
      <c r="DP472" s="94"/>
      <c r="DQ472" s="94"/>
    </row>
    <row r="473" spans="1:121" ht="15" customHeight="1" outlineLevel="3" x14ac:dyDescent="0.3">
      <c r="A473" s="100"/>
      <c r="B473" s="100"/>
      <c r="C473" s="99">
        <v>4</v>
      </c>
      <c r="D473" s="98" t="s">
        <v>851</v>
      </c>
      <c r="H473" s="77" t="s">
        <v>641</v>
      </c>
      <c r="J473" s="94"/>
      <c r="O473" s="77" t="s">
        <v>640</v>
      </c>
      <c r="P473" s="105"/>
      <c r="Q473" s="97"/>
      <c r="R473" s="97"/>
      <c r="AB473" s="72">
        <v>1</v>
      </c>
      <c r="AE473" s="96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94"/>
      <c r="BZ473" s="94"/>
      <c r="CA473" s="94"/>
      <c r="CB473" s="94"/>
      <c r="CC473" s="94"/>
      <c r="CD473" s="94"/>
      <c r="CE473" s="94"/>
      <c r="CF473" s="94"/>
      <c r="CG473" s="94"/>
      <c r="CH473" s="94"/>
      <c r="CI473" s="94"/>
      <c r="CJ473" s="94"/>
      <c r="CK473" s="94"/>
      <c r="CL473" s="94"/>
      <c r="CM473" s="94"/>
      <c r="CN473" s="94"/>
      <c r="CO473" s="94"/>
      <c r="CP473" s="94"/>
      <c r="CQ473" s="94" t="str">
        <f>"  " &amp; TEXT(AF473,"#0.00%") &amp; " " &amp; "install fence" &amp; " " &amp; IF(Q473="","",TEXT(Q473,"M/D-")) &amp; IF(R473="","",TEXT(R473,"M/D")) &amp; " "</f>
        <v xml:space="preserve">  0.00% install fence  </v>
      </c>
      <c r="CR473" s="94"/>
      <c r="CS473" s="94"/>
      <c r="CT473" s="94"/>
      <c r="CU473" s="94"/>
      <c r="CV473" s="94"/>
      <c r="CW473" s="94"/>
      <c r="CX473" s="94"/>
      <c r="CY473" s="94"/>
      <c r="CZ473" s="94"/>
      <c r="DA473" s="94"/>
      <c r="DB473" s="94"/>
      <c r="DC473" s="94"/>
      <c r="DD473" s="94"/>
      <c r="DE473" s="94"/>
      <c r="DF473" s="94"/>
      <c r="DG473" s="94"/>
      <c r="DH473" s="94"/>
      <c r="DI473" s="94"/>
      <c r="DJ473" s="94"/>
      <c r="DK473" s="94"/>
      <c r="DL473" s="94"/>
      <c r="DM473" s="94"/>
      <c r="DN473" s="94"/>
      <c r="DO473" s="94"/>
      <c r="DP473" s="94"/>
      <c r="DQ473" s="94"/>
    </row>
    <row r="474" spans="1:121" ht="15" customHeight="1" outlineLevel="3" x14ac:dyDescent="0.3">
      <c r="A474" s="100"/>
      <c r="B474" s="100"/>
      <c r="C474" s="99">
        <v>4</v>
      </c>
      <c r="D474" s="98" t="s">
        <v>850</v>
      </c>
      <c r="H474" s="77" t="s">
        <v>638</v>
      </c>
      <c r="J474" s="94"/>
      <c r="O474" s="77" t="s">
        <v>515</v>
      </c>
      <c r="P474" s="105"/>
      <c r="Q474" s="97"/>
      <c r="R474" s="97"/>
      <c r="AB474" s="72">
        <v>1</v>
      </c>
      <c r="AE474" s="96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 t="str">
        <f>"    " &amp; TEXT(AF474,"#0.00%") &amp; " " &amp; "Grouting &amp; Cleaning" &amp; " " &amp; IF(Q474="","",TEXT(Q474,"M/D-")) &amp; IF(R474="","",TEXT(R474,"M/D")) &amp; " "</f>
        <v xml:space="preserve">    0.00% Grouting &amp; Cleaning  </v>
      </c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  <c r="CW474" s="94"/>
      <c r="CX474" s="94"/>
      <c r="CY474" s="94"/>
      <c r="CZ474" s="94"/>
      <c r="DA474" s="94"/>
      <c r="DB474" s="94"/>
      <c r="DC474" s="94"/>
      <c r="DD474" s="94"/>
      <c r="DE474" s="94"/>
      <c r="DF474" s="94"/>
      <c r="DG474" s="94"/>
      <c r="DH474" s="94"/>
      <c r="DI474" s="94"/>
      <c r="DJ474" s="94"/>
      <c r="DK474" s="94"/>
      <c r="DL474" s="94"/>
      <c r="DM474" s="94"/>
      <c r="DN474" s="94"/>
      <c r="DO474" s="94"/>
      <c r="DP474" s="94"/>
      <c r="DQ474" s="94"/>
    </row>
    <row r="475" spans="1:121" ht="15" customHeight="1" outlineLevel="2" x14ac:dyDescent="0.3">
      <c r="A475" s="100"/>
      <c r="B475" s="100" t="s">
        <v>298</v>
      </c>
      <c r="C475" s="99">
        <v>3</v>
      </c>
      <c r="D475" s="98" t="s">
        <v>849</v>
      </c>
      <c r="G475" s="77" t="s">
        <v>848</v>
      </c>
      <c r="O475" s="77" t="s">
        <v>435</v>
      </c>
      <c r="Q475" s="97"/>
      <c r="R475" s="97"/>
      <c r="AE475" s="96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 t="str">
        <f>"     " &amp; TEXT(AF475,"#0.00%") &amp; " "</f>
        <v xml:space="preserve">     0.00% </v>
      </c>
      <c r="CI475" s="94"/>
      <c r="CJ475" s="94"/>
      <c r="CK475" s="94"/>
      <c r="CL475" s="94"/>
      <c r="CM475" s="94"/>
      <c r="CN475" s="94"/>
      <c r="CO475" s="94"/>
      <c r="CP475" s="94"/>
      <c r="CQ475" s="94" t="str">
        <f>"     " &amp; "NT#2,3(1,2,3Lane)" &amp; " " &amp; IF(Q475="","",TEXT(Q475,"M/D-")) &amp; IF(R475="","",TEXT(R475,"M/D")) &amp; " "</f>
        <v xml:space="preserve">     NT#2,3(1,2,3Lane)  </v>
      </c>
      <c r="CR475" s="94"/>
      <c r="CS475" s="94"/>
      <c r="CT475" s="94"/>
      <c r="CU475" s="94"/>
      <c r="CV475" s="94"/>
      <c r="CW475" s="94"/>
      <c r="CX475" s="94"/>
      <c r="CY475" s="94"/>
      <c r="CZ475" s="94"/>
      <c r="DA475" s="94"/>
      <c r="DB475" s="94"/>
      <c r="DC475" s="94"/>
      <c r="DD475" s="94"/>
      <c r="DE475" s="94"/>
      <c r="DF475" s="94"/>
      <c r="DG475" s="94"/>
      <c r="DH475" s="94"/>
      <c r="DI475" s="94"/>
      <c r="DJ475" s="94"/>
      <c r="DK475" s="94"/>
      <c r="DL475" s="94"/>
      <c r="DM475" s="94"/>
      <c r="DN475" s="94"/>
      <c r="DO475" s="94"/>
      <c r="DP475" s="94"/>
      <c r="DQ475" s="94"/>
    </row>
    <row r="476" spans="1:121" ht="15" customHeight="1" outlineLevel="3" x14ac:dyDescent="0.3">
      <c r="A476" s="100"/>
      <c r="B476" s="100"/>
      <c r="C476" s="99">
        <v>4</v>
      </c>
      <c r="D476" s="98" t="s">
        <v>847</v>
      </c>
      <c r="H476" s="77" t="s">
        <v>534</v>
      </c>
      <c r="J476" s="94"/>
      <c r="O476" s="77" t="s">
        <v>708</v>
      </c>
      <c r="P476" s="105"/>
      <c r="Q476" s="97"/>
      <c r="R476" s="97"/>
      <c r="AB476" s="72">
        <v>1</v>
      </c>
      <c r="AE476" s="96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 t="str">
        <f>"     " &amp; TEXT(AF476,"#0.00%") &amp; " " &amp; "Line Marking" &amp; " " &amp; IF(Q476="","",TEXT(Q476,"M/D-")) &amp; IF(R476="","",TEXT(R476,"M/D")) &amp; " "</f>
        <v xml:space="preserve">     0.00% Line Marking  </v>
      </c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  <c r="DA476" s="94"/>
      <c r="DB476" s="94"/>
      <c r="DC476" s="94"/>
      <c r="DD476" s="94"/>
      <c r="DE476" s="94"/>
      <c r="DF476" s="94"/>
      <c r="DG476" s="94"/>
      <c r="DH476" s="94"/>
      <c r="DI476" s="94"/>
      <c r="DJ476" s="94"/>
      <c r="DK476" s="94"/>
      <c r="DL476" s="94"/>
      <c r="DM476" s="94"/>
      <c r="DN476" s="94"/>
      <c r="DO476" s="94"/>
      <c r="DP476" s="94"/>
      <c r="DQ476" s="94"/>
    </row>
    <row r="477" spans="1:121" ht="15" customHeight="1" outlineLevel="3" x14ac:dyDescent="0.3">
      <c r="A477" s="100"/>
      <c r="B477" s="100"/>
      <c r="C477" s="99">
        <v>4</v>
      </c>
      <c r="D477" s="98" t="s">
        <v>846</v>
      </c>
      <c r="H477" s="77" t="s">
        <v>712</v>
      </c>
      <c r="J477" s="94"/>
      <c r="O477" s="77" t="s">
        <v>708</v>
      </c>
      <c r="P477" s="105"/>
      <c r="Q477" s="97"/>
      <c r="R477" s="97"/>
      <c r="AB477" s="72">
        <v>1</v>
      </c>
      <c r="AE477" s="96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 t="str">
        <f>"     " &amp; TEXT(AF477,"#0.00%") &amp; " " &amp; "Check Floor Level" &amp; " " &amp; IF(Q477="","",TEXT(Q477,"M/D-")) &amp; IF(R477="","",TEXT(R477,"M/D")) &amp; " "</f>
        <v xml:space="preserve">     0.00% Check Floor Level  </v>
      </c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  <c r="DA477" s="94"/>
      <c r="DB477" s="94"/>
      <c r="DC477" s="94"/>
      <c r="DD477" s="94"/>
      <c r="DE477" s="94"/>
      <c r="DF477" s="94"/>
      <c r="DG477" s="94"/>
      <c r="DH477" s="94"/>
      <c r="DI477" s="94"/>
      <c r="DJ477" s="94"/>
      <c r="DK477" s="94"/>
      <c r="DL477" s="94"/>
      <c r="DM477" s="94"/>
      <c r="DN477" s="94"/>
      <c r="DO477" s="94"/>
      <c r="DP477" s="94"/>
      <c r="DQ477" s="94"/>
    </row>
    <row r="478" spans="1:121" ht="15" customHeight="1" outlineLevel="3" x14ac:dyDescent="0.3">
      <c r="A478" s="100"/>
      <c r="B478" s="100"/>
      <c r="C478" s="99">
        <v>4</v>
      </c>
      <c r="D478" s="98" t="s">
        <v>845</v>
      </c>
      <c r="H478" s="77" t="s">
        <v>532</v>
      </c>
      <c r="J478" s="94"/>
      <c r="O478" s="77" t="s">
        <v>708</v>
      </c>
      <c r="P478" s="105"/>
      <c r="Q478" s="97"/>
      <c r="R478" s="97"/>
      <c r="AB478" s="72">
        <v>1</v>
      </c>
      <c r="AE478" s="96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 t="str">
        <f>"     " &amp; TEXT(AF478,"#0.00%") &amp; " " &amp; "Check Line Marking" &amp; " " &amp; IF(Q478="","",TEXT(Q478,"M/D-")) &amp; IF(R478="","",TEXT(R478,"M/D")) &amp; " "</f>
        <v xml:space="preserve">     0.00% Check Line Marking  </v>
      </c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  <c r="DA478" s="94"/>
      <c r="DB478" s="94"/>
      <c r="DC478" s="94"/>
      <c r="DD478" s="94"/>
      <c r="DE478" s="94"/>
      <c r="DF478" s="94"/>
      <c r="DG478" s="94"/>
      <c r="DH478" s="94"/>
      <c r="DI478" s="94"/>
      <c r="DJ478" s="94"/>
      <c r="DK478" s="94"/>
      <c r="DL478" s="94"/>
      <c r="DM478" s="94"/>
      <c r="DN478" s="94"/>
      <c r="DO478" s="94"/>
      <c r="DP478" s="94"/>
      <c r="DQ478" s="94"/>
    </row>
    <row r="479" spans="1:121" ht="15" customHeight="1" outlineLevel="3" x14ac:dyDescent="0.3">
      <c r="A479" s="100"/>
      <c r="B479" s="100"/>
      <c r="C479" s="99">
        <v>4</v>
      </c>
      <c r="D479" s="98" t="s">
        <v>844</v>
      </c>
      <c r="H479" s="77" t="s">
        <v>589</v>
      </c>
      <c r="J479" s="94"/>
      <c r="O479" s="77" t="s">
        <v>708</v>
      </c>
      <c r="P479" s="105"/>
      <c r="Q479" s="97"/>
      <c r="R479" s="97"/>
      <c r="AB479" s="72">
        <v>1</v>
      </c>
      <c r="AE479" s="96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 t="str">
        <f>" " &amp; TEXT(AF479,"#0.00%") &amp; " " &amp; "Drilling Anchor Hole" &amp; " " &amp; IF(Q479="","",TEXT(Q479,"M/D-")) &amp; IF(R479="","",TEXT(R479,"M/D")) &amp; " "</f>
        <v xml:space="preserve"> 0.00% Drilling Anchor Hole  </v>
      </c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</row>
    <row r="480" spans="1:121" ht="15" customHeight="1" outlineLevel="3" x14ac:dyDescent="0.3">
      <c r="A480" s="100"/>
      <c r="B480" s="100"/>
      <c r="C480" s="99">
        <v>4</v>
      </c>
      <c r="D480" s="98" t="s">
        <v>843</v>
      </c>
      <c r="H480" s="77" t="s">
        <v>530</v>
      </c>
      <c r="J480" s="94"/>
      <c r="O480" s="77" t="s">
        <v>708</v>
      </c>
      <c r="P480" s="105"/>
      <c r="Q480" s="97"/>
      <c r="R480" s="97"/>
      <c r="AB480" s="72">
        <v>1</v>
      </c>
      <c r="AE480" s="96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 t="str">
        <f>"" &amp; TEXT(AF480,"#0.00%") &amp; " "</f>
        <v xml:space="preserve">0.00% </v>
      </c>
      <c r="CJ480" s="94"/>
      <c r="CK480" s="94"/>
      <c r="CL480" s="94"/>
      <c r="CM480" s="94"/>
      <c r="CN480" s="94"/>
      <c r="CO480" s="94"/>
      <c r="CP480" s="94"/>
      <c r="CQ480" s="94" t="str">
        <f>"     " &amp; "Move In" &amp; " " &amp; IF(Q480="","",TEXT(Q480,"M/D-")) &amp; IF(R480="","",TEXT(R480,"M/D")) &amp; " "</f>
        <v xml:space="preserve">     Move In  </v>
      </c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</row>
    <row r="481" spans="1:121" ht="15" customHeight="1" outlineLevel="3" x14ac:dyDescent="0.3">
      <c r="A481" s="100"/>
      <c r="B481" s="100"/>
      <c r="C481" s="99">
        <v>4</v>
      </c>
      <c r="D481" s="98" t="s">
        <v>842</v>
      </c>
      <c r="H481" s="77" t="s">
        <v>706</v>
      </c>
      <c r="J481" s="94"/>
      <c r="O481" s="77" t="s">
        <v>700</v>
      </c>
      <c r="P481" s="105"/>
      <c r="Q481" s="97"/>
      <c r="R481" s="97"/>
      <c r="AB481" s="72">
        <v>1</v>
      </c>
      <c r="AE481" s="96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 t="str">
        <f>" " &amp; TEXT(AF481,"#0.00%") &amp; " " &amp; "Install Anchor &amp; Nut" &amp; " " &amp; IF(Q481="","",TEXT(Q481,"M/D-")) &amp; IF(R481="","",TEXT(R481,"M/D")) &amp; " "</f>
        <v xml:space="preserve"> 0.00% Install Anchor &amp; Nut  </v>
      </c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</row>
    <row r="482" spans="1:121" ht="15" customHeight="1" outlineLevel="3" x14ac:dyDescent="0.3">
      <c r="A482" s="100"/>
      <c r="B482" s="100"/>
      <c r="C482" s="99">
        <v>4</v>
      </c>
      <c r="D482" s="98" t="s">
        <v>841</v>
      </c>
      <c r="H482" s="77" t="s">
        <v>704</v>
      </c>
      <c r="J482" s="94"/>
      <c r="O482" s="77" t="s">
        <v>700</v>
      </c>
      <c r="P482" s="105"/>
      <c r="Q482" s="97"/>
      <c r="R482" s="97"/>
      <c r="AB482" s="72">
        <v>1</v>
      </c>
      <c r="AE482" s="96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 t="str">
        <f>"   " &amp; TEXT(AF482,"#0.00%") &amp; " " &amp; "Install Deck Post&amp;Girder&amp;Bracing" &amp; " " &amp; IF(Q482="","",TEXT(Q482,"M/D-")) &amp; IF(R482="","",TEXT(R482,"M/D")) &amp; " "</f>
        <v xml:space="preserve">   0.00% Install Deck Post&amp;Girder&amp;Bracing  </v>
      </c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</row>
    <row r="483" spans="1:121" ht="15" customHeight="1" outlineLevel="3" x14ac:dyDescent="0.3">
      <c r="A483" s="100"/>
      <c r="B483" s="100"/>
      <c r="C483" s="99">
        <v>4</v>
      </c>
      <c r="D483" s="98" t="s">
        <v>840</v>
      </c>
      <c r="H483" s="77" t="s">
        <v>702</v>
      </c>
      <c r="J483" s="94"/>
      <c r="O483" s="77" t="s">
        <v>700</v>
      </c>
      <c r="P483" s="105"/>
      <c r="Q483" s="97"/>
      <c r="R483" s="97"/>
      <c r="AB483" s="72">
        <v>1</v>
      </c>
      <c r="AE483" s="96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 t="str">
        <f>"    " &amp; TEXT(AF483,"#0.00%") &amp; " " &amp; "Check Vertical(Deck Post&amp;Tower Stair)" &amp; " " &amp; IF(Q483="","",TEXT(Q483,"M/D-")) &amp; IF(R483="","",TEXT(R483,"M/D")) &amp; " "</f>
        <v xml:space="preserve">    0.00% Check Vertical(Deck Post&amp;Tower Stair)  </v>
      </c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</row>
    <row r="484" spans="1:121" ht="15" customHeight="1" outlineLevel="3" x14ac:dyDescent="0.3">
      <c r="A484" s="100"/>
      <c r="B484" s="100"/>
      <c r="C484" s="99">
        <v>4</v>
      </c>
      <c r="D484" s="98" t="s">
        <v>839</v>
      </c>
      <c r="H484" s="77" t="s">
        <v>546</v>
      </c>
      <c r="J484" s="94"/>
      <c r="O484" s="77" t="s">
        <v>700</v>
      </c>
      <c r="P484" s="105"/>
      <c r="Q484" s="97"/>
      <c r="R484" s="97"/>
      <c r="AB484" s="72">
        <v>1</v>
      </c>
      <c r="AE484" s="96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 t="str">
        <f>"      " &amp; TEXT(AF484,"#0.00%") &amp; " " &amp; "Install Deck Frame&amp;Hand Rail" &amp; " " &amp; IF(Q484="","",TEXT(Q484,"M/D-")) &amp; IF(R484="","",TEXT(R484,"M/D")) &amp; " "</f>
        <v xml:space="preserve">      0.00% Install Deck Frame&amp;Hand Rail  </v>
      </c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</row>
    <row r="485" spans="1:121" ht="15" customHeight="1" outlineLevel="3" x14ac:dyDescent="0.3">
      <c r="A485" s="100"/>
      <c r="B485" s="100"/>
      <c r="C485" s="99">
        <v>4</v>
      </c>
      <c r="D485" s="98" t="s">
        <v>838</v>
      </c>
      <c r="H485" s="77" t="s">
        <v>550</v>
      </c>
      <c r="J485" s="94"/>
      <c r="O485" s="77" t="s">
        <v>640</v>
      </c>
      <c r="P485" s="105"/>
      <c r="Q485" s="97"/>
      <c r="R485" s="97"/>
      <c r="AB485" s="72">
        <v>1</v>
      </c>
      <c r="AE485" s="96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 t="str">
        <f>"  " &amp; TEXT(AF485,"#0.00%") &amp; " " &amp; "Install Anchor" &amp; " " &amp; IF(Q485="","",TEXT(Q485,"M/D-")) &amp; IF(R485="","",TEXT(R485,"M/D")) &amp; " "</f>
        <v xml:space="preserve">  0.00% Install Anchor  </v>
      </c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</row>
    <row r="486" spans="1:121" ht="15" customHeight="1" outlineLevel="3" x14ac:dyDescent="0.3">
      <c r="A486" s="100"/>
      <c r="B486" s="100"/>
      <c r="C486" s="99">
        <v>4</v>
      </c>
      <c r="D486" s="98" t="s">
        <v>837</v>
      </c>
      <c r="H486" s="77" t="s">
        <v>697</v>
      </c>
      <c r="J486" s="94"/>
      <c r="O486" s="77" t="s">
        <v>640</v>
      </c>
      <c r="P486" s="105"/>
      <c r="Q486" s="97"/>
      <c r="R486" s="97"/>
      <c r="AB486" s="72">
        <v>1</v>
      </c>
      <c r="AE486" s="96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 t="str">
        <f>"   " &amp; TEXT(AF486,"#0.00%") &amp; " " &amp; "Install Liner" &amp; " " &amp; IF(Q486="","",TEXT(Q486,"M/D-")) &amp; IF(R486="","",TEXT(R486,"M/D")) &amp; " "</f>
        <v xml:space="preserve">   0.00% Install Liner  </v>
      </c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</row>
    <row r="487" spans="1:121" ht="15" customHeight="1" outlineLevel="3" x14ac:dyDescent="0.3">
      <c r="A487" s="100"/>
      <c r="B487" s="100"/>
      <c r="C487" s="99">
        <v>4</v>
      </c>
      <c r="D487" s="98" t="s">
        <v>836</v>
      </c>
      <c r="H487" s="77" t="s">
        <v>695</v>
      </c>
      <c r="J487" s="94"/>
      <c r="O487" s="77" t="s">
        <v>640</v>
      </c>
      <c r="P487" s="105"/>
      <c r="Q487" s="97"/>
      <c r="R487" s="97"/>
      <c r="AB487" s="72">
        <v>1</v>
      </c>
      <c r="AE487" s="96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 t="str">
        <f>"   " &amp; TEXT(AF487,"#0.00%") &amp; " " &amp; "Check Liner Leveling(Laser)" &amp; " " &amp; IF(Q487="","",TEXT(Q487,"M/D-")) &amp; IF(R487="","",TEXT(R487,"M/D")) &amp; " "</f>
        <v xml:space="preserve">   0.00% Check Liner Leveling(Laser)  </v>
      </c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</row>
    <row r="488" spans="1:121" ht="15" customHeight="1" outlineLevel="3" x14ac:dyDescent="0.3">
      <c r="A488" s="100"/>
      <c r="B488" s="100"/>
      <c r="C488" s="99">
        <v>4</v>
      </c>
      <c r="D488" s="98" t="s">
        <v>835</v>
      </c>
      <c r="H488" s="77" t="s">
        <v>693</v>
      </c>
      <c r="J488" s="94"/>
      <c r="O488" s="77" t="s">
        <v>640</v>
      </c>
      <c r="P488" s="105"/>
      <c r="Q488" s="97"/>
      <c r="R488" s="97"/>
      <c r="AB488" s="72">
        <v>1</v>
      </c>
      <c r="AE488" s="96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 t="str">
        <f>"    " &amp; TEXT(AF488,"#0.00%") &amp; " " &amp; "Install Base Plate" &amp; " " &amp; IF(Q488="","",TEXT(Q488,"M/D-")) &amp; IF(R488="","",TEXT(R488,"M/D")) &amp; " "</f>
        <v xml:space="preserve">    0.00% Install Base Plate  </v>
      </c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</row>
    <row r="489" spans="1:121" ht="15" customHeight="1" outlineLevel="3" x14ac:dyDescent="0.3">
      <c r="A489" s="100"/>
      <c r="B489" s="100"/>
      <c r="C489" s="99">
        <v>4</v>
      </c>
      <c r="D489" s="98" t="s">
        <v>834</v>
      </c>
      <c r="H489" s="77" t="s">
        <v>691</v>
      </c>
      <c r="J489" s="94"/>
      <c r="O489" s="77" t="s">
        <v>640</v>
      </c>
      <c r="P489" s="105"/>
      <c r="Q489" s="97"/>
      <c r="R489" s="97"/>
      <c r="AB489" s="72">
        <v>1</v>
      </c>
      <c r="AE489" s="96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 t="str">
        <f>"     " &amp; TEXT(AF489,"#0.00%") &amp; " " &amp; "Erect Rack(2th)" &amp; " " &amp; IF(Q489="","",TEXT(Q489,"M/D-")) &amp; IF(R489="","",TEXT(R489,"M/D")) &amp; " "</f>
        <v xml:space="preserve">     0.00% Erect Rack(2th)  </v>
      </c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</row>
    <row r="490" spans="1:121" ht="15" customHeight="1" outlineLevel="3" x14ac:dyDescent="0.3">
      <c r="A490" s="100"/>
      <c r="B490" s="100"/>
      <c r="C490" s="99">
        <v>4</v>
      </c>
      <c r="D490" s="98" t="s">
        <v>833</v>
      </c>
      <c r="H490" s="77" t="s">
        <v>544</v>
      </c>
      <c r="J490" s="94"/>
      <c r="O490" s="77" t="s">
        <v>518</v>
      </c>
      <c r="P490" s="105"/>
      <c r="Q490" s="97"/>
      <c r="R490" s="97"/>
      <c r="AB490" s="72">
        <v>1</v>
      </c>
      <c r="AE490" s="96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 t="str">
        <f>"      " &amp; TEXT(AF490,"#0.00%") &amp; " " &amp; "Install Lifter" &amp; " " &amp; IF(Q490="","",TEXT(Q490,"M/D-")) &amp; IF(R490="","",TEXT(R490,"M/D")) &amp; " "</f>
        <v xml:space="preserve">      0.00% Install Lifter  </v>
      </c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</row>
    <row r="491" spans="1:121" ht="15" customHeight="1" outlineLevel="3" x14ac:dyDescent="0.3">
      <c r="A491" s="100"/>
      <c r="B491" s="100"/>
      <c r="C491" s="99">
        <v>4</v>
      </c>
      <c r="D491" s="98" t="s">
        <v>832</v>
      </c>
      <c r="H491" s="77" t="s">
        <v>688</v>
      </c>
      <c r="J491" s="94"/>
      <c r="O491" s="77" t="s">
        <v>640</v>
      </c>
      <c r="P491" s="105"/>
      <c r="Q491" s="97"/>
      <c r="R491" s="97"/>
      <c r="AB491" s="72">
        <v>1</v>
      </c>
      <c r="AE491" s="96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 t="str">
        <f>"" &amp; TEXT(AF491,"#0.00%") &amp; " " &amp; "Install Beam&amp;Bracing(2th)" &amp; " " &amp; IF(Q491="","",TEXT(Q491,"M/D-")) &amp; IF(R491="","",TEXT(R491,"M/D")) &amp; " "</f>
        <v xml:space="preserve">0.00% Install Beam&amp;Bracing(2th)  </v>
      </c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</row>
    <row r="492" spans="1:121" ht="15" customHeight="1" outlineLevel="3" x14ac:dyDescent="0.3">
      <c r="A492" s="100"/>
      <c r="B492" s="100"/>
      <c r="C492" s="99">
        <v>4</v>
      </c>
      <c r="D492" s="98" t="s">
        <v>831</v>
      </c>
      <c r="H492" s="77" t="s">
        <v>686</v>
      </c>
      <c r="J492" s="94"/>
      <c r="O492" s="77" t="s">
        <v>640</v>
      </c>
      <c r="P492" s="105"/>
      <c r="Q492" s="97"/>
      <c r="R492" s="97"/>
      <c r="AB492" s="72">
        <v>1</v>
      </c>
      <c r="AE492" s="96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 t="str">
        <f>"    " &amp; TEXT(AF492,"#0.00%") &amp; " " &amp; "Install Rack&amp;Beam&amp;Bracing(5th)" &amp; " " &amp; IF(Q492="","",TEXT(Q492,"M/D-")) &amp; IF(R492="","",TEXT(R492,"M/D")) &amp; " "</f>
        <v xml:space="preserve">    0.00% Install Rack&amp;Beam&amp;Bracing(5th)  </v>
      </c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</row>
    <row r="493" spans="1:121" ht="15" customHeight="1" outlineLevel="3" x14ac:dyDescent="0.3">
      <c r="A493" s="100"/>
      <c r="B493" s="100"/>
      <c r="C493" s="99">
        <v>4</v>
      </c>
      <c r="D493" s="98" t="s">
        <v>830</v>
      </c>
      <c r="H493" s="77" t="s">
        <v>546</v>
      </c>
      <c r="J493" s="94"/>
      <c r="O493" s="77" t="s">
        <v>640</v>
      </c>
      <c r="P493" s="105"/>
      <c r="Q493" s="97"/>
      <c r="R493" s="97"/>
      <c r="AB493" s="72">
        <v>1</v>
      </c>
      <c r="AE493" s="96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 t="str">
        <f>"" &amp; TEXT(AF493,"#0.00%") &amp; " " &amp; "Install Deck Frame&amp;Hand Rail" &amp; " " &amp; IF(Q493="","",TEXT(Q493,"M/D-")) &amp; IF(R493="","",TEXT(R493,"M/D")) &amp; " "</f>
        <v xml:space="preserve">0.00% Install Deck Frame&amp;Hand Rail  </v>
      </c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</row>
    <row r="494" spans="1:121" ht="15" customHeight="1" outlineLevel="3" x14ac:dyDescent="0.3">
      <c r="A494" s="100"/>
      <c r="B494" s="100"/>
      <c r="C494" s="99">
        <v>4</v>
      </c>
      <c r="D494" s="98" t="s">
        <v>829</v>
      </c>
      <c r="H494" s="77" t="s">
        <v>683</v>
      </c>
      <c r="J494" s="94"/>
      <c r="O494" s="77" t="s">
        <v>678</v>
      </c>
      <c r="P494" s="105"/>
      <c r="Q494" s="97"/>
      <c r="R494" s="97"/>
      <c r="AB494" s="72">
        <v>1</v>
      </c>
      <c r="AE494" s="96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 t="str">
        <f>"  " &amp; TEXT(AF494,"#0.00%") &amp; " " &amp; "Check Track No." &amp; " " &amp; IF(Q494="","",TEXT(Q494,"M/D-")) &amp; IF(R494="","",TEXT(R494,"M/D")) &amp; " "</f>
        <v xml:space="preserve">  0.00% Check Track No.  </v>
      </c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</row>
    <row r="495" spans="1:121" ht="15" customHeight="1" outlineLevel="3" x14ac:dyDescent="0.3">
      <c r="A495" s="100"/>
      <c r="B495" s="100"/>
      <c r="C495" s="99">
        <v>4</v>
      </c>
      <c r="D495" s="98" t="s">
        <v>828</v>
      </c>
      <c r="H495" s="77" t="s">
        <v>681</v>
      </c>
      <c r="J495" s="94"/>
      <c r="O495" s="77" t="s">
        <v>678</v>
      </c>
      <c r="P495" s="105"/>
      <c r="Q495" s="97"/>
      <c r="R495" s="97"/>
      <c r="AB495" s="72">
        <v>1</v>
      </c>
      <c r="AE495" s="96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 t="str">
        <f>"    " &amp; TEXT(AF495,"#0.00%") &amp; " " &amp; "Install HP Home Stand &amp; C/V" &amp; " " &amp; IF(Q495="","",TEXT(Q495,"M/D-")) &amp; IF(R495="","",TEXT(R495,"M/D")) &amp; " "</f>
        <v xml:space="preserve">    0.00% Install HP Home Stand &amp; C/V  </v>
      </c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</row>
    <row r="496" spans="1:121" ht="15" customHeight="1" outlineLevel="3" x14ac:dyDescent="0.3">
      <c r="A496" s="100"/>
      <c r="B496" s="100"/>
      <c r="C496" s="99">
        <v>4</v>
      </c>
      <c r="D496" s="98" t="s">
        <v>827</v>
      </c>
      <c r="H496" s="77" t="s">
        <v>679</v>
      </c>
      <c r="J496" s="94"/>
      <c r="O496" s="77" t="s">
        <v>678</v>
      </c>
      <c r="P496" s="105"/>
      <c r="Q496" s="97"/>
      <c r="R496" s="97"/>
      <c r="AB496" s="72">
        <v>1</v>
      </c>
      <c r="AE496" s="96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 t="str">
        <f>"" &amp; TEXT(AF496,"#0.00%") &amp; " " &amp; "Check home stand CV Level &amp; Center line" &amp; " " &amp; IF(Q496="","",TEXT(Q496,"M/D-")) &amp; IF(R496="","",TEXT(R496,"M/D")) &amp; " "</f>
        <v xml:space="preserve">0.00% Check home stand CV Level &amp; Center line  </v>
      </c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</row>
    <row r="497" spans="1:121" ht="15" customHeight="1" outlineLevel="3" x14ac:dyDescent="0.3">
      <c r="A497" s="100"/>
      <c r="B497" s="100"/>
      <c r="C497" s="99">
        <v>4</v>
      </c>
      <c r="D497" s="98" t="s">
        <v>826</v>
      </c>
      <c r="H497" s="77" t="s">
        <v>825</v>
      </c>
      <c r="J497" s="94"/>
      <c r="O497" s="77" t="s">
        <v>640</v>
      </c>
      <c r="P497" s="105"/>
      <c r="Q497" s="97"/>
      <c r="R497" s="97"/>
      <c r="AB497" s="72">
        <v>1</v>
      </c>
      <c r="AE497" s="96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 t="str">
        <f>" " &amp; TEXT(AF497,"#0.00%") &amp; " " &amp; "Pre-Assembly Rack(5~69h)" &amp; " " &amp; IF(Q497="","",TEXT(Q497,"M/D-")) &amp; IF(R497="","",TEXT(R497,"M/D")) &amp; " "</f>
        <v xml:space="preserve"> 0.00% Pre-Assembly Rack(5~69h)  </v>
      </c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</row>
    <row r="498" spans="1:121" ht="15" customHeight="1" outlineLevel="3" x14ac:dyDescent="0.3">
      <c r="A498" s="100"/>
      <c r="B498" s="100"/>
      <c r="C498" s="99">
        <v>4</v>
      </c>
      <c r="D498" s="98" t="s">
        <v>824</v>
      </c>
      <c r="H498" s="77" t="s">
        <v>674</v>
      </c>
      <c r="J498" s="94"/>
      <c r="O498" s="77" t="s">
        <v>640</v>
      </c>
      <c r="P498" s="105"/>
      <c r="Q498" s="97"/>
      <c r="R498" s="97"/>
      <c r="AB498" s="72">
        <v>1</v>
      </c>
      <c r="AE498" s="96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 t="str">
        <f>"   " &amp; TEXT(AF498,"#0.00%") &amp; " " &amp; "Install Rack&amp;Beam&amp;Bracing&amp;Rail Base(10th)" &amp; " " &amp; IF(Q498="","",TEXT(Q498,"M/D-")) &amp; IF(R498="","",TEXT(R498,"M/D")) &amp; " "</f>
        <v xml:space="preserve">   0.00% Install Rack&amp;Beam&amp;Bracing&amp;Rail Base(10th)  </v>
      </c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</row>
    <row r="499" spans="1:121" ht="15" customHeight="1" outlineLevel="3" x14ac:dyDescent="0.3">
      <c r="A499" s="100"/>
      <c r="B499" s="100"/>
      <c r="C499" s="99">
        <v>4</v>
      </c>
      <c r="D499" s="98" t="s">
        <v>823</v>
      </c>
      <c r="H499" s="77" t="s">
        <v>672</v>
      </c>
      <c r="J499" s="94"/>
      <c r="O499" s="77" t="s">
        <v>640</v>
      </c>
      <c r="P499" s="105"/>
      <c r="Q499" s="97"/>
      <c r="R499" s="97"/>
      <c r="AB499" s="72">
        <v>1</v>
      </c>
      <c r="AE499" s="96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 t="str">
        <f>"" &amp; TEXT(AF499,"#0.00%") &amp; " " &amp; "Check Vertical(1~10th)" &amp; " " &amp; IF(Q499="","",TEXT(Q499,"M/D-")) &amp; IF(R499="","",TEXT(R499,"M/D")) &amp; " "</f>
        <v xml:space="preserve">0.00% Check Vertical(1~10th)  </v>
      </c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</row>
    <row r="500" spans="1:121" ht="15" customHeight="1" outlineLevel="3" x14ac:dyDescent="0.3">
      <c r="A500" s="100"/>
      <c r="B500" s="100"/>
      <c r="C500" s="99">
        <v>4</v>
      </c>
      <c r="D500" s="98" t="s">
        <v>822</v>
      </c>
      <c r="H500" s="77" t="s">
        <v>670</v>
      </c>
      <c r="J500" s="94"/>
      <c r="O500" s="77" t="s">
        <v>649</v>
      </c>
      <c r="P500" s="105"/>
      <c r="Q500" s="97"/>
      <c r="R500" s="97"/>
      <c r="AB500" s="72">
        <v>1</v>
      </c>
      <c r="AE500" s="96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 t="str">
        <f>"   " &amp; TEXT(AF500,"#0.00%") &amp; " " &amp; "Install MSC Rail(1st rail)" &amp; " " &amp; IF(Q500="","",TEXT(Q500,"M/D-")) &amp; IF(R500="","",TEXT(R500,"M/D")) &amp; " "</f>
        <v xml:space="preserve">   0.00% Install MSC Rail(1st rail)  </v>
      </c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</row>
    <row r="501" spans="1:121" ht="15" customHeight="1" outlineLevel="3" x14ac:dyDescent="0.3">
      <c r="A501" s="100"/>
      <c r="B501" s="100"/>
      <c r="C501" s="99">
        <v>4</v>
      </c>
      <c r="D501" s="98" t="s">
        <v>821</v>
      </c>
      <c r="H501" s="77" t="s">
        <v>668</v>
      </c>
      <c r="J501" s="94"/>
      <c r="O501" s="77" t="s">
        <v>649</v>
      </c>
      <c r="P501" s="105"/>
      <c r="Q501" s="97"/>
      <c r="R501" s="97"/>
      <c r="AB501" s="72">
        <v>1</v>
      </c>
      <c r="AE501" s="96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 t="str">
        <f>"      " &amp; TEXT(AF501,"#0.00%") &amp; " " &amp; "Lifting MSC" &amp; " " &amp; IF(Q501="","",TEXT(Q501,"M/D-")) &amp; IF(R501="","",TEXT(R501,"M/D")) &amp; " "</f>
        <v xml:space="preserve">      0.00% Lifting MSC  </v>
      </c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</row>
    <row r="502" spans="1:121" ht="15" customHeight="1" outlineLevel="3" x14ac:dyDescent="0.3">
      <c r="A502" s="100"/>
      <c r="B502" s="100"/>
      <c r="C502" s="99">
        <v>4</v>
      </c>
      <c r="D502" s="98" t="s">
        <v>820</v>
      </c>
      <c r="H502" s="77" t="s">
        <v>819</v>
      </c>
      <c r="J502" s="94"/>
      <c r="O502" s="77" t="s">
        <v>640</v>
      </c>
      <c r="P502" s="105"/>
      <c r="Q502" s="97"/>
      <c r="R502" s="97"/>
      <c r="AB502" s="72">
        <v>1</v>
      </c>
      <c r="AE502" s="96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 t="str">
        <f>"   " &amp; TEXT(AF502,"#0.00%") &amp; " " &amp; "Install Rack&amp;Beam&amp;Bracing&amp;Rail Base(Every 10th, ~69th)" &amp; " " &amp; IF(Q502="","",TEXT(Q502,"M/D-")) &amp; IF(R502="","",TEXT(R502,"M/D")) &amp; " "</f>
        <v xml:space="preserve">   0.00% Install Rack&amp;Beam&amp;Bracing&amp;Rail Base(Every 10th, ~69th)  </v>
      </c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</row>
    <row r="503" spans="1:121" ht="15" customHeight="1" outlineLevel="3" x14ac:dyDescent="0.3">
      <c r="A503" s="100"/>
      <c r="B503" s="100"/>
      <c r="C503" s="99">
        <v>4</v>
      </c>
      <c r="D503" s="98" t="s">
        <v>818</v>
      </c>
      <c r="H503" s="77" t="s">
        <v>817</v>
      </c>
      <c r="J503" s="94"/>
      <c r="O503" s="77" t="s">
        <v>640</v>
      </c>
      <c r="P503" s="105"/>
      <c r="Q503" s="97"/>
      <c r="R503" s="97"/>
      <c r="AB503" s="72">
        <v>1</v>
      </c>
      <c r="AE503" s="96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 t="str">
        <f>"" &amp; TEXT(AF503,"#0.00%") &amp; " " &amp; "Check Vertical(Every 10th, ~69th)" &amp; " " &amp; IF(Q503="","",TEXT(Q503,"M/D-")) &amp; IF(R503="","",TEXT(R503,"M/D")) &amp; " "</f>
        <v xml:space="preserve">0.00% Check Vertical(Every 10th, ~69th)  </v>
      </c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</row>
    <row r="504" spans="1:121" ht="15" customHeight="1" outlineLevel="3" x14ac:dyDescent="0.3">
      <c r="A504" s="100"/>
      <c r="B504" s="100"/>
      <c r="C504" s="99">
        <v>4</v>
      </c>
      <c r="D504" s="98" t="s">
        <v>816</v>
      </c>
      <c r="H504" s="77" t="s">
        <v>815</v>
      </c>
      <c r="J504" s="94"/>
      <c r="O504" s="77" t="s">
        <v>649</v>
      </c>
      <c r="P504" s="105"/>
      <c r="Q504" s="97"/>
      <c r="R504" s="97"/>
      <c r="AB504" s="72">
        <v>1</v>
      </c>
      <c r="AE504" s="96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 t="str">
        <f>" " &amp; TEXT(AF504,"#0.00%") &amp; " " &amp; "Install MSC Rail(Every 10th, ~69th)" &amp; " " &amp; IF(Q504="","",TEXT(Q504,"M/D-")) &amp; IF(R504="","",TEXT(R504,"M/D")) &amp; " "</f>
        <v xml:space="preserve"> 0.00% Install MSC Rail(Every 10th, ~69th)  </v>
      </c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</row>
    <row r="505" spans="1:121" ht="15" customHeight="1" outlineLevel="3" x14ac:dyDescent="0.3">
      <c r="A505" s="100"/>
      <c r="B505" s="100"/>
      <c r="C505" s="99">
        <v>4</v>
      </c>
      <c r="D505" s="98" t="s">
        <v>814</v>
      </c>
      <c r="H505" s="77" t="s">
        <v>660</v>
      </c>
      <c r="J505" s="94"/>
      <c r="O505" s="77" t="s">
        <v>659</v>
      </c>
      <c r="P505" s="105"/>
      <c r="Q505" s="97"/>
      <c r="R505" s="97"/>
      <c r="AB505" s="72">
        <v>1</v>
      </c>
      <c r="AE505" s="96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 t="str">
        <f>" " &amp; TEXT(AF505,"#0.00%") &amp; " " &amp; "Install Water Tank Assembly" &amp; " " &amp; IF(Q505="","",TEXT(Q505,"M/D-")) &amp; IF(R505="","",TEXT(R505,"M/D")) &amp; " "</f>
        <v xml:space="preserve"> 0.00% Install Water Tank Assembly  </v>
      </c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</row>
    <row r="506" spans="1:121" ht="15" customHeight="1" outlineLevel="3" x14ac:dyDescent="0.3">
      <c r="A506" s="100"/>
      <c r="B506" s="100"/>
      <c r="C506" s="99">
        <v>4</v>
      </c>
      <c r="D506" s="98" t="s">
        <v>813</v>
      </c>
      <c r="H506" s="77" t="s">
        <v>812</v>
      </c>
      <c r="J506" s="94"/>
      <c r="O506" s="77" t="s">
        <v>640</v>
      </c>
      <c r="P506" s="105"/>
      <c r="Q506" s="97"/>
      <c r="R506" s="97"/>
      <c r="AB506" s="72">
        <v>1</v>
      </c>
      <c r="AE506" s="96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  <c r="BM506" s="102"/>
      <c r="BN506" s="102"/>
      <c r="BO506" s="102"/>
      <c r="BP506" s="102"/>
      <c r="BQ506" s="102"/>
      <c r="BR506" s="102"/>
      <c r="BS506" s="102"/>
      <c r="BT506" s="102"/>
      <c r="BU506" s="102"/>
      <c r="BV506" s="102"/>
      <c r="BW506" s="102"/>
      <c r="BX506" s="102"/>
      <c r="BY506" s="94"/>
      <c r="BZ506" s="94"/>
      <c r="CA506" s="94"/>
      <c r="CB506" s="94"/>
      <c r="CC506" s="94"/>
      <c r="CD506" s="94"/>
      <c r="CE506" s="94"/>
      <c r="CF506" s="94"/>
      <c r="CG506" s="94"/>
      <c r="CH506" s="94"/>
      <c r="CI506" s="94"/>
      <c r="CJ506" s="94"/>
      <c r="CK506" s="94"/>
      <c r="CL506" s="94"/>
      <c r="CM506" s="94"/>
      <c r="CN506" s="94" t="str">
        <f>"     " &amp; TEXT(AF506,"#0.00%") &amp; " " &amp; "Install Rack&amp;Beam&amp;Bracing&amp;Rail Base(~75th)" &amp; " " &amp; IF(Q506="","",TEXT(Q506,"M/D-")) &amp; IF(R506="","",TEXT(R506,"M/D")) &amp; " "</f>
        <v xml:space="preserve">     0.00% Install Rack&amp;Beam&amp;Bracing&amp;Rail Base(~75th)  </v>
      </c>
      <c r="CO506" s="94"/>
      <c r="CP506" s="94"/>
      <c r="CQ506" s="94"/>
      <c r="CR506" s="94"/>
      <c r="CS506" s="94"/>
      <c r="CT506" s="94"/>
      <c r="CU506" s="94"/>
      <c r="CV506" s="94"/>
      <c r="CW506" s="94"/>
      <c r="CX506" s="94"/>
      <c r="CY506" s="94"/>
      <c r="CZ506" s="94"/>
      <c r="DA506" s="94"/>
      <c r="DB506" s="94"/>
      <c r="DC506" s="94"/>
      <c r="DD506" s="94"/>
      <c r="DE506" s="94"/>
      <c r="DF506" s="94"/>
      <c r="DG506" s="94"/>
      <c r="DH506" s="94"/>
      <c r="DI506" s="94"/>
      <c r="DJ506" s="94"/>
      <c r="DK506" s="94"/>
      <c r="DL506" s="94"/>
      <c r="DM506" s="94"/>
      <c r="DN506" s="94"/>
      <c r="DO506" s="94"/>
      <c r="DP506" s="94"/>
      <c r="DQ506" s="94"/>
    </row>
    <row r="507" spans="1:121" ht="15" customHeight="1" outlineLevel="3" x14ac:dyDescent="0.3">
      <c r="A507" s="100"/>
      <c r="B507" s="100"/>
      <c r="C507" s="99">
        <v>4</v>
      </c>
      <c r="D507" s="98" t="s">
        <v>811</v>
      </c>
      <c r="H507" s="77" t="s">
        <v>546</v>
      </c>
      <c r="J507" s="94"/>
      <c r="O507" s="77" t="s">
        <v>640</v>
      </c>
      <c r="P507" s="105"/>
      <c r="Q507" s="97"/>
      <c r="R507" s="97"/>
      <c r="AB507" s="72">
        <v>1</v>
      </c>
      <c r="AE507" s="96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  <c r="BM507" s="102"/>
      <c r="BN507" s="102"/>
      <c r="BO507" s="102"/>
      <c r="BP507" s="102"/>
      <c r="BQ507" s="102"/>
      <c r="BR507" s="102"/>
      <c r="BS507" s="102"/>
      <c r="BT507" s="102"/>
      <c r="BU507" s="102"/>
      <c r="BV507" s="102"/>
      <c r="BW507" s="102"/>
      <c r="BX507" s="102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 t="str">
        <f>"  " &amp; TEXT(AF507,"#0.00%") &amp; " " &amp; "Install Deck Frame&amp;Hand Rail" &amp; " " &amp; IF(Q507="","",TEXT(Q507,"M/D-")) &amp; IF(R507="","",TEXT(R507,"M/D")) &amp; " "</f>
        <v xml:space="preserve">  0.00% Install Deck Frame&amp;Hand Rail  </v>
      </c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</row>
    <row r="508" spans="1:121" ht="15" customHeight="1" outlineLevel="3" x14ac:dyDescent="0.3">
      <c r="A508" s="100"/>
      <c r="B508" s="100"/>
      <c r="C508" s="99">
        <v>4</v>
      </c>
      <c r="D508" s="98" t="s">
        <v>810</v>
      </c>
      <c r="H508" s="77" t="s">
        <v>654</v>
      </c>
      <c r="J508" s="94"/>
      <c r="O508" s="77" t="s">
        <v>640</v>
      </c>
      <c r="P508" s="105"/>
      <c r="Q508" s="97"/>
      <c r="R508" s="97"/>
      <c r="AB508" s="72">
        <v>1</v>
      </c>
      <c r="AE508" s="96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 t="str">
        <f>"   " &amp; TEXT(AF508,"#0.00%") &amp; " " &amp; "Install Top Cover, Rail Walk-Way, Top Maintenance Walk-Way" &amp; " " &amp; IF(Q508="","",TEXT(Q508,"M/D-")) &amp; IF(R508="","",TEXT(R508,"M/D")) &amp; " "</f>
        <v xml:space="preserve">   0.00% Install Top Cover, Rail Walk-Way, Top Maintenance Walk-Way  </v>
      </c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  <c r="DA508" s="94"/>
      <c r="DB508" s="94"/>
      <c r="DC508" s="94"/>
      <c r="DD508" s="94"/>
      <c r="DE508" s="94"/>
      <c r="DF508" s="94"/>
      <c r="DG508" s="94"/>
      <c r="DH508" s="94"/>
      <c r="DI508" s="94"/>
      <c r="DJ508" s="94"/>
      <c r="DK508" s="94"/>
      <c r="DL508" s="94"/>
      <c r="DM508" s="94"/>
      <c r="DN508" s="94"/>
      <c r="DO508" s="94"/>
      <c r="DP508" s="94"/>
      <c r="DQ508" s="94"/>
    </row>
    <row r="509" spans="1:121" ht="15" customHeight="1" outlineLevel="3" x14ac:dyDescent="0.3">
      <c r="A509" s="100"/>
      <c r="B509" s="100"/>
      <c r="C509" s="99">
        <v>4</v>
      </c>
      <c r="D509" s="98" t="s">
        <v>809</v>
      </c>
      <c r="H509" s="77" t="s">
        <v>652</v>
      </c>
      <c r="J509" s="94"/>
      <c r="O509" s="77" t="s">
        <v>649</v>
      </c>
      <c r="P509" s="105"/>
      <c r="Q509" s="97"/>
      <c r="R509" s="97"/>
      <c r="AB509" s="72">
        <v>1</v>
      </c>
      <c r="AE509" s="96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 t="str">
        <f>"      " &amp; TEXT(AF509,"#0.00%") &amp; " " &amp; "Install MSC Accessories" &amp; " " &amp; IF(Q509="","",TEXT(Q509,"M/D-")) &amp; IF(R509="","",TEXT(R509,"M/D")) &amp; " "</f>
        <v xml:space="preserve">      0.00% Install MSC Accessories  </v>
      </c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  <c r="DA509" s="94"/>
      <c r="DB509" s="94"/>
      <c r="DC509" s="94"/>
      <c r="DD509" s="94"/>
      <c r="DE509" s="94"/>
      <c r="DF509" s="94"/>
      <c r="DG509" s="94"/>
      <c r="DH509" s="94"/>
      <c r="DI509" s="94"/>
      <c r="DJ509" s="94"/>
      <c r="DK509" s="94"/>
      <c r="DL509" s="94"/>
      <c r="DM509" s="94"/>
      <c r="DN509" s="94"/>
      <c r="DO509" s="94"/>
      <c r="DP509" s="94"/>
      <c r="DQ509" s="94"/>
    </row>
    <row r="510" spans="1:121" ht="15" customHeight="1" outlineLevel="3" x14ac:dyDescent="0.3">
      <c r="A510" s="100"/>
      <c r="B510" s="100"/>
      <c r="C510" s="99">
        <v>4</v>
      </c>
      <c r="D510" s="98" t="s">
        <v>808</v>
      </c>
      <c r="H510" s="77" t="s">
        <v>650</v>
      </c>
      <c r="J510" s="94"/>
      <c r="O510" s="77" t="s">
        <v>649</v>
      </c>
      <c r="P510" s="105"/>
      <c r="Q510" s="97"/>
      <c r="R510" s="97"/>
      <c r="AB510" s="72">
        <v>1</v>
      </c>
      <c r="AE510" s="96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 t="str">
        <f>"     " &amp; TEXT(AF510,"#0.00%") &amp; " " &amp; "Check MSC rail straightness &amp; rail/load arm level" &amp; " " &amp; IF(Q510="","",TEXT(Q510,"M/D-")) &amp; IF(R510="","",TEXT(R510,"M/D")) &amp; " "</f>
        <v xml:space="preserve">     0.00% Check MSC rail straightness &amp; rail/load arm level  </v>
      </c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  <c r="DA510" s="94"/>
      <c r="DB510" s="94"/>
      <c r="DC510" s="94"/>
      <c r="DD510" s="94"/>
      <c r="DE510" s="94"/>
      <c r="DF510" s="94"/>
      <c r="DG510" s="94"/>
      <c r="DH510" s="94"/>
      <c r="DI510" s="94"/>
      <c r="DJ510" s="94"/>
      <c r="DK510" s="94"/>
      <c r="DL510" s="94"/>
      <c r="DM510" s="94"/>
      <c r="DN510" s="94"/>
      <c r="DO510" s="94"/>
      <c r="DP510" s="94"/>
      <c r="DQ510" s="94"/>
    </row>
    <row r="511" spans="1:121" ht="15" customHeight="1" outlineLevel="3" x14ac:dyDescent="0.3">
      <c r="A511" s="100"/>
      <c r="B511" s="100"/>
      <c r="C511" s="99">
        <v>4</v>
      </c>
      <c r="D511" s="98" t="s">
        <v>807</v>
      </c>
      <c r="H511" s="77" t="s">
        <v>644</v>
      </c>
      <c r="J511" s="94"/>
      <c r="O511" s="77" t="s">
        <v>643</v>
      </c>
      <c r="P511" s="105"/>
      <c r="Q511" s="97"/>
      <c r="R511" s="97"/>
      <c r="AB511" s="72">
        <v>1</v>
      </c>
      <c r="AE511" s="96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94"/>
      <c r="BZ511" s="94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4"/>
      <c r="CN511" s="94"/>
      <c r="CO511" s="94"/>
      <c r="CP511" s="94" t="str">
        <f>"    " &amp; TEXT(AF511,"#0.00%") &amp; " " &amp; "Install Smoke Detector" &amp; " " &amp; IF(Q511="","",TEXT(Q511,"M/D-")) &amp; IF(R511="","",TEXT(R511,"M/D")) &amp; " "</f>
        <v xml:space="preserve">    0.00% Install Smoke Detector  </v>
      </c>
      <c r="CQ511" s="94"/>
      <c r="CR511" s="94"/>
      <c r="CS511" s="94"/>
      <c r="CT511" s="94"/>
      <c r="CU511" s="94"/>
      <c r="CV511" s="94"/>
      <c r="CW511" s="94"/>
      <c r="CX511" s="94"/>
      <c r="CY511" s="94"/>
      <c r="CZ511" s="94"/>
      <c r="DA511" s="94"/>
      <c r="DB511" s="94"/>
      <c r="DC511" s="94"/>
      <c r="DD511" s="94"/>
      <c r="DE511" s="94"/>
      <c r="DF511" s="94"/>
      <c r="DG511" s="94"/>
      <c r="DH511" s="94"/>
      <c r="DI511" s="94"/>
      <c r="DJ511" s="94"/>
      <c r="DK511" s="94"/>
      <c r="DL511" s="94"/>
      <c r="DM511" s="94"/>
      <c r="DN511" s="94"/>
      <c r="DO511" s="94"/>
      <c r="DP511" s="94"/>
      <c r="DQ511" s="94"/>
    </row>
    <row r="512" spans="1:121" ht="15" customHeight="1" outlineLevel="3" x14ac:dyDescent="0.3">
      <c r="A512" s="100"/>
      <c r="B512" s="100"/>
      <c r="C512" s="99">
        <v>4</v>
      </c>
      <c r="D512" s="98" t="s">
        <v>806</v>
      </c>
      <c r="H512" s="77" t="s">
        <v>641</v>
      </c>
      <c r="J512" s="94"/>
      <c r="O512" s="77" t="s">
        <v>640</v>
      </c>
      <c r="P512" s="105"/>
      <c r="Q512" s="97"/>
      <c r="R512" s="97"/>
      <c r="AB512" s="72">
        <v>1</v>
      </c>
      <c r="AE512" s="96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94"/>
      <c r="BZ512" s="94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4"/>
      <c r="CN512" s="94"/>
      <c r="CO512" s="94"/>
      <c r="CP512" s="94" t="str">
        <f>"   " &amp; TEXT(AF512,"#0.00%") &amp; " " &amp; "install fence" &amp; " " &amp; IF(Q512="","",TEXT(Q512,"M/D-")) &amp; IF(R512="","",TEXT(R512,"M/D")) &amp; " "</f>
        <v xml:space="preserve">   0.00% install fence  </v>
      </c>
      <c r="CQ512" s="94"/>
      <c r="CR512" s="94"/>
      <c r="CS512" s="94"/>
      <c r="CT512" s="94"/>
      <c r="CU512" s="94"/>
      <c r="CV512" s="94"/>
      <c r="CW512" s="94"/>
      <c r="CX512" s="94"/>
      <c r="CY512" s="94"/>
      <c r="CZ512" s="94"/>
      <c r="DA512" s="94"/>
      <c r="DB512" s="94"/>
      <c r="DC512" s="94"/>
      <c r="DD512" s="94"/>
      <c r="DE512" s="94"/>
      <c r="DF512" s="94"/>
      <c r="DG512" s="94"/>
      <c r="DH512" s="94"/>
      <c r="DI512" s="94"/>
      <c r="DJ512" s="94"/>
      <c r="DK512" s="94"/>
      <c r="DL512" s="94"/>
      <c r="DM512" s="94"/>
      <c r="DN512" s="94"/>
      <c r="DO512" s="94"/>
      <c r="DP512" s="94"/>
      <c r="DQ512" s="94"/>
    </row>
    <row r="513" spans="1:121" ht="15" customHeight="1" outlineLevel="3" x14ac:dyDescent="0.3">
      <c r="A513" s="100"/>
      <c r="B513" s="100"/>
      <c r="C513" s="99">
        <v>4</v>
      </c>
      <c r="D513" s="98" t="s">
        <v>805</v>
      </c>
      <c r="H513" s="77" t="s">
        <v>638</v>
      </c>
      <c r="J513" s="94"/>
      <c r="O513" s="77" t="s">
        <v>515</v>
      </c>
      <c r="P513" s="105"/>
      <c r="Q513" s="97"/>
      <c r="R513" s="97"/>
      <c r="AB513" s="72">
        <v>1</v>
      </c>
      <c r="AE513" s="96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94"/>
      <c r="BZ513" s="94"/>
      <c r="CA513" s="94"/>
      <c r="CB513" s="94"/>
      <c r="CC513" s="94"/>
      <c r="CD513" s="94"/>
      <c r="CE513" s="94"/>
      <c r="CF513" s="94"/>
      <c r="CG513" s="94"/>
      <c r="CH513" s="94"/>
      <c r="CI513" s="94"/>
      <c r="CJ513" s="94"/>
      <c r="CK513" s="94"/>
      <c r="CL513" s="94"/>
      <c r="CM513" s="94"/>
      <c r="CN513" s="94"/>
      <c r="CO513" s="94"/>
      <c r="CP513" s="94"/>
      <c r="CQ513" s="94" t="str">
        <f>"  " &amp; TEXT(AF513,"#0.00%") &amp; " " &amp; "Grouting &amp; Cleaning" &amp; " " &amp; IF(Q513="","",TEXT(Q513,"M/D-")) &amp; IF(R513="","",TEXT(R513,"M/D")) &amp; " "</f>
        <v xml:space="preserve">  0.00% Grouting &amp; Cleaning  </v>
      </c>
      <c r="CR513" s="94"/>
      <c r="CS513" s="94"/>
      <c r="CT513" s="94"/>
      <c r="CU513" s="94"/>
      <c r="CV513" s="94"/>
      <c r="CW513" s="94"/>
      <c r="CX513" s="94"/>
      <c r="CY513" s="94"/>
      <c r="CZ513" s="94"/>
      <c r="DA513" s="94"/>
      <c r="DB513" s="94"/>
      <c r="DC513" s="94"/>
      <c r="DD513" s="94"/>
      <c r="DE513" s="94"/>
      <c r="DF513" s="94"/>
      <c r="DG513" s="94"/>
      <c r="DH513" s="94"/>
      <c r="DI513" s="94"/>
      <c r="DJ513" s="94"/>
      <c r="DK513" s="94"/>
      <c r="DL513" s="94"/>
      <c r="DM513" s="94"/>
      <c r="DN513" s="94"/>
      <c r="DO513" s="94"/>
      <c r="DP513" s="94"/>
      <c r="DQ513" s="94"/>
    </row>
    <row r="514" spans="1:121" ht="15" customHeight="1" outlineLevel="2" x14ac:dyDescent="0.3">
      <c r="A514" s="100"/>
      <c r="B514" s="100" t="s">
        <v>298</v>
      </c>
      <c r="C514" s="99">
        <v>3</v>
      </c>
      <c r="D514" s="98" t="s">
        <v>804</v>
      </c>
      <c r="F514" s="94"/>
      <c r="G514" s="77" t="s">
        <v>803</v>
      </c>
      <c r="O514" s="94" t="s">
        <v>419</v>
      </c>
      <c r="Q514" s="97"/>
      <c r="R514" s="97"/>
      <c r="AE514" s="96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94"/>
      <c r="BZ514" s="94"/>
      <c r="CA514" s="94"/>
      <c r="CB514" s="94"/>
      <c r="CC514" s="94"/>
      <c r="CD514" s="94"/>
      <c r="CE514" s="94"/>
      <c r="CF514" s="94"/>
      <c r="CG514" s="94"/>
      <c r="CH514" s="94"/>
      <c r="CI514" s="94"/>
      <c r="CJ514" s="94"/>
      <c r="CK514" s="94"/>
      <c r="CL514" s="94" t="str">
        <f>"   " &amp; TEXT(AF514,"#0.00%") &amp; " "</f>
        <v xml:space="preserve">   0.00% </v>
      </c>
      <c r="CM514" s="94"/>
      <c r="CN514" s="94"/>
      <c r="CO514" s="94"/>
      <c r="CP514" s="94" t="str">
        <f>"    " &amp; "Empty Tray(South)" &amp; " " &amp; IF(Q514="","",TEXT(Q514,"M/D-")) &amp; IF(R514="","",TEXT(R514,"M/D")) &amp; " "</f>
        <v xml:space="preserve">    Empty Tray(South)  </v>
      </c>
      <c r="CQ514" s="94"/>
      <c r="CR514" s="94"/>
      <c r="CS514" s="94"/>
      <c r="CT514" s="94"/>
      <c r="CU514" s="94"/>
      <c r="CV514" s="94"/>
      <c r="CW514" s="94"/>
      <c r="CX514" s="94"/>
      <c r="CY514" s="94"/>
      <c r="CZ514" s="94"/>
      <c r="DA514" s="94"/>
      <c r="DB514" s="94"/>
      <c r="DC514" s="94"/>
      <c r="DD514" s="94"/>
      <c r="DE514" s="94"/>
      <c r="DF514" s="94"/>
      <c r="DG514" s="94"/>
      <c r="DH514" s="94"/>
      <c r="DI514" s="94"/>
      <c r="DJ514" s="94"/>
      <c r="DK514" s="94"/>
      <c r="DL514" s="94"/>
      <c r="DM514" s="94"/>
      <c r="DN514" s="94"/>
      <c r="DO514" s="94"/>
      <c r="DP514" s="94"/>
      <c r="DQ514" s="94"/>
    </row>
    <row r="515" spans="1:121" ht="15" customHeight="1" outlineLevel="3" x14ac:dyDescent="0.3">
      <c r="A515" s="100"/>
      <c r="B515" s="100"/>
      <c r="C515" s="99">
        <v>4</v>
      </c>
      <c r="D515" s="98" t="s">
        <v>802</v>
      </c>
      <c r="F515" s="94"/>
      <c r="H515" s="77" t="s">
        <v>534</v>
      </c>
      <c r="O515" s="94" t="s">
        <v>708</v>
      </c>
      <c r="Q515" s="97"/>
      <c r="R515" s="97"/>
      <c r="AB515" s="72">
        <v>1</v>
      </c>
      <c r="AE515" s="96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94"/>
      <c r="BZ515" s="94"/>
      <c r="CA515" s="94"/>
      <c r="CB515" s="94"/>
      <c r="CC515" s="94"/>
      <c r="CD515" s="94"/>
      <c r="CE515" s="94"/>
      <c r="CF515" s="94"/>
      <c r="CG515" s="94"/>
      <c r="CH515" s="94"/>
      <c r="CI515" s="94"/>
      <c r="CJ515" s="94"/>
      <c r="CK515" s="94"/>
      <c r="CL515" s="94" t="str">
        <f>"   " &amp; TEXT(AF515,"#0.00%") &amp; " " &amp; "Line Marking" &amp; " " &amp; IF(Q515="","",TEXT(Q515,"M/D-")) &amp; IF(R515="","",TEXT(R515,"M/D")) &amp; " "</f>
        <v xml:space="preserve">   0.00% Line Marking  </v>
      </c>
      <c r="CM515" s="94"/>
      <c r="CN515" s="94"/>
      <c r="CO515" s="94"/>
      <c r="CP515" s="94"/>
      <c r="CQ515" s="94"/>
      <c r="CR515" s="94"/>
      <c r="CS515" s="94"/>
      <c r="CT515" s="94"/>
      <c r="CU515" s="94"/>
      <c r="CV515" s="94"/>
      <c r="CW515" s="94"/>
      <c r="CX515" s="94"/>
      <c r="CY515" s="94"/>
      <c r="CZ515" s="94"/>
      <c r="DA515" s="94"/>
      <c r="DB515" s="94"/>
      <c r="DC515" s="94"/>
      <c r="DD515" s="94"/>
      <c r="DE515" s="94"/>
      <c r="DF515" s="94"/>
      <c r="DG515" s="94"/>
      <c r="DH515" s="94"/>
      <c r="DI515" s="94"/>
      <c r="DJ515" s="94"/>
      <c r="DK515" s="94"/>
      <c r="DL515" s="94"/>
      <c r="DM515" s="94"/>
      <c r="DN515" s="94"/>
      <c r="DO515" s="94"/>
      <c r="DP515" s="94"/>
      <c r="DQ515" s="94"/>
    </row>
    <row r="516" spans="1:121" ht="15" customHeight="1" outlineLevel="3" x14ac:dyDescent="0.3">
      <c r="A516" s="100"/>
      <c r="B516" s="100"/>
      <c r="C516" s="99">
        <v>4</v>
      </c>
      <c r="D516" s="98" t="s">
        <v>801</v>
      </c>
      <c r="F516" s="94"/>
      <c r="H516" s="94" t="s">
        <v>712</v>
      </c>
      <c r="O516" s="94" t="s">
        <v>708</v>
      </c>
      <c r="Q516" s="97"/>
      <c r="R516" s="97"/>
      <c r="AB516" s="72">
        <v>1</v>
      </c>
      <c r="AE516" s="96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94"/>
      <c r="BZ516" s="94"/>
      <c r="CA516" s="94"/>
      <c r="CB516" s="94"/>
      <c r="CC516" s="94"/>
      <c r="CD516" s="94"/>
      <c r="CE516" s="94"/>
      <c r="CF516" s="94"/>
      <c r="CG516" s="94"/>
      <c r="CH516" s="94" t="str">
        <f>"     " &amp; TEXT(AF516,"#0.00%") &amp; " " &amp; "Check Floor Level" &amp; " " &amp; IF(Q516="","",TEXT(Q516,"M/D-")) &amp; IF(R516="","",TEXT(R516,"M/D")) &amp; " "</f>
        <v xml:space="preserve">     0.00% Check Floor Level  </v>
      </c>
      <c r="CI516" s="94"/>
      <c r="CJ516" s="94"/>
      <c r="CK516" s="94"/>
      <c r="CL516" s="94"/>
      <c r="CM516" s="94"/>
      <c r="CN516" s="94"/>
      <c r="CO516" s="94"/>
      <c r="CP516" s="94"/>
      <c r="CQ516" s="94"/>
      <c r="CR516" s="94"/>
      <c r="CS516" s="94"/>
      <c r="CT516" s="94"/>
      <c r="CU516" s="94"/>
      <c r="CV516" s="94"/>
      <c r="CW516" s="94"/>
      <c r="CX516" s="94"/>
      <c r="CY516" s="94"/>
      <c r="CZ516" s="94"/>
      <c r="DA516" s="94"/>
      <c r="DB516" s="94"/>
      <c r="DC516" s="94"/>
      <c r="DD516" s="94"/>
      <c r="DE516" s="94"/>
      <c r="DF516" s="94"/>
      <c r="DG516" s="94"/>
      <c r="DH516" s="94"/>
      <c r="DI516" s="94"/>
      <c r="DJ516" s="94"/>
      <c r="DK516" s="94"/>
      <c r="DL516" s="94"/>
      <c r="DM516" s="94"/>
      <c r="DN516" s="94"/>
      <c r="DO516" s="94"/>
      <c r="DP516" s="94"/>
      <c r="DQ516" s="94"/>
    </row>
    <row r="517" spans="1:121" ht="15" customHeight="1" outlineLevel="3" x14ac:dyDescent="0.3">
      <c r="A517" s="100"/>
      <c r="B517" s="100"/>
      <c r="C517" s="99">
        <v>4</v>
      </c>
      <c r="D517" s="98" t="s">
        <v>800</v>
      </c>
      <c r="F517" s="94"/>
      <c r="H517" s="77" t="s">
        <v>532</v>
      </c>
      <c r="O517" s="94" t="s">
        <v>708</v>
      </c>
      <c r="Q517" s="97"/>
      <c r="R517" s="97"/>
      <c r="AB517" s="72">
        <v>1</v>
      </c>
      <c r="AE517" s="96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/>
      <c r="BO517" s="102"/>
      <c r="BP517" s="102"/>
      <c r="BQ517" s="102"/>
      <c r="BR517" s="102"/>
      <c r="BS517" s="102"/>
      <c r="BT517" s="102"/>
      <c r="BU517" s="102"/>
      <c r="BV517" s="102"/>
      <c r="BW517" s="102"/>
      <c r="BX517" s="102"/>
      <c r="BY517" s="94"/>
      <c r="BZ517" s="94"/>
      <c r="CA517" s="94"/>
      <c r="CB517" s="94"/>
      <c r="CC517" s="94"/>
      <c r="CD517" s="94"/>
      <c r="CE517" s="94"/>
      <c r="CF517" s="94"/>
      <c r="CG517" s="94"/>
      <c r="CH517" s="94" t="str">
        <f>"     " &amp; TEXT(AF517,"#0.00%") &amp; " " &amp; "Check Line Marking" &amp; " " &amp; IF(Q517="","",TEXT(Q517,"M/D-")) &amp; IF(R517="","",TEXT(R517,"M/D")) &amp; " "</f>
        <v xml:space="preserve">     0.00% Check Line Marking  </v>
      </c>
      <c r="CI517" s="94"/>
      <c r="CJ517" s="94"/>
      <c r="CK517" s="94"/>
      <c r="CL517" s="94"/>
      <c r="CM517" s="94"/>
      <c r="CN517" s="94"/>
      <c r="CO517" s="94"/>
      <c r="CP517" s="94"/>
      <c r="CQ517" s="94"/>
      <c r="CR517" s="94"/>
      <c r="CS517" s="94"/>
      <c r="CT517" s="94"/>
      <c r="CU517" s="94"/>
      <c r="CV517" s="94"/>
      <c r="CW517" s="94"/>
      <c r="CX517" s="94"/>
      <c r="CY517" s="94"/>
      <c r="CZ517" s="94"/>
      <c r="DA517" s="94"/>
      <c r="DB517" s="94"/>
      <c r="DC517" s="94"/>
      <c r="DD517" s="94"/>
      <c r="DE517" s="94"/>
      <c r="DF517" s="94"/>
      <c r="DG517" s="94"/>
      <c r="DH517" s="94"/>
      <c r="DI517" s="94"/>
      <c r="DJ517" s="94"/>
      <c r="DK517" s="94"/>
      <c r="DL517" s="94"/>
      <c r="DM517" s="94"/>
      <c r="DN517" s="94"/>
      <c r="DO517" s="94"/>
      <c r="DP517" s="94"/>
      <c r="DQ517" s="94"/>
    </row>
    <row r="518" spans="1:121" ht="15" customHeight="1" outlineLevel="3" x14ac:dyDescent="0.3">
      <c r="A518" s="100"/>
      <c r="B518" s="100"/>
      <c r="C518" s="99">
        <v>4</v>
      </c>
      <c r="D518" s="98" t="s">
        <v>799</v>
      </c>
      <c r="F518" s="94"/>
      <c r="H518" s="77" t="s">
        <v>589</v>
      </c>
      <c r="O518" s="94" t="s">
        <v>708</v>
      </c>
      <c r="Q518" s="97"/>
      <c r="R518" s="97"/>
      <c r="AB518" s="72">
        <v>1</v>
      </c>
      <c r="AE518" s="96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/>
      <c r="BO518" s="102"/>
      <c r="BP518" s="102"/>
      <c r="BQ518" s="102"/>
      <c r="BR518" s="102"/>
      <c r="BS518" s="102"/>
      <c r="BT518" s="102"/>
      <c r="BU518" s="102"/>
      <c r="BV518" s="102"/>
      <c r="BW518" s="102"/>
      <c r="BX518" s="102"/>
      <c r="BY518" s="94"/>
      <c r="BZ518" s="94"/>
      <c r="CA518" s="94"/>
      <c r="CB518" s="94"/>
      <c r="CC518" s="94"/>
      <c r="CD518" s="94"/>
      <c r="CE518" s="94"/>
      <c r="CF518" s="94"/>
      <c r="CG518" s="94"/>
      <c r="CH518" s="94"/>
      <c r="CI518" s="94" t="str">
        <f>" " &amp; TEXT(AF518,"#0.00%") &amp; " " &amp; "Drilling Anchor Hole" &amp; " " &amp; IF(Q518="","",TEXT(Q518,"M/D-")) &amp; IF(R518="","",TEXT(R518,"M/D")) &amp; " "</f>
        <v xml:space="preserve"> 0.00% Drilling Anchor Hole  </v>
      </c>
      <c r="CJ518" s="94"/>
      <c r="CK518" s="94"/>
      <c r="CL518" s="94"/>
      <c r="CM518" s="94"/>
      <c r="CN518" s="94"/>
      <c r="CO518" s="94"/>
      <c r="CP518" s="94"/>
      <c r="CQ518" s="94"/>
      <c r="CR518" s="94"/>
      <c r="CS518" s="94"/>
      <c r="CT518" s="94"/>
      <c r="CU518" s="94"/>
      <c r="CV518" s="94"/>
      <c r="CW518" s="94"/>
      <c r="CX518" s="94"/>
      <c r="CY518" s="94"/>
      <c r="CZ518" s="94"/>
      <c r="DA518" s="94"/>
      <c r="DB518" s="94"/>
      <c r="DC518" s="94"/>
      <c r="DD518" s="94"/>
      <c r="DE518" s="94"/>
      <c r="DF518" s="94"/>
      <c r="DG518" s="94"/>
      <c r="DH518" s="94"/>
      <c r="DI518" s="94"/>
      <c r="DJ518" s="94"/>
      <c r="DK518" s="94"/>
      <c r="DL518" s="94"/>
      <c r="DM518" s="94"/>
      <c r="DN518" s="94"/>
      <c r="DO518" s="94"/>
      <c r="DP518" s="94"/>
      <c r="DQ518" s="94"/>
    </row>
    <row r="519" spans="1:121" ht="15" customHeight="1" outlineLevel="3" x14ac:dyDescent="0.3">
      <c r="A519" s="100"/>
      <c r="B519" s="100"/>
      <c r="C519" s="99">
        <v>4</v>
      </c>
      <c r="D519" s="98" t="s">
        <v>798</v>
      </c>
      <c r="F519" s="94"/>
      <c r="H519" s="77" t="s">
        <v>530</v>
      </c>
      <c r="O519" s="94" t="s">
        <v>708</v>
      </c>
      <c r="Q519" s="97"/>
      <c r="R519" s="97"/>
      <c r="AB519" s="72">
        <v>1</v>
      </c>
      <c r="AE519" s="96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94"/>
      <c r="BZ519" s="94"/>
      <c r="CA519" s="94"/>
      <c r="CB519" s="94"/>
      <c r="CC519" s="94"/>
      <c r="CD519" s="94"/>
      <c r="CE519" s="94"/>
      <c r="CF519" s="94"/>
      <c r="CG519" s="94"/>
      <c r="CH519" s="94"/>
      <c r="CI519" s="94" t="str">
        <f>"" &amp; TEXT(AF519,"#0.00%") &amp; " "</f>
        <v xml:space="preserve">0.00% </v>
      </c>
      <c r="CJ519" s="94"/>
      <c r="CK519" s="94"/>
      <c r="CL519" s="94"/>
      <c r="CM519" s="94"/>
      <c r="CN519" s="94"/>
      <c r="CO519" s="94"/>
      <c r="CP519" s="94" t="str">
        <f>" " &amp; "Move In" &amp; " " &amp; IF(Q519="","",TEXT(Q519,"M/D-")) &amp; IF(R519="","",TEXT(R519,"M/D")) &amp; " "</f>
        <v xml:space="preserve"> Move In  </v>
      </c>
      <c r="CQ519" s="94"/>
      <c r="CR519" s="94"/>
      <c r="CS519" s="94"/>
      <c r="CT519" s="94"/>
      <c r="CU519" s="94"/>
      <c r="CV519" s="94"/>
      <c r="CW519" s="94"/>
      <c r="CX519" s="94"/>
      <c r="CY519" s="94"/>
      <c r="CZ519" s="94"/>
      <c r="DA519" s="94"/>
      <c r="DB519" s="94"/>
      <c r="DC519" s="94"/>
      <c r="DD519" s="94"/>
      <c r="DE519" s="94"/>
      <c r="DF519" s="94"/>
      <c r="DG519" s="94"/>
      <c r="DH519" s="94"/>
      <c r="DI519" s="94"/>
      <c r="DJ519" s="94"/>
      <c r="DK519" s="94"/>
      <c r="DL519" s="94"/>
      <c r="DM519" s="94"/>
      <c r="DN519" s="94"/>
      <c r="DO519" s="94"/>
      <c r="DP519" s="94"/>
      <c r="DQ519" s="94"/>
    </row>
    <row r="520" spans="1:121" ht="15" customHeight="1" outlineLevel="3" x14ac:dyDescent="0.3">
      <c r="A520" s="100"/>
      <c r="B520" s="100"/>
      <c r="C520" s="99">
        <v>4</v>
      </c>
      <c r="D520" s="98" t="s">
        <v>797</v>
      </c>
      <c r="F520" s="94"/>
      <c r="H520" s="77" t="s">
        <v>550</v>
      </c>
      <c r="O520" s="94" t="s">
        <v>640</v>
      </c>
      <c r="Q520" s="97"/>
      <c r="R520" s="97"/>
      <c r="AB520" s="72">
        <v>1</v>
      </c>
      <c r="AE520" s="96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94"/>
      <c r="BZ520" s="94"/>
      <c r="CA520" s="94"/>
      <c r="CB520" s="94"/>
      <c r="CC520" s="94"/>
      <c r="CD520" s="94"/>
      <c r="CE520" s="94"/>
      <c r="CF520" s="94"/>
      <c r="CG520" s="94"/>
      <c r="CH520" s="94"/>
      <c r="CI520" s="94" t="str">
        <f>" " &amp; TEXT(AF520,"#0.00%") &amp; " " &amp; "Install Anchor" &amp; " " &amp; IF(Q520="","",TEXT(Q520,"M/D-")) &amp; IF(R520="","",TEXT(R520,"M/D")) &amp; " "</f>
        <v xml:space="preserve"> 0.00% Install Anchor  </v>
      </c>
      <c r="CJ520" s="94"/>
      <c r="CK520" s="94"/>
      <c r="CL520" s="94"/>
      <c r="CM520" s="94"/>
      <c r="CN520" s="94"/>
      <c r="CO520" s="94"/>
      <c r="CP520" s="94"/>
      <c r="CQ520" s="94"/>
      <c r="CR520" s="94"/>
      <c r="CS520" s="94"/>
      <c r="CT520" s="94"/>
      <c r="CU520" s="94"/>
      <c r="CV520" s="94"/>
      <c r="CW520" s="94"/>
      <c r="CX520" s="94"/>
      <c r="CY520" s="94"/>
      <c r="CZ520" s="94"/>
      <c r="DA520" s="94"/>
      <c r="DB520" s="94"/>
      <c r="DC520" s="94"/>
      <c r="DD520" s="94"/>
      <c r="DE520" s="94"/>
      <c r="DF520" s="94"/>
      <c r="DG520" s="94"/>
      <c r="DH520" s="94"/>
      <c r="DI520" s="94"/>
      <c r="DJ520" s="94"/>
      <c r="DK520" s="94"/>
      <c r="DL520" s="94"/>
      <c r="DM520" s="94"/>
      <c r="DN520" s="94"/>
      <c r="DO520" s="94"/>
      <c r="DP520" s="94"/>
      <c r="DQ520" s="94"/>
    </row>
    <row r="521" spans="1:121" ht="15" customHeight="1" outlineLevel="3" x14ac:dyDescent="0.3">
      <c r="A521" s="100"/>
      <c r="B521" s="100"/>
      <c r="C521" s="99">
        <v>4</v>
      </c>
      <c r="D521" s="98" t="s">
        <v>796</v>
      </c>
      <c r="F521" s="94"/>
      <c r="H521" s="77" t="s">
        <v>697</v>
      </c>
      <c r="O521" s="94" t="s">
        <v>640</v>
      </c>
      <c r="Q521" s="97"/>
      <c r="R521" s="97"/>
      <c r="AB521" s="72">
        <v>1</v>
      </c>
      <c r="AE521" s="96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94"/>
      <c r="BZ521" s="94"/>
      <c r="CA521" s="94"/>
      <c r="CB521" s="94"/>
      <c r="CC521" s="94"/>
      <c r="CD521" s="94"/>
      <c r="CE521" s="94"/>
      <c r="CF521" s="94"/>
      <c r="CG521" s="94"/>
      <c r="CH521" s="94"/>
      <c r="CI521" s="94" t="str">
        <f>"  " &amp; TEXT(AF521,"#0.00%") &amp; " " &amp; "Install Liner" &amp; " " &amp; IF(Q521="","",TEXT(Q521,"M/D-")) &amp; IF(R521="","",TEXT(R521,"M/D")) &amp; " "</f>
        <v xml:space="preserve">  0.00% Install Liner  </v>
      </c>
      <c r="CJ521" s="94"/>
      <c r="CK521" s="94"/>
      <c r="CL521" s="94"/>
      <c r="CM521" s="94"/>
      <c r="CN521" s="94"/>
      <c r="CO521" s="94"/>
      <c r="CP521" s="94"/>
      <c r="CQ521" s="94"/>
      <c r="CR521" s="94"/>
      <c r="CS521" s="94"/>
      <c r="CT521" s="94"/>
      <c r="CU521" s="94"/>
      <c r="CV521" s="94"/>
      <c r="CW521" s="94"/>
      <c r="CX521" s="94"/>
      <c r="CY521" s="94"/>
      <c r="CZ521" s="94"/>
      <c r="DA521" s="94"/>
      <c r="DB521" s="94"/>
      <c r="DC521" s="94"/>
      <c r="DD521" s="94"/>
      <c r="DE521" s="94"/>
      <c r="DF521" s="94"/>
      <c r="DG521" s="94"/>
      <c r="DH521" s="94"/>
      <c r="DI521" s="94"/>
      <c r="DJ521" s="94"/>
      <c r="DK521" s="94"/>
      <c r="DL521" s="94"/>
      <c r="DM521" s="94"/>
      <c r="DN521" s="94"/>
      <c r="DO521" s="94"/>
      <c r="DP521" s="94"/>
      <c r="DQ521" s="94"/>
    </row>
    <row r="522" spans="1:121" ht="15" customHeight="1" outlineLevel="3" x14ac:dyDescent="0.3">
      <c r="A522" s="100"/>
      <c r="B522" s="100"/>
      <c r="C522" s="99">
        <v>4</v>
      </c>
      <c r="D522" s="98" t="s">
        <v>795</v>
      </c>
      <c r="F522" s="94"/>
      <c r="H522" s="77" t="s">
        <v>695</v>
      </c>
      <c r="O522" s="94" t="s">
        <v>640</v>
      </c>
      <c r="Q522" s="97"/>
      <c r="R522" s="97"/>
      <c r="AB522" s="72">
        <v>1</v>
      </c>
      <c r="AE522" s="96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94"/>
      <c r="BZ522" s="94"/>
      <c r="CA522" s="94"/>
      <c r="CB522" s="94"/>
      <c r="CC522" s="94"/>
      <c r="CD522" s="94"/>
      <c r="CE522" s="94"/>
      <c r="CF522" s="94"/>
      <c r="CG522" s="94"/>
      <c r="CH522" s="94"/>
      <c r="CI522" s="94" t="str">
        <f>"  " &amp; TEXT(AF522,"#0.00%") &amp; " " &amp; "Check Liner Leveling(Laser)" &amp; " " &amp; IF(Q522="","",TEXT(Q522,"M/D-")) &amp; IF(R522="","",TEXT(R522,"M/D")) &amp; " "</f>
        <v xml:space="preserve">  0.00% Check Liner Leveling(Laser)  </v>
      </c>
      <c r="CJ522" s="94"/>
      <c r="CK522" s="94"/>
      <c r="CL522" s="94"/>
      <c r="CM522" s="94"/>
      <c r="CN522" s="94"/>
      <c r="CO522" s="94"/>
      <c r="CP522" s="94"/>
      <c r="CQ522" s="94"/>
      <c r="CR522" s="94"/>
      <c r="CS522" s="94"/>
      <c r="CT522" s="94"/>
      <c r="CU522" s="94"/>
      <c r="CV522" s="94"/>
      <c r="CW522" s="94"/>
      <c r="CX522" s="94"/>
      <c r="CY522" s="94"/>
      <c r="CZ522" s="94"/>
      <c r="DA522" s="94"/>
      <c r="DB522" s="94"/>
      <c r="DC522" s="94"/>
      <c r="DD522" s="94"/>
      <c r="DE522" s="94"/>
      <c r="DF522" s="94"/>
      <c r="DG522" s="94"/>
      <c r="DH522" s="94"/>
      <c r="DI522" s="94"/>
      <c r="DJ522" s="94"/>
      <c r="DK522" s="94"/>
      <c r="DL522" s="94"/>
      <c r="DM522" s="94"/>
      <c r="DN522" s="94"/>
      <c r="DO522" s="94"/>
      <c r="DP522" s="94"/>
      <c r="DQ522" s="94"/>
    </row>
    <row r="523" spans="1:121" ht="15" customHeight="1" outlineLevel="3" x14ac:dyDescent="0.3">
      <c r="A523" s="100"/>
      <c r="B523" s="100"/>
      <c r="C523" s="99">
        <v>4</v>
      </c>
      <c r="D523" s="98" t="s">
        <v>794</v>
      </c>
      <c r="F523" s="94"/>
      <c r="H523" s="77" t="s">
        <v>771</v>
      </c>
      <c r="O523" s="94" t="s">
        <v>640</v>
      </c>
      <c r="Q523" s="97"/>
      <c r="R523" s="97"/>
      <c r="AB523" s="72">
        <v>1</v>
      </c>
      <c r="AE523" s="96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94"/>
      <c r="BZ523" s="94"/>
      <c r="CA523" s="94"/>
      <c r="CB523" s="94"/>
      <c r="CC523" s="94"/>
      <c r="CD523" s="94"/>
      <c r="CE523" s="94"/>
      <c r="CF523" s="94"/>
      <c r="CG523" s="94"/>
      <c r="CH523" s="94"/>
      <c r="CI523" s="94" t="str">
        <f>" " &amp; TEXT(AF523,"#0.00%") &amp; " " &amp; "Pre-Assembly Rack(2~32h)" &amp; " " &amp; IF(Q523="","",TEXT(Q523,"M/D-")) &amp; IF(R523="","",TEXT(R523,"M/D")) &amp; " "</f>
        <v xml:space="preserve"> 0.00% Pre-Assembly Rack(2~32h)  </v>
      </c>
      <c r="CJ523" s="94"/>
      <c r="CK523" s="94"/>
      <c r="CL523" s="94"/>
      <c r="CM523" s="94"/>
      <c r="CN523" s="94"/>
      <c r="CO523" s="94"/>
      <c r="CP523" s="94"/>
      <c r="CQ523" s="94"/>
      <c r="CR523" s="94"/>
      <c r="CS523" s="94"/>
      <c r="CT523" s="94"/>
      <c r="CU523" s="94"/>
      <c r="CV523" s="94"/>
      <c r="CW523" s="94"/>
      <c r="CX523" s="94"/>
      <c r="CY523" s="94"/>
      <c r="CZ523" s="94"/>
      <c r="DA523" s="94"/>
      <c r="DB523" s="94"/>
      <c r="DC523" s="94"/>
      <c r="DD523" s="94"/>
      <c r="DE523" s="94"/>
      <c r="DF523" s="94"/>
      <c r="DG523" s="94"/>
      <c r="DH523" s="94"/>
      <c r="DI523" s="94"/>
      <c r="DJ523" s="94"/>
      <c r="DK523" s="94"/>
      <c r="DL523" s="94"/>
      <c r="DM523" s="94"/>
      <c r="DN523" s="94"/>
      <c r="DO523" s="94"/>
      <c r="DP523" s="94"/>
      <c r="DQ523" s="94"/>
    </row>
    <row r="524" spans="1:121" ht="15" customHeight="1" outlineLevel="3" x14ac:dyDescent="0.3">
      <c r="A524" s="100"/>
      <c r="B524" s="100"/>
      <c r="C524" s="99">
        <v>4</v>
      </c>
      <c r="D524" s="98" t="s">
        <v>793</v>
      </c>
      <c r="F524" s="94"/>
      <c r="H524" s="77" t="s">
        <v>693</v>
      </c>
      <c r="O524" s="94" t="s">
        <v>640</v>
      </c>
      <c r="Q524" s="97"/>
      <c r="R524" s="97"/>
      <c r="AB524" s="72">
        <v>1</v>
      </c>
      <c r="AE524" s="96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94"/>
      <c r="BZ524" s="94"/>
      <c r="CA524" s="94"/>
      <c r="CB524" s="94"/>
      <c r="CC524" s="94"/>
      <c r="CD524" s="94"/>
      <c r="CE524" s="94"/>
      <c r="CF524" s="94"/>
      <c r="CG524" s="94"/>
      <c r="CH524" s="94"/>
      <c r="CI524" s="94" t="str">
        <f>"   " &amp; TEXT(AF524,"#0.00%") &amp; " " &amp; "Install Base Plate" &amp; " " &amp; IF(Q524="","",TEXT(Q524,"M/D-")) &amp; IF(R524="","",TEXT(R524,"M/D")) &amp; " "</f>
        <v xml:space="preserve">   0.00% Install Base Plate  </v>
      </c>
      <c r="CJ524" s="94"/>
      <c r="CK524" s="94"/>
      <c r="CL524" s="94"/>
      <c r="CM524" s="94"/>
      <c r="CN524" s="94"/>
      <c r="CO524" s="94"/>
      <c r="CP524" s="94"/>
      <c r="CQ524" s="94"/>
      <c r="CR524" s="94"/>
      <c r="CS524" s="94"/>
      <c r="CT524" s="94"/>
      <c r="CU524" s="94"/>
      <c r="CV524" s="94"/>
      <c r="CW524" s="94"/>
      <c r="CX524" s="94"/>
      <c r="CY524" s="94"/>
      <c r="CZ524" s="94"/>
      <c r="DA524" s="94"/>
      <c r="DB524" s="94"/>
      <c r="DC524" s="94"/>
      <c r="DD524" s="94"/>
      <c r="DE524" s="94"/>
      <c r="DF524" s="94"/>
      <c r="DG524" s="94"/>
      <c r="DH524" s="94"/>
      <c r="DI524" s="94"/>
      <c r="DJ524" s="94"/>
      <c r="DK524" s="94"/>
      <c r="DL524" s="94"/>
      <c r="DM524" s="94"/>
      <c r="DN524" s="94"/>
      <c r="DO524" s="94"/>
      <c r="DP524" s="94"/>
      <c r="DQ524" s="94"/>
    </row>
    <row r="525" spans="1:121" ht="15" customHeight="1" outlineLevel="3" x14ac:dyDescent="0.3">
      <c r="A525" s="100"/>
      <c r="B525" s="100"/>
      <c r="C525" s="99">
        <v>4</v>
      </c>
      <c r="D525" s="98" t="s">
        <v>792</v>
      </c>
      <c r="F525" s="94"/>
      <c r="H525" s="77" t="s">
        <v>674</v>
      </c>
      <c r="O525" s="94" t="s">
        <v>640</v>
      </c>
      <c r="Q525" s="97"/>
      <c r="R525" s="97"/>
      <c r="AB525" s="72">
        <v>1</v>
      </c>
      <c r="AE525" s="96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94"/>
      <c r="BZ525" s="94"/>
      <c r="CA525" s="94"/>
      <c r="CB525" s="94"/>
      <c r="CC525" s="94"/>
      <c r="CD525" s="94"/>
      <c r="CE525" s="94"/>
      <c r="CF525" s="94"/>
      <c r="CG525" s="94"/>
      <c r="CH525" s="94"/>
      <c r="CI525" s="94" t="str">
        <f>"   " &amp; TEXT(AF525,"#0.00%") &amp; " " &amp; "Install Rack&amp;Beam&amp;Bracing&amp;Rail Base(10th)" &amp; " " &amp; IF(Q525="","",TEXT(Q525,"M/D-")) &amp; IF(R525="","",TEXT(R525,"M/D")) &amp; " "</f>
        <v xml:space="preserve">   0.00% Install Rack&amp;Beam&amp;Bracing&amp;Rail Base(10th)  </v>
      </c>
      <c r="CJ525" s="94"/>
      <c r="CK525" s="94"/>
      <c r="CL525" s="94"/>
      <c r="CM525" s="94"/>
      <c r="CN525" s="94"/>
      <c r="CO525" s="94"/>
      <c r="CP525" s="94"/>
      <c r="CQ525" s="94"/>
      <c r="CR525" s="94"/>
      <c r="CS525" s="94"/>
      <c r="CT525" s="94"/>
      <c r="CU525" s="94"/>
      <c r="CV525" s="94"/>
      <c r="CW525" s="94"/>
      <c r="CX525" s="94"/>
      <c r="CY525" s="94"/>
      <c r="CZ525" s="94"/>
      <c r="DA525" s="94"/>
      <c r="DB525" s="94"/>
      <c r="DC525" s="94"/>
      <c r="DD525" s="94"/>
      <c r="DE525" s="94"/>
      <c r="DF525" s="94"/>
      <c r="DG525" s="94"/>
      <c r="DH525" s="94"/>
      <c r="DI525" s="94"/>
      <c r="DJ525" s="94"/>
      <c r="DK525" s="94"/>
      <c r="DL525" s="94"/>
      <c r="DM525" s="94"/>
      <c r="DN525" s="94"/>
      <c r="DO525" s="94"/>
      <c r="DP525" s="94"/>
      <c r="DQ525" s="94"/>
    </row>
    <row r="526" spans="1:121" ht="15" customHeight="1" outlineLevel="3" x14ac:dyDescent="0.3">
      <c r="A526" s="100"/>
      <c r="B526" s="100"/>
      <c r="C526" s="99">
        <v>4</v>
      </c>
      <c r="D526" s="98" t="s">
        <v>791</v>
      </c>
      <c r="F526" s="94"/>
      <c r="H526" s="77" t="s">
        <v>672</v>
      </c>
      <c r="O526" s="94" t="s">
        <v>640</v>
      </c>
      <c r="Q526" s="97"/>
      <c r="R526" s="97"/>
      <c r="AB526" s="72">
        <v>1</v>
      </c>
      <c r="AE526" s="96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94"/>
      <c r="BZ526" s="94"/>
      <c r="CA526" s="94"/>
      <c r="CB526" s="94"/>
      <c r="CC526" s="94"/>
      <c r="CD526" s="94"/>
      <c r="CE526" s="94"/>
      <c r="CF526" s="94"/>
      <c r="CG526" s="94"/>
      <c r="CH526" s="94"/>
      <c r="CI526" s="94"/>
      <c r="CJ526" s="94" t="str">
        <f>"" &amp; TEXT(AF526,"#0.00%") &amp; " " &amp; "Check Vertical(1~10th)" &amp; " " &amp; IF(Q526="","",TEXT(Q526,"M/D-")) &amp; IF(R526="","",TEXT(R526,"M/D")) &amp; " "</f>
        <v xml:space="preserve">0.00% Check Vertical(1~10th)  </v>
      </c>
      <c r="CK526" s="94"/>
      <c r="CL526" s="94"/>
      <c r="CM526" s="94"/>
      <c r="CN526" s="94"/>
      <c r="CO526" s="94"/>
      <c r="CP526" s="94"/>
      <c r="CQ526" s="94"/>
      <c r="CR526" s="94"/>
      <c r="CS526" s="94"/>
      <c r="CT526" s="94"/>
      <c r="CU526" s="94"/>
      <c r="CV526" s="94"/>
      <c r="CW526" s="94"/>
      <c r="CX526" s="94"/>
      <c r="CY526" s="94"/>
      <c r="CZ526" s="94"/>
      <c r="DA526" s="94"/>
      <c r="DB526" s="94"/>
      <c r="DC526" s="94"/>
      <c r="DD526" s="94"/>
      <c r="DE526" s="94"/>
      <c r="DF526" s="94"/>
      <c r="DG526" s="94"/>
      <c r="DH526" s="94"/>
      <c r="DI526" s="94"/>
      <c r="DJ526" s="94"/>
      <c r="DK526" s="94"/>
      <c r="DL526" s="94"/>
      <c r="DM526" s="94"/>
      <c r="DN526" s="94"/>
      <c r="DO526" s="94"/>
      <c r="DP526" s="94"/>
      <c r="DQ526" s="94"/>
    </row>
    <row r="527" spans="1:121" ht="15" customHeight="1" outlineLevel="3" x14ac:dyDescent="0.3">
      <c r="A527" s="100"/>
      <c r="B527" s="100"/>
      <c r="C527" s="99">
        <v>4</v>
      </c>
      <c r="D527" s="98" t="s">
        <v>790</v>
      </c>
      <c r="F527" s="94"/>
      <c r="H527" s="77" t="s">
        <v>670</v>
      </c>
      <c r="O527" s="94" t="s">
        <v>649</v>
      </c>
      <c r="Q527" s="97"/>
      <c r="R527" s="97"/>
      <c r="AB527" s="72">
        <v>1</v>
      </c>
      <c r="AE527" s="96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94"/>
      <c r="BZ527" s="94"/>
      <c r="CA527" s="94"/>
      <c r="CB527" s="94"/>
      <c r="CC527" s="94"/>
      <c r="CD527" s="94"/>
      <c r="CE527" s="94"/>
      <c r="CF527" s="94"/>
      <c r="CG527" s="94"/>
      <c r="CH527" s="94"/>
      <c r="CI527" s="94"/>
      <c r="CJ527" s="94" t="str">
        <f>"   " &amp; TEXT(AF527,"#0.00%") &amp; " " &amp; "Install MSC Rail(1st rail)" &amp; " " &amp; IF(Q527="","",TEXT(Q527,"M/D-")) &amp; IF(R527="","",TEXT(R527,"M/D")) &amp; " "</f>
        <v xml:space="preserve">   0.00% Install MSC Rail(1st rail)  </v>
      </c>
      <c r="CK527" s="94"/>
      <c r="CL527" s="94"/>
      <c r="CM527" s="94"/>
      <c r="CN527" s="94"/>
      <c r="CO527" s="94"/>
      <c r="CP527" s="94"/>
      <c r="CQ527" s="94"/>
      <c r="CR527" s="94"/>
      <c r="CS527" s="94"/>
      <c r="CT527" s="94"/>
      <c r="CU527" s="94"/>
      <c r="CV527" s="94"/>
      <c r="CW527" s="94"/>
      <c r="CX527" s="94"/>
      <c r="CY527" s="94"/>
      <c r="CZ527" s="94"/>
      <c r="DA527" s="94"/>
      <c r="DB527" s="94"/>
      <c r="DC527" s="94"/>
      <c r="DD527" s="94"/>
      <c r="DE527" s="94"/>
      <c r="DF527" s="94"/>
      <c r="DG527" s="94"/>
      <c r="DH527" s="94"/>
      <c r="DI527" s="94"/>
      <c r="DJ527" s="94"/>
      <c r="DK527" s="94"/>
      <c r="DL527" s="94"/>
      <c r="DM527" s="94"/>
      <c r="DN527" s="94"/>
      <c r="DO527" s="94"/>
      <c r="DP527" s="94"/>
      <c r="DQ527" s="94"/>
    </row>
    <row r="528" spans="1:121" ht="15" customHeight="1" outlineLevel="3" x14ac:dyDescent="0.3">
      <c r="A528" s="100"/>
      <c r="B528" s="100"/>
      <c r="C528" s="99">
        <v>4</v>
      </c>
      <c r="D528" s="98" t="s">
        <v>789</v>
      </c>
      <c r="F528" s="94"/>
      <c r="H528" s="77" t="s">
        <v>765</v>
      </c>
      <c r="O528" s="94" t="s">
        <v>649</v>
      </c>
      <c r="Q528" s="97"/>
      <c r="R528" s="97"/>
      <c r="AB528" s="72">
        <v>1</v>
      </c>
      <c r="AE528" s="96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/>
      <c r="BO528" s="102"/>
      <c r="BP528" s="102"/>
      <c r="BQ528" s="102"/>
      <c r="BR528" s="102"/>
      <c r="BS528" s="102"/>
      <c r="BT528" s="102"/>
      <c r="BU528" s="102"/>
      <c r="BV528" s="102"/>
      <c r="BW528" s="102"/>
      <c r="BX528" s="102"/>
      <c r="BY528" s="94"/>
      <c r="BZ528" s="94"/>
      <c r="CA528" s="94"/>
      <c r="CB528" s="94"/>
      <c r="CC528" s="94"/>
      <c r="CD528" s="94"/>
      <c r="CE528" s="94"/>
      <c r="CF528" s="94"/>
      <c r="CG528" s="94"/>
      <c r="CH528" s="94"/>
      <c r="CI528" s="94"/>
      <c r="CJ528" s="94" t="str">
        <f>"      " &amp; TEXT(AF528,"#0.00%") &amp; " " &amp; "Install MSC" &amp; " " &amp; IF(Q528="","",TEXT(Q528,"M/D-")) &amp; IF(R528="","",TEXT(R528,"M/D")) &amp; " "</f>
        <v xml:space="preserve">      0.00% Install MSC  </v>
      </c>
      <c r="CK528" s="94"/>
      <c r="CL528" s="94"/>
      <c r="CM528" s="94"/>
      <c r="CN528" s="94"/>
      <c r="CO528" s="94"/>
      <c r="CP528" s="94"/>
      <c r="CQ528" s="94"/>
      <c r="CR528" s="94"/>
      <c r="CS528" s="94"/>
      <c r="CT528" s="94"/>
      <c r="CU528" s="94"/>
      <c r="CV528" s="94"/>
      <c r="CW528" s="94"/>
      <c r="CX528" s="94"/>
      <c r="CY528" s="94"/>
      <c r="CZ528" s="94"/>
      <c r="DA528" s="94"/>
      <c r="DB528" s="94"/>
      <c r="DC528" s="94"/>
      <c r="DD528" s="94"/>
      <c r="DE528" s="94"/>
      <c r="DF528" s="94"/>
      <c r="DG528" s="94"/>
      <c r="DH528" s="94"/>
      <c r="DI528" s="94"/>
      <c r="DJ528" s="94"/>
      <c r="DK528" s="94"/>
      <c r="DL528" s="94"/>
      <c r="DM528" s="94"/>
      <c r="DN528" s="94"/>
      <c r="DO528" s="94"/>
      <c r="DP528" s="94"/>
      <c r="DQ528" s="94"/>
    </row>
    <row r="529" spans="1:121" ht="15" customHeight="1" outlineLevel="3" x14ac:dyDescent="0.3">
      <c r="A529" s="100"/>
      <c r="B529" s="100"/>
      <c r="C529" s="99">
        <v>4</v>
      </c>
      <c r="D529" s="98" t="s">
        <v>788</v>
      </c>
      <c r="F529" s="94"/>
      <c r="H529" s="77" t="s">
        <v>763</v>
      </c>
      <c r="O529" s="94" t="s">
        <v>640</v>
      </c>
      <c r="Q529" s="97"/>
      <c r="R529" s="97"/>
      <c r="AB529" s="72">
        <v>1</v>
      </c>
      <c r="AE529" s="96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/>
      <c r="BO529" s="102"/>
      <c r="BP529" s="102"/>
      <c r="BQ529" s="102"/>
      <c r="BR529" s="102"/>
      <c r="BS529" s="102"/>
      <c r="BT529" s="102"/>
      <c r="BU529" s="102"/>
      <c r="BV529" s="102"/>
      <c r="BW529" s="102"/>
      <c r="BX529" s="102"/>
      <c r="BY529" s="94"/>
      <c r="BZ529" s="94"/>
      <c r="CA529" s="94"/>
      <c r="CB529" s="94"/>
      <c r="CC529" s="94"/>
      <c r="CD529" s="94"/>
      <c r="CE529" s="94"/>
      <c r="CF529" s="94"/>
      <c r="CG529" s="94"/>
      <c r="CH529" s="94"/>
      <c r="CI529" s="94"/>
      <c r="CJ529" s="94"/>
      <c r="CK529" s="94" t="str">
        <f>"   " &amp; TEXT(AF529,"#0.00%") &amp; " " &amp; "Install Rack&amp;Beam&amp;Bracing&amp;Rail Base(Every 10th, ~35th)" &amp; " " &amp; IF(Q529="","",TEXT(Q529,"M/D-")) &amp; IF(R529="","",TEXT(R529,"M/D")) &amp; " "</f>
        <v xml:space="preserve">   0.00% Install Rack&amp;Beam&amp;Bracing&amp;Rail Base(Every 10th, ~35th)  </v>
      </c>
      <c r="CL529" s="94"/>
      <c r="CM529" s="94"/>
      <c r="CN529" s="94"/>
      <c r="CO529" s="94"/>
      <c r="CP529" s="94"/>
      <c r="CQ529" s="94"/>
      <c r="CR529" s="94"/>
      <c r="CS529" s="94"/>
      <c r="CT529" s="94"/>
      <c r="CU529" s="94"/>
      <c r="CV529" s="94"/>
      <c r="CW529" s="94"/>
      <c r="CX529" s="94"/>
      <c r="CY529" s="94"/>
      <c r="CZ529" s="94"/>
      <c r="DA529" s="94"/>
      <c r="DB529" s="94"/>
      <c r="DC529" s="94"/>
      <c r="DD529" s="94"/>
      <c r="DE529" s="94"/>
      <c r="DF529" s="94"/>
      <c r="DG529" s="94"/>
      <c r="DH529" s="94"/>
      <c r="DI529" s="94"/>
      <c r="DJ529" s="94"/>
      <c r="DK529" s="94"/>
      <c r="DL529" s="94"/>
      <c r="DM529" s="94"/>
      <c r="DN529" s="94"/>
      <c r="DO529" s="94"/>
      <c r="DP529" s="94"/>
      <c r="DQ529" s="94"/>
    </row>
    <row r="530" spans="1:121" ht="15" customHeight="1" outlineLevel="3" x14ac:dyDescent="0.3">
      <c r="A530" s="100"/>
      <c r="B530" s="100"/>
      <c r="C530" s="99">
        <v>4</v>
      </c>
      <c r="D530" s="98" t="s">
        <v>787</v>
      </c>
      <c r="F530" s="94"/>
      <c r="H530" s="77" t="s">
        <v>761</v>
      </c>
      <c r="O530" s="94" t="s">
        <v>640</v>
      </c>
      <c r="Q530" s="97"/>
      <c r="R530" s="97"/>
      <c r="AB530" s="72">
        <v>1</v>
      </c>
      <c r="AE530" s="96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94"/>
      <c r="BZ530" s="94"/>
      <c r="CA530" s="94"/>
      <c r="CB530" s="94"/>
      <c r="CC530" s="94"/>
      <c r="CD530" s="94"/>
      <c r="CE530" s="94"/>
      <c r="CF530" s="94"/>
      <c r="CG530" s="94"/>
      <c r="CH530" s="94"/>
      <c r="CI530" s="94"/>
      <c r="CJ530" s="94"/>
      <c r="CK530" s="94"/>
      <c r="CL530" s="94" t="str">
        <f>"" &amp; TEXT(AF530,"#0.00%") &amp; " " &amp; "Check Vertical(Every 10th, ~35th)" &amp; " " &amp; IF(Q530="","",TEXT(Q530,"M/D-")) &amp; IF(R530="","",TEXT(R530,"M/D")) &amp; " "</f>
        <v xml:space="preserve">0.00% Check Vertical(Every 10th, ~35th)  </v>
      </c>
      <c r="CM530" s="94"/>
      <c r="CN530" s="94"/>
      <c r="CO530" s="94"/>
      <c r="CP530" s="94"/>
      <c r="CQ530" s="94"/>
      <c r="CR530" s="94"/>
      <c r="CS530" s="94"/>
      <c r="CT530" s="94"/>
      <c r="CU530" s="94"/>
      <c r="CV530" s="94"/>
      <c r="CW530" s="94"/>
      <c r="CX530" s="94"/>
      <c r="CY530" s="94"/>
      <c r="CZ530" s="94"/>
      <c r="DA530" s="94"/>
      <c r="DB530" s="94"/>
      <c r="DC530" s="94"/>
      <c r="DD530" s="94"/>
      <c r="DE530" s="94"/>
      <c r="DF530" s="94"/>
      <c r="DG530" s="94"/>
      <c r="DH530" s="94"/>
      <c r="DI530" s="94"/>
      <c r="DJ530" s="94"/>
      <c r="DK530" s="94"/>
      <c r="DL530" s="94"/>
      <c r="DM530" s="94"/>
      <c r="DN530" s="94"/>
      <c r="DO530" s="94"/>
      <c r="DP530" s="94"/>
      <c r="DQ530" s="94"/>
    </row>
    <row r="531" spans="1:121" ht="15" customHeight="1" outlineLevel="3" x14ac:dyDescent="0.3">
      <c r="A531" s="100"/>
      <c r="B531" s="100"/>
      <c r="C531" s="99">
        <v>4</v>
      </c>
      <c r="D531" s="98" t="s">
        <v>786</v>
      </c>
      <c r="F531" s="94"/>
      <c r="H531" s="77" t="s">
        <v>759</v>
      </c>
      <c r="O531" s="94" t="s">
        <v>649</v>
      </c>
      <c r="Q531" s="97"/>
      <c r="R531" s="97"/>
      <c r="AB531" s="72">
        <v>1</v>
      </c>
      <c r="AE531" s="96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94"/>
      <c r="BZ531" s="94"/>
      <c r="CA531" s="94"/>
      <c r="CB531" s="94"/>
      <c r="CC531" s="94"/>
      <c r="CD531" s="94"/>
      <c r="CE531" s="94"/>
      <c r="CF531" s="94"/>
      <c r="CG531" s="94"/>
      <c r="CH531" s="94"/>
      <c r="CI531" s="94"/>
      <c r="CJ531" s="94"/>
      <c r="CK531" s="94"/>
      <c r="CL531" s="94" t="str">
        <f>" " &amp; TEXT(AF531,"#0.00%") &amp; " " &amp; "Install MSC Rail(Every 10th, ~35th)" &amp; " " &amp; IF(Q531="","",TEXT(Q531,"M/D-")) &amp; IF(R531="","",TEXT(R531,"M/D")) &amp; " "</f>
        <v xml:space="preserve"> 0.00% Install MSC Rail(Every 10th, ~35th)  </v>
      </c>
      <c r="CM531" s="94"/>
      <c r="CN531" s="94"/>
      <c r="CO531" s="94"/>
      <c r="CP531" s="94"/>
      <c r="CQ531" s="94"/>
      <c r="CR531" s="94"/>
      <c r="CS531" s="94"/>
      <c r="CT531" s="94"/>
      <c r="CU531" s="94"/>
      <c r="CV531" s="94"/>
      <c r="CW531" s="94"/>
      <c r="CX531" s="94"/>
      <c r="CY531" s="94"/>
      <c r="CZ531" s="94"/>
      <c r="DA531" s="94"/>
      <c r="DB531" s="94"/>
      <c r="DC531" s="94"/>
      <c r="DD531" s="94"/>
      <c r="DE531" s="94"/>
      <c r="DF531" s="94"/>
      <c r="DG531" s="94"/>
      <c r="DH531" s="94"/>
      <c r="DI531" s="94"/>
      <c r="DJ531" s="94"/>
      <c r="DK531" s="94"/>
      <c r="DL531" s="94"/>
      <c r="DM531" s="94"/>
      <c r="DN531" s="94"/>
      <c r="DO531" s="94"/>
      <c r="DP531" s="94"/>
      <c r="DQ531" s="94"/>
    </row>
    <row r="532" spans="1:121" ht="15" customHeight="1" outlineLevel="3" x14ac:dyDescent="0.3">
      <c r="A532" s="100"/>
      <c r="B532" s="100"/>
      <c r="C532" s="99">
        <v>4</v>
      </c>
      <c r="D532" s="98" t="s">
        <v>785</v>
      </c>
      <c r="F532" s="94"/>
      <c r="H532" s="77" t="s">
        <v>652</v>
      </c>
      <c r="O532" s="94" t="s">
        <v>649</v>
      </c>
      <c r="Q532" s="97"/>
      <c r="R532" s="97"/>
      <c r="AB532" s="72">
        <v>1</v>
      </c>
      <c r="AE532" s="96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94"/>
      <c r="BZ532" s="94"/>
      <c r="CA532" s="94"/>
      <c r="CB532" s="94"/>
      <c r="CC532" s="94"/>
      <c r="CD532" s="94"/>
      <c r="CE532" s="94"/>
      <c r="CF532" s="94"/>
      <c r="CG532" s="94"/>
      <c r="CH532" s="94"/>
      <c r="CI532" s="94"/>
      <c r="CJ532" s="94"/>
      <c r="CK532" s="94"/>
      <c r="CL532" s="94"/>
      <c r="CM532" s="94"/>
      <c r="CN532" s="94" t="str">
        <f>" " &amp; TEXT(AF532,"#0.00%") &amp; " " &amp; "Install MSC Accessories" &amp; " " &amp; IF(Q532="","",TEXT(Q532,"M/D-")) &amp; IF(R532="","",TEXT(R532,"M/D")) &amp; " "</f>
        <v xml:space="preserve"> 0.00% Install MSC Accessories  </v>
      </c>
      <c r="CO532" s="94"/>
      <c r="CP532" s="94"/>
      <c r="CQ532" s="94"/>
      <c r="CR532" s="94"/>
      <c r="CS532" s="94"/>
      <c r="CT532" s="94"/>
      <c r="CU532" s="94"/>
      <c r="CV532" s="94"/>
      <c r="CW532" s="94"/>
      <c r="CX532" s="94"/>
      <c r="CY532" s="94"/>
      <c r="CZ532" s="94"/>
      <c r="DA532" s="94"/>
      <c r="DB532" s="94"/>
      <c r="DC532" s="94"/>
      <c r="DD532" s="94"/>
      <c r="DE532" s="94"/>
      <c r="DF532" s="94"/>
      <c r="DG532" s="94"/>
      <c r="DH532" s="94"/>
      <c r="DI532" s="94"/>
      <c r="DJ532" s="94"/>
      <c r="DK532" s="94"/>
      <c r="DL532" s="94"/>
      <c r="DM532" s="94"/>
      <c r="DN532" s="94"/>
      <c r="DO532" s="94"/>
      <c r="DP532" s="94"/>
      <c r="DQ532" s="94"/>
    </row>
    <row r="533" spans="1:121" ht="15" customHeight="1" outlineLevel="3" x14ac:dyDescent="0.3">
      <c r="A533" s="100"/>
      <c r="B533" s="100"/>
      <c r="C533" s="99">
        <v>4</v>
      </c>
      <c r="D533" s="98" t="s">
        <v>784</v>
      </c>
      <c r="F533" s="94"/>
      <c r="H533" s="77" t="s">
        <v>650</v>
      </c>
      <c r="O533" s="94" t="s">
        <v>649</v>
      </c>
      <c r="Q533" s="97"/>
      <c r="R533" s="97"/>
      <c r="AB533" s="72">
        <v>1</v>
      </c>
      <c r="AE533" s="96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94"/>
      <c r="BZ533" s="94"/>
      <c r="CA533" s="94"/>
      <c r="CB533" s="94"/>
      <c r="CC533" s="94"/>
      <c r="CD533" s="94"/>
      <c r="CE533" s="94"/>
      <c r="CF533" s="94"/>
      <c r="CG533" s="94"/>
      <c r="CH533" s="94"/>
      <c r="CI533" s="94"/>
      <c r="CJ533" s="94"/>
      <c r="CK533" s="94"/>
      <c r="CL533" s="94"/>
      <c r="CM533" s="94"/>
      <c r="CN533" s="94" t="str">
        <f>"     " &amp; TEXT(AF533,"#0.00%") &amp; " " &amp; "Check MSC rail straightness &amp; rail/load arm level" &amp; " " &amp; IF(Q533="","",TEXT(Q533,"M/D-")) &amp; IF(R533="","",TEXT(R533,"M/D")) &amp; " "</f>
        <v xml:space="preserve">     0.00% Check MSC rail straightness &amp; rail/load arm level  </v>
      </c>
      <c r="CO533" s="94"/>
      <c r="CP533" s="94"/>
      <c r="CQ533" s="94"/>
      <c r="CR533" s="94"/>
      <c r="CS533" s="94"/>
      <c r="CT533" s="94"/>
      <c r="CU533" s="94"/>
      <c r="CV533" s="94"/>
      <c r="CW533" s="94"/>
      <c r="CX533" s="94"/>
      <c r="CY533" s="94"/>
      <c r="CZ533" s="94"/>
      <c r="DA533" s="94"/>
      <c r="DB533" s="94"/>
      <c r="DC533" s="94"/>
      <c r="DD533" s="94"/>
      <c r="DE533" s="94"/>
      <c r="DF533" s="94"/>
      <c r="DG533" s="94"/>
      <c r="DH533" s="94"/>
      <c r="DI533" s="94"/>
      <c r="DJ533" s="94"/>
      <c r="DK533" s="94"/>
      <c r="DL533" s="94"/>
      <c r="DM533" s="94"/>
      <c r="DN533" s="94"/>
      <c r="DO533" s="94"/>
      <c r="DP533" s="94"/>
      <c r="DQ533" s="94"/>
    </row>
    <row r="534" spans="1:121" ht="15" customHeight="1" outlineLevel="3" x14ac:dyDescent="0.3">
      <c r="A534" s="100"/>
      <c r="B534" s="100"/>
      <c r="C534" s="99">
        <v>4</v>
      </c>
      <c r="D534" s="98" t="s">
        <v>783</v>
      </c>
      <c r="F534" s="94"/>
      <c r="H534" s="77" t="s">
        <v>641</v>
      </c>
      <c r="O534" s="94" t="s">
        <v>640</v>
      </c>
      <c r="Q534" s="97"/>
      <c r="R534" s="97"/>
      <c r="AB534" s="72">
        <v>1</v>
      </c>
      <c r="AE534" s="96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94"/>
      <c r="BZ534" s="94"/>
      <c r="CA534" s="94"/>
      <c r="CB534" s="94"/>
      <c r="CC534" s="94"/>
      <c r="CD534" s="94"/>
      <c r="CE534" s="94"/>
      <c r="CF534" s="94"/>
      <c r="CG534" s="94"/>
      <c r="CH534" s="94"/>
      <c r="CI534" s="94"/>
      <c r="CJ534" s="94"/>
      <c r="CK534" s="94"/>
      <c r="CL534" s="94"/>
      <c r="CM534" s="94"/>
      <c r="CN534" s="94"/>
      <c r="CO534" s="94" t="str">
        <f>"    " &amp; TEXT(AF534,"#0.00%") &amp; " " &amp; "install fence" &amp; " " &amp; IF(Q534="","",TEXT(Q534,"M/D-")) &amp; IF(R534="","",TEXT(R534,"M/D")) &amp; " "</f>
        <v xml:space="preserve">    0.00% install fence  </v>
      </c>
      <c r="CP534" s="94"/>
      <c r="CQ534" s="94"/>
      <c r="CR534" s="94"/>
      <c r="CS534" s="94"/>
      <c r="CT534" s="94"/>
      <c r="CU534" s="94"/>
      <c r="CV534" s="94"/>
      <c r="CW534" s="94"/>
      <c r="CX534" s="94"/>
      <c r="CY534" s="94"/>
      <c r="CZ534" s="94"/>
      <c r="DA534" s="94"/>
      <c r="DB534" s="94"/>
      <c r="DC534" s="94"/>
      <c r="DD534" s="94"/>
      <c r="DE534" s="94"/>
      <c r="DF534" s="94"/>
      <c r="DG534" s="94"/>
      <c r="DH534" s="94"/>
      <c r="DI534" s="94"/>
      <c r="DJ534" s="94"/>
      <c r="DK534" s="94"/>
      <c r="DL534" s="94"/>
      <c r="DM534" s="94"/>
      <c r="DN534" s="94"/>
      <c r="DO534" s="94"/>
      <c r="DP534" s="94"/>
      <c r="DQ534" s="94"/>
    </row>
    <row r="535" spans="1:121" ht="15" customHeight="1" outlineLevel="2" x14ac:dyDescent="0.3">
      <c r="A535" s="100"/>
      <c r="B535" s="100" t="s">
        <v>298</v>
      </c>
      <c r="C535" s="99">
        <v>3</v>
      </c>
      <c r="D535" s="98" t="s">
        <v>782</v>
      </c>
      <c r="F535" s="94"/>
      <c r="G535" s="77" t="s">
        <v>781</v>
      </c>
      <c r="O535" s="94" t="s">
        <v>419</v>
      </c>
      <c r="Q535" s="97"/>
      <c r="R535" s="97"/>
      <c r="AE535" s="96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94"/>
      <c r="BZ535" s="94"/>
      <c r="CA535" s="94"/>
      <c r="CB535" s="94"/>
      <c r="CC535" s="94"/>
      <c r="CD535" s="94"/>
      <c r="CE535" s="94"/>
      <c r="CF535" s="94"/>
      <c r="CG535" s="94"/>
      <c r="CH535" s="94"/>
      <c r="CI535" s="94"/>
      <c r="CJ535" s="94"/>
      <c r="CK535" s="94" t="str">
        <f>"    " &amp; TEXT(AF535,"#0.00%") &amp; " "</f>
        <v xml:space="preserve">    0.00% </v>
      </c>
      <c r="CL535" s="94"/>
      <c r="CM535" s="94"/>
      <c r="CN535" s="94"/>
      <c r="CO535" s="94"/>
      <c r="CP535" s="94"/>
      <c r="CQ535" s="94"/>
      <c r="CR535" s="94"/>
      <c r="CS535" s="94" t="str">
        <f>" " &amp; "Empty Tray(North)" &amp; " " &amp; IF(Q535="","",TEXT(Q535,"M/D-")) &amp; IF(R535="","",TEXT(R535,"M/D")) &amp; " "</f>
        <v xml:space="preserve"> Empty Tray(North)  </v>
      </c>
      <c r="CT535" s="94"/>
      <c r="CU535" s="94"/>
      <c r="CV535" s="94"/>
      <c r="CW535" s="94"/>
      <c r="CX535" s="94"/>
      <c r="CY535" s="94"/>
      <c r="CZ535" s="94"/>
      <c r="DA535" s="94"/>
      <c r="DB535" s="94"/>
      <c r="DC535" s="94"/>
      <c r="DD535" s="94"/>
      <c r="DE535" s="94"/>
      <c r="DF535" s="94"/>
      <c r="DG535" s="94"/>
      <c r="DH535" s="94"/>
      <c r="DI535" s="94"/>
      <c r="DJ535" s="94"/>
      <c r="DK535" s="94"/>
      <c r="DL535" s="94"/>
      <c r="DM535" s="94"/>
      <c r="DN535" s="94"/>
      <c r="DO535" s="94"/>
      <c r="DP535" s="94"/>
      <c r="DQ535" s="94"/>
    </row>
    <row r="536" spans="1:121" ht="15" customHeight="1" outlineLevel="3" x14ac:dyDescent="0.3">
      <c r="A536" s="100"/>
      <c r="B536" s="100"/>
      <c r="C536" s="99">
        <v>4</v>
      </c>
      <c r="D536" s="98" t="s">
        <v>780</v>
      </c>
      <c r="F536" s="94"/>
      <c r="H536" s="77" t="s">
        <v>534</v>
      </c>
      <c r="O536" s="94" t="s">
        <v>708</v>
      </c>
      <c r="Q536" s="97"/>
      <c r="R536" s="97"/>
      <c r="AB536" s="72">
        <v>1</v>
      </c>
      <c r="AE536" s="96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94"/>
      <c r="BZ536" s="94"/>
      <c r="CA536" s="94"/>
      <c r="CB536" s="94"/>
      <c r="CC536" s="94"/>
      <c r="CD536" s="94"/>
      <c r="CE536" s="94"/>
      <c r="CF536" s="94"/>
      <c r="CG536" s="94"/>
      <c r="CH536" s="94"/>
      <c r="CI536" s="94"/>
      <c r="CJ536" s="94"/>
      <c r="CK536" s="94" t="str">
        <f>"    " &amp; TEXT(AF536,"#0.00%") &amp; " " &amp; "Line Marking" &amp; " " &amp; IF(Q536="","",TEXT(Q536,"M/D-")) &amp; IF(R536="","",TEXT(R536,"M/D")) &amp; " "</f>
        <v xml:space="preserve">    0.00% Line Marking  </v>
      </c>
      <c r="CL536" s="94"/>
      <c r="CM536" s="94"/>
      <c r="CN536" s="94"/>
      <c r="CO536" s="94"/>
      <c r="CP536" s="94"/>
      <c r="CQ536" s="94"/>
      <c r="CR536" s="94"/>
      <c r="CS536" s="94"/>
      <c r="CT536" s="94"/>
      <c r="CU536" s="94"/>
      <c r="CV536" s="94"/>
      <c r="CW536" s="94"/>
      <c r="CX536" s="94"/>
      <c r="CY536" s="94"/>
      <c r="CZ536" s="94"/>
      <c r="DA536" s="94"/>
      <c r="DB536" s="94"/>
      <c r="DC536" s="94"/>
      <c r="DD536" s="94"/>
      <c r="DE536" s="94"/>
      <c r="DF536" s="94"/>
      <c r="DG536" s="94"/>
      <c r="DH536" s="94"/>
      <c r="DI536" s="94"/>
      <c r="DJ536" s="94"/>
      <c r="DK536" s="94"/>
      <c r="DL536" s="94"/>
      <c r="DM536" s="94"/>
      <c r="DN536" s="94"/>
      <c r="DO536" s="94"/>
      <c r="DP536" s="94"/>
      <c r="DQ536" s="94"/>
    </row>
    <row r="537" spans="1:121" ht="15" customHeight="1" outlineLevel="3" x14ac:dyDescent="0.3">
      <c r="A537" s="100"/>
      <c r="B537" s="100"/>
      <c r="C537" s="99">
        <v>4</v>
      </c>
      <c r="D537" s="98" t="s">
        <v>779</v>
      </c>
      <c r="F537" s="94"/>
      <c r="H537" s="77" t="s">
        <v>712</v>
      </c>
      <c r="O537" s="94" t="s">
        <v>708</v>
      </c>
      <c r="Q537" s="97"/>
      <c r="R537" s="97"/>
      <c r="AB537" s="72">
        <v>1</v>
      </c>
      <c r="AE537" s="96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94"/>
      <c r="BZ537" s="94"/>
      <c r="CA537" s="94"/>
      <c r="CB537" s="94"/>
      <c r="CC537" s="94"/>
      <c r="CD537" s="94"/>
      <c r="CE537" s="94"/>
      <c r="CF537" s="94"/>
      <c r="CG537" s="94"/>
      <c r="CH537" s="94"/>
      <c r="CI537" s="94"/>
      <c r="CJ537" s="94"/>
      <c r="CK537" s="94" t="str">
        <f>"    " &amp; TEXT(AF537,"#0.00%") &amp; " " &amp; "Check Floor Level" &amp; " " &amp; IF(Q537="","",TEXT(Q537,"M/D-")) &amp; IF(R537="","",TEXT(R537,"M/D")) &amp; " "</f>
        <v xml:space="preserve">    0.00% Check Floor Level  </v>
      </c>
      <c r="CL537" s="94"/>
      <c r="CM537" s="94"/>
      <c r="CN537" s="94"/>
      <c r="CO537" s="94"/>
      <c r="CP537" s="94"/>
      <c r="CQ537" s="94"/>
      <c r="CR537" s="94"/>
      <c r="CS537" s="94"/>
      <c r="CT537" s="94"/>
      <c r="CU537" s="94"/>
      <c r="CV537" s="94"/>
      <c r="CW537" s="94"/>
      <c r="CX537" s="94"/>
      <c r="CY537" s="94"/>
      <c r="CZ537" s="94"/>
      <c r="DA537" s="94"/>
      <c r="DB537" s="94"/>
      <c r="DC537" s="94"/>
      <c r="DD537" s="94"/>
      <c r="DE537" s="94"/>
      <c r="DF537" s="94"/>
      <c r="DG537" s="94"/>
      <c r="DH537" s="94"/>
      <c r="DI537" s="94"/>
      <c r="DJ537" s="94"/>
      <c r="DK537" s="94"/>
      <c r="DL537" s="94"/>
      <c r="DM537" s="94"/>
      <c r="DN537" s="94"/>
      <c r="DO537" s="94"/>
      <c r="DP537" s="94"/>
      <c r="DQ537" s="94"/>
    </row>
    <row r="538" spans="1:121" ht="15" customHeight="1" outlineLevel="3" x14ac:dyDescent="0.3">
      <c r="A538" s="100"/>
      <c r="B538" s="100"/>
      <c r="C538" s="99">
        <v>4</v>
      </c>
      <c r="D538" s="98" t="s">
        <v>778</v>
      </c>
      <c r="F538" s="94"/>
      <c r="H538" s="77" t="s">
        <v>532</v>
      </c>
      <c r="O538" s="94" t="s">
        <v>708</v>
      </c>
      <c r="Q538" s="97"/>
      <c r="R538" s="97"/>
      <c r="AB538" s="72">
        <v>1</v>
      </c>
      <c r="AE538" s="96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94"/>
      <c r="BZ538" s="94"/>
      <c r="CA538" s="94"/>
      <c r="CB538" s="94"/>
      <c r="CC538" s="94"/>
      <c r="CD538" s="94"/>
      <c r="CE538" s="94"/>
      <c r="CF538" s="94"/>
      <c r="CG538" s="94"/>
      <c r="CH538" s="94"/>
      <c r="CI538" s="94"/>
      <c r="CJ538" s="94"/>
      <c r="CK538" s="94" t="str">
        <f>"    " &amp; TEXT(AF538,"#0.00%") &amp; " " &amp; "Check Line Marking" &amp; " " &amp; IF(Q538="","",TEXT(Q538,"M/D-")) &amp; IF(R538="","",TEXT(R538,"M/D")) &amp; " "</f>
        <v xml:space="preserve">    0.00% Check Line Marking  </v>
      </c>
      <c r="CL538" s="94"/>
      <c r="CM538" s="94"/>
      <c r="CN538" s="94"/>
      <c r="CO538" s="94"/>
      <c r="CP538" s="94"/>
      <c r="CQ538" s="94"/>
      <c r="CR538" s="94"/>
      <c r="CS538" s="94"/>
      <c r="CT538" s="94"/>
      <c r="CU538" s="94"/>
      <c r="CV538" s="94"/>
      <c r="CW538" s="94"/>
      <c r="CX538" s="94"/>
      <c r="CY538" s="94"/>
      <c r="CZ538" s="94"/>
      <c r="DA538" s="94"/>
      <c r="DB538" s="94"/>
      <c r="DC538" s="94"/>
      <c r="DD538" s="94"/>
      <c r="DE538" s="94"/>
      <c r="DF538" s="94"/>
      <c r="DG538" s="94"/>
      <c r="DH538" s="94"/>
      <c r="DI538" s="94"/>
      <c r="DJ538" s="94"/>
      <c r="DK538" s="94"/>
      <c r="DL538" s="94"/>
      <c r="DM538" s="94"/>
      <c r="DN538" s="94"/>
      <c r="DO538" s="94"/>
      <c r="DP538" s="94"/>
      <c r="DQ538" s="94"/>
    </row>
    <row r="539" spans="1:121" ht="15" customHeight="1" outlineLevel="3" x14ac:dyDescent="0.3">
      <c r="A539" s="100"/>
      <c r="B539" s="100"/>
      <c r="C539" s="99">
        <v>4</v>
      </c>
      <c r="D539" s="98" t="s">
        <v>777</v>
      </c>
      <c r="F539" s="94"/>
      <c r="H539" s="94" t="s">
        <v>589</v>
      </c>
      <c r="O539" s="94" t="s">
        <v>708</v>
      </c>
      <c r="Q539" s="97"/>
      <c r="R539" s="97"/>
      <c r="AB539" s="72">
        <v>1</v>
      </c>
      <c r="AE539" s="96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/>
      <c r="BO539" s="102"/>
      <c r="BP539" s="102"/>
      <c r="BQ539" s="102"/>
      <c r="BR539" s="102"/>
      <c r="BS539" s="102"/>
      <c r="BT539" s="102"/>
      <c r="BU539" s="102"/>
      <c r="BV539" s="102"/>
      <c r="BW539" s="102"/>
      <c r="BX539" s="102"/>
      <c r="BY539" s="94"/>
      <c r="BZ539" s="94"/>
      <c r="CA539" s="94"/>
      <c r="CB539" s="94"/>
      <c r="CC539" s="94"/>
      <c r="CD539" s="94"/>
      <c r="CE539" s="94"/>
      <c r="CF539" s="94"/>
      <c r="CG539" s="94"/>
      <c r="CH539" s="94"/>
      <c r="CI539" s="94"/>
      <c r="CJ539" s="94"/>
      <c r="CK539" s="94"/>
      <c r="CL539" s="94" t="str">
        <f>"" &amp; TEXT(AF539,"#0.00%") &amp; " " &amp; "Drilling Anchor Hole" &amp; " " &amp; IF(Q539="","",TEXT(Q539,"M/D-")) &amp; IF(R539="","",TEXT(R539,"M/D")) &amp; " "</f>
        <v xml:space="preserve">0.00% Drilling Anchor Hole  </v>
      </c>
      <c r="CM539" s="94"/>
      <c r="CN539" s="94"/>
      <c r="CO539" s="94"/>
      <c r="CP539" s="94"/>
      <c r="CQ539" s="94"/>
      <c r="CR539" s="94"/>
      <c r="CS539" s="94"/>
      <c r="CT539" s="94"/>
      <c r="CU539" s="94"/>
      <c r="CV539" s="94"/>
      <c r="CW539" s="94"/>
      <c r="CX539" s="94"/>
      <c r="CY539" s="94"/>
      <c r="CZ539" s="94"/>
      <c r="DA539" s="94"/>
      <c r="DB539" s="94"/>
      <c r="DC539" s="94"/>
      <c r="DD539" s="94"/>
      <c r="DE539" s="94"/>
      <c r="DF539" s="94"/>
      <c r="DG539" s="94"/>
      <c r="DH539" s="94"/>
      <c r="DI539" s="94"/>
      <c r="DJ539" s="94"/>
      <c r="DK539" s="94"/>
      <c r="DL539" s="94"/>
      <c r="DM539" s="94"/>
      <c r="DN539" s="94"/>
      <c r="DO539" s="94"/>
      <c r="DP539" s="94"/>
      <c r="DQ539" s="94"/>
    </row>
    <row r="540" spans="1:121" ht="15" customHeight="1" outlineLevel="3" x14ac:dyDescent="0.3">
      <c r="A540" s="100"/>
      <c r="B540" s="100"/>
      <c r="C540" s="99">
        <v>4</v>
      </c>
      <c r="D540" s="98" t="s">
        <v>776</v>
      </c>
      <c r="F540" s="94"/>
      <c r="H540" s="77" t="s">
        <v>530</v>
      </c>
      <c r="O540" s="94" t="s">
        <v>708</v>
      </c>
      <c r="Q540" s="97"/>
      <c r="R540" s="97"/>
      <c r="AB540" s="72">
        <v>1</v>
      </c>
      <c r="AE540" s="96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/>
      <c r="BO540" s="102"/>
      <c r="BP540" s="102"/>
      <c r="BQ540" s="102"/>
      <c r="BR540" s="102"/>
      <c r="BS540" s="102"/>
      <c r="BT540" s="102"/>
      <c r="BU540" s="102"/>
      <c r="BV540" s="102"/>
      <c r="BW540" s="102"/>
      <c r="BX540" s="102"/>
      <c r="BY540" s="94"/>
      <c r="BZ540" s="94"/>
      <c r="CA540" s="94"/>
      <c r="CB540" s="94"/>
      <c r="CC540" s="94"/>
      <c r="CD540" s="94"/>
      <c r="CE540" s="94"/>
      <c r="CF540" s="94"/>
      <c r="CG540" s="94"/>
      <c r="CH540" s="94"/>
      <c r="CI540" s="94"/>
      <c r="CJ540" s="94"/>
      <c r="CK540" s="94" t="str">
        <f>"    " &amp; TEXT(AF540,"#0.00%") &amp; " "</f>
        <v xml:space="preserve">    0.00% </v>
      </c>
      <c r="CL540" s="94"/>
      <c r="CM540" s="94"/>
      <c r="CN540" s="94"/>
      <c r="CO540" s="94"/>
      <c r="CP540" s="94" t="str">
        <f>" " &amp; "Move In" &amp; " " &amp; IF(Q540="","",TEXT(Q540,"M/D-")) &amp; IF(R540="","",TEXT(R540,"M/D")) &amp; " "</f>
        <v xml:space="preserve"> Move In  </v>
      </c>
      <c r="CQ540" s="94"/>
      <c r="CR540" s="94"/>
      <c r="CS540" s="94"/>
      <c r="CT540" s="94"/>
      <c r="CU540" s="94"/>
      <c r="CV540" s="94"/>
      <c r="CW540" s="94"/>
      <c r="CX540" s="94"/>
      <c r="CY540" s="94"/>
      <c r="CZ540" s="94"/>
      <c r="DA540" s="94"/>
      <c r="DB540" s="94"/>
      <c r="DC540" s="94"/>
      <c r="DD540" s="94"/>
      <c r="DE540" s="94"/>
      <c r="DF540" s="94"/>
      <c r="DG540" s="94"/>
      <c r="DH540" s="94"/>
      <c r="DI540" s="94"/>
      <c r="DJ540" s="94"/>
      <c r="DK540" s="94"/>
      <c r="DL540" s="94"/>
      <c r="DM540" s="94"/>
      <c r="DN540" s="94"/>
      <c r="DO540" s="94"/>
      <c r="DP540" s="94"/>
      <c r="DQ540" s="94"/>
    </row>
    <row r="541" spans="1:121" ht="15" customHeight="1" outlineLevel="3" x14ac:dyDescent="0.3">
      <c r="A541" s="100"/>
      <c r="B541" s="100"/>
      <c r="C541" s="99">
        <v>4</v>
      </c>
      <c r="D541" s="98" t="s">
        <v>775</v>
      </c>
      <c r="F541" s="94"/>
      <c r="H541" s="77" t="s">
        <v>550</v>
      </c>
      <c r="O541" s="94" t="s">
        <v>640</v>
      </c>
      <c r="Q541" s="97"/>
      <c r="R541" s="97"/>
      <c r="AB541" s="72">
        <v>1</v>
      </c>
      <c r="AE541" s="96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94"/>
      <c r="BZ541" s="94"/>
      <c r="CA541" s="94"/>
      <c r="CB541" s="94"/>
      <c r="CC541" s="94"/>
      <c r="CD541" s="94"/>
      <c r="CE541" s="94"/>
      <c r="CF541" s="94"/>
      <c r="CG541" s="94"/>
      <c r="CH541" s="94"/>
      <c r="CI541" s="94"/>
      <c r="CJ541" s="94"/>
      <c r="CK541" s="94" t="str">
        <f>"     " &amp; TEXT(AF541,"#0.00%") &amp; " " &amp; "Install Anchor" &amp; " " &amp; IF(Q541="","",TEXT(Q541,"M/D-")) &amp; IF(R541="","",TEXT(R541,"M/D")) &amp; " "</f>
        <v xml:space="preserve">     0.00% Install Anchor  </v>
      </c>
      <c r="CL541" s="94"/>
      <c r="CM541" s="94"/>
      <c r="CN541" s="94"/>
      <c r="CO541" s="94"/>
      <c r="CP541" s="94"/>
      <c r="CQ541" s="94"/>
      <c r="CR541" s="94"/>
      <c r="CS541" s="94"/>
      <c r="CT541" s="94"/>
      <c r="CU541" s="94"/>
      <c r="CV541" s="94"/>
      <c r="CW541" s="94"/>
      <c r="CX541" s="94"/>
      <c r="CY541" s="94"/>
      <c r="CZ541" s="94"/>
      <c r="DA541" s="94"/>
      <c r="DB541" s="94"/>
      <c r="DC541" s="94"/>
      <c r="DD541" s="94"/>
      <c r="DE541" s="94"/>
      <c r="DF541" s="94"/>
      <c r="DG541" s="94"/>
      <c r="DH541" s="94"/>
      <c r="DI541" s="94"/>
      <c r="DJ541" s="94"/>
      <c r="DK541" s="94"/>
      <c r="DL541" s="94"/>
      <c r="DM541" s="94"/>
      <c r="DN541" s="94"/>
      <c r="DO541" s="94"/>
      <c r="DP541" s="94"/>
      <c r="DQ541" s="94"/>
    </row>
    <row r="542" spans="1:121" ht="15" customHeight="1" outlineLevel="3" x14ac:dyDescent="0.3">
      <c r="A542" s="100"/>
      <c r="B542" s="100"/>
      <c r="C542" s="99">
        <v>4</v>
      </c>
      <c r="D542" s="98" t="s">
        <v>774</v>
      </c>
      <c r="F542" s="94"/>
      <c r="H542" s="77" t="s">
        <v>697</v>
      </c>
      <c r="O542" s="94" t="s">
        <v>640</v>
      </c>
      <c r="Q542" s="97"/>
      <c r="R542" s="97"/>
      <c r="AB542" s="72">
        <v>1</v>
      </c>
      <c r="AE542" s="96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94"/>
      <c r="BZ542" s="94"/>
      <c r="CA542" s="94"/>
      <c r="CB542" s="94"/>
      <c r="CC542" s="94"/>
      <c r="CD542" s="94"/>
      <c r="CE542" s="94"/>
      <c r="CF542" s="94"/>
      <c r="CG542" s="94"/>
      <c r="CH542" s="94"/>
      <c r="CI542" s="94"/>
      <c r="CJ542" s="94"/>
      <c r="CK542" s="94" t="str">
        <f>"      " &amp; TEXT(AF542,"#0.00%") &amp; " " &amp; "Install Liner" &amp; " " &amp; IF(Q542="","",TEXT(Q542,"M/D-")) &amp; IF(R542="","",TEXT(R542,"M/D")) &amp; " "</f>
        <v xml:space="preserve">      0.00% Install Liner  </v>
      </c>
      <c r="CL542" s="94"/>
      <c r="CM542" s="94"/>
      <c r="CN542" s="94"/>
      <c r="CO542" s="94"/>
      <c r="CP542" s="94"/>
      <c r="CQ542" s="94"/>
      <c r="CR542" s="94"/>
      <c r="CS542" s="94"/>
      <c r="CT542" s="94"/>
      <c r="CU542" s="94"/>
      <c r="CV542" s="94"/>
      <c r="CW542" s="94"/>
      <c r="CX542" s="94"/>
      <c r="CY542" s="94"/>
      <c r="CZ542" s="94"/>
      <c r="DA542" s="94"/>
      <c r="DB542" s="94"/>
      <c r="DC542" s="94"/>
      <c r="DD542" s="94"/>
      <c r="DE542" s="94"/>
      <c r="DF542" s="94"/>
      <c r="DG542" s="94"/>
      <c r="DH542" s="94"/>
      <c r="DI542" s="94"/>
      <c r="DJ542" s="94"/>
      <c r="DK542" s="94"/>
      <c r="DL542" s="94"/>
      <c r="DM542" s="94"/>
      <c r="DN542" s="94"/>
      <c r="DO542" s="94"/>
      <c r="DP542" s="94"/>
      <c r="DQ542" s="94"/>
    </row>
    <row r="543" spans="1:121" ht="15" customHeight="1" outlineLevel="3" x14ac:dyDescent="0.3">
      <c r="A543" s="100"/>
      <c r="B543" s="100"/>
      <c r="C543" s="99">
        <v>4</v>
      </c>
      <c r="D543" s="98" t="s">
        <v>773</v>
      </c>
      <c r="F543" s="94"/>
      <c r="H543" s="77" t="s">
        <v>695</v>
      </c>
      <c r="O543" s="94" t="s">
        <v>640</v>
      </c>
      <c r="Q543" s="97"/>
      <c r="R543" s="97"/>
      <c r="AB543" s="72">
        <v>1</v>
      </c>
      <c r="AE543" s="96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94"/>
      <c r="BZ543" s="94"/>
      <c r="CA543" s="94"/>
      <c r="CB543" s="94"/>
      <c r="CC543" s="94"/>
      <c r="CD543" s="94"/>
      <c r="CE543" s="94"/>
      <c r="CF543" s="94"/>
      <c r="CG543" s="94"/>
      <c r="CH543" s="94"/>
      <c r="CI543" s="94"/>
      <c r="CJ543" s="94"/>
      <c r="CK543" s="94" t="str">
        <f>"      " &amp; TEXT(AF543,"#0.00%") &amp; " " &amp; "Check Liner Leveling(Laser)" &amp; " " &amp; IF(Q543="","",TEXT(Q543,"M/D-")) &amp; IF(R543="","",TEXT(R543,"M/D")) &amp; " "</f>
        <v xml:space="preserve">      0.00% Check Liner Leveling(Laser)  </v>
      </c>
      <c r="CL543" s="94"/>
      <c r="CM543" s="94"/>
      <c r="CN543" s="94"/>
      <c r="CO543" s="94"/>
      <c r="CP543" s="94"/>
      <c r="CQ543" s="94"/>
      <c r="CR543" s="94"/>
      <c r="CS543" s="94"/>
      <c r="CT543" s="94"/>
      <c r="CU543" s="94"/>
      <c r="CV543" s="94"/>
      <c r="CW543" s="94"/>
      <c r="CX543" s="94"/>
      <c r="CY543" s="94"/>
      <c r="CZ543" s="94"/>
      <c r="DA543" s="94"/>
      <c r="DB543" s="94"/>
      <c r="DC543" s="94"/>
      <c r="DD543" s="94"/>
      <c r="DE543" s="94"/>
      <c r="DF543" s="94"/>
      <c r="DG543" s="94"/>
      <c r="DH543" s="94"/>
      <c r="DI543" s="94"/>
      <c r="DJ543" s="94"/>
      <c r="DK543" s="94"/>
      <c r="DL543" s="94"/>
      <c r="DM543" s="94"/>
      <c r="DN543" s="94"/>
      <c r="DO543" s="94"/>
      <c r="DP543" s="94"/>
      <c r="DQ543" s="94"/>
    </row>
    <row r="544" spans="1:121" ht="15" customHeight="1" outlineLevel="3" x14ac:dyDescent="0.3">
      <c r="A544" s="100"/>
      <c r="B544" s="100"/>
      <c r="C544" s="99">
        <v>4</v>
      </c>
      <c r="D544" s="98" t="s">
        <v>772</v>
      </c>
      <c r="F544" s="94"/>
      <c r="H544" s="77" t="s">
        <v>771</v>
      </c>
      <c r="O544" s="94" t="s">
        <v>640</v>
      </c>
      <c r="Q544" s="97"/>
      <c r="R544" s="97"/>
      <c r="AB544" s="72">
        <v>1</v>
      </c>
      <c r="AE544" s="96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94"/>
      <c r="BZ544" s="94"/>
      <c r="CA544" s="94"/>
      <c r="CB544" s="94"/>
      <c r="CC544" s="94"/>
      <c r="CD544" s="94"/>
      <c r="CE544" s="94"/>
      <c r="CF544" s="94"/>
      <c r="CG544" s="94"/>
      <c r="CH544" s="94"/>
      <c r="CI544" s="94"/>
      <c r="CJ544" s="94"/>
      <c r="CK544" s="94" t="str">
        <f>"     " &amp; TEXT(AF544,"#0.00%") &amp; " " &amp; "Pre-Assembly Rack(2~32h)" &amp; " " &amp; IF(Q544="","",TEXT(Q544,"M/D-")) &amp; IF(R544="","",TEXT(R544,"M/D")) &amp; " "</f>
        <v xml:space="preserve">     0.00% Pre-Assembly Rack(2~32h)  </v>
      </c>
      <c r="CL544" s="94"/>
      <c r="CM544" s="94"/>
      <c r="CN544" s="94"/>
      <c r="CO544" s="94"/>
      <c r="CP544" s="94"/>
      <c r="CQ544" s="94"/>
      <c r="CR544" s="94"/>
      <c r="CS544" s="94"/>
      <c r="CT544" s="94"/>
      <c r="CU544" s="94"/>
      <c r="CV544" s="94"/>
      <c r="CW544" s="94"/>
      <c r="CX544" s="94"/>
      <c r="CY544" s="94"/>
      <c r="CZ544" s="94"/>
      <c r="DA544" s="94"/>
      <c r="DB544" s="94"/>
      <c r="DC544" s="94"/>
      <c r="DD544" s="94"/>
      <c r="DE544" s="94"/>
      <c r="DF544" s="94"/>
      <c r="DG544" s="94"/>
      <c r="DH544" s="94"/>
      <c r="DI544" s="94"/>
      <c r="DJ544" s="94"/>
      <c r="DK544" s="94"/>
      <c r="DL544" s="94"/>
      <c r="DM544" s="94"/>
      <c r="DN544" s="94"/>
      <c r="DO544" s="94"/>
      <c r="DP544" s="94"/>
      <c r="DQ544" s="94"/>
    </row>
    <row r="545" spans="1:121" ht="15" customHeight="1" outlineLevel="3" x14ac:dyDescent="0.3">
      <c r="A545" s="100"/>
      <c r="B545" s="100"/>
      <c r="C545" s="99">
        <v>4</v>
      </c>
      <c r="D545" s="98" t="s">
        <v>770</v>
      </c>
      <c r="F545" s="94"/>
      <c r="H545" s="77" t="s">
        <v>693</v>
      </c>
      <c r="O545" s="94" t="s">
        <v>640</v>
      </c>
      <c r="Q545" s="97"/>
      <c r="R545" s="97"/>
      <c r="AB545" s="72">
        <v>1</v>
      </c>
      <c r="AE545" s="96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94"/>
      <c r="BZ545" s="94"/>
      <c r="CA545" s="94"/>
      <c r="CB545" s="94"/>
      <c r="CC545" s="94"/>
      <c r="CD545" s="94"/>
      <c r="CE545" s="94"/>
      <c r="CF545" s="94"/>
      <c r="CG545" s="94"/>
      <c r="CH545" s="94"/>
      <c r="CI545" s="94"/>
      <c r="CJ545" s="94"/>
      <c r="CK545" s="94"/>
      <c r="CL545" s="94" t="str">
        <f>"" &amp; TEXT(AF545,"#0.00%") &amp; " " &amp; "Install Base Plate" &amp; " " &amp; IF(Q545="","",TEXT(Q545,"M/D-")) &amp; IF(R545="","",TEXT(R545,"M/D")) &amp; " "</f>
        <v xml:space="preserve">0.00% Install Base Plate  </v>
      </c>
      <c r="CM545" s="94"/>
      <c r="CN545" s="94"/>
      <c r="CO545" s="94"/>
      <c r="CP545" s="94"/>
      <c r="CQ545" s="94"/>
      <c r="CR545" s="94"/>
      <c r="CS545" s="94"/>
      <c r="CT545" s="94"/>
      <c r="CU545" s="94"/>
      <c r="CV545" s="94"/>
      <c r="CW545" s="94"/>
      <c r="CX545" s="94"/>
      <c r="CY545" s="94"/>
      <c r="CZ545" s="94"/>
      <c r="DA545" s="94"/>
      <c r="DB545" s="94"/>
      <c r="DC545" s="94"/>
      <c r="DD545" s="94"/>
      <c r="DE545" s="94"/>
      <c r="DF545" s="94"/>
      <c r="DG545" s="94"/>
      <c r="DH545" s="94"/>
      <c r="DI545" s="94"/>
      <c r="DJ545" s="94"/>
      <c r="DK545" s="94"/>
      <c r="DL545" s="94"/>
      <c r="DM545" s="94"/>
      <c r="DN545" s="94"/>
      <c r="DO545" s="94"/>
      <c r="DP545" s="94"/>
      <c r="DQ545" s="94"/>
    </row>
    <row r="546" spans="1:121" ht="15" customHeight="1" outlineLevel="3" x14ac:dyDescent="0.3">
      <c r="A546" s="100"/>
      <c r="B546" s="100"/>
      <c r="C546" s="99">
        <v>4</v>
      </c>
      <c r="D546" s="98" t="s">
        <v>769</v>
      </c>
      <c r="F546" s="94"/>
      <c r="H546" s="77" t="s">
        <v>674</v>
      </c>
      <c r="O546" s="94" t="s">
        <v>640</v>
      </c>
      <c r="Q546" s="97"/>
      <c r="R546" s="97"/>
      <c r="AB546" s="72">
        <v>1</v>
      </c>
      <c r="AE546" s="96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94"/>
      <c r="BZ546" s="94"/>
      <c r="CA546" s="94"/>
      <c r="CB546" s="94"/>
      <c r="CC546" s="94"/>
      <c r="CD546" s="94"/>
      <c r="CE546" s="94"/>
      <c r="CF546" s="94"/>
      <c r="CG546" s="94"/>
      <c r="CH546" s="94"/>
      <c r="CI546" s="94"/>
      <c r="CJ546" s="94"/>
      <c r="CK546" s="94"/>
      <c r="CL546" s="94" t="str">
        <f>"" &amp; TEXT(AF546,"#0.00%") &amp; " " &amp; "Install Rack&amp;Beam&amp;Bracing&amp;Rail Base(10th)" &amp; " " &amp; IF(Q546="","",TEXT(Q546,"M/D-")) &amp; IF(R546="","",TEXT(R546,"M/D")) &amp; " "</f>
        <v xml:space="preserve">0.00% Install Rack&amp;Beam&amp;Bracing&amp;Rail Base(10th)  </v>
      </c>
      <c r="CM546" s="94"/>
      <c r="CN546" s="94"/>
      <c r="CO546" s="94"/>
      <c r="CP546" s="94"/>
      <c r="CQ546" s="94"/>
      <c r="CR546" s="94"/>
      <c r="CS546" s="94"/>
      <c r="CT546" s="94"/>
      <c r="CU546" s="94"/>
      <c r="CV546" s="94"/>
      <c r="CW546" s="94"/>
      <c r="CX546" s="94"/>
      <c r="CY546" s="94"/>
      <c r="CZ546" s="94"/>
      <c r="DA546" s="94"/>
      <c r="DB546" s="94"/>
      <c r="DC546" s="94"/>
      <c r="DD546" s="94"/>
      <c r="DE546" s="94"/>
      <c r="DF546" s="94"/>
      <c r="DG546" s="94"/>
      <c r="DH546" s="94"/>
      <c r="DI546" s="94"/>
      <c r="DJ546" s="94"/>
      <c r="DK546" s="94"/>
      <c r="DL546" s="94"/>
      <c r="DM546" s="94"/>
      <c r="DN546" s="94"/>
      <c r="DO546" s="94"/>
      <c r="DP546" s="94"/>
      <c r="DQ546" s="94"/>
    </row>
    <row r="547" spans="1:121" ht="15" customHeight="1" outlineLevel="3" x14ac:dyDescent="0.3">
      <c r="A547" s="100"/>
      <c r="B547" s="100"/>
      <c r="C547" s="99">
        <v>4</v>
      </c>
      <c r="D547" s="98" t="s">
        <v>768</v>
      </c>
      <c r="F547" s="94"/>
      <c r="H547" s="77" t="s">
        <v>672</v>
      </c>
      <c r="O547" s="94" t="s">
        <v>640</v>
      </c>
      <c r="Q547" s="97"/>
      <c r="R547" s="97"/>
      <c r="AB547" s="72">
        <v>1</v>
      </c>
      <c r="AE547" s="96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94"/>
      <c r="BZ547" s="94"/>
      <c r="CA547" s="94"/>
      <c r="CB547" s="94"/>
      <c r="CC547" s="94"/>
      <c r="CD547" s="94"/>
      <c r="CE547" s="94"/>
      <c r="CF547" s="94"/>
      <c r="CG547" s="94"/>
      <c r="CH547" s="94"/>
      <c r="CI547" s="94"/>
      <c r="CJ547" s="94"/>
      <c r="CK547" s="94"/>
      <c r="CL547" s="94" t="str">
        <f>"    " &amp; TEXT(AF547,"#0.00%") &amp; " " &amp; "Check Vertical(1~10th)" &amp; " " &amp; IF(Q547="","",TEXT(Q547,"M/D-")) &amp; IF(R547="","",TEXT(R547,"M/D")) &amp; " "</f>
        <v xml:space="preserve">    0.00% Check Vertical(1~10th)  </v>
      </c>
      <c r="CM547" s="94"/>
      <c r="CN547" s="94"/>
      <c r="CO547" s="94"/>
      <c r="CP547" s="94"/>
      <c r="CQ547" s="94"/>
      <c r="CR547" s="94"/>
      <c r="CS547" s="94"/>
      <c r="CT547" s="94"/>
      <c r="CU547" s="94"/>
      <c r="CV547" s="94"/>
      <c r="CW547" s="94"/>
      <c r="CX547" s="94"/>
      <c r="CY547" s="94"/>
      <c r="CZ547" s="94"/>
      <c r="DA547" s="94"/>
      <c r="DB547" s="94"/>
      <c r="DC547" s="94"/>
      <c r="DD547" s="94"/>
      <c r="DE547" s="94"/>
      <c r="DF547" s="94"/>
      <c r="DG547" s="94"/>
      <c r="DH547" s="94"/>
      <c r="DI547" s="94"/>
      <c r="DJ547" s="94"/>
      <c r="DK547" s="94"/>
      <c r="DL547" s="94"/>
      <c r="DM547" s="94"/>
      <c r="DN547" s="94"/>
      <c r="DO547" s="94"/>
      <c r="DP547" s="94"/>
      <c r="DQ547" s="94"/>
    </row>
    <row r="548" spans="1:121" ht="15" customHeight="1" outlineLevel="3" x14ac:dyDescent="0.3">
      <c r="A548" s="100"/>
      <c r="B548" s="100"/>
      <c r="C548" s="99">
        <v>4</v>
      </c>
      <c r="D548" s="98" t="s">
        <v>767</v>
      </c>
      <c r="F548" s="94"/>
      <c r="H548" s="77" t="s">
        <v>670</v>
      </c>
      <c r="O548" s="94" t="s">
        <v>649</v>
      </c>
      <c r="Q548" s="97"/>
      <c r="R548" s="97"/>
      <c r="AB548" s="72">
        <v>1</v>
      </c>
      <c r="AE548" s="96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94"/>
      <c r="BZ548" s="94"/>
      <c r="CA548" s="94"/>
      <c r="CB548" s="94"/>
      <c r="CC548" s="94"/>
      <c r="CD548" s="94"/>
      <c r="CE548" s="94"/>
      <c r="CF548" s="94"/>
      <c r="CG548" s="94"/>
      <c r="CH548" s="94"/>
      <c r="CI548" s="94"/>
      <c r="CJ548" s="94"/>
      <c r="CK548" s="94"/>
      <c r="CL548" s="94"/>
      <c r="CM548" s="94" t="str">
        <f>"" &amp; TEXT(AF548,"#0.00%") &amp; " " &amp; "Install MSC Rail(1st rail)" &amp; " " &amp; IF(Q548="","",TEXT(Q548,"M/D-")) &amp; IF(R548="","",TEXT(R548,"M/D")) &amp; " "</f>
        <v xml:space="preserve">0.00% Install MSC Rail(1st rail)  </v>
      </c>
      <c r="CN548" s="94"/>
      <c r="CO548" s="94"/>
      <c r="CP548" s="94"/>
      <c r="CQ548" s="94"/>
      <c r="CR548" s="94"/>
      <c r="CS548" s="94"/>
      <c r="CT548" s="94"/>
      <c r="CU548" s="94"/>
      <c r="CV548" s="94"/>
      <c r="CW548" s="94"/>
      <c r="CX548" s="94"/>
      <c r="CY548" s="94"/>
      <c r="CZ548" s="94"/>
      <c r="DA548" s="94"/>
      <c r="DB548" s="94"/>
      <c r="DC548" s="94"/>
      <c r="DD548" s="94"/>
      <c r="DE548" s="94"/>
      <c r="DF548" s="94"/>
      <c r="DG548" s="94"/>
      <c r="DH548" s="94"/>
      <c r="DI548" s="94"/>
      <c r="DJ548" s="94"/>
      <c r="DK548" s="94"/>
      <c r="DL548" s="94"/>
      <c r="DM548" s="94"/>
      <c r="DN548" s="94"/>
      <c r="DO548" s="94"/>
      <c r="DP548" s="94"/>
      <c r="DQ548" s="94"/>
    </row>
    <row r="549" spans="1:121" ht="15" customHeight="1" outlineLevel="3" x14ac:dyDescent="0.3">
      <c r="A549" s="100"/>
      <c r="B549" s="100"/>
      <c r="C549" s="99">
        <v>4</v>
      </c>
      <c r="D549" s="98" t="s">
        <v>766</v>
      </c>
      <c r="F549" s="94"/>
      <c r="H549" s="77" t="s">
        <v>765</v>
      </c>
      <c r="O549" s="94" t="s">
        <v>649</v>
      </c>
      <c r="Q549" s="97"/>
      <c r="R549" s="97"/>
      <c r="AB549" s="72">
        <v>1</v>
      </c>
      <c r="AE549" s="96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94"/>
      <c r="BZ549" s="94"/>
      <c r="CA549" s="94"/>
      <c r="CB549" s="94"/>
      <c r="CC549" s="94"/>
      <c r="CD549" s="94"/>
      <c r="CE549" s="94"/>
      <c r="CF549" s="94"/>
      <c r="CG549" s="94"/>
      <c r="CH549" s="94"/>
      <c r="CI549" s="94"/>
      <c r="CJ549" s="94"/>
      <c r="CK549" s="94"/>
      <c r="CL549" s="94"/>
      <c r="CM549" s="94" t="str">
        <f>"   " &amp; TEXT(AF549,"#0.00%") &amp; " " &amp; "Install MSC" &amp; " " &amp; IF(Q549="","",TEXT(Q549,"M/D-")) &amp; IF(R549="","",TEXT(R549,"M/D")) &amp; " "</f>
        <v xml:space="preserve">   0.00% Install MSC  </v>
      </c>
      <c r="CN549" s="94"/>
      <c r="CO549" s="94"/>
      <c r="CP549" s="94"/>
      <c r="CQ549" s="94"/>
      <c r="CR549" s="94"/>
      <c r="CS549" s="94"/>
      <c r="CT549" s="94"/>
      <c r="CU549" s="94"/>
      <c r="CV549" s="94"/>
      <c r="CW549" s="94"/>
      <c r="CX549" s="94"/>
      <c r="CY549" s="94"/>
      <c r="CZ549" s="94"/>
      <c r="DA549" s="94"/>
      <c r="DB549" s="94"/>
      <c r="DC549" s="94"/>
      <c r="DD549" s="94"/>
      <c r="DE549" s="94"/>
      <c r="DF549" s="94"/>
      <c r="DG549" s="94"/>
      <c r="DH549" s="94"/>
      <c r="DI549" s="94"/>
      <c r="DJ549" s="94"/>
      <c r="DK549" s="94"/>
      <c r="DL549" s="94"/>
      <c r="DM549" s="94"/>
      <c r="DN549" s="94"/>
      <c r="DO549" s="94"/>
      <c r="DP549" s="94"/>
      <c r="DQ549" s="94"/>
    </row>
    <row r="550" spans="1:121" ht="15" customHeight="1" outlineLevel="3" x14ac:dyDescent="0.3">
      <c r="A550" s="100"/>
      <c r="B550" s="100"/>
      <c r="C550" s="99">
        <v>4</v>
      </c>
      <c r="D550" s="98" t="s">
        <v>764</v>
      </c>
      <c r="F550" s="94"/>
      <c r="H550" s="77" t="s">
        <v>763</v>
      </c>
      <c r="O550" s="94" t="s">
        <v>640</v>
      </c>
      <c r="Q550" s="97"/>
      <c r="R550" s="97"/>
      <c r="AB550" s="72">
        <v>1</v>
      </c>
      <c r="AE550" s="96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/>
      <c r="BO550" s="102"/>
      <c r="BP550" s="102"/>
      <c r="BQ550" s="102"/>
      <c r="BR550" s="102"/>
      <c r="BS550" s="102"/>
      <c r="BT550" s="102"/>
      <c r="BU550" s="102"/>
      <c r="BV550" s="102"/>
      <c r="BW550" s="102"/>
      <c r="BX550" s="102"/>
      <c r="BY550" s="94"/>
      <c r="BZ550" s="94"/>
      <c r="CA550" s="94"/>
      <c r="CB550" s="94"/>
      <c r="CC550" s="94"/>
      <c r="CD550" s="94"/>
      <c r="CE550" s="94"/>
      <c r="CF550" s="94"/>
      <c r="CG550" s="94"/>
      <c r="CH550" s="94"/>
      <c r="CI550" s="94"/>
      <c r="CJ550" s="94"/>
      <c r="CK550" s="94"/>
      <c r="CL550" s="94"/>
      <c r="CM550" s="94"/>
      <c r="CN550" s="94" t="str">
        <f>"" &amp; TEXT(AF550,"#0.00%") &amp; " " &amp; "Install Rack&amp;Beam&amp;Bracing&amp;Rail Base(Every 10th, ~35th)" &amp; " " &amp; IF(Q550="","",TEXT(Q550,"M/D-")) &amp; IF(R550="","",TEXT(R550,"M/D")) &amp; " "</f>
        <v xml:space="preserve">0.00% Install Rack&amp;Beam&amp;Bracing&amp;Rail Base(Every 10th, ~35th)  </v>
      </c>
      <c r="CO550" s="94"/>
      <c r="CP550" s="94"/>
      <c r="CQ550" s="94"/>
      <c r="CR550" s="94"/>
      <c r="CS550" s="94"/>
      <c r="CT550" s="94"/>
      <c r="CU550" s="94"/>
      <c r="CV550" s="94"/>
      <c r="CW550" s="94"/>
      <c r="CX550" s="94"/>
      <c r="CY550" s="94"/>
      <c r="CZ550" s="94"/>
      <c r="DA550" s="94"/>
      <c r="DB550" s="94"/>
      <c r="DC550" s="94"/>
      <c r="DD550" s="94"/>
      <c r="DE550" s="94"/>
      <c r="DF550" s="94"/>
      <c r="DG550" s="94"/>
      <c r="DH550" s="94"/>
      <c r="DI550" s="94"/>
      <c r="DJ550" s="94"/>
      <c r="DK550" s="94"/>
      <c r="DL550" s="94"/>
      <c r="DM550" s="94"/>
      <c r="DN550" s="94"/>
      <c r="DO550" s="94"/>
      <c r="DP550" s="94"/>
      <c r="DQ550" s="94"/>
    </row>
    <row r="551" spans="1:121" ht="15" customHeight="1" outlineLevel="3" x14ac:dyDescent="0.3">
      <c r="A551" s="100"/>
      <c r="B551" s="100"/>
      <c r="C551" s="99">
        <v>4</v>
      </c>
      <c r="D551" s="98" t="s">
        <v>762</v>
      </c>
      <c r="F551" s="94"/>
      <c r="H551" s="77" t="s">
        <v>761</v>
      </c>
      <c r="O551" s="94" t="s">
        <v>640</v>
      </c>
      <c r="Q551" s="97"/>
      <c r="R551" s="97"/>
      <c r="AB551" s="72">
        <v>1</v>
      </c>
      <c r="AE551" s="96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/>
      <c r="BO551" s="102"/>
      <c r="BP551" s="102"/>
      <c r="BQ551" s="102"/>
      <c r="BR551" s="102"/>
      <c r="BS551" s="102"/>
      <c r="BT551" s="102"/>
      <c r="BU551" s="102"/>
      <c r="BV551" s="102"/>
      <c r="BW551" s="102"/>
      <c r="BX551" s="102"/>
      <c r="BY551" s="94"/>
      <c r="BZ551" s="94"/>
      <c r="CA551" s="94"/>
      <c r="CB551" s="94"/>
      <c r="CC551" s="94"/>
      <c r="CD551" s="94"/>
      <c r="CE551" s="94"/>
      <c r="CF551" s="94"/>
      <c r="CG551" s="94"/>
      <c r="CH551" s="94"/>
      <c r="CI551" s="94"/>
      <c r="CJ551" s="94"/>
      <c r="CK551" s="94"/>
      <c r="CL551" s="94"/>
      <c r="CM551" s="94"/>
      <c r="CN551" s="94" t="str">
        <f>"    " &amp; TEXT(AF551,"#0.00%") &amp; " " &amp; "Check Vertical(Every 10th, ~35th)" &amp; " " &amp; IF(Q551="","",TEXT(Q551,"M/D-")) &amp; IF(R551="","",TEXT(R551,"M/D")) &amp; " "</f>
        <v xml:space="preserve">    0.00% Check Vertical(Every 10th, ~35th)  </v>
      </c>
      <c r="CO551" s="94"/>
      <c r="CP551" s="94"/>
      <c r="CQ551" s="94"/>
      <c r="CR551" s="94"/>
      <c r="CS551" s="94"/>
      <c r="CT551" s="94"/>
      <c r="CU551" s="94"/>
      <c r="CV551" s="94"/>
      <c r="CW551" s="94"/>
      <c r="CX551" s="94"/>
      <c r="CY551" s="94"/>
      <c r="CZ551" s="94"/>
      <c r="DA551" s="94"/>
      <c r="DB551" s="94"/>
      <c r="DC551" s="94"/>
      <c r="DD551" s="94"/>
      <c r="DE551" s="94"/>
      <c r="DF551" s="94"/>
      <c r="DG551" s="94"/>
      <c r="DH551" s="94"/>
      <c r="DI551" s="94"/>
      <c r="DJ551" s="94"/>
      <c r="DK551" s="94"/>
      <c r="DL551" s="94"/>
      <c r="DM551" s="94"/>
      <c r="DN551" s="94"/>
      <c r="DO551" s="94"/>
      <c r="DP551" s="94"/>
      <c r="DQ551" s="94"/>
    </row>
    <row r="552" spans="1:121" ht="15" customHeight="1" outlineLevel="3" x14ac:dyDescent="0.3">
      <c r="A552" s="100"/>
      <c r="B552" s="100"/>
      <c r="C552" s="99">
        <v>4</v>
      </c>
      <c r="D552" s="98" t="s">
        <v>760</v>
      </c>
      <c r="F552" s="94"/>
      <c r="H552" s="77" t="s">
        <v>759</v>
      </c>
      <c r="O552" s="94" t="s">
        <v>649</v>
      </c>
      <c r="Q552" s="97"/>
      <c r="R552" s="97"/>
      <c r="AB552" s="72">
        <v>1</v>
      </c>
      <c r="AE552" s="96"/>
      <c r="AF552" s="102"/>
      <c r="AG552" s="102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94"/>
      <c r="BZ552" s="94"/>
      <c r="CA552" s="94"/>
      <c r="CB552" s="94"/>
      <c r="CC552" s="94"/>
      <c r="CD552" s="94"/>
      <c r="CE552" s="94"/>
      <c r="CF552" s="94"/>
      <c r="CG552" s="94"/>
      <c r="CH552" s="94"/>
      <c r="CI552" s="94"/>
      <c r="CJ552" s="94"/>
      <c r="CK552" s="94"/>
      <c r="CL552" s="94"/>
      <c r="CM552" s="94"/>
      <c r="CN552" s="94" t="str">
        <f>"     " &amp; TEXT(AF552,"#0.00%") &amp; " " &amp; "Install MSC Rail(Every 10th, ~35th)" &amp; " " &amp; IF(Q552="","",TEXT(Q552,"M/D-")) &amp; IF(R552="","",TEXT(R552,"M/D")) &amp; " "</f>
        <v xml:space="preserve">     0.00% Install MSC Rail(Every 10th, ~35th)  </v>
      </c>
      <c r="CO552" s="94"/>
      <c r="CP552" s="94"/>
      <c r="CQ552" s="94"/>
      <c r="CR552" s="94"/>
      <c r="CS552" s="94"/>
      <c r="CT552" s="94"/>
      <c r="CU552" s="94"/>
      <c r="CV552" s="94"/>
      <c r="CW552" s="94"/>
      <c r="CX552" s="94"/>
      <c r="CY552" s="94"/>
      <c r="CZ552" s="94"/>
      <c r="DA552" s="94"/>
      <c r="DB552" s="94"/>
      <c r="DC552" s="94"/>
      <c r="DD552" s="94"/>
      <c r="DE552" s="94"/>
      <c r="DF552" s="94"/>
      <c r="DG552" s="94"/>
      <c r="DH552" s="94"/>
      <c r="DI552" s="94"/>
      <c r="DJ552" s="94"/>
      <c r="DK552" s="94"/>
      <c r="DL552" s="94"/>
      <c r="DM552" s="94"/>
      <c r="DN552" s="94"/>
      <c r="DO552" s="94"/>
      <c r="DP552" s="94"/>
      <c r="DQ552" s="94"/>
    </row>
    <row r="553" spans="1:121" ht="15" customHeight="1" outlineLevel="3" x14ac:dyDescent="0.3">
      <c r="A553" s="100"/>
      <c r="B553" s="100"/>
      <c r="C553" s="99">
        <v>4</v>
      </c>
      <c r="D553" s="98" t="s">
        <v>758</v>
      </c>
      <c r="F553" s="94"/>
      <c r="H553" s="77" t="s">
        <v>652</v>
      </c>
      <c r="O553" s="94" t="s">
        <v>649</v>
      </c>
      <c r="Q553" s="97"/>
      <c r="R553" s="97"/>
      <c r="AB553" s="72">
        <v>1</v>
      </c>
      <c r="AE553" s="96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94"/>
      <c r="BZ553" s="94"/>
      <c r="CA553" s="94"/>
      <c r="CB553" s="94"/>
      <c r="CC553" s="94"/>
      <c r="CD553" s="94"/>
      <c r="CE553" s="94"/>
      <c r="CF553" s="94"/>
      <c r="CG553" s="94"/>
      <c r="CH553" s="94"/>
      <c r="CI553" s="94"/>
      <c r="CJ553" s="94"/>
      <c r="CK553" s="94"/>
      <c r="CL553" s="94"/>
      <c r="CM553" s="94"/>
      <c r="CN553" s="94"/>
      <c r="CO553" s="94"/>
      <c r="CP553" s="94" t="str">
        <f>"     " &amp; TEXT(AF553,"#0.00%") &amp; " " &amp; "Install MSC Accessories" &amp; " " &amp; IF(Q553="","",TEXT(Q553,"M/D-")) &amp; IF(R553="","",TEXT(R553,"M/D")) &amp; " "</f>
        <v xml:space="preserve">     0.00% Install MSC Accessories  </v>
      </c>
      <c r="CQ553" s="94"/>
      <c r="CR553" s="94"/>
      <c r="CS553" s="94"/>
      <c r="CT553" s="94"/>
      <c r="CU553" s="94"/>
      <c r="CV553" s="94"/>
      <c r="CW553" s="94"/>
      <c r="CX553" s="94"/>
      <c r="CY553" s="94"/>
      <c r="CZ553" s="94"/>
      <c r="DA553" s="94"/>
      <c r="DB553" s="94"/>
      <c r="DC553" s="94"/>
      <c r="DD553" s="94"/>
      <c r="DE553" s="94"/>
      <c r="DF553" s="94"/>
      <c r="DG553" s="94"/>
      <c r="DH553" s="94"/>
      <c r="DI553" s="94"/>
      <c r="DJ553" s="94"/>
      <c r="DK553" s="94"/>
      <c r="DL553" s="94"/>
      <c r="DM553" s="94"/>
      <c r="DN553" s="94"/>
      <c r="DO553" s="94"/>
      <c r="DP553" s="94"/>
      <c r="DQ553" s="94"/>
    </row>
    <row r="554" spans="1:121" ht="15" customHeight="1" outlineLevel="3" x14ac:dyDescent="0.3">
      <c r="A554" s="100"/>
      <c r="B554" s="100"/>
      <c r="C554" s="99">
        <v>4</v>
      </c>
      <c r="D554" s="98" t="s">
        <v>757</v>
      </c>
      <c r="F554" s="94"/>
      <c r="H554" s="77" t="s">
        <v>650</v>
      </c>
      <c r="O554" s="94" t="s">
        <v>649</v>
      </c>
      <c r="Q554" s="97"/>
      <c r="R554" s="97"/>
      <c r="AB554" s="72">
        <v>1</v>
      </c>
      <c r="AE554" s="96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94"/>
      <c r="BZ554" s="94"/>
      <c r="CA554" s="94"/>
      <c r="CB554" s="94"/>
      <c r="CC554" s="94"/>
      <c r="CD554" s="94"/>
      <c r="CE554" s="94"/>
      <c r="CF554" s="94"/>
      <c r="CG554" s="94"/>
      <c r="CH554" s="94"/>
      <c r="CI554" s="94"/>
      <c r="CJ554" s="94"/>
      <c r="CK554" s="94"/>
      <c r="CL554" s="94"/>
      <c r="CM554" s="94"/>
      <c r="CN554" s="94"/>
      <c r="CO554" s="94"/>
      <c r="CP554" s="94"/>
      <c r="CQ554" s="94" t="str">
        <f>"  " &amp; TEXT(AF554,"#0.00%") &amp; " " &amp; "Check MSC rail straightness &amp; rail/load arm level" &amp; " " &amp; IF(Q554="","",TEXT(Q554,"M/D-")) &amp; IF(R554="","",TEXT(R554,"M/D")) &amp; " "</f>
        <v xml:space="preserve">  0.00% Check MSC rail straightness &amp; rail/load arm level  </v>
      </c>
      <c r="CR554" s="94"/>
      <c r="CS554" s="94"/>
      <c r="CT554" s="94"/>
      <c r="CU554" s="94"/>
      <c r="CV554" s="94"/>
      <c r="CW554" s="94"/>
      <c r="CX554" s="94"/>
      <c r="CY554" s="94"/>
      <c r="CZ554" s="94"/>
      <c r="DA554" s="94"/>
      <c r="DB554" s="94"/>
      <c r="DC554" s="94"/>
      <c r="DD554" s="94"/>
      <c r="DE554" s="94"/>
      <c r="DF554" s="94"/>
      <c r="DG554" s="94"/>
      <c r="DH554" s="94"/>
      <c r="DI554" s="94"/>
      <c r="DJ554" s="94"/>
      <c r="DK554" s="94"/>
      <c r="DL554" s="94"/>
      <c r="DM554" s="94"/>
      <c r="DN554" s="94"/>
      <c r="DO554" s="94"/>
      <c r="DP554" s="94"/>
      <c r="DQ554" s="94"/>
    </row>
    <row r="555" spans="1:121" ht="15" customHeight="1" outlineLevel="3" x14ac:dyDescent="0.3">
      <c r="A555" s="100"/>
      <c r="B555" s="100"/>
      <c r="C555" s="99">
        <v>4</v>
      </c>
      <c r="D555" s="98" t="s">
        <v>756</v>
      </c>
      <c r="F555" s="94"/>
      <c r="H555" s="77" t="s">
        <v>641</v>
      </c>
      <c r="O555" s="94" t="s">
        <v>640</v>
      </c>
      <c r="Q555" s="97"/>
      <c r="R555" s="97"/>
      <c r="AB555" s="72">
        <v>1</v>
      </c>
      <c r="AE555" s="96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94"/>
      <c r="BZ555" s="94"/>
      <c r="CA555" s="94"/>
      <c r="CB555" s="94"/>
      <c r="CC555" s="94"/>
      <c r="CD555" s="94"/>
      <c r="CE555" s="94"/>
      <c r="CF555" s="94"/>
      <c r="CG555" s="94"/>
      <c r="CH555" s="94"/>
      <c r="CI555" s="94"/>
      <c r="CJ555" s="94"/>
      <c r="CK555" s="94"/>
      <c r="CL555" s="94"/>
      <c r="CM555" s="94"/>
      <c r="CN555" s="94"/>
      <c r="CO555" s="94"/>
      <c r="CP555" s="94"/>
      <c r="CQ555" s="94"/>
      <c r="CR555" s="94" t="str">
        <f>" " &amp; TEXT(AF555,"#0.00%") &amp; " " &amp; "install fence" &amp; " " &amp; IF(Q555="","",TEXT(Q555,"M/D-")) &amp; IF(R555="","",TEXT(R555,"M/D")) &amp; " "</f>
        <v xml:space="preserve"> 0.00% install fence  </v>
      </c>
      <c r="CS555" s="94"/>
      <c r="CT555" s="94"/>
      <c r="CU555" s="94"/>
      <c r="CV555" s="94"/>
      <c r="CW555" s="94"/>
      <c r="CX555" s="94"/>
      <c r="CY555" s="94"/>
      <c r="CZ555" s="94"/>
      <c r="DA555" s="94"/>
      <c r="DB555" s="94"/>
      <c r="DC555" s="94"/>
      <c r="DD555" s="94"/>
      <c r="DE555" s="94"/>
      <c r="DF555" s="94"/>
      <c r="DG555" s="94"/>
      <c r="DH555" s="94"/>
      <c r="DI555" s="94"/>
      <c r="DJ555" s="94"/>
      <c r="DK555" s="94"/>
      <c r="DL555" s="94"/>
      <c r="DM555" s="94"/>
      <c r="DN555" s="94"/>
      <c r="DO555" s="94"/>
      <c r="DP555" s="94"/>
      <c r="DQ555" s="94"/>
    </row>
    <row r="556" spans="1:121" ht="15" customHeight="1" outlineLevel="2" x14ac:dyDescent="0.3">
      <c r="A556" s="100"/>
      <c r="B556" s="100" t="s">
        <v>298</v>
      </c>
      <c r="C556" s="99">
        <v>3</v>
      </c>
      <c r="D556" s="98" t="s">
        <v>755</v>
      </c>
      <c r="F556" s="94"/>
      <c r="G556" s="77" t="s">
        <v>406</v>
      </c>
      <c r="O556" s="94" t="s">
        <v>405</v>
      </c>
      <c r="Q556" s="97"/>
      <c r="R556" s="97"/>
      <c r="AE556" s="96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94"/>
      <c r="BZ556" s="94"/>
      <c r="CA556" s="94"/>
      <c r="CB556" s="94"/>
      <c r="CC556" s="94"/>
      <c r="CD556" s="94"/>
      <c r="CE556" s="94"/>
      <c r="CF556" s="94"/>
      <c r="CG556" s="94"/>
      <c r="CH556" s="94" t="str">
        <f>"     " &amp; TEXT(AF556,"#0.00%") &amp; " "</f>
        <v xml:space="preserve">     0.00% </v>
      </c>
      <c r="CI556" s="94"/>
      <c r="CJ556" s="94"/>
      <c r="CK556" s="94"/>
      <c r="CL556" s="94"/>
      <c r="CM556" s="94"/>
      <c r="CN556" s="94"/>
      <c r="CO556" s="94"/>
      <c r="CP556" s="94"/>
      <c r="CQ556" s="94" t="str">
        <f>"     " &amp; "HT#1" &amp; " " &amp; IF(Q556="","",TEXT(Q556,"M/D-")) &amp; IF(R556="","",TEXT(R556,"M/D")) &amp; " "</f>
        <v xml:space="preserve">     HT#1  </v>
      </c>
      <c r="CR556" s="94"/>
      <c r="CS556" s="94"/>
      <c r="CT556" s="94"/>
      <c r="CU556" s="94"/>
      <c r="CV556" s="94"/>
      <c r="CW556" s="94"/>
      <c r="CX556" s="94"/>
      <c r="CY556" s="94"/>
      <c r="CZ556" s="94"/>
      <c r="DA556" s="94"/>
      <c r="DB556" s="94"/>
      <c r="DC556" s="94"/>
      <c r="DD556" s="94"/>
      <c r="DE556" s="94"/>
      <c r="DF556" s="94"/>
      <c r="DG556" s="94"/>
      <c r="DH556" s="94"/>
      <c r="DI556" s="94"/>
      <c r="DJ556" s="94"/>
      <c r="DK556" s="94"/>
      <c r="DL556" s="94"/>
      <c r="DM556" s="94"/>
      <c r="DN556" s="94"/>
      <c r="DO556" s="94"/>
      <c r="DP556" s="94"/>
      <c r="DQ556" s="94"/>
    </row>
    <row r="557" spans="1:121" ht="15" customHeight="1" outlineLevel="3" x14ac:dyDescent="0.3">
      <c r="A557" s="100"/>
      <c r="B557" s="100"/>
      <c r="C557" s="99">
        <v>4</v>
      </c>
      <c r="D557" s="98" t="s">
        <v>754</v>
      </c>
      <c r="H557" s="77" t="s">
        <v>534</v>
      </c>
      <c r="J557" s="94"/>
      <c r="O557" s="77" t="s">
        <v>708</v>
      </c>
      <c r="P557" s="105"/>
      <c r="Q557" s="97"/>
      <c r="R557" s="97"/>
      <c r="AB557" s="72">
        <v>1</v>
      </c>
      <c r="AE557" s="96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94"/>
      <c r="BZ557" s="94"/>
      <c r="CA557" s="94"/>
      <c r="CB557" s="94"/>
      <c r="CC557" s="94"/>
      <c r="CD557" s="94"/>
      <c r="CE557" s="94"/>
      <c r="CF557" s="94"/>
      <c r="CG557" s="94"/>
      <c r="CH557" s="94" t="str">
        <f>"     " &amp; TEXT(AF557,"#0.00%") &amp; " " &amp; "Line Marking" &amp; " " &amp; IF(Q557="","",TEXT(Q557,"M/D-")) &amp; IF(R557="","",TEXT(R557,"M/D")) &amp; " "</f>
        <v xml:space="preserve">     0.00% Line Marking  </v>
      </c>
      <c r="CI557" s="94"/>
      <c r="CJ557" s="94"/>
      <c r="CK557" s="94"/>
      <c r="CL557" s="94"/>
      <c r="CM557" s="94"/>
      <c r="CN557" s="94"/>
      <c r="CO557" s="94"/>
      <c r="CP557" s="94"/>
      <c r="CQ557" s="94"/>
      <c r="CR557" s="94"/>
      <c r="CS557" s="94"/>
      <c r="CT557" s="94"/>
      <c r="CU557" s="94"/>
      <c r="CV557" s="94"/>
      <c r="CW557" s="94"/>
      <c r="CX557" s="94"/>
      <c r="CY557" s="94"/>
      <c r="CZ557" s="94"/>
      <c r="DA557" s="94"/>
      <c r="DB557" s="94"/>
      <c r="DC557" s="94"/>
      <c r="DD557" s="94"/>
      <c r="DE557" s="94"/>
      <c r="DF557" s="94"/>
      <c r="DG557" s="94"/>
      <c r="DH557" s="94"/>
      <c r="DI557" s="94"/>
      <c r="DJ557" s="94"/>
      <c r="DK557" s="94"/>
      <c r="DL557" s="94"/>
      <c r="DM557" s="94"/>
      <c r="DN557" s="94"/>
      <c r="DO557" s="94"/>
      <c r="DP557" s="94"/>
      <c r="DQ557" s="94"/>
    </row>
    <row r="558" spans="1:121" ht="15" customHeight="1" outlineLevel="3" x14ac:dyDescent="0.3">
      <c r="A558" s="100"/>
      <c r="B558" s="100"/>
      <c r="C558" s="99">
        <v>4</v>
      </c>
      <c r="D558" s="98" t="s">
        <v>753</v>
      </c>
      <c r="H558" s="77" t="s">
        <v>712</v>
      </c>
      <c r="J558" s="94"/>
      <c r="O558" s="77" t="s">
        <v>708</v>
      </c>
      <c r="P558" s="105"/>
      <c r="Q558" s="97"/>
      <c r="R558" s="97"/>
      <c r="AB558" s="72">
        <v>1</v>
      </c>
      <c r="AE558" s="96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94"/>
      <c r="BZ558" s="94"/>
      <c r="CA558" s="94"/>
      <c r="CB558" s="94"/>
      <c r="CC558" s="94"/>
      <c r="CD558" s="94"/>
      <c r="CE558" s="94"/>
      <c r="CF558" s="94"/>
      <c r="CG558" s="94"/>
      <c r="CH558" s="94" t="str">
        <f>"     " &amp; TEXT(AF558,"#0.00%") &amp; " " &amp; "Check Floor Level" &amp; " " &amp; IF(Q558="","",TEXT(Q558,"M/D-")) &amp; IF(R558="","",TEXT(R558,"M/D")) &amp; " "</f>
        <v xml:space="preserve">     0.00% Check Floor Level  </v>
      </c>
      <c r="CI558" s="94"/>
      <c r="CJ558" s="94"/>
      <c r="CK558" s="94"/>
      <c r="CL558" s="94"/>
      <c r="CM558" s="94"/>
      <c r="CN558" s="94"/>
      <c r="CO558" s="94"/>
      <c r="CP558" s="94"/>
      <c r="CQ558" s="94"/>
      <c r="CR558" s="94"/>
      <c r="CS558" s="94"/>
      <c r="CT558" s="94"/>
      <c r="CU558" s="94"/>
      <c r="CV558" s="94"/>
      <c r="CW558" s="94"/>
      <c r="CX558" s="94"/>
      <c r="CY558" s="94"/>
      <c r="CZ558" s="94"/>
      <c r="DA558" s="94"/>
      <c r="DB558" s="94"/>
      <c r="DC558" s="94"/>
      <c r="DD558" s="94"/>
      <c r="DE558" s="94"/>
      <c r="DF558" s="94"/>
      <c r="DG558" s="94"/>
      <c r="DH558" s="94"/>
      <c r="DI558" s="94"/>
      <c r="DJ558" s="94"/>
      <c r="DK558" s="94"/>
      <c r="DL558" s="94"/>
      <c r="DM558" s="94"/>
      <c r="DN558" s="94"/>
      <c r="DO558" s="94"/>
      <c r="DP558" s="94"/>
      <c r="DQ558" s="94"/>
    </row>
    <row r="559" spans="1:121" ht="15" customHeight="1" outlineLevel="3" x14ac:dyDescent="0.3">
      <c r="A559" s="100"/>
      <c r="B559" s="100"/>
      <c r="C559" s="99">
        <v>4</v>
      </c>
      <c r="D559" s="98" t="s">
        <v>752</v>
      </c>
      <c r="H559" s="77" t="s">
        <v>532</v>
      </c>
      <c r="J559" s="94"/>
      <c r="O559" s="77" t="s">
        <v>708</v>
      </c>
      <c r="P559" s="105"/>
      <c r="Q559" s="97"/>
      <c r="R559" s="97"/>
      <c r="AB559" s="72">
        <v>1</v>
      </c>
      <c r="AE559" s="96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94"/>
      <c r="BZ559" s="94"/>
      <c r="CA559" s="94"/>
      <c r="CB559" s="94"/>
      <c r="CC559" s="94"/>
      <c r="CD559" s="94"/>
      <c r="CE559" s="94"/>
      <c r="CF559" s="94"/>
      <c r="CG559" s="94"/>
      <c r="CH559" s="94" t="str">
        <f>"     " &amp; TEXT(AF559,"#0.00%") &amp; " " &amp; "Check Line Marking" &amp; " " &amp; IF(Q559="","",TEXT(Q559,"M/D-")) &amp; IF(R559="","",TEXT(R559,"M/D")) &amp; " "</f>
        <v xml:space="preserve">     0.00% Check Line Marking  </v>
      </c>
      <c r="CI559" s="94"/>
      <c r="CJ559" s="94"/>
      <c r="CK559" s="94"/>
      <c r="CL559" s="94"/>
      <c r="CM559" s="94"/>
      <c r="CN559" s="94"/>
      <c r="CO559" s="94"/>
      <c r="CP559" s="94"/>
      <c r="CQ559" s="94"/>
      <c r="CR559" s="94"/>
      <c r="CS559" s="94"/>
      <c r="CT559" s="94"/>
      <c r="CU559" s="94"/>
      <c r="CV559" s="94"/>
      <c r="CW559" s="94"/>
      <c r="CX559" s="94"/>
      <c r="CY559" s="94"/>
      <c r="CZ559" s="94"/>
      <c r="DA559" s="94"/>
      <c r="DB559" s="94"/>
      <c r="DC559" s="94"/>
      <c r="DD559" s="94"/>
      <c r="DE559" s="94"/>
      <c r="DF559" s="94"/>
      <c r="DG559" s="94"/>
      <c r="DH559" s="94"/>
      <c r="DI559" s="94"/>
      <c r="DJ559" s="94"/>
      <c r="DK559" s="94"/>
      <c r="DL559" s="94"/>
      <c r="DM559" s="94"/>
      <c r="DN559" s="94"/>
      <c r="DO559" s="94"/>
      <c r="DP559" s="94"/>
      <c r="DQ559" s="94"/>
    </row>
    <row r="560" spans="1:121" ht="15" customHeight="1" outlineLevel="3" x14ac:dyDescent="0.3">
      <c r="A560" s="100"/>
      <c r="B560" s="100"/>
      <c r="C560" s="99">
        <v>4</v>
      </c>
      <c r="D560" s="98" t="s">
        <v>751</v>
      </c>
      <c r="H560" s="77" t="s">
        <v>589</v>
      </c>
      <c r="J560" s="94"/>
      <c r="O560" s="77" t="s">
        <v>708</v>
      </c>
      <c r="P560" s="105"/>
      <c r="Q560" s="97"/>
      <c r="R560" s="97"/>
      <c r="AB560" s="72">
        <v>1</v>
      </c>
      <c r="AE560" s="96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94"/>
      <c r="BZ560" s="94"/>
      <c r="CA560" s="94"/>
      <c r="CB560" s="94"/>
      <c r="CC560" s="94"/>
      <c r="CD560" s="94"/>
      <c r="CE560" s="94"/>
      <c r="CF560" s="94"/>
      <c r="CG560" s="94"/>
      <c r="CH560" s="94"/>
      <c r="CI560" s="94" t="str">
        <f>" " &amp; TEXT(AF560,"#0.00%") &amp; " " &amp; "Drilling Anchor Hole" &amp; " " &amp; IF(Q560="","",TEXT(Q560,"M/D-")) &amp; IF(R560="","",TEXT(R560,"M/D")) &amp; " "</f>
        <v xml:space="preserve"> 0.00% Drilling Anchor Hole  </v>
      </c>
      <c r="CJ560" s="94"/>
      <c r="CK560" s="94"/>
      <c r="CL560" s="94"/>
      <c r="CM560" s="94"/>
      <c r="CN560" s="94"/>
      <c r="CO560" s="94"/>
      <c r="CP560" s="94"/>
      <c r="CQ560" s="94"/>
      <c r="CR560" s="94"/>
      <c r="CS560" s="94"/>
      <c r="CT560" s="94"/>
      <c r="CU560" s="94"/>
      <c r="CV560" s="94"/>
      <c r="CW560" s="94"/>
      <c r="CX560" s="94"/>
      <c r="CY560" s="94"/>
      <c r="CZ560" s="94"/>
      <c r="DA560" s="94"/>
      <c r="DB560" s="94"/>
      <c r="DC560" s="94"/>
      <c r="DD560" s="94"/>
      <c r="DE560" s="94"/>
      <c r="DF560" s="94"/>
      <c r="DG560" s="94"/>
      <c r="DH560" s="94"/>
      <c r="DI560" s="94"/>
      <c r="DJ560" s="94"/>
      <c r="DK560" s="94"/>
      <c r="DL560" s="94"/>
      <c r="DM560" s="94"/>
      <c r="DN560" s="94"/>
      <c r="DO560" s="94"/>
      <c r="DP560" s="94"/>
      <c r="DQ560" s="94"/>
    </row>
    <row r="561" spans="1:121" ht="15" customHeight="1" outlineLevel="3" x14ac:dyDescent="0.3">
      <c r="A561" s="100"/>
      <c r="B561" s="100"/>
      <c r="C561" s="99">
        <v>4</v>
      </c>
      <c r="D561" s="98" t="s">
        <v>750</v>
      </c>
      <c r="H561" s="77" t="s">
        <v>530</v>
      </c>
      <c r="J561" s="94"/>
      <c r="O561" s="77" t="s">
        <v>708</v>
      </c>
      <c r="P561" s="105"/>
      <c r="Q561" s="97"/>
      <c r="R561" s="97"/>
      <c r="AB561" s="72">
        <v>1</v>
      </c>
      <c r="AE561" s="96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/>
      <c r="BO561" s="102"/>
      <c r="BP561" s="102"/>
      <c r="BQ561" s="102"/>
      <c r="BR561" s="102"/>
      <c r="BS561" s="102"/>
      <c r="BT561" s="102"/>
      <c r="BU561" s="102"/>
      <c r="BV561" s="102"/>
      <c r="BW561" s="102"/>
      <c r="BX561" s="102"/>
      <c r="BY561" s="94"/>
      <c r="BZ561" s="94"/>
      <c r="CA561" s="94"/>
      <c r="CB561" s="94"/>
      <c r="CC561" s="94"/>
      <c r="CD561" s="94"/>
      <c r="CE561" s="94"/>
      <c r="CF561" s="94"/>
      <c r="CG561" s="94"/>
      <c r="CH561" s="94"/>
      <c r="CI561" s="94" t="str">
        <f>"" &amp; TEXT(AF561,"#0.00%") &amp; " "</f>
        <v xml:space="preserve">0.00% </v>
      </c>
      <c r="CJ561" s="94"/>
      <c r="CK561" s="94"/>
      <c r="CL561" s="94"/>
      <c r="CM561" s="94"/>
      <c r="CN561" s="94"/>
      <c r="CO561" s="94"/>
      <c r="CP561" s="94"/>
      <c r="CQ561" s="94" t="str">
        <f>"     " &amp; "Move In" &amp; " " &amp; IF(Q561="","",TEXT(Q561,"M/D-")) &amp; IF(R561="","",TEXT(R561,"M/D")) &amp; " "</f>
        <v xml:space="preserve">     Move In  </v>
      </c>
      <c r="CR561" s="94"/>
      <c r="CS561" s="94"/>
      <c r="CT561" s="94"/>
      <c r="CU561" s="94"/>
      <c r="CV561" s="94"/>
      <c r="CW561" s="94"/>
      <c r="CX561" s="94"/>
      <c r="CY561" s="94"/>
      <c r="CZ561" s="94"/>
      <c r="DA561" s="94"/>
      <c r="DB561" s="94"/>
      <c r="DC561" s="94"/>
      <c r="DD561" s="94"/>
      <c r="DE561" s="94"/>
      <c r="DF561" s="94"/>
      <c r="DG561" s="94"/>
      <c r="DH561" s="94"/>
      <c r="DI561" s="94"/>
      <c r="DJ561" s="94"/>
      <c r="DK561" s="94"/>
      <c r="DL561" s="94"/>
      <c r="DM561" s="94"/>
      <c r="DN561" s="94"/>
      <c r="DO561" s="94"/>
      <c r="DP561" s="94"/>
      <c r="DQ561" s="94"/>
    </row>
    <row r="562" spans="1:121" ht="15" customHeight="1" outlineLevel="3" x14ac:dyDescent="0.3">
      <c r="A562" s="100"/>
      <c r="B562" s="100"/>
      <c r="C562" s="99">
        <v>4</v>
      </c>
      <c r="D562" s="98" t="s">
        <v>749</v>
      </c>
      <c r="H562" s="77" t="s">
        <v>706</v>
      </c>
      <c r="J562" s="94"/>
      <c r="O562" s="77" t="s">
        <v>700</v>
      </c>
      <c r="P562" s="105"/>
      <c r="Q562" s="97"/>
      <c r="R562" s="97"/>
      <c r="AB562" s="72">
        <v>1</v>
      </c>
      <c r="AE562" s="96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/>
      <c r="BO562" s="102"/>
      <c r="BP562" s="102"/>
      <c r="BQ562" s="102"/>
      <c r="BR562" s="102"/>
      <c r="BS562" s="102"/>
      <c r="BT562" s="102"/>
      <c r="BU562" s="102"/>
      <c r="BV562" s="102"/>
      <c r="BW562" s="102"/>
      <c r="BX562" s="102"/>
      <c r="BY562" s="94"/>
      <c r="BZ562" s="94"/>
      <c r="CA562" s="94"/>
      <c r="CB562" s="94"/>
      <c r="CC562" s="94"/>
      <c r="CD562" s="94"/>
      <c r="CE562" s="94"/>
      <c r="CF562" s="94"/>
      <c r="CG562" s="94"/>
      <c r="CH562" s="94"/>
      <c r="CI562" s="94" t="str">
        <f>" " &amp; TEXT(AF562,"#0.00%") &amp; " " &amp; "Install Anchor &amp; Nut" &amp; " " &amp; IF(Q562="","",TEXT(Q562,"M/D-")) &amp; IF(R562="","",TEXT(R562,"M/D")) &amp; " "</f>
        <v xml:space="preserve"> 0.00% Install Anchor &amp; Nut  </v>
      </c>
      <c r="CJ562" s="94"/>
      <c r="CK562" s="94"/>
      <c r="CL562" s="94"/>
      <c r="CM562" s="94"/>
      <c r="CN562" s="94"/>
      <c r="CO562" s="94"/>
      <c r="CP562" s="94"/>
      <c r="CQ562" s="94"/>
      <c r="CR562" s="94"/>
      <c r="CS562" s="94"/>
      <c r="CT562" s="94"/>
      <c r="CU562" s="94"/>
      <c r="CV562" s="94"/>
      <c r="CW562" s="94"/>
      <c r="CX562" s="94"/>
      <c r="CY562" s="94"/>
      <c r="CZ562" s="94"/>
      <c r="DA562" s="94"/>
      <c r="DB562" s="94"/>
      <c r="DC562" s="94"/>
      <c r="DD562" s="94"/>
      <c r="DE562" s="94"/>
      <c r="DF562" s="94"/>
      <c r="DG562" s="94"/>
      <c r="DH562" s="94"/>
      <c r="DI562" s="94"/>
      <c r="DJ562" s="94"/>
      <c r="DK562" s="94"/>
      <c r="DL562" s="94"/>
      <c r="DM562" s="94"/>
      <c r="DN562" s="94"/>
      <c r="DO562" s="94"/>
      <c r="DP562" s="94"/>
      <c r="DQ562" s="94"/>
    </row>
    <row r="563" spans="1:121" ht="15" customHeight="1" outlineLevel="3" x14ac:dyDescent="0.3">
      <c r="A563" s="100"/>
      <c r="B563" s="100"/>
      <c r="C563" s="99">
        <v>4</v>
      </c>
      <c r="D563" s="98" t="s">
        <v>748</v>
      </c>
      <c r="H563" s="77" t="s">
        <v>704</v>
      </c>
      <c r="J563" s="94"/>
      <c r="O563" s="77" t="s">
        <v>700</v>
      </c>
      <c r="P563" s="105"/>
      <c r="Q563" s="97"/>
      <c r="R563" s="97"/>
      <c r="AB563" s="72">
        <v>1</v>
      </c>
      <c r="AE563" s="96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94"/>
      <c r="BZ563" s="94"/>
      <c r="CA563" s="94"/>
      <c r="CB563" s="94"/>
      <c r="CC563" s="94"/>
      <c r="CD563" s="94"/>
      <c r="CE563" s="94"/>
      <c r="CF563" s="94"/>
      <c r="CG563" s="94"/>
      <c r="CH563" s="94"/>
      <c r="CI563" s="94" t="str">
        <f>"   " &amp; TEXT(AF563,"#0.00%") &amp; " " &amp; "Install Deck Post&amp;Girder&amp;Bracing" &amp; " " &amp; IF(Q563="","",TEXT(Q563,"M/D-")) &amp; IF(R563="","",TEXT(R563,"M/D")) &amp; " "</f>
        <v xml:space="preserve">   0.00% Install Deck Post&amp;Girder&amp;Bracing  </v>
      </c>
      <c r="CJ563" s="94"/>
      <c r="CK563" s="94"/>
      <c r="CL563" s="94"/>
      <c r="CM563" s="94"/>
      <c r="CN563" s="94"/>
      <c r="CO563" s="94"/>
      <c r="CP563" s="94"/>
      <c r="CQ563" s="94"/>
      <c r="CR563" s="94"/>
      <c r="CS563" s="94"/>
      <c r="CT563" s="94"/>
      <c r="CU563" s="94"/>
      <c r="CV563" s="94"/>
      <c r="CW563" s="94"/>
      <c r="CX563" s="94"/>
      <c r="CY563" s="94"/>
      <c r="CZ563" s="94"/>
      <c r="DA563" s="94"/>
      <c r="DB563" s="94"/>
      <c r="DC563" s="94"/>
      <c r="DD563" s="94"/>
      <c r="DE563" s="94"/>
      <c r="DF563" s="94"/>
      <c r="DG563" s="94"/>
      <c r="DH563" s="94"/>
      <c r="DI563" s="94"/>
      <c r="DJ563" s="94"/>
      <c r="DK563" s="94"/>
      <c r="DL563" s="94"/>
      <c r="DM563" s="94"/>
      <c r="DN563" s="94"/>
      <c r="DO563" s="94"/>
      <c r="DP563" s="94"/>
      <c r="DQ563" s="94"/>
    </row>
    <row r="564" spans="1:121" ht="15" customHeight="1" outlineLevel="3" x14ac:dyDescent="0.3">
      <c r="A564" s="100"/>
      <c r="B564" s="100"/>
      <c r="C564" s="99">
        <v>4</v>
      </c>
      <c r="D564" s="98" t="s">
        <v>747</v>
      </c>
      <c r="H564" s="77" t="s">
        <v>702</v>
      </c>
      <c r="J564" s="94"/>
      <c r="O564" s="77" t="s">
        <v>700</v>
      </c>
      <c r="P564" s="105"/>
      <c r="Q564" s="97"/>
      <c r="R564" s="97"/>
      <c r="AB564" s="72">
        <v>1</v>
      </c>
      <c r="AE564" s="96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94"/>
      <c r="BZ564" s="94"/>
      <c r="CA564" s="94"/>
      <c r="CB564" s="94"/>
      <c r="CC564" s="94"/>
      <c r="CD564" s="94"/>
      <c r="CE564" s="94"/>
      <c r="CF564" s="94"/>
      <c r="CG564" s="94"/>
      <c r="CH564" s="94"/>
      <c r="CI564" s="94" t="str">
        <f>"    " &amp; TEXT(AF564,"#0.00%") &amp; " " &amp; "Check Vertical(Deck Post&amp;Tower Stair)" &amp; " " &amp; IF(Q564="","",TEXT(Q564,"M/D-")) &amp; IF(R564="","",TEXT(R564,"M/D")) &amp; " "</f>
        <v xml:space="preserve">    0.00% Check Vertical(Deck Post&amp;Tower Stair)  </v>
      </c>
      <c r="CJ564" s="94"/>
      <c r="CK564" s="94"/>
      <c r="CL564" s="94"/>
      <c r="CM564" s="94"/>
      <c r="CN564" s="94"/>
      <c r="CO564" s="94"/>
      <c r="CP564" s="94"/>
      <c r="CQ564" s="94"/>
      <c r="CR564" s="94"/>
      <c r="CS564" s="94"/>
      <c r="CT564" s="94"/>
      <c r="CU564" s="94"/>
      <c r="CV564" s="94"/>
      <c r="CW564" s="94"/>
      <c r="CX564" s="94"/>
      <c r="CY564" s="94"/>
      <c r="CZ564" s="94"/>
      <c r="DA564" s="94"/>
      <c r="DB564" s="94"/>
      <c r="DC564" s="94"/>
      <c r="DD564" s="94"/>
      <c r="DE564" s="94"/>
      <c r="DF564" s="94"/>
      <c r="DG564" s="94"/>
      <c r="DH564" s="94"/>
      <c r="DI564" s="94"/>
      <c r="DJ564" s="94"/>
      <c r="DK564" s="94"/>
      <c r="DL564" s="94"/>
      <c r="DM564" s="94"/>
      <c r="DN564" s="94"/>
      <c r="DO564" s="94"/>
      <c r="DP564" s="94"/>
      <c r="DQ564" s="94"/>
    </row>
    <row r="565" spans="1:121" ht="15" customHeight="1" outlineLevel="3" x14ac:dyDescent="0.3">
      <c r="A565" s="100"/>
      <c r="B565" s="100"/>
      <c r="C565" s="99">
        <v>4</v>
      </c>
      <c r="D565" s="98" t="s">
        <v>746</v>
      </c>
      <c r="H565" s="77" t="s">
        <v>546</v>
      </c>
      <c r="J565" s="94"/>
      <c r="O565" s="77" t="s">
        <v>700</v>
      </c>
      <c r="P565" s="105"/>
      <c r="Q565" s="97"/>
      <c r="R565" s="97"/>
      <c r="AB565" s="72">
        <v>1</v>
      </c>
      <c r="AE565" s="96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94"/>
      <c r="BZ565" s="94"/>
      <c r="CA565" s="94"/>
      <c r="CB565" s="94"/>
      <c r="CC565" s="94"/>
      <c r="CD565" s="94"/>
      <c r="CE565" s="94"/>
      <c r="CF565" s="94"/>
      <c r="CG565" s="94"/>
      <c r="CH565" s="94"/>
      <c r="CI565" s="94" t="str">
        <f>"      " &amp; TEXT(AF565,"#0.00%") &amp; " " &amp; "Install Deck Frame&amp;Hand Rail" &amp; " " &amp; IF(Q565="","",TEXT(Q565,"M/D-")) &amp; IF(R565="","",TEXT(R565,"M/D")) &amp; " "</f>
        <v xml:space="preserve">      0.00% Install Deck Frame&amp;Hand Rail  </v>
      </c>
      <c r="CJ565" s="94"/>
      <c r="CK565" s="94"/>
      <c r="CL565" s="94"/>
      <c r="CM565" s="94"/>
      <c r="CN565" s="94"/>
      <c r="CO565" s="94"/>
      <c r="CP565" s="94"/>
      <c r="CQ565" s="94"/>
      <c r="CR565" s="94"/>
      <c r="CS565" s="94"/>
      <c r="CT565" s="94"/>
      <c r="CU565" s="94"/>
      <c r="CV565" s="94"/>
      <c r="CW565" s="94"/>
      <c r="CX565" s="94"/>
      <c r="CY565" s="94"/>
      <c r="CZ565" s="94"/>
      <c r="DA565" s="94"/>
      <c r="DB565" s="94"/>
      <c r="DC565" s="94"/>
      <c r="DD565" s="94"/>
      <c r="DE565" s="94"/>
      <c r="DF565" s="94"/>
      <c r="DG565" s="94"/>
      <c r="DH565" s="94"/>
      <c r="DI565" s="94"/>
      <c r="DJ565" s="94"/>
      <c r="DK565" s="94"/>
      <c r="DL565" s="94"/>
      <c r="DM565" s="94"/>
      <c r="DN565" s="94"/>
      <c r="DO565" s="94"/>
      <c r="DP565" s="94"/>
      <c r="DQ565" s="94"/>
    </row>
    <row r="566" spans="1:121" ht="15" customHeight="1" outlineLevel="3" x14ac:dyDescent="0.3">
      <c r="A566" s="100"/>
      <c r="B566" s="100"/>
      <c r="C566" s="99">
        <v>4</v>
      </c>
      <c r="D566" s="98" t="s">
        <v>745</v>
      </c>
      <c r="H566" s="77" t="s">
        <v>550</v>
      </c>
      <c r="J566" s="94"/>
      <c r="O566" s="77" t="s">
        <v>640</v>
      </c>
      <c r="P566" s="105"/>
      <c r="Q566" s="97"/>
      <c r="R566" s="97"/>
      <c r="AB566" s="72">
        <v>1</v>
      </c>
      <c r="AE566" s="96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94"/>
      <c r="BZ566" s="94"/>
      <c r="CA566" s="94"/>
      <c r="CB566" s="94"/>
      <c r="CC566" s="94"/>
      <c r="CD566" s="94"/>
      <c r="CE566" s="94"/>
      <c r="CF566" s="94"/>
      <c r="CG566" s="94"/>
      <c r="CH566" s="94"/>
      <c r="CI566" s="94"/>
      <c r="CJ566" s="94" t="str">
        <f>"  " &amp; TEXT(AF566,"#0.00%") &amp; " " &amp; "Install Anchor" &amp; " " &amp; IF(Q566="","",TEXT(Q566,"M/D-")) &amp; IF(R566="","",TEXT(R566,"M/D")) &amp; " "</f>
        <v xml:space="preserve">  0.00% Install Anchor  </v>
      </c>
      <c r="CK566" s="94"/>
      <c r="CL566" s="94"/>
      <c r="CM566" s="94"/>
      <c r="CN566" s="94"/>
      <c r="CO566" s="94"/>
      <c r="CP566" s="94"/>
      <c r="CQ566" s="94"/>
      <c r="CR566" s="94"/>
      <c r="CS566" s="94"/>
      <c r="CT566" s="94"/>
      <c r="CU566" s="94"/>
      <c r="CV566" s="94"/>
      <c r="CW566" s="94"/>
      <c r="CX566" s="94"/>
      <c r="CY566" s="94"/>
      <c r="CZ566" s="94"/>
      <c r="DA566" s="94"/>
      <c r="DB566" s="94"/>
      <c r="DC566" s="94"/>
      <c r="DD566" s="94"/>
      <c r="DE566" s="94"/>
      <c r="DF566" s="94"/>
      <c r="DG566" s="94"/>
      <c r="DH566" s="94"/>
      <c r="DI566" s="94"/>
      <c r="DJ566" s="94"/>
      <c r="DK566" s="94"/>
      <c r="DL566" s="94"/>
      <c r="DM566" s="94"/>
      <c r="DN566" s="94"/>
      <c r="DO566" s="94"/>
      <c r="DP566" s="94"/>
      <c r="DQ566" s="94"/>
    </row>
    <row r="567" spans="1:121" ht="15" customHeight="1" outlineLevel="3" x14ac:dyDescent="0.3">
      <c r="A567" s="100"/>
      <c r="B567" s="100"/>
      <c r="C567" s="99">
        <v>4</v>
      </c>
      <c r="D567" s="98" t="s">
        <v>744</v>
      </c>
      <c r="H567" s="77" t="s">
        <v>697</v>
      </c>
      <c r="J567" s="94"/>
      <c r="O567" s="77" t="s">
        <v>640</v>
      </c>
      <c r="P567" s="105"/>
      <c r="Q567" s="97"/>
      <c r="R567" s="97"/>
      <c r="AB567" s="72">
        <v>1</v>
      </c>
      <c r="AE567" s="96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94"/>
      <c r="BZ567" s="94"/>
      <c r="CA567" s="94"/>
      <c r="CB567" s="94"/>
      <c r="CC567" s="94"/>
      <c r="CD567" s="94"/>
      <c r="CE567" s="94"/>
      <c r="CF567" s="94"/>
      <c r="CG567" s="94"/>
      <c r="CH567" s="94"/>
      <c r="CI567" s="94"/>
      <c r="CJ567" s="94" t="str">
        <f>"   " &amp; TEXT(AF567,"#0.00%") &amp; " " &amp; "Install Liner" &amp; " " &amp; IF(Q567="","",TEXT(Q567,"M/D-")) &amp; IF(R567="","",TEXT(R567,"M/D")) &amp; " "</f>
        <v xml:space="preserve">   0.00% Install Liner  </v>
      </c>
      <c r="CK567" s="94"/>
      <c r="CL567" s="94"/>
      <c r="CM567" s="94"/>
      <c r="CN567" s="94"/>
      <c r="CO567" s="94"/>
      <c r="CP567" s="94"/>
      <c r="CQ567" s="94"/>
      <c r="CR567" s="94"/>
      <c r="CS567" s="94"/>
      <c r="CT567" s="94"/>
      <c r="CU567" s="94"/>
      <c r="CV567" s="94"/>
      <c r="CW567" s="94"/>
      <c r="CX567" s="94"/>
      <c r="CY567" s="94"/>
      <c r="CZ567" s="94"/>
      <c r="DA567" s="94"/>
      <c r="DB567" s="94"/>
      <c r="DC567" s="94"/>
      <c r="DD567" s="94"/>
      <c r="DE567" s="94"/>
      <c r="DF567" s="94"/>
      <c r="DG567" s="94"/>
      <c r="DH567" s="94"/>
      <c r="DI567" s="94"/>
      <c r="DJ567" s="94"/>
      <c r="DK567" s="94"/>
      <c r="DL567" s="94"/>
      <c r="DM567" s="94"/>
      <c r="DN567" s="94"/>
      <c r="DO567" s="94"/>
      <c r="DP567" s="94"/>
      <c r="DQ567" s="94"/>
    </row>
    <row r="568" spans="1:121" ht="15" customHeight="1" outlineLevel="3" x14ac:dyDescent="0.3">
      <c r="A568" s="100"/>
      <c r="B568" s="100"/>
      <c r="C568" s="99">
        <v>4</v>
      </c>
      <c r="D568" s="98" t="s">
        <v>743</v>
      </c>
      <c r="H568" s="77" t="s">
        <v>695</v>
      </c>
      <c r="J568" s="94"/>
      <c r="O568" s="77" t="s">
        <v>640</v>
      </c>
      <c r="P568" s="105"/>
      <c r="Q568" s="97"/>
      <c r="R568" s="97"/>
      <c r="AB568" s="72">
        <v>1</v>
      </c>
      <c r="AE568" s="96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94"/>
      <c r="BZ568" s="94"/>
      <c r="CA568" s="94"/>
      <c r="CB568" s="94"/>
      <c r="CC568" s="94"/>
      <c r="CD568" s="94"/>
      <c r="CE568" s="94"/>
      <c r="CF568" s="94"/>
      <c r="CG568" s="94"/>
      <c r="CH568" s="94"/>
      <c r="CI568" s="94"/>
      <c r="CJ568" s="94" t="str">
        <f>"   " &amp; TEXT(AF568,"#0.00%") &amp; " " &amp; "Check Liner Leveling(Laser)" &amp; " " &amp; IF(Q568="","",TEXT(Q568,"M/D-")) &amp; IF(R568="","",TEXT(R568,"M/D")) &amp; " "</f>
        <v xml:space="preserve">   0.00% Check Liner Leveling(Laser)  </v>
      </c>
      <c r="CK568" s="94"/>
      <c r="CL568" s="94"/>
      <c r="CM568" s="94"/>
      <c r="CN568" s="94"/>
      <c r="CO568" s="94"/>
      <c r="CP568" s="94"/>
      <c r="CQ568" s="94"/>
      <c r="CR568" s="94"/>
      <c r="CS568" s="94"/>
      <c r="CT568" s="94"/>
      <c r="CU568" s="94"/>
      <c r="CV568" s="94"/>
      <c r="CW568" s="94"/>
      <c r="CX568" s="94"/>
      <c r="CY568" s="94"/>
      <c r="CZ568" s="94"/>
      <c r="DA568" s="94"/>
      <c r="DB568" s="94"/>
      <c r="DC568" s="94"/>
      <c r="DD568" s="94"/>
      <c r="DE568" s="94"/>
      <c r="DF568" s="94"/>
      <c r="DG568" s="94"/>
      <c r="DH568" s="94"/>
      <c r="DI568" s="94"/>
      <c r="DJ568" s="94"/>
      <c r="DK568" s="94"/>
      <c r="DL568" s="94"/>
      <c r="DM568" s="94"/>
      <c r="DN568" s="94"/>
      <c r="DO568" s="94"/>
      <c r="DP568" s="94"/>
      <c r="DQ568" s="94"/>
    </row>
    <row r="569" spans="1:121" ht="15" customHeight="1" outlineLevel="3" x14ac:dyDescent="0.3">
      <c r="A569" s="100"/>
      <c r="B569" s="100"/>
      <c r="C569" s="99">
        <v>4</v>
      </c>
      <c r="D569" s="98" t="s">
        <v>742</v>
      </c>
      <c r="H569" s="77" t="s">
        <v>693</v>
      </c>
      <c r="J569" s="94"/>
      <c r="O569" s="77" t="s">
        <v>640</v>
      </c>
      <c r="P569" s="105"/>
      <c r="Q569" s="97"/>
      <c r="R569" s="97"/>
      <c r="AB569" s="72">
        <v>1</v>
      </c>
      <c r="AE569" s="96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94"/>
      <c r="BZ569" s="94"/>
      <c r="CA569" s="94"/>
      <c r="CB569" s="94"/>
      <c r="CC569" s="94"/>
      <c r="CD569" s="94"/>
      <c r="CE569" s="94"/>
      <c r="CF569" s="94"/>
      <c r="CG569" s="94"/>
      <c r="CH569" s="94"/>
      <c r="CI569" s="94"/>
      <c r="CJ569" s="94" t="str">
        <f>"    " &amp; TEXT(AF569,"#0.00%") &amp; " " &amp; "Install Base Plate" &amp; " " &amp; IF(Q569="","",TEXT(Q569,"M/D-")) &amp; IF(R569="","",TEXT(R569,"M/D")) &amp; " "</f>
        <v xml:space="preserve">    0.00% Install Base Plate  </v>
      </c>
      <c r="CK569" s="94"/>
      <c r="CL569" s="94"/>
      <c r="CM569" s="94"/>
      <c r="CN569" s="94"/>
      <c r="CO569" s="94"/>
      <c r="CP569" s="94"/>
      <c r="CQ569" s="94"/>
      <c r="CR569" s="94"/>
      <c r="CS569" s="94"/>
      <c r="CT569" s="94"/>
      <c r="CU569" s="94"/>
      <c r="CV569" s="94"/>
      <c r="CW569" s="94"/>
      <c r="CX569" s="94"/>
      <c r="CY569" s="94"/>
      <c r="CZ569" s="94"/>
      <c r="DA569" s="94"/>
      <c r="DB569" s="94"/>
      <c r="DC569" s="94"/>
      <c r="DD569" s="94"/>
      <c r="DE569" s="94"/>
      <c r="DF569" s="94"/>
      <c r="DG569" s="94"/>
      <c r="DH569" s="94"/>
      <c r="DI569" s="94"/>
      <c r="DJ569" s="94"/>
      <c r="DK569" s="94"/>
      <c r="DL569" s="94"/>
      <c r="DM569" s="94"/>
      <c r="DN569" s="94"/>
      <c r="DO569" s="94"/>
      <c r="DP569" s="94"/>
      <c r="DQ569" s="94"/>
    </row>
    <row r="570" spans="1:121" ht="15" customHeight="1" outlineLevel="3" x14ac:dyDescent="0.3">
      <c r="A570" s="100"/>
      <c r="B570" s="100"/>
      <c r="C570" s="99">
        <v>4</v>
      </c>
      <c r="D570" s="98" t="s">
        <v>741</v>
      </c>
      <c r="H570" s="77" t="s">
        <v>691</v>
      </c>
      <c r="J570" s="94"/>
      <c r="O570" s="77" t="s">
        <v>640</v>
      </c>
      <c r="P570" s="105"/>
      <c r="Q570" s="97"/>
      <c r="R570" s="97"/>
      <c r="AB570" s="72">
        <v>1</v>
      </c>
      <c r="AE570" s="96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94"/>
      <c r="BZ570" s="94"/>
      <c r="CA570" s="94"/>
      <c r="CB570" s="94"/>
      <c r="CC570" s="94"/>
      <c r="CD570" s="94"/>
      <c r="CE570" s="94"/>
      <c r="CF570" s="94"/>
      <c r="CG570" s="94"/>
      <c r="CH570" s="94"/>
      <c r="CI570" s="94"/>
      <c r="CJ570" s="94" t="str">
        <f>"     " &amp; TEXT(AF570,"#0.00%") &amp; " " &amp; "Erect Rack(2th)" &amp; " " &amp; IF(Q570="","",TEXT(Q570,"M/D-")) &amp; IF(R570="","",TEXT(R570,"M/D")) &amp; " "</f>
        <v xml:space="preserve">     0.00% Erect Rack(2th)  </v>
      </c>
      <c r="CK570" s="94"/>
      <c r="CL570" s="94"/>
      <c r="CM570" s="94"/>
      <c r="CN570" s="94"/>
      <c r="CO570" s="94"/>
      <c r="CP570" s="94"/>
      <c r="CQ570" s="94"/>
      <c r="CR570" s="94"/>
      <c r="CS570" s="94"/>
      <c r="CT570" s="94"/>
      <c r="CU570" s="94"/>
      <c r="CV570" s="94"/>
      <c r="CW570" s="94"/>
      <c r="CX570" s="94"/>
      <c r="CY570" s="94"/>
      <c r="CZ570" s="94"/>
      <c r="DA570" s="94"/>
      <c r="DB570" s="94"/>
      <c r="DC570" s="94"/>
      <c r="DD570" s="94"/>
      <c r="DE570" s="94"/>
      <c r="DF570" s="94"/>
      <c r="DG570" s="94"/>
      <c r="DH570" s="94"/>
      <c r="DI570" s="94"/>
      <c r="DJ570" s="94"/>
      <c r="DK570" s="94"/>
      <c r="DL570" s="94"/>
      <c r="DM570" s="94"/>
      <c r="DN570" s="94"/>
      <c r="DO570" s="94"/>
      <c r="DP570" s="94"/>
      <c r="DQ570" s="94"/>
    </row>
    <row r="571" spans="1:121" ht="15" customHeight="1" outlineLevel="3" x14ac:dyDescent="0.3">
      <c r="A571" s="100"/>
      <c r="B571" s="100"/>
      <c r="C571" s="99">
        <v>4</v>
      </c>
      <c r="D571" s="98" t="s">
        <v>740</v>
      </c>
      <c r="H571" s="77" t="s">
        <v>544</v>
      </c>
      <c r="J571" s="94"/>
      <c r="O571" s="77" t="s">
        <v>518</v>
      </c>
      <c r="P571" s="105"/>
      <c r="Q571" s="97"/>
      <c r="R571" s="97"/>
      <c r="AB571" s="72">
        <v>1</v>
      </c>
      <c r="AE571" s="96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94"/>
      <c r="BZ571" s="94"/>
      <c r="CA571" s="94"/>
      <c r="CB571" s="94"/>
      <c r="CC571" s="94"/>
      <c r="CD571" s="94"/>
      <c r="CE571" s="94"/>
      <c r="CF571" s="94"/>
      <c r="CG571" s="94"/>
      <c r="CH571" s="94"/>
      <c r="CI571" s="94"/>
      <c r="CJ571" s="94" t="str">
        <f>"      " &amp; TEXT(AF571,"#0.00%") &amp; " " &amp; "Install Lifter" &amp; " " &amp; IF(Q571="","",TEXT(Q571,"M/D-")) &amp; IF(R571="","",TEXT(R571,"M/D")) &amp; " "</f>
        <v xml:space="preserve">      0.00% Install Lifter  </v>
      </c>
      <c r="CK571" s="94"/>
      <c r="CL571" s="94"/>
      <c r="CM571" s="94"/>
      <c r="CN571" s="94"/>
      <c r="CO571" s="94"/>
      <c r="CP571" s="94"/>
      <c r="CQ571" s="94"/>
      <c r="CR571" s="94"/>
      <c r="CS571" s="94"/>
      <c r="CT571" s="94"/>
      <c r="CU571" s="94"/>
      <c r="CV571" s="94"/>
      <c r="CW571" s="94"/>
      <c r="CX571" s="94"/>
      <c r="CY571" s="94"/>
      <c r="CZ571" s="94"/>
      <c r="DA571" s="94"/>
      <c r="DB571" s="94"/>
      <c r="DC571" s="94"/>
      <c r="DD571" s="94"/>
      <c r="DE571" s="94"/>
      <c r="DF571" s="94"/>
      <c r="DG571" s="94"/>
      <c r="DH571" s="94"/>
      <c r="DI571" s="94"/>
      <c r="DJ571" s="94"/>
      <c r="DK571" s="94"/>
      <c r="DL571" s="94"/>
      <c r="DM571" s="94"/>
      <c r="DN571" s="94"/>
      <c r="DO571" s="94"/>
      <c r="DP571" s="94"/>
      <c r="DQ571" s="94"/>
    </row>
    <row r="572" spans="1:121" ht="15" customHeight="1" outlineLevel="3" x14ac:dyDescent="0.3">
      <c r="A572" s="100"/>
      <c r="B572" s="100"/>
      <c r="C572" s="99">
        <v>4</v>
      </c>
      <c r="D572" s="98" t="s">
        <v>739</v>
      </c>
      <c r="H572" s="77" t="s">
        <v>688</v>
      </c>
      <c r="J572" s="94"/>
      <c r="O572" s="77" t="s">
        <v>640</v>
      </c>
      <c r="P572" s="105"/>
      <c r="Q572" s="97"/>
      <c r="R572" s="97"/>
      <c r="AB572" s="72">
        <v>1</v>
      </c>
      <c r="AE572" s="96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/>
      <c r="BO572" s="102"/>
      <c r="BP572" s="102"/>
      <c r="BQ572" s="102"/>
      <c r="BR572" s="102"/>
      <c r="BS572" s="102"/>
      <c r="BT572" s="102"/>
      <c r="BU572" s="102"/>
      <c r="BV572" s="102"/>
      <c r="BW572" s="102"/>
      <c r="BX572" s="102"/>
      <c r="BY572" s="94"/>
      <c r="BZ572" s="94"/>
      <c r="CA572" s="94"/>
      <c r="CB572" s="94"/>
      <c r="CC572" s="94"/>
      <c r="CD572" s="94"/>
      <c r="CE572" s="94"/>
      <c r="CF572" s="94"/>
      <c r="CG572" s="94"/>
      <c r="CH572" s="94"/>
      <c r="CI572" s="94"/>
      <c r="CJ572" s="94"/>
      <c r="CK572" s="94" t="str">
        <f>"" &amp; TEXT(AF572,"#0.00%") &amp; " " &amp; "Install Beam&amp;Bracing(2th)" &amp; " " &amp; IF(Q572="","",TEXT(Q572,"M/D-")) &amp; IF(R572="","",TEXT(R572,"M/D")) &amp; " "</f>
        <v xml:space="preserve">0.00% Install Beam&amp;Bracing(2th)  </v>
      </c>
      <c r="CL572" s="94"/>
      <c r="CM572" s="94"/>
      <c r="CN572" s="94"/>
      <c r="CO572" s="94"/>
      <c r="CP572" s="94"/>
      <c r="CQ572" s="94"/>
      <c r="CR572" s="94"/>
      <c r="CS572" s="94"/>
      <c r="CT572" s="94"/>
      <c r="CU572" s="94"/>
      <c r="CV572" s="94"/>
      <c r="CW572" s="94"/>
      <c r="CX572" s="94"/>
      <c r="CY572" s="94"/>
      <c r="CZ572" s="94"/>
      <c r="DA572" s="94"/>
      <c r="DB572" s="94"/>
      <c r="DC572" s="94"/>
      <c r="DD572" s="94"/>
      <c r="DE572" s="94"/>
      <c r="DF572" s="94"/>
      <c r="DG572" s="94"/>
      <c r="DH572" s="94"/>
      <c r="DI572" s="94"/>
      <c r="DJ572" s="94"/>
      <c r="DK572" s="94"/>
      <c r="DL572" s="94"/>
      <c r="DM572" s="94"/>
      <c r="DN572" s="94"/>
      <c r="DO572" s="94"/>
      <c r="DP572" s="94"/>
      <c r="DQ572" s="94"/>
    </row>
    <row r="573" spans="1:121" ht="15" customHeight="1" outlineLevel="3" x14ac:dyDescent="0.3">
      <c r="A573" s="100"/>
      <c r="B573" s="100"/>
      <c r="C573" s="99">
        <v>4</v>
      </c>
      <c r="D573" s="98" t="s">
        <v>738</v>
      </c>
      <c r="H573" s="77" t="s">
        <v>686</v>
      </c>
      <c r="J573" s="94"/>
      <c r="O573" s="77" t="s">
        <v>640</v>
      </c>
      <c r="P573" s="105"/>
      <c r="Q573" s="97"/>
      <c r="R573" s="97"/>
      <c r="AB573" s="72">
        <v>1</v>
      </c>
      <c r="AE573" s="96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/>
      <c r="BO573" s="102"/>
      <c r="BP573" s="102"/>
      <c r="BQ573" s="102"/>
      <c r="BR573" s="102"/>
      <c r="BS573" s="102"/>
      <c r="BT573" s="102"/>
      <c r="BU573" s="102"/>
      <c r="BV573" s="102"/>
      <c r="BW573" s="102"/>
      <c r="BX573" s="102"/>
      <c r="BY573" s="94"/>
      <c r="BZ573" s="94"/>
      <c r="CA573" s="94"/>
      <c r="CB573" s="94"/>
      <c r="CC573" s="94"/>
      <c r="CD573" s="94"/>
      <c r="CE573" s="94"/>
      <c r="CF573" s="94"/>
      <c r="CG573" s="94"/>
      <c r="CH573" s="94"/>
      <c r="CI573" s="94"/>
      <c r="CJ573" s="94"/>
      <c r="CK573" s="94" t="str">
        <f>"    " &amp; TEXT(AF573,"#0.00%") &amp; " " &amp; "Install Rack&amp;Beam&amp;Bracing(5th)" &amp; " " &amp; IF(Q573="","",TEXT(Q573,"M/D-")) &amp; IF(R573="","",TEXT(R573,"M/D")) &amp; " "</f>
        <v xml:space="preserve">    0.00% Install Rack&amp;Beam&amp;Bracing(5th)  </v>
      </c>
      <c r="CL573" s="94"/>
      <c r="CM573" s="94"/>
      <c r="CN573" s="94"/>
      <c r="CO573" s="94"/>
      <c r="CP573" s="94"/>
      <c r="CQ573" s="94"/>
      <c r="CR573" s="94"/>
      <c r="CS573" s="94"/>
      <c r="CT573" s="94"/>
      <c r="CU573" s="94"/>
      <c r="CV573" s="94"/>
      <c r="CW573" s="94"/>
      <c r="CX573" s="94"/>
      <c r="CY573" s="94"/>
      <c r="CZ573" s="94"/>
      <c r="DA573" s="94"/>
      <c r="DB573" s="94"/>
      <c r="DC573" s="94"/>
      <c r="DD573" s="94"/>
      <c r="DE573" s="94"/>
      <c r="DF573" s="94"/>
      <c r="DG573" s="94"/>
      <c r="DH573" s="94"/>
      <c r="DI573" s="94"/>
      <c r="DJ573" s="94"/>
      <c r="DK573" s="94"/>
      <c r="DL573" s="94"/>
      <c r="DM573" s="94"/>
      <c r="DN573" s="94"/>
      <c r="DO573" s="94"/>
      <c r="DP573" s="94"/>
      <c r="DQ573" s="94"/>
    </row>
    <row r="574" spans="1:121" ht="15" customHeight="1" outlineLevel="3" x14ac:dyDescent="0.3">
      <c r="A574" s="100"/>
      <c r="B574" s="100"/>
      <c r="C574" s="99">
        <v>4</v>
      </c>
      <c r="D574" s="98" t="s">
        <v>737</v>
      </c>
      <c r="H574" s="77" t="s">
        <v>546</v>
      </c>
      <c r="J574" s="94"/>
      <c r="O574" s="77" t="s">
        <v>640</v>
      </c>
      <c r="P574" s="105"/>
      <c r="Q574" s="97"/>
      <c r="R574" s="97"/>
      <c r="AB574" s="72">
        <v>1</v>
      </c>
      <c r="AE574" s="96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94"/>
      <c r="BZ574" s="94"/>
      <c r="CA574" s="94"/>
      <c r="CB574" s="94"/>
      <c r="CC574" s="94"/>
      <c r="CD574" s="94"/>
      <c r="CE574" s="94"/>
      <c r="CF574" s="94"/>
      <c r="CG574" s="94"/>
      <c r="CH574" s="94"/>
      <c r="CI574" s="94"/>
      <c r="CJ574" s="94"/>
      <c r="CK574" s="94"/>
      <c r="CL574" s="94" t="str">
        <f>"" &amp; TEXT(AF574,"#0.00%") &amp; " " &amp; "Install Deck Frame&amp;Hand Rail" &amp; " " &amp; IF(Q574="","",TEXT(Q574,"M/D-")) &amp; IF(R574="","",TEXT(R574,"M/D")) &amp; " "</f>
        <v xml:space="preserve">0.00% Install Deck Frame&amp;Hand Rail  </v>
      </c>
      <c r="CM574" s="94"/>
      <c r="CN574" s="94"/>
      <c r="CO574" s="94"/>
      <c r="CP574" s="94"/>
      <c r="CQ574" s="94"/>
      <c r="CR574" s="94"/>
      <c r="CS574" s="94"/>
      <c r="CT574" s="94"/>
      <c r="CU574" s="94"/>
      <c r="CV574" s="94"/>
      <c r="CW574" s="94"/>
      <c r="CX574" s="94"/>
      <c r="CY574" s="94"/>
      <c r="CZ574" s="94"/>
      <c r="DA574" s="94"/>
      <c r="DB574" s="94"/>
      <c r="DC574" s="94"/>
      <c r="DD574" s="94"/>
      <c r="DE574" s="94"/>
      <c r="DF574" s="94"/>
      <c r="DG574" s="94"/>
      <c r="DH574" s="94"/>
      <c r="DI574" s="94"/>
      <c r="DJ574" s="94"/>
      <c r="DK574" s="94"/>
      <c r="DL574" s="94"/>
      <c r="DM574" s="94"/>
      <c r="DN574" s="94"/>
      <c r="DO574" s="94"/>
      <c r="DP574" s="94"/>
      <c r="DQ574" s="94"/>
    </row>
    <row r="575" spans="1:121" ht="15" customHeight="1" outlineLevel="3" x14ac:dyDescent="0.3">
      <c r="A575" s="100"/>
      <c r="B575" s="100"/>
      <c r="C575" s="99">
        <v>4</v>
      </c>
      <c r="D575" s="98" t="s">
        <v>736</v>
      </c>
      <c r="H575" s="77" t="s">
        <v>683</v>
      </c>
      <c r="J575" s="94"/>
      <c r="O575" s="77" t="s">
        <v>678</v>
      </c>
      <c r="P575" s="105"/>
      <c r="Q575" s="97"/>
      <c r="R575" s="97"/>
      <c r="AB575" s="72">
        <v>1</v>
      </c>
      <c r="AE575" s="96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94"/>
      <c r="BZ575" s="94"/>
      <c r="CA575" s="94"/>
      <c r="CB575" s="94"/>
      <c r="CC575" s="94"/>
      <c r="CD575" s="94"/>
      <c r="CE575" s="94"/>
      <c r="CF575" s="94"/>
      <c r="CG575" s="94"/>
      <c r="CH575" s="94"/>
      <c r="CI575" s="94"/>
      <c r="CJ575" s="94"/>
      <c r="CK575" s="94"/>
      <c r="CL575" s="94" t="str">
        <f>"  " &amp; TEXT(AF575,"#0.00%") &amp; " " &amp; "Check Track No." &amp; " " &amp; IF(Q575="","",TEXT(Q575,"M/D-")) &amp; IF(R575="","",TEXT(R575,"M/D")) &amp; " "</f>
        <v xml:space="preserve">  0.00% Check Track No.  </v>
      </c>
      <c r="CM575" s="94"/>
      <c r="CN575" s="94"/>
      <c r="CO575" s="94"/>
      <c r="CP575" s="94"/>
      <c r="CQ575" s="94"/>
      <c r="CR575" s="94"/>
      <c r="CS575" s="94"/>
      <c r="CT575" s="94"/>
      <c r="CU575" s="94"/>
      <c r="CV575" s="94"/>
      <c r="CW575" s="94"/>
      <c r="CX575" s="94"/>
      <c r="CY575" s="94"/>
      <c r="CZ575" s="94"/>
      <c r="DA575" s="94"/>
      <c r="DB575" s="94"/>
      <c r="DC575" s="94"/>
      <c r="DD575" s="94"/>
      <c r="DE575" s="94"/>
      <c r="DF575" s="94"/>
      <c r="DG575" s="94"/>
      <c r="DH575" s="94"/>
      <c r="DI575" s="94"/>
      <c r="DJ575" s="94"/>
      <c r="DK575" s="94"/>
      <c r="DL575" s="94"/>
      <c r="DM575" s="94"/>
      <c r="DN575" s="94"/>
      <c r="DO575" s="94"/>
      <c r="DP575" s="94"/>
      <c r="DQ575" s="94"/>
    </row>
    <row r="576" spans="1:121" ht="15" customHeight="1" outlineLevel="3" x14ac:dyDescent="0.3">
      <c r="A576" s="100"/>
      <c r="B576" s="100"/>
      <c r="C576" s="99">
        <v>4</v>
      </c>
      <c r="D576" s="98" t="s">
        <v>735</v>
      </c>
      <c r="H576" s="77" t="s">
        <v>681</v>
      </c>
      <c r="J576" s="94"/>
      <c r="O576" s="77" t="s">
        <v>678</v>
      </c>
      <c r="P576" s="105"/>
      <c r="Q576" s="97"/>
      <c r="R576" s="97"/>
      <c r="AB576" s="72">
        <v>1</v>
      </c>
      <c r="AE576" s="96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94"/>
      <c r="BZ576" s="94"/>
      <c r="CA576" s="94"/>
      <c r="CB576" s="94"/>
      <c r="CC576" s="94"/>
      <c r="CD576" s="94"/>
      <c r="CE576" s="94"/>
      <c r="CF576" s="94"/>
      <c r="CG576" s="94"/>
      <c r="CH576" s="94"/>
      <c r="CI576" s="94"/>
      <c r="CJ576" s="94"/>
      <c r="CK576" s="94"/>
      <c r="CL576" s="94" t="str">
        <f>"    " &amp; TEXT(AF576,"#0.00%") &amp; " " &amp; "Install HP Home Stand &amp; C/V" &amp; " " &amp; IF(Q576="","",TEXT(Q576,"M/D-")) &amp; IF(R576="","",TEXT(R576,"M/D")) &amp; " "</f>
        <v xml:space="preserve">    0.00% Install HP Home Stand &amp; C/V  </v>
      </c>
      <c r="CM576" s="94"/>
      <c r="CN576" s="94"/>
      <c r="CO576" s="94"/>
      <c r="CP576" s="94"/>
      <c r="CQ576" s="94"/>
      <c r="CR576" s="94"/>
      <c r="CS576" s="94"/>
      <c r="CT576" s="94"/>
      <c r="CU576" s="94"/>
      <c r="CV576" s="94"/>
      <c r="CW576" s="94"/>
      <c r="CX576" s="94"/>
      <c r="CY576" s="94"/>
      <c r="CZ576" s="94"/>
      <c r="DA576" s="94"/>
      <c r="DB576" s="94"/>
      <c r="DC576" s="94"/>
      <c r="DD576" s="94"/>
      <c r="DE576" s="94"/>
      <c r="DF576" s="94"/>
      <c r="DG576" s="94"/>
      <c r="DH576" s="94"/>
      <c r="DI576" s="94"/>
      <c r="DJ576" s="94"/>
      <c r="DK576" s="94"/>
      <c r="DL576" s="94"/>
      <c r="DM576" s="94"/>
      <c r="DN576" s="94"/>
      <c r="DO576" s="94"/>
      <c r="DP576" s="94"/>
      <c r="DQ576" s="94"/>
    </row>
    <row r="577" spans="1:121" ht="15" customHeight="1" outlineLevel="3" x14ac:dyDescent="0.3">
      <c r="A577" s="100"/>
      <c r="B577" s="100"/>
      <c r="C577" s="99">
        <v>4</v>
      </c>
      <c r="D577" s="98" t="s">
        <v>734</v>
      </c>
      <c r="H577" s="77" t="s">
        <v>679</v>
      </c>
      <c r="J577" s="94"/>
      <c r="O577" s="77" t="s">
        <v>678</v>
      </c>
      <c r="P577" s="105"/>
      <c r="Q577" s="97"/>
      <c r="R577" s="97"/>
      <c r="AB577" s="72">
        <v>1</v>
      </c>
      <c r="AE577" s="96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94"/>
      <c r="BZ577" s="94"/>
      <c r="CA577" s="94"/>
      <c r="CB577" s="94"/>
      <c r="CC577" s="94"/>
      <c r="CD577" s="94"/>
      <c r="CE577" s="94"/>
      <c r="CF577" s="94"/>
      <c r="CG577" s="94"/>
      <c r="CH577" s="94"/>
      <c r="CI577" s="94"/>
      <c r="CJ577" s="94"/>
      <c r="CK577" s="94"/>
      <c r="CL577" s="94"/>
      <c r="CM577" s="94" t="str">
        <f>"" &amp; TEXT(AF577,"#0.00%") &amp; " " &amp; "Check home stand CV Level &amp; Center line" &amp; " " &amp; IF(Q577="","",TEXT(Q577,"M/D-")) &amp; IF(R577="","",TEXT(R577,"M/D")) &amp; " "</f>
        <v xml:space="preserve">0.00% Check home stand CV Level &amp; Center line  </v>
      </c>
      <c r="CN577" s="94"/>
      <c r="CO577" s="94"/>
      <c r="CP577" s="94"/>
      <c r="CQ577" s="94"/>
      <c r="CR577" s="94"/>
      <c r="CS577" s="94"/>
      <c r="CT577" s="94"/>
      <c r="CU577" s="94"/>
      <c r="CV577" s="94"/>
      <c r="CW577" s="94"/>
      <c r="CX577" s="94"/>
      <c r="CY577" s="94"/>
      <c r="CZ577" s="94"/>
      <c r="DA577" s="94"/>
      <c r="DB577" s="94"/>
      <c r="DC577" s="94"/>
      <c r="DD577" s="94"/>
      <c r="DE577" s="94"/>
      <c r="DF577" s="94"/>
      <c r="DG577" s="94"/>
      <c r="DH577" s="94"/>
      <c r="DI577" s="94"/>
      <c r="DJ577" s="94"/>
      <c r="DK577" s="94"/>
      <c r="DL577" s="94"/>
      <c r="DM577" s="94"/>
      <c r="DN577" s="94"/>
      <c r="DO577" s="94"/>
      <c r="DP577" s="94"/>
      <c r="DQ577" s="94"/>
    </row>
    <row r="578" spans="1:121" ht="15" customHeight="1" outlineLevel="3" x14ac:dyDescent="0.3">
      <c r="A578" s="100"/>
      <c r="B578" s="100"/>
      <c r="C578" s="99">
        <v>4</v>
      </c>
      <c r="D578" s="98" t="s">
        <v>733</v>
      </c>
      <c r="H578" s="77" t="s">
        <v>676</v>
      </c>
      <c r="J578" s="94"/>
      <c r="O578" s="77" t="s">
        <v>640</v>
      </c>
      <c r="P578" s="105"/>
      <c r="Q578" s="97"/>
      <c r="R578" s="97"/>
      <c r="AB578" s="72">
        <v>1</v>
      </c>
      <c r="AE578" s="96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94"/>
      <c r="BZ578" s="94"/>
      <c r="CA578" s="94"/>
      <c r="CB578" s="94"/>
      <c r="CC578" s="94"/>
      <c r="CD578" s="94"/>
      <c r="CE578" s="94"/>
      <c r="CF578" s="94"/>
      <c r="CG578" s="94"/>
      <c r="CH578" s="94"/>
      <c r="CI578" s="94" t="str">
        <f>" " &amp; TEXT(AF578,"#0.00%") &amp; " " &amp; "Pre-Assembly Rack(5~58h)" &amp; " " &amp; IF(Q578="","",TEXT(Q578,"M/D-")) &amp; IF(R578="","",TEXT(R578,"M/D")) &amp; " "</f>
        <v xml:space="preserve"> 0.00% Pre-Assembly Rack(5~58h)  </v>
      </c>
      <c r="CJ578" s="94"/>
      <c r="CK578" s="94"/>
      <c r="CL578" s="94"/>
      <c r="CM578" s="94"/>
      <c r="CN578" s="94"/>
      <c r="CO578" s="94"/>
      <c r="CP578" s="94"/>
      <c r="CQ578" s="94"/>
      <c r="CR578" s="94"/>
      <c r="CS578" s="94"/>
      <c r="CT578" s="94"/>
      <c r="CU578" s="94"/>
      <c r="CV578" s="94"/>
      <c r="CW578" s="94"/>
      <c r="CX578" s="94"/>
      <c r="CY578" s="94"/>
      <c r="CZ578" s="94"/>
      <c r="DA578" s="94"/>
      <c r="DB578" s="94"/>
      <c r="DC578" s="94"/>
      <c r="DD578" s="94"/>
      <c r="DE578" s="94"/>
      <c r="DF578" s="94"/>
      <c r="DG578" s="94"/>
      <c r="DH578" s="94"/>
      <c r="DI578" s="94"/>
      <c r="DJ578" s="94"/>
      <c r="DK578" s="94"/>
      <c r="DL578" s="94"/>
      <c r="DM578" s="94"/>
      <c r="DN578" s="94"/>
      <c r="DO578" s="94"/>
      <c r="DP578" s="94"/>
      <c r="DQ578" s="94"/>
    </row>
    <row r="579" spans="1:121" ht="15" customHeight="1" outlineLevel="3" x14ac:dyDescent="0.3">
      <c r="A579" s="100"/>
      <c r="B579" s="100"/>
      <c r="C579" s="99">
        <v>4</v>
      </c>
      <c r="D579" s="98" t="s">
        <v>732</v>
      </c>
      <c r="H579" s="77" t="s">
        <v>674</v>
      </c>
      <c r="J579" s="94"/>
      <c r="O579" s="77" t="s">
        <v>640</v>
      </c>
      <c r="P579" s="105"/>
      <c r="Q579" s="97"/>
      <c r="R579" s="97"/>
      <c r="AB579" s="72">
        <v>1</v>
      </c>
      <c r="AE579" s="96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94"/>
      <c r="BZ579" s="94"/>
      <c r="CA579" s="94"/>
      <c r="CB579" s="94"/>
      <c r="CC579" s="94"/>
      <c r="CD579" s="94"/>
      <c r="CE579" s="94"/>
      <c r="CF579" s="94"/>
      <c r="CG579" s="94"/>
      <c r="CH579" s="94"/>
      <c r="CI579" s="94" t="str">
        <f>"   " &amp; TEXT(AF579,"#0.00%") &amp; " " &amp; "Install Rack&amp;Beam&amp;Bracing&amp;Rail Base(10th)" &amp; " " &amp; IF(Q579="","",TEXT(Q579,"M/D-")) &amp; IF(R579="","",TEXT(R579,"M/D")) &amp; " "</f>
        <v xml:space="preserve">   0.00% Install Rack&amp;Beam&amp;Bracing&amp;Rail Base(10th)  </v>
      </c>
      <c r="CJ579" s="94"/>
      <c r="CK579" s="94"/>
      <c r="CL579" s="94"/>
      <c r="CM579" s="94"/>
      <c r="CN579" s="94"/>
      <c r="CO579" s="94"/>
      <c r="CP579" s="94"/>
      <c r="CQ579" s="94"/>
      <c r="CR579" s="94"/>
      <c r="CS579" s="94"/>
      <c r="CT579" s="94"/>
      <c r="CU579" s="94"/>
      <c r="CV579" s="94"/>
      <c r="CW579" s="94"/>
      <c r="CX579" s="94"/>
      <c r="CY579" s="94"/>
      <c r="CZ579" s="94"/>
      <c r="DA579" s="94"/>
      <c r="DB579" s="94"/>
      <c r="DC579" s="94"/>
      <c r="DD579" s="94"/>
      <c r="DE579" s="94"/>
      <c r="DF579" s="94"/>
      <c r="DG579" s="94"/>
      <c r="DH579" s="94"/>
      <c r="DI579" s="94"/>
      <c r="DJ579" s="94"/>
      <c r="DK579" s="94"/>
      <c r="DL579" s="94"/>
      <c r="DM579" s="94"/>
      <c r="DN579" s="94"/>
      <c r="DO579" s="94"/>
      <c r="DP579" s="94"/>
      <c r="DQ579" s="94"/>
    </row>
    <row r="580" spans="1:121" ht="15" customHeight="1" outlineLevel="3" x14ac:dyDescent="0.3">
      <c r="A580" s="100"/>
      <c r="B580" s="100"/>
      <c r="C580" s="99">
        <v>4</v>
      </c>
      <c r="D580" s="98" t="s">
        <v>731</v>
      </c>
      <c r="H580" s="77" t="s">
        <v>672</v>
      </c>
      <c r="J580" s="94"/>
      <c r="O580" s="77" t="s">
        <v>640</v>
      </c>
      <c r="P580" s="105"/>
      <c r="Q580" s="97"/>
      <c r="R580" s="97"/>
      <c r="AB580" s="72">
        <v>1</v>
      </c>
      <c r="AE580" s="96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94"/>
      <c r="BZ580" s="94"/>
      <c r="CA580" s="94"/>
      <c r="CB580" s="94"/>
      <c r="CC580" s="94"/>
      <c r="CD580" s="94"/>
      <c r="CE580" s="94"/>
      <c r="CF580" s="94"/>
      <c r="CG580" s="94"/>
      <c r="CH580" s="94"/>
      <c r="CI580" s="94"/>
      <c r="CJ580" s="94" t="str">
        <f>"" &amp; TEXT(AF580,"#0.00%") &amp; " " &amp; "Check Vertical(1~10th)" &amp; " " &amp; IF(Q580="","",TEXT(Q580,"M/D-")) &amp; IF(R580="","",TEXT(R580,"M/D")) &amp; " "</f>
        <v xml:space="preserve">0.00% Check Vertical(1~10th)  </v>
      </c>
      <c r="CK580" s="94"/>
      <c r="CL580" s="94"/>
      <c r="CM580" s="94"/>
      <c r="CN580" s="94"/>
      <c r="CO580" s="94"/>
      <c r="CP580" s="94"/>
      <c r="CQ580" s="94"/>
      <c r="CR580" s="94"/>
      <c r="CS580" s="94"/>
      <c r="CT580" s="94"/>
      <c r="CU580" s="94"/>
      <c r="CV580" s="94"/>
      <c r="CW580" s="94"/>
      <c r="CX580" s="94"/>
      <c r="CY580" s="94"/>
      <c r="CZ580" s="94"/>
      <c r="DA580" s="94"/>
      <c r="DB580" s="94"/>
      <c r="DC580" s="94"/>
      <c r="DD580" s="94"/>
      <c r="DE580" s="94"/>
      <c r="DF580" s="94"/>
      <c r="DG580" s="94"/>
      <c r="DH580" s="94"/>
      <c r="DI580" s="94"/>
      <c r="DJ580" s="94"/>
      <c r="DK580" s="94"/>
      <c r="DL580" s="94"/>
      <c r="DM580" s="94"/>
      <c r="DN580" s="94"/>
      <c r="DO580" s="94"/>
      <c r="DP580" s="94"/>
      <c r="DQ580" s="94"/>
    </row>
    <row r="581" spans="1:121" ht="15" customHeight="1" outlineLevel="3" x14ac:dyDescent="0.3">
      <c r="A581" s="100"/>
      <c r="B581" s="100"/>
      <c r="C581" s="99">
        <v>4</v>
      </c>
      <c r="D581" s="98" t="s">
        <v>730</v>
      </c>
      <c r="H581" s="77" t="s">
        <v>670</v>
      </c>
      <c r="J581" s="94"/>
      <c r="O581" s="77" t="s">
        <v>649</v>
      </c>
      <c r="P581" s="105"/>
      <c r="Q581" s="97"/>
      <c r="R581" s="97"/>
      <c r="AB581" s="72">
        <v>1</v>
      </c>
      <c r="AE581" s="96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94"/>
      <c r="BZ581" s="94"/>
      <c r="CA581" s="94"/>
      <c r="CB581" s="94"/>
      <c r="CC581" s="94"/>
      <c r="CD581" s="94"/>
      <c r="CE581" s="94"/>
      <c r="CF581" s="94"/>
      <c r="CG581" s="94"/>
      <c r="CH581" s="94"/>
      <c r="CI581" s="94"/>
      <c r="CJ581" s="94" t="str">
        <f>"   " &amp; TEXT(AF581,"#0.00%") &amp; " " &amp; "Install MSC Rail(1st rail)" &amp; " " &amp; IF(Q581="","",TEXT(Q581,"M/D-")) &amp; IF(R581="","",TEXT(R581,"M/D")) &amp; " "</f>
        <v xml:space="preserve">   0.00% Install MSC Rail(1st rail)  </v>
      </c>
      <c r="CK581" s="94"/>
      <c r="CL581" s="94"/>
      <c r="CM581" s="94"/>
      <c r="CN581" s="94"/>
      <c r="CO581" s="94"/>
      <c r="CP581" s="94"/>
      <c r="CQ581" s="94"/>
      <c r="CR581" s="94"/>
      <c r="CS581" s="94"/>
      <c r="CT581" s="94"/>
      <c r="CU581" s="94"/>
      <c r="CV581" s="94"/>
      <c r="CW581" s="94"/>
      <c r="CX581" s="94"/>
      <c r="CY581" s="94"/>
      <c r="CZ581" s="94"/>
      <c r="DA581" s="94"/>
      <c r="DB581" s="94"/>
      <c r="DC581" s="94"/>
      <c r="DD581" s="94"/>
      <c r="DE581" s="94"/>
      <c r="DF581" s="94"/>
      <c r="DG581" s="94"/>
      <c r="DH581" s="94"/>
      <c r="DI581" s="94"/>
      <c r="DJ581" s="94"/>
      <c r="DK581" s="94"/>
      <c r="DL581" s="94"/>
      <c r="DM581" s="94"/>
      <c r="DN581" s="94"/>
      <c r="DO581" s="94"/>
      <c r="DP581" s="94"/>
      <c r="DQ581" s="94"/>
    </row>
    <row r="582" spans="1:121" ht="15" customHeight="1" outlineLevel="3" x14ac:dyDescent="0.3">
      <c r="A582" s="100"/>
      <c r="B582" s="100"/>
      <c r="C582" s="99">
        <v>4</v>
      </c>
      <c r="D582" s="98" t="s">
        <v>729</v>
      </c>
      <c r="H582" s="77" t="s">
        <v>668</v>
      </c>
      <c r="J582" s="94"/>
      <c r="O582" s="77" t="s">
        <v>649</v>
      </c>
      <c r="P582" s="105"/>
      <c r="Q582" s="97"/>
      <c r="R582" s="97"/>
      <c r="AB582" s="72">
        <v>1</v>
      </c>
      <c r="AE582" s="96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94"/>
      <c r="BZ582" s="94"/>
      <c r="CA582" s="94"/>
      <c r="CB582" s="94"/>
      <c r="CC582" s="94"/>
      <c r="CD582" s="94"/>
      <c r="CE582" s="94"/>
      <c r="CF582" s="94"/>
      <c r="CG582" s="94"/>
      <c r="CH582" s="94"/>
      <c r="CI582" s="94"/>
      <c r="CJ582" s="94" t="str">
        <f>"      " &amp; TEXT(AF582,"#0.00%") &amp; " " &amp; "Lifting MSC" &amp; " " &amp; IF(Q582="","",TEXT(Q582,"M/D-")) &amp; IF(R582="","",TEXT(R582,"M/D")) &amp; " "</f>
        <v xml:space="preserve">      0.00% Lifting MSC  </v>
      </c>
      <c r="CK582" s="94"/>
      <c r="CL582" s="94"/>
      <c r="CM582" s="94"/>
      <c r="CN582" s="94"/>
      <c r="CO582" s="94"/>
      <c r="CP582" s="94"/>
      <c r="CQ582" s="94"/>
      <c r="CR582" s="94"/>
      <c r="CS582" s="94"/>
      <c r="CT582" s="94"/>
      <c r="CU582" s="94"/>
      <c r="CV582" s="94"/>
      <c r="CW582" s="94"/>
      <c r="CX582" s="94"/>
      <c r="CY582" s="94"/>
      <c r="CZ582" s="94"/>
      <c r="DA582" s="94"/>
      <c r="DB582" s="94"/>
      <c r="DC582" s="94"/>
      <c r="DD582" s="94"/>
      <c r="DE582" s="94"/>
      <c r="DF582" s="94"/>
      <c r="DG582" s="94"/>
      <c r="DH582" s="94"/>
      <c r="DI582" s="94"/>
      <c r="DJ582" s="94"/>
      <c r="DK582" s="94"/>
      <c r="DL582" s="94"/>
      <c r="DM582" s="94"/>
      <c r="DN582" s="94"/>
      <c r="DO582" s="94"/>
      <c r="DP582" s="94"/>
      <c r="DQ582" s="94"/>
    </row>
    <row r="583" spans="1:121" ht="15" customHeight="1" outlineLevel="3" x14ac:dyDescent="0.3">
      <c r="A583" s="100"/>
      <c r="B583" s="100"/>
      <c r="C583" s="99">
        <v>4</v>
      </c>
      <c r="D583" s="98" t="s">
        <v>728</v>
      </c>
      <c r="H583" s="77" t="s">
        <v>666</v>
      </c>
      <c r="J583" s="94"/>
      <c r="O583" s="77" t="s">
        <v>640</v>
      </c>
      <c r="P583" s="105"/>
      <c r="Q583" s="97"/>
      <c r="R583" s="97"/>
      <c r="AB583" s="72">
        <v>1</v>
      </c>
      <c r="AE583" s="96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/>
      <c r="BO583" s="102"/>
      <c r="BP583" s="102"/>
      <c r="BQ583" s="102"/>
      <c r="BR583" s="102"/>
      <c r="BS583" s="102"/>
      <c r="BT583" s="102"/>
      <c r="BU583" s="102"/>
      <c r="BV583" s="102"/>
      <c r="BW583" s="102"/>
      <c r="BX583" s="102"/>
      <c r="BY583" s="94"/>
      <c r="BZ583" s="94"/>
      <c r="CA583" s="94"/>
      <c r="CB583" s="94"/>
      <c r="CC583" s="94"/>
      <c r="CD583" s="94"/>
      <c r="CE583" s="94"/>
      <c r="CF583" s="94"/>
      <c r="CG583" s="94"/>
      <c r="CH583" s="94"/>
      <c r="CI583" s="94"/>
      <c r="CJ583" s="94"/>
      <c r="CK583" s="94" t="str">
        <f>"   " &amp; TEXT(AF583,"#0.00%") &amp; " " &amp; "Install Rack&amp;Beam&amp;Bracing&amp;Rail Base(Every 10th, ~59th)" &amp; " " &amp; IF(Q583="","",TEXT(Q583,"M/D-")) &amp; IF(R583="","",TEXT(R583,"M/D")) &amp; " "</f>
        <v xml:space="preserve">   0.00% Install Rack&amp;Beam&amp;Bracing&amp;Rail Base(Every 10th, ~59th)  </v>
      </c>
      <c r="CL583" s="94"/>
      <c r="CM583" s="94"/>
      <c r="CN583" s="94"/>
      <c r="CO583" s="94"/>
      <c r="CP583" s="94"/>
      <c r="CQ583" s="94"/>
      <c r="CR583" s="94"/>
      <c r="CS583" s="94"/>
      <c r="CT583" s="94"/>
      <c r="CU583" s="94"/>
      <c r="CV583" s="94"/>
      <c r="CW583" s="94"/>
      <c r="CX583" s="94"/>
      <c r="CY583" s="94"/>
      <c r="CZ583" s="94"/>
      <c r="DA583" s="94"/>
      <c r="DB583" s="94"/>
      <c r="DC583" s="94"/>
      <c r="DD583" s="94"/>
      <c r="DE583" s="94"/>
      <c r="DF583" s="94"/>
      <c r="DG583" s="94"/>
      <c r="DH583" s="94"/>
      <c r="DI583" s="94"/>
      <c r="DJ583" s="94"/>
      <c r="DK583" s="94"/>
      <c r="DL583" s="94"/>
      <c r="DM583" s="94"/>
      <c r="DN583" s="94"/>
      <c r="DO583" s="94"/>
      <c r="DP583" s="94"/>
      <c r="DQ583" s="94"/>
    </row>
    <row r="584" spans="1:121" ht="15" customHeight="1" outlineLevel="3" x14ac:dyDescent="0.3">
      <c r="A584" s="100"/>
      <c r="B584" s="100"/>
      <c r="C584" s="99">
        <v>4</v>
      </c>
      <c r="D584" s="98" t="s">
        <v>727</v>
      </c>
      <c r="H584" s="77" t="s">
        <v>664</v>
      </c>
      <c r="J584" s="94"/>
      <c r="O584" s="77" t="s">
        <v>640</v>
      </c>
      <c r="P584" s="105"/>
      <c r="Q584" s="97"/>
      <c r="R584" s="97"/>
      <c r="AB584" s="72">
        <v>1</v>
      </c>
      <c r="AE584" s="96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/>
      <c r="BO584" s="102"/>
      <c r="BP584" s="102"/>
      <c r="BQ584" s="102"/>
      <c r="BR584" s="102"/>
      <c r="BS584" s="102"/>
      <c r="BT584" s="102"/>
      <c r="BU584" s="102"/>
      <c r="BV584" s="102"/>
      <c r="BW584" s="102"/>
      <c r="BX584" s="102"/>
      <c r="BY584" s="94"/>
      <c r="BZ584" s="94"/>
      <c r="CA584" s="94"/>
      <c r="CB584" s="94"/>
      <c r="CC584" s="94"/>
      <c r="CD584" s="94"/>
      <c r="CE584" s="94"/>
      <c r="CF584" s="94"/>
      <c r="CG584" s="94"/>
      <c r="CH584" s="94"/>
      <c r="CI584" s="94"/>
      <c r="CJ584" s="94"/>
      <c r="CK584" s="94"/>
      <c r="CL584" s="94" t="str">
        <f>"" &amp; TEXT(AF584,"#0.00%") &amp; " " &amp; "Check Vertical(Every 10th, ~59th)" &amp; " " &amp; IF(Q584="","",TEXT(Q584,"M/D-")) &amp; IF(R584="","",TEXT(R584,"M/D")) &amp; " "</f>
        <v xml:space="preserve">0.00% Check Vertical(Every 10th, ~59th)  </v>
      </c>
      <c r="CM584" s="94"/>
      <c r="CN584" s="94"/>
      <c r="CO584" s="94"/>
      <c r="CP584" s="94"/>
      <c r="CQ584" s="94"/>
      <c r="CR584" s="94"/>
      <c r="CS584" s="94"/>
      <c r="CT584" s="94"/>
      <c r="CU584" s="94"/>
      <c r="CV584" s="94"/>
      <c r="CW584" s="94"/>
      <c r="CX584" s="94"/>
      <c r="CY584" s="94"/>
      <c r="CZ584" s="94"/>
      <c r="DA584" s="94"/>
      <c r="DB584" s="94"/>
      <c r="DC584" s="94"/>
      <c r="DD584" s="94"/>
      <c r="DE584" s="94"/>
      <c r="DF584" s="94"/>
      <c r="DG584" s="94"/>
      <c r="DH584" s="94"/>
      <c r="DI584" s="94"/>
      <c r="DJ584" s="94"/>
      <c r="DK584" s="94"/>
      <c r="DL584" s="94"/>
      <c r="DM584" s="94"/>
      <c r="DN584" s="94"/>
      <c r="DO584" s="94"/>
      <c r="DP584" s="94"/>
      <c r="DQ584" s="94"/>
    </row>
    <row r="585" spans="1:121" ht="15" customHeight="1" outlineLevel="3" x14ac:dyDescent="0.3">
      <c r="A585" s="100"/>
      <c r="B585" s="100"/>
      <c r="C585" s="99">
        <v>4</v>
      </c>
      <c r="D585" s="98" t="s">
        <v>726</v>
      </c>
      <c r="H585" s="77" t="s">
        <v>662</v>
      </c>
      <c r="J585" s="94"/>
      <c r="O585" s="77" t="s">
        <v>649</v>
      </c>
      <c r="P585" s="105"/>
      <c r="Q585" s="97"/>
      <c r="R585" s="97"/>
      <c r="AB585" s="72">
        <v>1</v>
      </c>
      <c r="AE585" s="96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94"/>
      <c r="BZ585" s="94"/>
      <c r="CA585" s="94"/>
      <c r="CB585" s="94"/>
      <c r="CC585" s="94"/>
      <c r="CD585" s="94"/>
      <c r="CE585" s="94"/>
      <c r="CF585" s="94"/>
      <c r="CG585" s="94"/>
      <c r="CH585" s="94"/>
      <c r="CI585" s="94"/>
      <c r="CJ585" s="94"/>
      <c r="CK585" s="94"/>
      <c r="CL585" s="94" t="str">
        <f>" " &amp; TEXT(AF585,"#0.00%") &amp; " " &amp; "Install MSC Rail(Every 10th, ~59th)" &amp; " " &amp; IF(Q585="","",TEXT(Q585,"M/D-")) &amp; IF(R585="","",TEXT(R585,"M/D")) &amp; " "</f>
        <v xml:space="preserve"> 0.00% Install MSC Rail(Every 10th, ~59th)  </v>
      </c>
      <c r="CM585" s="94"/>
      <c r="CN585" s="94"/>
      <c r="CO585" s="94"/>
      <c r="CP585" s="94"/>
      <c r="CQ585" s="94"/>
      <c r="CR585" s="94"/>
      <c r="CS585" s="94"/>
      <c r="CT585" s="94"/>
      <c r="CU585" s="94"/>
      <c r="CV585" s="94"/>
      <c r="CW585" s="94"/>
      <c r="CX585" s="94"/>
      <c r="CY585" s="94"/>
      <c r="CZ585" s="94"/>
      <c r="DA585" s="94"/>
      <c r="DB585" s="94"/>
      <c r="DC585" s="94"/>
      <c r="DD585" s="94"/>
      <c r="DE585" s="94"/>
      <c r="DF585" s="94"/>
      <c r="DG585" s="94"/>
      <c r="DH585" s="94"/>
      <c r="DI585" s="94"/>
      <c r="DJ585" s="94"/>
      <c r="DK585" s="94"/>
      <c r="DL585" s="94"/>
      <c r="DM585" s="94"/>
      <c r="DN585" s="94"/>
      <c r="DO585" s="94"/>
      <c r="DP585" s="94"/>
      <c r="DQ585" s="94"/>
    </row>
    <row r="586" spans="1:121" ht="15" customHeight="1" outlineLevel="3" x14ac:dyDescent="0.3">
      <c r="A586" s="100"/>
      <c r="B586" s="100"/>
      <c r="C586" s="99">
        <v>4</v>
      </c>
      <c r="D586" s="98" t="s">
        <v>725</v>
      </c>
      <c r="H586" s="77" t="s">
        <v>660</v>
      </c>
      <c r="J586" s="94"/>
      <c r="O586" s="77" t="s">
        <v>659</v>
      </c>
      <c r="P586" s="105"/>
      <c r="Q586" s="97"/>
      <c r="R586" s="97"/>
      <c r="AB586" s="72">
        <v>1</v>
      </c>
      <c r="AE586" s="96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94"/>
      <c r="BZ586" s="94"/>
      <c r="CA586" s="94"/>
      <c r="CB586" s="94"/>
      <c r="CC586" s="94"/>
      <c r="CD586" s="94"/>
      <c r="CE586" s="94"/>
      <c r="CF586" s="94"/>
      <c r="CG586" s="94"/>
      <c r="CH586" s="94"/>
      <c r="CI586" s="94"/>
      <c r="CJ586" s="94"/>
      <c r="CK586" s="94"/>
      <c r="CL586" s="94"/>
      <c r="CM586" s="94"/>
      <c r="CN586" s="94" t="str">
        <f>" " &amp; TEXT(AF586,"#0.00%") &amp; " " &amp; "Install Water Tank Assembly" &amp; " " &amp; IF(Q586="","",TEXT(Q586,"M/D-")) &amp; IF(R586="","",TEXT(R586,"M/D")) &amp; " "</f>
        <v xml:space="preserve"> 0.00% Install Water Tank Assembly  </v>
      </c>
      <c r="CO586" s="94"/>
      <c r="CP586" s="94"/>
      <c r="CQ586" s="94"/>
      <c r="CR586" s="94"/>
      <c r="CS586" s="94"/>
      <c r="CT586" s="94"/>
      <c r="CU586" s="94"/>
      <c r="CV586" s="94"/>
      <c r="CW586" s="94"/>
      <c r="CX586" s="94"/>
      <c r="CY586" s="94"/>
      <c r="CZ586" s="94"/>
      <c r="DA586" s="94"/>
      <c r="DB586" s="94"/>
      <c r="DC586" s="94"/>
      <c r="DD586" s="94"/>
      <c r="DE586" s="94"/>
      <c r="DF586" s="94"/>
      <c r="DG586" s="94"/>
      <c r="DH586" s="94"/>
      <c r="DI586" s="94"/>
      <c r="DJ586" s="94"/>
      <c r="DK586" s="94"/>
      <c r="DL586" s="94"/>
      <c r="DM586" s="94"/>
      <c r="DN586" s="94"/>
      <c r="DO586" s="94"/>
      <c r="DP586" s="94"/>
      <c r="DQ586" s="94"/>
    </row>
    <row r="587" spans="1:121" ht="15" customHeight="1" outlineLevel="3" x14ac:dyDescent="0.3">
      <c r="A587" s="100"/>
      <c r="B587" s="100"/>
      <c r="C587" s="99">
        <v>4</v>
      </c>
      <c r="D587" s="98" t="s">
        <v>724</v>
      </c>
      <c r="H587" s="77" t="s">
        <v>657</v>
      </c>
      <c r="J587" s="94"/>
      <c r="O587" s="77" t="s">
        <v>640</v>
      </c>
      <c r="P587" s="105"/>
      <c r="Q587" s="97"/>
      <c r="R587" s="97"/>
      <c r="AB587" s="72">
        <v>1</v>
      </c>
      <c r="AE587" s="96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94"/>
      <c r="BZ587" s="94"/>
      <c r="CA587" s="94"/>
      <c r="CB587" s="94"/>
      <c r="CC587" s="94"/>
      <c r="CD587" s="94"/>
      <c r="CE587" s="94"/>
      <c r="CF587" s="94"/>
      <c r="CG587" s="94"/>
      <c r="CH587" s="94"/>
      <c r="CI587" s="94"/>
      <c r="CJ587" s="94"/>
      <c r="CK587" s="94"/>
      <c r="CL587" s="94"/>
      <c r="CM587" s="94"/>
      <c r="CN587" s="94" t="str">
        <f>"     " &amp; TEXT(AF587,"#0.00%") &amp; " " &amp; "Install Rack&amp;Beam&amp;Bracing&amp;Rail Base(~62th)" &amp; " " &amp; IF(Q587="","",TEXT(Q587,"M/D-")) &amp; IF(R587="","",TEXT(R587,"M/D")) &amp; " "</f>
        <v xml:space="preserve">     0.00% Install Rack&amp;Beam&amp;Bracing&amp;Rail Base(~62th)  </v>
      </c>
      <c r="CO587" s="94"/>
      <c r="CP587" s="94"/>
      <c r="CQ587" s="94"/>
      <c r="CR587" s="94"/>
      <c r="CS587" s="94"/>
      <c r="CT587" s="94"/>
      <c r="CU587" s="94"/>
      <c r="CV587" s="94"/>
      <c r="CW587" s="94"/>
      <c r="CX587" s="94"/>
      <c r="CY587" s="94"/>
      <c r="CZ587" s="94"/>
      <c r="DA587" s="94"/>
      <c r="DB587" s="94"/>
      <c r="DC587" s="94"/>
      <c r="DD587" s="94"/>
      <c r="DE587" s="94"/>
      <c r="DF587" s="94"/>
      <c r="DG587" s="94"/>
      <c r="DH587" s="94"/>
      <c r="DI587" s="94"/>
      <c r="DJ587" s="94"/>
      <c r="DK587" s="94"/>
      <c r="DL587" s="94"/>
      <c r="DM587" s="94"/>
      <c r="DN587" s="94"/>
      <c r="DO587" s="94"/>
      <c r="DP587" s="94"/>
      <c r="DQ587" s="94"/>
    </row>
    <row r="588" spans="1:121" ht="15" customHeight="1" outlineLevel="3" x14ac:dyDescent="0.3">
      <c r="A588" s="100"/>
      <c r="B588" s="100"/>
      <c r="C588" s="99">
        <v>4</v>
      </c>
      <c r="D588" s="98" t="s">
        <v>723</v>
      </c>
      <c r="H588" s="77" t="s">
        <v>546</v>
      </c>
      <c r="J588" s="94"/>
      <c r="O588" s="77" t="s">
        <v>640</v>
      </c>
      <c r="P588" s="105"/>
      <c r="Q588" s="97"/>
      <c r="R588" s="97"/>
      <c r="AB588" s="72">
        <v>1</v>
      </c>
      <c r="AE588" s="96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94"/>
      <c r="BZ588" s="94"/>
      <c r="CA588" s="94"/>
      <c r="CB588" s="94"/>
      <c r="CC588" s="94"/>
      <c r="CD588" s="94"/>
      <c r="CE588" s="94"/>
      <c r="CF588" s="94"/>
      <c r="CG588" s="94"/>
      <c r="CH588" s="94"/>
      <c r="CI588" s="94"/>
      <c r="CJ588" s="94"/>
      <c r="CK588" s="94"/>
      <c r="CL588" s="94"/>
      <c r="CM588" s="94"/>
      <c r="CN588" s="94"/>
      <c r="CO588" s="94" t="str">
        <f>"  " &amp; TEXT(AF588,"#0.00%") &amp; " " &amp; "Install Deck Frame&amp;Hand Rail" &amp; " " &amp; IF(Q588="","",TEXT(Q588,"M/D-")) &amp; IF(R588="","",TEXT(R588,"M/D")) &amp; " "</f>
        <v xml:space="preserve">  0.00% Install Deck Frame&amp;Hand Rail  </v>
      </c>
      <c r="CP588" s="94"/>
      <c r="CQ588" s="94"/>
      <c r="CR588" s="94"/>
      <c r="CS588" s="94"/>
      <c r="CT588" s="94"/>
      <c r="CU588" s="94"/>
      <c r="CV588" s="94"/>
      <c r="CW588" s="94"/>
      <c r="CX588" s="94"/>
      <c r="CY588" s="94"/>
      <c r="CZ588" s="94"/>
      <c r="DA588" s="94"/>
      <c r="DB588" s="94"/>
      <c r="DC588" s="94"/>
      <c r="DD588" s="94"/>
      <c r="DE588" s="94"/>
      <c r="DF588" s="94"/>
      <c r="DG588" s="94"/>
      <c r="DH588" s="94"/>
      <c r="DI588" s="94"/>
      <c r="DJ588" s="94"/>
      <c r="DK588" s="94"/>
      <c r="DL588" s="94"/>
      <c r="DM588" s="94"/>
      <c r="DN588" s="94"/>
      <c r="DO588" s="94"/>
      <c r="DP588" s="94"/>
      <c r="DQ588" s="94"/>
    </row>
    <row r="589" spans="1:121" ht="15" customHeight="1" outlineLevel="3" x14ac:dyDescent="0.3">
      <c r="A589" s="100"/>
      <c r="B589" s="100"/>
      <c r="C589" s="99">
        <v>4</v>
      </c>
      <c r="D589" s="98" t="s">
        <v>722</v>
      </c>
      <c r="H589" s="77" t="s">
        <v>654</v>
      </c>
      <c r="J589" s="94"/>
      <c r="O589" s="77" t="s">
        <v>640</v>
      </c>
      <c r="P589" s="105"/>
      <c r="Q589" s="97"/>
      <c r="R589" s="97"/>
      <c r="AB589" s="72">
        <v>1</v>
      </c>
      <c r="AE589" s="96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94"/>
      <c r="BZ589" s="94"/>
      <c r="CA589" s="94"/>
      <c r="CB589" s="94"/>
      <c r="CC589" s="94"/>
      <c r="CD589" s="94"/>
      <c r="CE589" s="94"/>
      <c r="CF589" s="94"/>
      <c r="CG589" s="94"/>
      <c r="CH589" s="94"/>
      <c r="CI589" s="94"/>
      <c r="CJ589" s="94"/>
      <c r="CK589" s="94"/>
      <c r="CL589" s="94"/>
      <c r="CM589" s="94"/>
      <c r="CN589" s="94"/>
      <c r="CO589" s="94" t="str">
        <f>"   " &amp; TEXT(AF589,"#0.00%") &amp; " " &amp; "Install Top Cover, Rail Walk-Way, Top Maintenance Walk-Way" &amp; " " &amp; IF(Q589="","",TEXT(Q589,"M/D-")) &amp; IF(R589="","",TEXT(R589,"M/D")) &amp; " "</f>
        <v xml:space="preserve">   0.00% Install Top Cover, Rail Walk-Way, Top Maintenance Walk-Way  </v>
      </c>
      <c r="CP589" s="94"/>
      <c r="CQ589" s="94"/>
      <c r="CR589" s="94"/>
      <c r="CS589" s="94"/>
      <c r="CT589" s="94"/>
      <c r="CU589" s="94"/>
      <c r="CV589" s="94"/>
      <c r="CW589" s="94"/>
      <c r="CX589" s="94"/>
      <c r="CY589" s="94"/>
      <c r="CZ589" s="94"/>
      <c r="DA589" s="94"/>
      <c r="DB589" s="94"/>
      <c r="DC589" s="94"/>
      <c r="DD589" s="94"/>
      <c r="DE589" s="94"/>
      <c r="DF589" s="94"/>
      <c r="DG589" s="94"/>
      <c r="DH589" s="94"/>
      <c r="DI589" s="94"/>
      <c r="DJ589" s="94"/>
      <c r="DK589" s="94"/>
      <c r="DL589" s="94"/>
      <c r="DM589" s="94"/>
      <c r="DN589" s="94"/>
      <c r="DO589" s="94"/>
      <c r="DP589" s="94"/>
      <c r="DQ589" s="94"/>
    </row>
    <row r="590" spans="1:121" ht="15" customHeight="1" outlineLevel="3" x14ac:dyDescent="0.3">
      <c r="A590" s="100"/>
      <c r="B590" s="100"/>
      <c r="C590" s="99">
        <v>4</v>
      </c>
      <c r="D590" s="98" t="s">
        <v>721</v>
      </c>
      <c r="H590" s="77" t="s">
        <v>652</v>
      </c>
      <c r="J590" s="94"/>
      <c r="O590" s="77" t="s">
        <v>649</v>
      </c>
      <c r="P590" s="105"/>
      <c r="Q590" s="97"/>
      <c r="R590" s="97"/>
      <c r="AB590" s="72">
        <v>1</v>
      </c>
      <c r="AE590" s="96"/>
      <c r="AF590" s="102"/>
      <c r="AG590" s="102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94"/>
      <c r="BZ590" s="94"/>
      <c r="CA590" s="94"/>
      <c r="CB590" s="94"/>
      <c r="CC590" s="94"/>
      <c r="CD590" s="94"/>
      <c r="CE590" s="94"/>
      <c r="CF590" s="94"/>
      <c r="CG590" s="94"/>
      <c r="CH590" s="94"/>
      <c r="CI590" s="94"/>
      <c r="CJ590" s="94"/>
      <c r="CK590" s="94"/>
      <c r="CL590" s="94"/>
      <c r="CM590" s="94"/>
      <c r="CN590" s="94"/>
      <c r="CO590" s="94" t="str">
        <f>"      " &amp; TEXT(AF590,"#0.00%") &amp; " " &amp; "Install MSC Accessories" &amp; " " &amp; IF(Q590="","",TEXT(Q590,"M/D-")) &amp; IF(R590="","",TEXT(R590,"M/D")) &amp; " "</f>
        <v xml:space="preserve">      0.00% Install MSC Accessories  </v>
      </c>
      <c r="CP590" s="94"/>
      <c r="CQ590" s="94"/>
      <c r="CR590" s="94"/>
      <c r="CS590" s="94"/>
      <c r="CT590" s="94"/>
      <c r="CU590" s="94"/>
      <c r="CV590" s="94"/>
      <c r="CW590" s="94"/>
      <c r="CX590" s="94"/>
      <c r="CY590" s="94"/>
      <c r="CZ590" s="94"/>
      <c r="DA590" s="94"/>
      <c r="DB590" s="94"/>
      <c r="DC590" s="94"/>
      <c r="DD590" s="94"/>
      <c r="DE590" s="94"/>
      <c r="DF590" s="94"/>
      <c r="DG590" s="94"/>
      <c r="DH590" s="94"/>
      <c r="DI590" s="94"/>
      <c r="DJ590" s="94"/>
      <c r="DK590" s="94"/>
      <c r="DL590" s="94"/>
      <c r="DM590" s="94"/>
      <c r="DN590" s="94"/>
      <c r="DO590" s="94"/>
      <c r="DP590" s="94"/>
      <c r="DQ590" s="94"/>
    </row>
    <row r="591" spans="1:121" ht="15" customHeight="1" outlineLevel="3" x14ac:dyDescent="0.3">
      <c r="A591" s="100"/>
      <c r="B591" s="100"/>
      <c r="C591" s="99">
        <v>4</v>
      </c>
      <c r="D591" s="98" t="s">
        <v>720</v>
      </c>
      <c r="H591" s="77" t="s">
        <v>650</v>
      </c>
      <c r="J591" s="94"/>
      <c r="O591" s="77" t="s">
        <v>649</v>
      </c>
      <c r="P591" s="105"/>
      <c r="Q591" s="97"/>
      <c r="R591" s="97"/>
      <c r="AB591" s="72">
        <v>1</v>
      </c>
      <c r="AE591" s="96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94"/>
      <c r="BZ591" s="94"/>
      <c r="CA591" s="94"/>
      <c r="CB591" s="94"/>
      <c r="CC591" s="94"/>
      <c r="CD591" s="94"/>
      <c r="CE591" s="94"/>
      <c r="CF591" s="94"/>
      <c r="CG591" s="94"/>
      <c r="CH591" s="94"/>
      <c r="CI591" s="94"/>
      <c r="CJ591" s="94"/>
      <c r="CK591" s="94"/>
      <c r="CL591" s="94"/>
      <c r="CM591" s="94"/>
      <c r="CN591" s="94"/>
      <c r="CO591" s="94"/>
      <c r="CP591" s="94" t="str">
        <f>"     " &amp; TEXT(AF591,"#0.00%") &amp; " " &amp; "Check MSC rail straightness &amp; rail/load arm level" &amp; " " &amp; IF(Q591="","",TEXT(Q591,"M/D-")) &amp; IF(R591="","",TEXT(R591,"M/D")) &amp; " "</f>
        <v xml:space="preserve">     0.00% Check MSC rail straightness &amp; rail/load arm level  </v>
      </c>
      <c r="CQ591" s="94"/>
      <c r="CR591" s="94"/>
      <c r="CS591" s="94"/>
      <c r="CT591" s="94"/>
      <c r="CU591" s="94"/>
      <c r="CV591" s="94"/>
      <c r="CW591" s="94"/>
      <c r="CX591" s="94"/>
      <c r="CY591" s="94"/>
      <c r="CZ591" s="94"/>
      <c r="DA591" s="94"/>
      <c r="DB591" s="94"/>
      <c r="DC591" s="94"/>
      <c r="DD591" s="94"/>
      <c r="DE591" s="94"/>
      <c r="DF591" s="94"/>
      <c r="DG591" s="94"/>
      <c r="DH591" s="94"/>
      <c r="DI591" s="94"/>
      <c r="DJ591" s="94"/>
      <c r="DK591" s="94"/>
      <c r="DL591" s="94"/>
      <c r="DM591" s="94"/>
      <c r="DN591" s="94"/>
      <c r="DO591" s="94"/>
      <c r="DP591" s="94"/>
      <c r="DQ591" s="94"/>
    </row>
    <row r="592" spans="1:121" ht="15" customHeight="1" outlineLevel="3" x14ac:dyDescent="0.3">
      <c r="A592" s="100"/>
      <c r="B592" s="100"/>
      <c r="C592" s="99">
        <v>4</v>
      </c>
      <c r="D592" s="98" t="s">
        <v>719</v>
      </c>
      <c r="H592" s="77" t="s">
        <v>647</v>
      </c>
      <c r="J592" s="94"/>
      <c r="O592" s="77" t="s">
        <v>646</v>
      </c>
      <c r="P592" s="105"/>
      <c r="Q592" s="97"/>
      <c r="R592" s="97"/>
      <c r="AB592" s="72">
        <v>1</v>
      </c>
      <c r="AE592" s="96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94"/>
      <c r="BZ592" s="94"/>
      <c r="CA592" s="94"/>
      <c r="CB592" s="94"/>
      <c r="CC592" s="94"/>
      <c r="CD592" s="94"/>
      <c r="CE592" s="94"/>
      <c r="CF592" s="94"/>
      <c r="CG592" s="94"/>
      <c r="CH592" s="94"/>
      <c r="CI592" s="94"/>
      <c r="CJ592" s="94"/>
      <c r="CK592" s="94"/>
      <c r="CL592" s="94"/>
      <c r="CM592" s="94"/>
      <c r="CN592" s="94"/>
      <c r="CO592" s="94"/>
      <c r="CP592" s="94" t="str">
        <f>"    " &amp; TEXT(AF592,"#0.00%") &amp; " " &amp; "Install Tower Stair" &amp; " " &amp; IF(Q592="","",TEXT(Q592,"M/D-")) &amp; IF(R592="","",TEXT(R592,"M/D")) &amp; " "</f>
        <v xml:space="preserve">    0.00% Install Tower Stair  </v>
      </c>
      <c r="CQ592" s="94"/>
      <c r="CR592" s="94"/>
      <c r="CS592" s="94"/>
      <c r="CT592" s="94"/>
      <c r="CU592" s="94"/>
      <c r="CV592" s="94"/>
      <c r="CW592" s="94"/>
      <c r="CX592" s="94"/>
      <c r="CY592" s="94"/>
      <c r="CZ592" s="94"/>
      <c r="DA592" s="94"/>
      <c r="DB592" s="94"/>
      <c r="DC592" s="94"/>
      <c r="DD592" s="94"/>
      <c r="DE592" s="94"/>
      <c r="DF592" s="94"/>
      <c r="DG592" s="94"/>
      <c r="DH592" s="94"/>
      <c r="DI592" s="94"/>
      <c r="DJ592" s="94"/>
      <c r="DK592" s="94"/>
      <c r="DL592" s="94"/>
      <c r="DM592" s="94"/>
      <c r="DN592" s="94"/>
      <c r="DO592" s="94"/>
      <c r="DP592" s="94"/>
      <c r="DQ592" s="94"/>
    </row>
    <row r="593" spans="1:121" ht="15" customHeight="1" outlineLevel="3" x14ac:dyDescent="0.3">
      <c r="A593" s="100"/>
      <c r="B593" s="100"/>
      <c r="C593" s="99">
        <v>4</v>
      </c>
      <c r="D593" s="98" t="s">
        <v>718</v>
      </c>
      <c r="H593" s="77" t="s">
        <v>644</v>
      </c>
      <c r="J593" s="94"/>
      <c r="O593" s="77" t="s">
        <v>643</v>
      </c>
      <c r="P593" s="105"/>
      <c r="Q593" s="97"/>
      <c r="R593" s="97"/>
      <c r="AB593" s="72">
        <v>1</v>
      </c>
      <c r="AE593" s="96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94"/>
      <c r="BZ593" s="94"/>
      <c r="CA593" s="94"/>
      <c r="CB593" s="94"/>
      <c r="CC593" s="94"/>
      <c r="CD593" s="94"/>
      <c r="CE593" s="94"/>
      <c r="CF593" s="94"/>
      <c r="CG593" s="94"/>
      <c r="CH593" s="94"/>
      <c r="CI593" s="94"/>
      <c r="CJ593" s="94"/>
      <c r="CK593" s="94"/>
      <c r="CL593" s="94"/>
      <c r="CM593" s="94"/>
      <c r="CN593" s="94"/>
      <c r="CO593" s="94"/>
      <c r="CP593" s="94" t="str">
        <f>"   " &amp; TEXT(AF593,"#0.00%") &amp; " " &amp; "Install Smoke Detector" &amp; " " &amp; IF(Q593="","",TEXT(Q593,"M/D-")) &amp; IF(R593="","",TEXT(R593,"M/D")) &amp; " "</f>
        <v xml:space="preserve">   0.00% Install Smoke Detector  </v>
      </c>
      <c r="CQ593" s="94"/>
      <c r="CR593" s="94"/>
      <c r="CS593" s="94"/>
      <c r="CT593" s="94"/>
      <c r="CU593" s="94"/>
      <c r="CV593" s="94"/>
      <c r="CW593" s="94"/>
      <c r="CX593" s="94"/>
      <c r="CY593" s="94"/>
      <c r="CZ593" s="94"/>
      <c r="DA593" s="94"/>
      <c r="DB593" s="94"/>
      <c r="DC593" s="94"/>
      <c r="DD593" s="94"/>
      <c r="DE593" s="94"/>
      <c r="DF593" s="94"/>
      <c r="DG593" s="94"/>
      <c r="DH593" s="94"/>
      <c r="DI593" s="94"/>
      <c r="DJ593" s="94"/>
      <c r="DK593" s="94"/>
      <c r="DL593" s="94"/>
      <c r="DM593" s="94"/>
      <c r="DN593" s="94"/>
      <c r="DO593" s="94"/>
      <c r="DP593" s="94"/>
      <c r="DQ593" s="94"/>
    </row>
    <row r="594" spans="1:121" ht="15" customHeight="1" outlineLevel="3" x14ac:dyDescent="0.3">
      <c r="A594" s="100"/>
      <c r="B594" s="100"/>
      <c r="C594" s="99">
        <v>4</v>
      </c>
      <c r="D594" s="98" t="s">
        <v>717</v>
      </c>
      <c r="H594" s="77" t="s">
        <v>641</v>
      </c>
      <c r="J594" s="94"/>
      <c r="O594" s="77" t="s">
        <v>640</v>
      </c>
      <c r="P594" s="105"/>
      <c r="Q594" s="97"/>
      <c r="R594" s="97"/>
      <c r="AB594" s="72">
        <v>1</v>
      </c>
      <c r="AE594" s="96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/>
      <c r="BO594" s="102"/>
      <c r="BP594" s="102"/>
      <c r="BQ594" s="102"/>
      <c r="BR594" s="102"/>
      <c r="BS594" s="102"/>
      <c r="BT594" s="102"/>
      <c r="BU594" s="102"/>
      <c r="BV594" s="102"/>
      <c r="BW594" s="102"/>
      <c r="BX594" s="102"/>
      <c r="BY594" s="94"/>
      <c r="BZ594" s="94"/>
      <c r="CA594" s="94"/>
      <c r="CB594" s="94"/>
      <c r="CC594" s="94"/>
      <c r="CD594" s="94"/>
      <c r="CE594" s="94"/>
      <c r="CF594" s="94"/>
      <c r="CG594" s="94"/>
      <c r="CH594" s="94"/>
      <c r="CI594" s="94"/>
      <c r="CJ594" s="94"/>
      <c r="CK594" s="94"/>
      <c r="CL594" s="94"/>
      <c r="CM594" s="94"/>
      <c r="CN594" s="94"/>
      <c r="CO594" s="94"/>
      <c r="CP594" s="94"/>
      <c r="CQ594" s="94" t="str">
        <f>"  " &amp; TEXT(AF594,"#0.00%") &amp; " " &amp; "install fence" &amp; " " &amp; IF(Q594="","",TEXT(Q594,"M/D-")) &amp; IF(R594="","",TEXT(R594,"M/D")) &amp; " "</f>
        <v xml:space="preserve">  0.00% install fence  </v>
      </c>
      <c r="CR594" s="94"/>
      <c r="CS594" s="94"/>
      <c r="CT594" s="94"/>
      <c r="CU594" s="94"/>
      <c r="CV594" s="94"/>
      <c r="CW594" s="94"/>
      <c r="CX594" s="94"/>
      <c r="CY594" s="94"/>
      <c r="CZ594" s="94"/>
      <c r="DA594" s="94"/>
      <c r="DB594" s="94"/>
      <c r="DC594" s="94"/>
      <c r="DD594" s="94"/>
      <c r="DE594" s="94"/>
      <c r="DF594" s="94"/>
      <c r="DG594" s="94"/>
      <c r="DH594" s="94"/>
      <c r="DI594" s="94"/>
      <c r="DJ594" s="94"/>
      <c r="DK594" s="94"/>
      <c r="DL594" s="94"/>
      <c r="DM594" s="94"/>
      <c r="DN594" s="94"/>
      <c r="DO594" s="94"/>
      <c r="DP594" s="94"/>
      <c r="DQ594" s="94"/>
    </row>
    <row r="595" spans="1:121" ht="15" customHeight="1" outlineLevel="3" x14ac:dyDescent="0.3">
      <c r="A595" s="100"/>
      <c r="B595" s="100"/>
      <c r="C595" s="99">
        <v>4</v>
      </c>
      <c r="D595" s="98" t="s">
        <v>716</v>
      </c>
      <c r="H595" s="77" t="s">
        <v>638</v>
      </c>
      <c r="J595" s="94"/>
      <c r="O595" s="77" t="s">
        <v>515</v>
      </c>
      <c r="P595" s="105"/>
      <c r="Q595" s="97"/>
      <c r="R595" s="97"/>
      <c r="AB595" s="72">
        <v>1</v>
      </c>
      <c r="AE595" s="96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/>
      <c r="BO595" s="102"/>
      <c r="BP595" s="102"/>
      <c r="BQ595" s="102"/>
      <c r="BR595" s="102"/>
      <c r="BS595" s="102"/>
      <c r="BT595" s="102"/>
      <c r="BU595" s="102"/>
      <c r="BV595" s="102"/>
      <c r="BW595" s="102"/>
      <c r="BX595" s="102"/>
      <c r="BY595" s="94"/>
      <c r="BZ595" s="94"/>
      <c r="CA595" s="94"/>
      <c r="CB595" s="94"/>
      <c r="CC595" s="94"/>
      <c r="CD595" s="94"/>
      <c r="CE595" s="94"/>
      <c r="CF595" s="94"/>
      <c r="CG595" s="94"/>
      <c r="CH595" s="94"/>
      <c r="CI595" s="94"/>
      <c r="CJ595" s="94"/>
      <c r="CK595" s="94"/>
      <c r="CL595" s="94"/>
      <c r="CM595" s="94"/>
      <c r="CN595" s="94"/>
      <c r="CO595" s="94"/>
      <c r="CP595" s="94"/>
      <c r="CQ595" s="94" t="str">
        <f>"  " &amp; TEXT(AF595,"#0.00%") &amp; " " &amp; "Grouting &amp; Cleaning" &amp; " " &amp; IF(Q595="","",TEXT(Q595,"M/D-")) &amp; IF(R595="","",TEXT(R595,"M/D")) &amp; " "</f>
        <v xml:space="preserve">  0.00% Grouting &amp; Cleaning  </v>
      </c>
      <c r="CR595" s="94"/>
      <c r="CS595" s="94"/>
      <c r="CT595" s="94"/>
      <c r="CU595" s="94"/>
      <c r="CV595" s="94"/>
      <c r="CW595" s="94"/>
      <c r="CX595" s="94"/>
      <c r="CY595" s="94"/>
      <c r="CZ595" s="94"/>
      <c r="DA595" s="94"/>
      <c r="DB595" s="94"/>
      <c r="DC595" s="94"/>
      <c r="DD595" s="94"/>
      <c r="DE595" s="94"/>
      <c r="DF595" s="94"/>
      <c r="DG595" s="94"/>
      <c r="DH595" s="94"/>
      <c r="DI595" s="94"/>
      <c r="DJ595" s="94"/>
      <c r="DK595" s="94"/>
      <c r="DL595" s="94"/>
      <c r="DM595" s="94"/>
      <c r="DN595" s="94"/>
      <c r="DO595" s="94"/>
      <c r="DP595" s="94"/>
      <c r="DQ595" s="94"/>
    </row>
    <row r="596" spans="1:121" ht="15" customHeight="1" outlineLevel="2" x14ac:dyDescent="0.3">
      <c r="A596" s="100"/>
      <c r="B596" s="100" t="s">
        <v>298</v>
      </c>
      <c r="C596" s="99">
        <v>3</v>
      </c>
      <c r="D596" s="98" t="s">
        <v>715</v>
      </c>
      <c r="F596" s="94"/>
      <c r="G596" s="77" t="s">
        <v>390</v>
      </c>
      <c r="O596" s="94" t="s">
        <v>389</v>
      </c>
      <c r="Q596" s="97"/>
      <c r="R596" s="97"/>
      <c r="AE596" s="96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94"/>
      <c r="BZ596" s="94"/>
      <c r="CA596" s="94"/>
      <c r="CB596" s="94"/>
      <c r="CC596" s="94"/>
      <c r="CD596" s="94"/>
      <c r="CE596" s="94"/>
      <c r="CF596" s="94"/>
      <c r="CG596" s="94"/>
      <c r="CH596" s="94" t="str">
        <f>"     " &amp; TEXT(AF596,"#0.00%") &amp; " "</f>
        <v xml:space="preserve">     0.00% </v>
      </c>
      <c r="CI596" s="94"/>
      <c r="CJ596" s="94"/>
      <c r="CK596" s="94"/>
      <c r="CL596" s="94"/>
      <c r="CM596" s="94"/>
      <c r="CN596" s="94"/>
      <c r="CO596" s="94"/>
      <c r="CP596" s="94"/>
      <c r="CQ596" s="94" t="str">
        <f>"     " &amp; "HT#2" &amp; " " &amp; IF(Q596="","",TEXT(Q596,"M/D-")) &amp; IF(R596="","",TEXT(R596,"M/D")) &amp; " "</f>
        <v xml:space="preserve">     HT#2  </v>
      </c>
      <c r="CR596" s="94"/>
      <c r="CS596" s="94"/>
      <c r="CT596" s="94"/>
      <c r="CU596" s="94"/>
      <c r="CV596" s="94"/>
      <c r="CW596" s="94"/>
      <c r="CX596" s="94"/>
      <c r="CY596" s="94"/>
      <c r="CZ596" s="94"/>
      <c r="DA596" s="94"/>
      <c r="DB596" s="94"/>
      <c r="DC596" s="94"/>
      <c r="DD596" s="94"/>
      <c r="DE596" s="94"/>
      <c r="DF596" s="94"/>
      <c r="DG596" s="94"/>
      <c r="DH596" s="94"/>
      <c r="DI596" s="94"/>
      <c r="DJ596" s="94"/>
      <c r="DK596" s="94"/>
      <c r="DL596" s="94"/>
      <c r="DM596" s="94"/>
      <c r="DN596" s="94"/>
      <c r="DO596" s="94"/>
      <c r="DP596" s="94"/>
      <c r="DQ596" s="94"/>
    </row>
    <row r="597" spans="1:121" ht="15" customHeight="1" outlineLevel="3" x14ac:dyDescent="0.3">
      <c r="A597" s="100"/>
      <c r="B597" s="100"/>
      <c r="C597" s="99">
        <v>4</v>
      </c>
      <c r="D597" s="98" t="s">
        <v>714</v>
      </c>
      <c r="H597" s="77" t="s">
        <v>534</v>
      </c>
      <c r="J597" s="94"/>
      <c r="O597" s="77" t="s">
        <v>708</v>
      </c>
      <c r="P597" s="105"/>
      <c r="Q597" s="97"/>
      <c r="R597" s="97"/>
      <c r="AB597" s="72">
        <v>1</v>
      </c>
      <c r="AE597" s="96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94"/>
      <c r="BZ597" s="94"/>
      <c r="CA597" s="94"/>
      <c r="CB597" s="94"/>
      <c r="CC597" s="94"/>
      <c r="CD597" s="94"/>
      <c r="CE597" s="94"/>
      <c r="CF597" s="94"/>
      <c r="CG597" s="94"/>
      <c r="CH597" s="94" t="str">
        <f>"     " &amp; TEXT(AF597,"#0.00%") &amp; " " &amp; "Line Marking" &amp; " " &amp; IF(Q597="","",TEXT(Q597,"M/D-")) &amp; IF(R597="","",TEXT(R597,"M/D")) &amp; " "</f>
        <v xml:space="preserve">     0.00% Line Marking  </v>
      </c>
      <c r="CI597" s="94"/>
      <c r="CJ597" s="94"/>
      <c r="CK597" s="94"/>
      <c r="CL597" s="94"/>
      <c r="CM597" s="94"/>
      <c r="CN597" s="94"/>
      <c r="CO597" s="94"/>
      <c r="CP597" s="94"/>
      <c r="CQ597" s="94"/>
      <c r="CR597" s="94"/>
      <c r="CS597" s="94"/>
      <c r="CT597" s="94"/>
      <c r="CU597" s="94"/>
      <c r="CV597" s="94"/>
      <c r="CW597" s="94"/>
      <c r="CX597" s="94"/>
      <c r="CY597" s="94"/>
      <c r="CZ597" s="94"/>
      <c r="DA597" s="94"/>
      <c r="DB597" s="94"/>
      <c r="DC597" s="94"/>
      <c r="DD597" s="94"/>
      <c r="DE597" s="94"/>
      <c r="DF597" s="94"/>
      <c r="DG597" s="94"/>
      <c r="DH597" s="94"/>
      <c r="DI597" s="94"/>
      <c r="DJ597" s="94"/>
      <c r="DK597" s="94"/>
      <c r="DL597" s="94"/>
      <c r="DM597" s="94"/>
      <c r="DN597" s="94"/>
      <c r="DO597" s="94"/>
      <c r="DP597" s="94"/>
      <c r="DQ597" s="94"/>
    </row>
    <row r="598" spans="1:121" ht="15" customHeight="1" outlineLevel="3" x14ac:dyDescent="0.3">
      <c r="A598" s="100"/>
      <c r="B598" s="100"/>
      <c r="C598" s="99">
        <v>4</v>
      </c>
      <c r="D598" s="98" t="s">
        <v>713</v>
      </c>
      <c r="H598" s="77" t="s">
        <v>712</v>
      </c>
      <c r="J598" s="94"/>
      <c r="O598" s="77" t="s">
        <v>708</v>
      </c>
      <c r="P598" s="105"/>
      <c r="Q598" s="97"/>
      <c r="R598" s="97"/>
      <c r="AB598" s="72">
        <v>1</v>
      </c>
      <c r="AE598" s="96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94"/>
      <c r="BZ598" s="94"/>
      <c r="CA598" s="94"/>
      <c r="CB598" s="94"/>
      <c r="CC598" s="94"/>
      <c r="CD598" s="94"/>
      <c r="CE598" s="94"/>
      <c r="CF598" s="94"/>
      <c r="CG598" s="94"/>
      <c r="CH598" s="94" t="str">
        <f>"     " &amp; TEXT(AF598,"#0.00%") &amp; " " &amp; "Check Floor Level" &amp; " " &amp; IF(Q598="","",TEXT(Q598,"M/D-")) &amp; IF(R598="","",TEXT(R598,"M/D")) &amp; " "</f>
        <v xml:space="preserve">     0.00% Check Floor Level  </v>
      </c>
      <c r="CI598" s="94"/>
      <c r="CJ598" s="94"/>
      <c r="CK598" s="94"/>
      <c r="CL598" s="94"/>
      <c r="CM598" s="94"/>
      <c r="CN598" s="94"/>
      <c r="CO598" s="94"/>
      <c r="CP598" s="94"/>
      <c r="CQ598" s="94"/>
      <c r="CR598" s="94"/>
      <c r="CS598" s="94"/>
      <c r="CT598" s="94"/>
      <c r="CU598" s="94"/>
      <c r="CV598" s="94"/>
      <c r="CW598" s="94"/>
      <c r="CX598" s="94"/>
      <c r="CY598" s="94"/>
      <c r="CZ598" s="94"/>
      <c r="DA598" s="94"/>
      <c r="DB598" s="94"/>
      <c r="DC598" s="94"/>
      <c r="DD598" s="94"/>
      <c r="DE598" s="94"/>
      <c r="DF598" s="94"/>
      <c r="DG598" s="94"/>
      <c r="DH598" s="94"/>
      <c r="DI598" s="94"/>
      <c r="DJ598" s="94"/>
      <c r="DK598" s="94"/>
      <c r="DL598" s="94"/>
      <c r="DM598" s="94"/>
      <c r="DN598" s="94"/>
      <c r="DO598" s="94"/>
      <c r="DP598" s="94"/>
      <c r="DQ598" s="94"/>
    </row>
    <row r="599" spans="1:121" ht="15" customHeight="1" outlineLevel="3" x14ac:dyDescent="0.3">
      <c r="A599" s="100"/>
      <c r="B599" s="100"/>
      <c r="C599" s="99">
        <v>4</v>
      </c>
      <c r="D599" s="98" t="s">
        <v>711</v>
      </c>
      <c r="H599" s="77" t="s">
        <v>532</v>
      </c>
      <c r="J599" s="94"/>
      <c r="O599" s="77" t="s">
        <v>708</v>
      </c>
      <c r="P599" s="105"/>
      <c r="Q599" s="97"/>
      <c r="R599" s="97"/>
      <c r="AB599" s="72">
        <v>1</v>
      </c>
      <c r="AE599" s="96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94"/>
      <c r="BZ599" s="94"/>
      <c r="CA599" s="94"/>
      <c r="CB599" s="94"/>
      <c r="CC599" s="94"/>
      <c r="CD599" s="94"/>
      <c r="CE599" s="94"/>
      <c r="CF599" s="94"/>
      <c r="CG599" s="94"/>
      <c r="CH599" s="94" t="str">
        <f>"     " &amp; TEXT(AF599,"#0.00%") &amp; " " &amp; "Check Line Marking" &amp; " " &amp; IF(Q599="","",TEXT(Q599,"M/D-")) &amp; IF(R599="","",TEXT(R599,"M/D")) &amp; " "</f>
        <v xml:space="preserve">     0.00% Check Line Marking  </v>
      </c>
      <c r="CI599" s="94"/>
      <c r="CJ599" s="94"/>
      <c r="CK599" s="94"/>
      <c r="CL599" s="94"/>
      <c r="CM599" s="94"/>
      <c r="CN599" s="94"/>
      <c r="CO599" s="94"/>
      <c r="CP599" s="94"/>
      <c r="CQ599" s="94"/>
      <c r="CR599" s="94"/>
      <c r="CS599" s="94"/>
      <c r="CT599" s="94"/>
      <c r="CU599" s="94"/>
      <c r="CV599" s="94"/>
      <c r="CW599" s="94"/>
      <c r="CX599" s="94"/>
      <c r="CY599" s="94"/>
      <c r="CZ599" s="94"/>
      <c r="DA599" s="94"/>
      <c r="DB599" s="94"/>
      <c r="DC599" s="94"/>
      <c r="DD599" s="94"/>
      <c r="DE599" s="94"/>
      <c r="DF599" s="94"/>
      <c r="DG599" s="94"/>
      <c r="DH599" s="94"/>
      <c r="DI599" s="94"/>
      <c r="DJ599" s="94"/>
      <c r="DK599" s="94"/>
      <c r="DL599" s="94"/>
      <c r="DM599" s="94"/>
      <c r="DN599" s="94"/>
      <c r="DO599" s="94"/>
      <c r="DP599" s="94"/>
      <c r="DQ599" s="94"/>
    </row>
    <row r="600" spans="1:121" ht="15" customHeight="1" outlineLevel="3" x14ac:dyDescent="0.3">
      <c r="A600" s="100"/>
      <c r="B600" s="100"/>
      <c r="C600" s="99">
        <v>4</v>
      </c>
      <c r="D600" s="98" t="s">
        <v>710</v>
      </c>
      <c r="H600" s="77" t="s">
        <v>589</v>
      </c>
      <c r="J600" s="94"/>
      <c r="O600" s="77" t="s">
        <v>708</v>
      </c>
      <c r="P600" s="105"/>
      <c r="Q600" s="97"/>
      <c r="R600" s="97"/>
      <c r="AB600" s="72">
        <v>1</v>
      </c>
      <c r="AE600" s="96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94"/>
      <c r="BZ600" s="94"/>
      <c r="CA600" s="94"/>
      <c r="CB600" s="94"/>
      <c r="CC600" s="94"/>
      <c r="CD600" s="94"/>
      <c r="CE600" s="94"/>
      <c r="CF600" s="94"/>
      <c r="CG600" s="94"/>
      <c r="CH600" s="94"/>
      <c r="CI600" s="94" t="str">
        <f>" " &amp; TEXT(AF600,"#0.00%") &amp; " " &amp; "Drilling Anchor Hole" &amp; " " &amp; IF(Q600="","",TEXT(Q600,"M/D-")) &amp; IF(R600="","",TEXT(R600,"M/D")) &amp; " "</f>
        <v xml:space="preserve"> 0.00% Drilling Anchor Hole  </v>
      </c>
      <c r="CJ600" s="94"/>
      <c r="CK600" s="94"/>
      <c r="CL600" s="94"/>
      <c r="CM600" s="94"/>
      <c r="CN600" s="94"/>
      <c r="CO600" s="94"/>
      <c r="CP600" s="94"/>
      <c r="CQ600" s="94"/>
      <c r="CR600" s="94"/>
      <c r="CS600" s="94"/>
      <c r="CT600" s="94"/>
      <c r="CU600" s="94"/>
      <c r="CV600" s="94"/>
      <c r="CW600" s="94"/>
      <c r="CX600" s="94"/>
      <c r="CY600" s="94"/>
      <c r="CZ600" s="94"/>
      <c r="DA600" s="94"/>
      <c r="DB600" s="94"/>
      <c r="DC600" s="94"/>
      <c r="DD600" s="94"/>
      <c r="DE600" s="94"/>
      <c r="DF600" s="94"/>
      <c r="DG600" s="94"/>
      <c r="DH600" s="94"/>
      <c r="DI600" s="94"/>
      <c r="DJ600" s="94"/>
      <c r="DK600" s="94"/>
      <c r="DL600" s="94"/>
      <c r="DM600" s="94"/>
      <c r="DN600" s="94"/>
      <c r="DO600" s="94"/>
      <c r="DP600" s="94"/>
      <c r="DQ600" s="94"/>
    </row>
    <row r="601" spans="1:121" ht="15" customHeight="1" outlineLevel="3" x14ac:dyDescent="0.3">
      <c r="A601" s="100"/>
      <c r="B601" s="100"/>
      <c r="C601" s="99">
        <v>4</v>
      </c>
      <c r="D601" s="98" t="s">
        <v>709</v>
      </c>
      <c r="H601" s="77" t="s">
        <v>530</v>
      </c>
      <c r="J601" s="94"/>
      <c r="O601" s="77" t="s">
        <v>708</v>
      </c>
      <c r="P601" s="105"/>
      <c r="Q601" s="97"/>
      <c r="R601" s="97"/>
      <c r="AB601" s="72">
        <v>1</v>
      </c>
      <c r="AE601" s="96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94"/>
      <c r="BZ601" s="94"/>
      <c r="CA601" s="94"/>
      <c r="CB601" s="94"/>
      <c r="CC601" s="94"/>
      <c r="CD601" s="94"/>
      <c r="CE601" s="94"/>
      <c r="CF601" s="94"/>
      <c r="CG601" s="94"/>
      <c r="CH601" s="94"/>
      <c r="CI601" s="94" t="str">
        <f>"" &amp; TEXT(AF601,"#0.00%") &amp; " "</f>
        <v xml:space="preserve">0.00% </v>
      </c>
      <c r="CJ601" s="94"/>
      <c r="CK601" s="94"/>
      <c r="CL601" s="94"/>
      <c r="CM601" s="94"/>
      <c r="CN601" s="94"/>
      <c r="CO601" s="94"/>
      <c r="CP601" s="94"/>
      <c r="CQ601" s="94" t="str">
        <f>"     " &amp; "Move In" &amp; " " &amp; IF(Q601="","",TEXT(Q601,"M/D-")) &amp; IF(R601="","",TEXT(R601,"M/D")) &amp; " "</f>
        <v xml:space="preserve">     Move In  </v>
      </c>
      <c r="CR601" s="94"/>
      <c r="CS601" s="94"/>
      <c r="CT601" s="94"/>
      <c r="CU601" s="94"/>
      <c r="CV601" s="94"/>
      <c r="CW601" s="94"/>
      <c r="CX601" s="94"/>
      <c r="CY601" s="94"/>
      <c r="CZ601" s="94"/>
      <c r="DA601" s="94"/>
      <c r="DB601" s="94"/>
      <c r="DC601" s="94"/>
      <c r="DD601" s="94"/>
      <c r="DE601" s="94"/>
      <c r="DF601" s="94"/>
      <c r="DG601" s="94"/>
      <c r="DH601" s="94"/>
      <c r="DI601" s="94"/>
      <c r="DJ601" s="94"/>
      <c r="DK601" s="94"/>
      <c r="DL601" s="94"/>
      <c r="DM601" s="94"/>
      <c r="DN601" s="94"/>
      <c r="DO601" s="94"/>
      <c r="DP601" s="94"/>
      <c r="DQ601" s="94"/>
    </row>
    <row r="602" spans="1:121" ht="15" customHeight="1" outlineLevel="3" x14ac:dyDescent="0.3">
      <c r="A602" s="100"/>
      <c r="B602" s="100"/>
      <c r="C602" s="99">
        <v>4</v>
      </c>
      <c r="D602" s="98" t="s">
        <v>707</v>
      </c>
      <c r="H602" s="77" t="s">
        <v>706</v>
      </c>
      <c r="J602" s="94"/>
      <c r="O602" s="77" t="s">
        <v>700</v>
      </c>
      <c r="P602" s="105"/>
      <c r="Q602" s="97"/>
      <c r="R602" s="97"/>
      <c r="AB602" s="72">
        <v>1</v>
      </c>
      <c r="AE602" s="96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94"/>
      <c r="BZ602" s="94"/>
      <c r="CA602" s="94"/>
      <c r="CB602" s="94"/>
      <c r="CC602" s="94"/>
      <c r="CD602" s="94"/>
      <c r="CE602" s="94"/>
      <c r="CF602" s="94"/>
      <c r="CG602" s="94"/>
      <c r="CH602" s="94"/>
      <c r="CI602" s="94" t="str">
        <f>" " &amp; TEXT(AF602,"#0.00%") &amp; " " &amp; "Install Anchor &amp; Nut" &amp; " " &amp; IF(Q602="","",TEXT(Q602,"M/D-")) &amp; IF(R602="","",TEXT(R602,"M/D")) &amp; " "</f>
        <v xml:space="preserve"> 0.00% Install Anchor &amp; Nut  </v>
      </c>
      <c r="CJ602" s="94"/>
      <c r="CK602" s="94"/>
      <c r="CL602" s="94"/>
      <c r="CM602" s="94"/>
      <c r="CN602" s="94"/>
      <c r="CO602" s="94"/>
      <c r="CP602" s="94"/>
      <c r="CQ602" s="94"/>
      <c r="CR602" s="94"/>
      <c r="CS602" s="94"/>
      <c r="CT602" s="94"/>
      <c r="CU602" s="94"/>
      <c r="CV602" s="94"/>
      <c r="CW602" s="94"/>
      <c r="CX602" s="94"/>
      <c r="CY602" s="94"/>
      <c r="CZ602" s="94"/>
      <c r="DA602" s="94"/>
      <c r="DB602" s="94"/>
      <c r="DC602" s="94"/>
      <c r="DD602" s="94"/>
      <c r="DE602" s="94"/>
      <c r="DF602" s="94"/>
      <c r="DG602" s="94"/>
      <c r="DH602" s="94"/>
      <c r="DI602" s="94"/>
      <c r="DJ602" s="94"/>
      <c r="DK602" s="94"/>
      <c r="DL602" s="94"/>
      <c r="DM602" s="94"/>
      <c r="DN602" s="94"/>
      <c r="DO602" s="94"/>
      <c r="DP602" s="94"/>
      <c r="DQ602" s="94"/>
    </row>
    <row r="603" spans="1:121" ht="15" customHeight="1" outlineLevel="3" x14ac:dyDescent="0.3">
      <c r="A603" s="100"/>
      <c r="B603" s="100"/>
      <c r="C603" s="99">
        <v>4</v>
      </c>
      <c r="D603" s="98" t="s">
        <v>705</v>
      </c>
      <c r="H603" s="77" t="s">
        <v>704</v>
      </c>
      <c r="J603" s="94"/>
      <c r="O603" s="77" t="s">
        <v>700</v>
      </c>
      <c r="P603" s="105"/>
      <c r="Q603" s="97"/>
      <c r="R603" s="97"/>
      <c r="AB603" s="72">
        <v>1</v>
      </c>
      <c r="AE603" s="96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94"/>
      <c r="BZ603" s="94"/>
      <c r="CA603" s="94"/>
      <c r="CB603" s="94"/>
      <c r="CC603" s="94"/>
      <c r="CD603" s="94"/>
      <c r="CE603" s="94"/>
      <c r="CF603" s="94"/>
      <c r="CG603" s="94"/>
      <c r="CH603" s="94"/>
      <c r="CI603" s="94" t="str">
        <f>"   " &amp; TEXT(AF603,"#0.00%") &amp; " " &amp; "Install Deck Post&amp;Girder&amp;Bracing" &amp; " " &amp; IF(Q603="","",TEXT(Q603,"M/D-")) &amp; IF(R603="","",TEXT(R603,"M/D")) &amp; " "</f>
        <v xml:space="preserve">   0.00% Install Deck Post&amp;Girder&amp;Bracing  </v>
      </c>
      <c r="CJ603" s="94"/>
      <c r="CK603" s="94"/>
      <c r="CL603" s="94"/>
      <c r="CM603" s="94"/>
      <c r="CN603" s="94"/>
      <c r="CO603" s="94"/>
      <c r="CP603" s="94"/>
      <c r="CQ603" s="94"/>
      <c r="CR603" s="94"/>
      <c r="CS603" s="94"/>
      <c r="CT603" s="94"/>
      <c r="CU603" s="94"/>
      <c r="CV603" s="94"/>
      <c r="CW603" s="94"/>
      <c r="CX603" s="94"/>
      <c r="CY603" s="94"/>
      <c r="CZ603" s="94"/>
      <c r="DA603" s="94"/>
      <c r="DB603" s="94"/>
      <c r="DC603" s="94"/>
      <c r="DD603" s="94"/>
      <c r="DE603" s="94"/>
      <c r="DF603" s="94"/>
      <c r="DG603" s="94"/>
      <c r="DH603" s="94"/>
      <c r="DI603" s="94"/>
      <c r="DJ603" s="94"/>
      <c r="DK603" s="94"/>
      <c r="DL603" s="94"/>
      <c r="DM603" s="94"/>
      <c r="DN603" s="94"/>
      <c r="DO603" s="94"/>
      <c r="DP603" s="94"/>
      <c r="DQ603" s="94"/>
    </row>
    <row r="604" spans="1:121" ht="15" customHeight="1" outlineLevel="3" x14ac:dyDescent="0.3">
      <c r="A604" s="100"/>
      <c r="B604" s="100"/>
      <c r="C604" s="99">
        <v>4</v>
      </c>
      <c r="D604" s="98" t="s">
        <v>703</v>
      </c>
      <c r="H604" s="77" t="s">
        <v>702</v>
      </c>
      <c r="J604" s="94"/>
      <c r="O604" s="77" t="s">
        <v>700</v>
      </c>
      <c r="P604" s="105"/>
      <c r="Q604" s="97"/>
      <c r="R604" s="97"/>
      <c r="AB604" s="72">
        <v>1</v>
      </c>
      <c r="AE604" s="96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94"/>
      <c r="BZ604" s="94"/>
      <c r="CA604" s="94"/>
      <c r="CB604" s="94"/>
      <c r="CC604" s="94"/>
      <c r="CD604" s="94"/>
      <c r="CE604" s="94"/>
      <c r="CF604" s="94"/>
      <c r="CG604" s="94"/>
      <c r="CH604" s="94"/>
      <c r="CI604" s="94" t="str">
        <f>"    " &amp; TEXT(AF604,"#0.00%") &amp; " " &amp; "Check Vertical(Deck Post&amp;Tower Stair)" &amp; " " &amp; IF(Q604="","",TEXT(Q604,"M/D-")) &amp; IF(R604="","",TEXT(R604,"M/D")) &amp; " "</f>
        <v xml:space="preserve">    0.00% Check Vertical(Deck Post&amp;Tower Stair)  </v>
      </c>
      <c r="CJ604" s="94"/>
      <c r="CK604" s="94"/>
      <c r="CL604" s="94"/>
      <c r="CM604" s="94"/>
      <c r="CN604" s="94"/>
      <c r="CO604" s="94"/>
      <c r="CP604" s="94"/>
      <c r="CQ604" s="94"/>
      <c r="CR604" s="94"/>
      <c r="CS604" s="94"/>
      <c r="CT604" s="94"/>
      <c r="CU604" s="94"/>
      <c r="CV604" s="94"/>
      <c r="CW604" s="94"/>
      <c r="CX604" s="94"/>
      <c r="CY604" s="94"/>
      <c r="CZ604" s="94"/>
      <c r="DA604" s="94"/>
      <c r="DB604" s="94"/>
      <c r="DC604" s="94"/>
      <c r="DD604" s="94"/>
      <c r="DE604" s="94"/>
      <c r="DF604" s="94"/>
      <c r="DG604" s="94"/>
      <c r="DH604" s="94"/>
      <c r="DI604" s="94"/>
      <c r="DJ604" s="94"/>
      <c r="DK604" s="94"/>
      <c r="DL604" s="94"/>
      <c r="DM604" s="94"/>
      <c r="DN604" s="94"/>
      <c r="DO604" s="94"/>
      <c r="DP604" s="94"/>
      <c r="DQ604" s="94"/>
    </row>
    <row r="605" spans="1:121" ht="15" customHeight="1" outlineLevel="3" x14ac:dyDescent="0.3">
      <c r="A605" s="100"/>
      <c r="B605" s="100"/>
      <c r="C605" s="99">
        <v>4</v>
      </c>
      <c r="D605" s="98" t="s">
        <v>701</v>
      </c>
      <c r="H605" s="77" t="s">
        <v>546</v>
      </c>
      <c r="J605" s="94"/>
      <c r="O605" s="77" t="s">
        <v>700</v>
      </c>
      <c r="P605" s="105"/>
      <c r="Q605" s="97"/>
      <c r="R605" s="97"/>
      <c r="AB605" s="72">
        <v>1</v>
      </c>
      <c r="AE605" s="96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  <c r="BI605" s="102"/>
      <c r="BJ605" s="102"/>
      <c r="BK605" s="102"/>
      <c r="BL605" s="102"/>
      <c r="BM605" s="102"/>
      <c r="BN605" s="102"/>
      <c r="BO605" s="102"/>
      <c r="BP605" s="102"/>
      <c r="BQ605" s="102"/>
      <c r="BR605" s="102"/>
      <c r="BS605" s="102"/>
      <c r="BT605" s="102"/>
      <c r="BU605" s="102"/>
      <c r="BV605" s="102"/>
      <c r="BW605" s="102"/>
      <c r="BX605" s="102"/>
      <c r="BY605" s="94"/>
      <c r="BZ605" s="94"/>
      <c r="CA605" s="94"/>
      <c r="CB605" s="94"/>
      <c r="CC605" s="94"/>
      <c r="CD605" s="94"/>
      <c r="CE605" s="94"/>
      <c r="CF605" s="94"/>
      <c r="CG605" s="94"/>
      <c r="CH605" s="94"/>
      <c r="CI605" s="94" t="str">
        <f>"      " &amp; TEXT(AF605,"#0.00%") &amp; " " &amp; "Install Deck Frame&amp;Hand Rail" &amp; " " &amp; IF(Q605="","",TEXT(Q605,"M/D-")) &amp; IF(R605="","",TEXT(R605,"M/D")) &amp; " "</f>
        <v xml:space="preserve">      0.00% Install Deck Frame&amp;Hand Rail  </v>
      </c>
      <c r="CJ605" s="94"/>
      <c r="CK605" s="94"/>
      <c r="CL605" s="94"/>
      <c r="CM605" s="94"/>
      <c r="CN605" s="94"/>
      <c r="CO605" s="94"/>
      <c r="CP605" s="94"/>
      <c r="CQ605" s="94"/>
      <c r="CR605" s="94"/>
      <c r="CS605" s="94"/>
      <c r="CT605" s="94"/>
      <c r="CU605" s="94"/>
      <c r="CV605" s="94"/>
      <c r="CW605" s="94"/>
      <c r="CX605" s="94"/>
      <c r="CY605" s="94"/>
      <c r="CZ605" s="94"/>
      <c r="DA605" s="94"/>
      <c r="DB605" s="94"/>
      <c r="DC605" s="94"/>
      <c r="DD605" s="94"/>
      <c r="DE605" s="94"/>
      <c r="DF605" s="94"/>
      <c r="DG605" s="94"/>
      <c r="DH605" s="94"/>
      <c r="DI605" s="94"/>
      <c r="DJ605" s="94"/>
      <c r="DK605" s="94"/>
      <c r="DL605" s="94"/>
      <c r="DM605" s="94"/>
      <c r="DN605" s="94"/>
      <c r="DO605" s="94"/>
      <c r="DP605" s="94"/>
      <c r="DQ605" s="94"/>
    </row>
    <row r="606" spans="1:121" ht="15" customHeight="1" outlineLevel="3" x14ac:dyDescent="0.3">
      <c r="A606" s="100"/>
      <c r="B606" s="100"/>
      <c r="C606" s="99">
        <v>4</v>
      </c>
      <c r="D606" s="98" t="s">
        <v>699</v>
      </c>
      <c r="H606" s="77" t="s">
        <v>550</v>
      </c>
      <c r="J606" s="94"/>
      <c r="O606" s="77" t="s">
        <v>640</v>
      </c>
      <c r="P606" s="105"/>
      <c r="Q606" s="97"/>
      <c r="R606" s="97"/>
      <c r="AB606" s="72">
        <v>1</v>
      </c>
      <c r="AE606" s="96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  <c r="BJ606" s="102"/>
      <c r="BK606" s="102"/>
      <c r="BL606" s="102"/>
      <c r="BM606" s="102"/>
      <c r="BN606" s="102"/>
      <c r="BO606" s="102"/>
      <c r="BP606" s="102"/>
      <c r="BQ606" s="102"/>
      <c r="BR606" s="102"/>
      <c r="BS606" s="102"/>
      <c r="BT606" s="102"/>
      <c r="BU606" s="102"/>
      <c r="BV606" s="102"/>
      <c r="BW606" s="102"/>
      <c r="BX606" s="102"/>
      <c r="BY606" s="94"/>
      <c r="BZ606" s="94"/>
      <c r="CA606" s="94"/>
      <c r="CB606" s="94"/>
      <c r="CC606" s="94"/>
      <c r="CD606" s="94"/>
      <c r="CE606" s="94"/>
      <c r="CF606" s="94"/>
      <c r="CG606" s="94"/>
      <c r="CH606" s="94"/>
      <c r="CI606" s="94"/>
      <c r="CJ606" s="94" t="str">
        <f>"  " &amp; TEXT(AF606,"#0.00%") &amp; " " &amp; "Install Anchor" &amp; " " &amp; IF(Q606="","",TEXT(Q606,"M/D-")) &amp; IF(R606="","",TEXT(R606,"M/D")) &amp; " "</f>
        <v xml:space="preserve">  0.00% Install Anchor  </v>
      </c>
      <c r="CK606" s="94"/>
      <c r="CL606" s="94"/>
      <c r="CM606" s="94"/>
      <c r="CN606" s="94"/>
      <c r="CO606" s="94"/>
      <c r="CP606" s="94"/>
      <c r="CQ606" s="94"/>
      <c r="CR606" s="94"/>
      <c r="CS606" s="94"/>
      <c r="CT606" s="94"/>
      <c r="CU606" s="94"/>
      <c r="CV606" s="94"/>
      <c r="CW606" s="94"/>
      <c r="CX606" s="94"/>
      <c r="CY606" s="94"/>
      <c r="CZ606" s="94"/>
      <c r="DA606" s="94"/>
      <c r="DB606" s="94"/>
      <c r="DC606" s="94"/>
      <c r="DD606" s="94"/>
      <c r="DE606" s="94"/>
      <c r="DF606" s="94"/>
      <c r="DG606" s="94"/>
      <c r="DH606" s="94"/>
      <c r="DI606" s="94"/>
      <c r="DJ606" s="94"/>
      <c r="DK606" s="94"/>
      <c r="DL606" s="94"/>
      <c r="DM606" s="94"/>
      <c r="DN606" s="94"/>
      <c r="DO606" s="94"/>
      <c r="DP606" s="94"/>
      <c r="DQ606" s="94"/>
    </row>
    <row r="607" spans="1:121" ht="15" customHeight="1" outlineLevel="3" x14ac:dyDescent="0.3">
      <c r="A607" s="100"/>
      <c r="B607" s="100"/>
      <c r="C607" s="99">
        <v>4</v>
      </c>
      <c r="D607" s="98" t="s">
        <v>698</v>
      </c>
      <c r="H607" s="77" t="s">
        <v>697</v>
      </c>
      <c r="J607" s="94"/>
      <c r="O607" s="77" t="s">
        <v>640</v>
      </c>
      <c r="P607" s="105"/>
      <c r="Q607" s="97"/>
      <c r="R607" s="97"/>
      <c r="AB607" s="72">
        <v>1</v>
      </c>
      <c r="AE607" s="96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94"/>
      <c r="BZ607" s="94"/>
      <c r="CA607" s="94"/>
      <c r="CB607" s="94"/>
      <c r="CC607" s="94"/>
      <c r="CD607" s="94"/>
      <c r="CE607" s="94"/>
      <c r="CF607" s="94"/>
      <c r="CG607" s="94"/>
      <c r="CH607" s="94"/>
      <c r="CI607" s="94"/>
      <c r="CJ607" s="94" t="str">
        <f>"   " &amp; TEXT(AF607,"#0.00%") &amp; " " &amp; "Install Liner" &amp; " " &amp; IF(Q607="","",TEXT(Q607,"M/D-")) &amp; IF(R607="","",TEXT(R607,"M/D")) &amp; " "</f>
        <v xml:space="preserve">   0.00% Install Liner  </v>
      </c>
      <c r="CK607" s="94"/>
      <c r="CL607" s="94"/>
      <c r="CM607" s="94"/>
      <c r="CN607" s="94"/>
      <c r="CO607" s="94"/>
      <c r="CP607" s="94"/>
      <c r="CQ607" s="94"/>
      <c r="CR607" s="94"/>
      <c r="CS607" s="94"/>
      <c r="CT607" s="94"/>
      <c r="CU607" s="94"/>
      <c r="CV607" s="94"/>
      <c r="CW607" s="94"/>
      <c r="CX607" s="94"/>
      <c r="CY607" s="94"/>
      <c r="CZ607" s="94"/>
      <c r="DA607" s="94"/>
      <c r="DB607" s="94"/>
      <c r="DC607" s="94"/>
      <c r="DD607" s="94"/>
      <c r="DE607" s="94"/>
      <c r="DF607" s="94"/>
      <c r="DG607" s="94"/>
      <c r="DH607" s="94"/>
      <c r="DI607" s="94"/>
      <c r="DJ607" s="94"/>
      <c r="DK607" s="94"/>
      <c r="DL607" s="94"/>
      <c r="DM607" s="94"/>
      <c r="DN607" s="94"/>
      <c r="DO607" s="94"/>
      <c r="DP607" s="94"/>
      <c r="DQ607" s="94"/>
    </row>
    <row r="608" spans="1:121" ht="15" customHeight="1" outlineLevel="3" x14ac:dyDescent="0.3">
      <c r="A608" s="100"/>
      <c r="B608" s="100"/>
      <c r="C608" s="99">
        <v>4</v>
      </c>
      <c r="D608" s="98" t="s">
        <v>696</v>
      </c>
      <c r="H608" s="77" t="s">
        <v>695</v>
      </c>
      <c r="J608" s="94"/>
      <c r="O608" s="77" t="s">
        <v>640</v>
      </c>
      <c r="P608" s="105"/>
      <c r="Q608" s="97"/>
      <c r="R608" s="97"/>
      <c r="AB608" s="72">
        <v>1</v>
      </c>
      <c r="AE608" s="96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94"/>
      <c r="BZ608" s="94"/>
      <c r="CA608" s="94"/>
      <c r="CB608" s="94"/>
      <c r="CC608" s="94"/>
      <c r="CD608" s="94"/>
      <c r="CE608" s="94"/>
      <c r="CF608" s="94"/>
      <c r="CG608" s="94"/>
      <c r="CH608" s="94"/>
      <c r="CI608" s="94"/>
      <c r="CJ608" s="94" t="str">
        <f>"   " &amp; TEXT(AF608,"#0.00%") &amp; " " &amp; "Check Liner Leveling(Laser)" &amp; " " &amp; IF(Q608="","",TEXT(Q608,"M/D-")) &amp; IF(R608="","",TEXT(R608,"M/D")) &amp; " "</f>
        <v xml:space="preserve">   0.00% Check Liner Leveling(Laser)  </v>
      </c>
      <c r="CK608" s="94"/>
      <c r="CL608" s="94"/>
      <c r="CM608" s="94"/>
      <c r="CN608" s="94"/>
      <c r="CO608" s="94"/>
      <c r="CP608" s="94"/>
      <c r="CQ608" s="94"/>
      <c r="CR608" s="94"/>
      <c r="CS608" s="94"/>
      <c r="CT608" s="94"/>
      <c r="CU608" s="94"/>
      <c r="CV608" s="94"/>
      <c r="CW608" s="94"/>
      <c r="CX608" s="94"/>
      <c r="CY608" s="94"/>
      <c r="CZ608" s="94"/>
      <c r="DA608" s="94"/>
      <c r="DB608" s="94"/>
      <c r="DC608" s="94"/>
      <c r="DD608" s="94"/>
      <c r="DE608" s="94"/>
      <c r="DF608" s="94"/>
      <c r="DG608" s="94"/>
      <c r="DH608" s="94"/>
      <c r="DI608" s="94"/>
      <c r="DJ608" s="94"/>
      <c r="DK608" s="94"/>
      <c r="DL608" s="94"/>
      <c r="DM608" s="94"/>
      <c r="DN608" s="94"/>
      <c r="DO608" s="94"/>
      <c r="DP608" s="94"/>
      <c r="DQ608" s="94"/>
    </row>
    <row r="609" spans="1:121" ht="15" customHeight="1" outlineLevel="3" x14ac:dyDescent="0.3">
      <c r="A609" s="100"/>
      <c r="B609" s="100"/>
      <c r="C609" s="99">
        <v>4</v>
      </c>
      <c r="D609" s="98" t="s">
        <v>694</v>
      </c>
      <c r="H609" s="77" t="s">
        <v>693</v>
      </c>
      <c r="J609" s="94"/>
      <c r="O609" s="77" t="s">
        <v>640</v>
      </c>
      <c r="P609" s="105"/>
      <c r="Q609" s="97"/>
      <c r="R609" s="97"/>
      <c r="AB609" s="72">
        <v>1</v>
      </c>
      <c r="AE609" s="96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94"/>
      <c r="BZ609" s="94"/>
      <c r="CA609" s="94"/>
      <c r="CB609" s="94"/>
      <c r="CC609" s="94"/>
      <c r="CD609" s="94"/>
      <c r="CE609" s="94"/>
      <c r="CF609" s="94"/>
      <c r="CG609" s="94"/>
      <c r="CH609" s="94"/>
      <c r="CI609" s="94"/>
      <c r="CJ609" s="94" t="str">
        <f>"    " &amp; TEXT(AF609,"#0.00%") &amp; " " &amp; "Install Base Plate" &amp; " " &amp; IF(Q609="","",TEXT(Q609,"M/D-")) &amp; IF(R609="","",TEXT(R609,"M/D")) &amp; " "</f>
        <v xml:space="preserve">    0.00% Install Base Plate  </v>
      </c>
      <c r="CK609" s="94"/>
      <c r="CL609" s="94"/>
      <c r="CM609" s="94"/>
      <c r="CN609" s="94"/>
      <c r="CO609" s="94"/>
      <c r="CP609" s="94"/>
      <c r="CQ609" s="94"/>
      <c r="CR609" s="94"/>
      <c r="CS609" s="94"/>
      <c r="CT609" s="94"/>
      <c r="CU609" s="94"/>
      <c r="CV609" s="94"/>
      <c r="CW609" s="94"/>
      <c r="CX609" s="94"/>
      <c r="CY609" s="94"/>
      <c r="CZ609" s="94"/>
      <c r="DA609" s="94"/>
      <c r="DB609" s="94"/>
      <c r="DC609" s="94"/>
      <c r="DD609" s="94"/>
      <c r="DE609" s="94"/>
      <c r="DF609" s="94"/>
      <c r="DG609" s="94"/>
      <c r="DH609" s="94"/>
      <c r="DI609" s="94"/>
      <c r="DJ609" s="94"/>
      <c r="DK609" s="94"/>
      <c r="DL609" s="94"/>
      <c r="DM609" s="94"/>
      <c r="DN609" s="94"/>
      <c r="DO609" s="94"/>
      <c r="DP609" s="94"/>
      <c r="DQ609" s="94"/>
    </row>
    <row r="610" spans="1:121" ht="15" customHeight="1" outlineLevel="3" x14ac:dyDescent="0.3">
      <c r="A610" s="100"/>
      <c r="B610" s="100"/>
      <c r="C610" s="99">
        <v>4</v>
      </c>
      <c r="D610" s="98" t="s">
        <v>692</v>
      </c>
      <c r="H610" s="77" t="s">
        <v>691</v>
      </c>
      <c r="J610" s="94"/>
      <c r="O610" s="77" t="s">
        <v>640</v>
      </c>
      <c r="P610" s="105"/>
      <c r="Q610" s="97"/>
      <c r="R610" s="97"/>
      <c r="AB610" s="72">
        <v>1</v>
      </c>
      <c r="AE610" s="96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94"/>
      <c r="BZ610" s="94"/>
      <c r="CA610" s="94"/>
      <c r="CB610" s="94"/>
      <c r="CC610" s="94"/>
      <c r="CD610" s="94"/>
      <c r="CE610" s="94"/>
      <c r="CF610" s="94"/>
      <c r="CG610" s="94"/>
      <c r="CH610" s="94"/>
      <c r="CI610" s="94"/>
      <c r="CJ610" s="94" t="str">
        <f>"     " &amp; TEXT(AF610,"#0.00%") &amp; " " &amp; "Erect Rack(2th)" &amp; " " &amp; IF(Q610="","",TEXT(Q610,"M/D-")) &amp; IF(R610="","",TEXT(R610,"M/D")) &amp; " "</f>
        <v xml:space="preserve">     0.00% Erect Rack(2th)  </v>
      </c>
      <c r="CK610" s="94"/>
      <c r="CL610" s="94"/>
      <c r="CM610" s="94"/>
      <c r="CN610" s="94"/>
      <c r="CO610" s="94"/>
      <c r="CP610" s="94"/>
      <c r="CQ610" s="94"/>
      <c r="CR610" s="94"/>
      <c r="CS610" s="94"/>
      <c r="CT610" s="94"/>
      <c r="CU610" s="94"/>
      <c r="CV610" s="94"/>
      <c r="CW610" s="94"/>
      <c r="CX610" s="94"/>
      <c r="CY610" s="94"/>
      <c r="CZ610" s="94"/>
      <c r="DA610" s="94"/>
      <c r="DB610" s="94"/>
      <c r="DC610" s="94"/>
      <c r="DD610" s="94"/>
      <c r="DE610" s="94"/>
      <c r="DF610" s="94"/>
      <c r="DG610" s="94"/>
      <c r="DH610" s="94"/>
      <c r="DI610" s="94"/>
      <c r="DJ610" s="94"/>
      <c r="DK610" s="94"/>
      <c r="DL610" s="94"/>
      <c r="DM610" s="94"/>
      <c r="DN610" s="94"/>
      <c r="DO610" s="94"/>
      <c r="DP610" s="94"/>
      <c r="DQ610" s="94"/>
    </row>
    <row r="611" spans="1:121" ht="15" customHeight="1" outlineLevel="3" x14ac:dyDescent="0.3">
      <c r="A611" s="100"/>
      <c r="B611" s="100"/>
      <c r="C611" s="99">
        <v>4</v>
      </c>
      <c r="D611" s="98" t="s">
        <v>690</v>
      </c>
      <c r="H611" s="77" t="s">
        <v>544</v>
      </c>
      <c r="J611" s="94"/>
      <c r="O611" s="77" t="s">
        <v>518</v>
      </c>
      <c r="P611" s="105"/>
      <c r="Q611" s="97"/>
      <c r="R611" s="97"/>
      <c r="AB611" s="72">
        <v>1</v>
      </c>
      <c r="AE611" s="96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94"/>
      <c r="BZ611" s="94"/>
      <c r="CA611" s="94"/>
      <c r="CB611" s="94"/>
      <c r="CC611" s="94"/>
      <c r="CD611" s="94"/>
      <c r="CE611" s="94"/>
      <c r="CF611" s="94"/>
      <c r="CG611" s="94"/>
      <c r="CH611" s="94"/>
      <c r="CI611" s="94"/>
      <c r="CJ611" s="94" t="str">
        <f>"      " &amp; TEXT(AF611,"#0.00%") &amp; " " &amp; "Install Lifter" &amp; " " &amp; IF(Q611="","",TEXT(Q611,"M/D-")) &amp; IF(R611="","",TEXT(R611,"M/D")) &amp; " "</f>
        <v xml:space="preserve">      0.00% Install Lifter  </v>
      </c>
      <c r="CK611" s="94"/>
      <c r="CL611" s="94"/>
      <c r="CM611" s="94"/>
      <c r="CN611" s="94"/>
      <c r="CO611" s="94"/>
      <c r="CP611" s="94"/>
      <c r="CQ611" s="94"/>
      <c r="CR611" s="94"/>
      <c r="CS611" s="94"/>
      <c r="CT611" s="94"/>
      <c r="CU611" s="94"/>
      <c r="CV611" s="94"/>
      <c r="CW611" s="94"/>
      <c r="CX611" s="94"/>
      <c r="CY611" s="94"/>
      <c r="CZ611" s="94"/>
      <c r="DA611" s="94"/>
      <c r="DB611" s="94"/>
      <c r="DC611" s="94"/>
      <c r="DD611" s="94"/>
      <c r="DE611" s="94"/>
      <c r="DF611" s="94"/>
      <c r="DG611" s="94"/>
      <c r="DH611" s="94"/>
      <c r="DI611" s="94"/>
      <c r="DJ611" s="94"/>
      <c r="DK611" s="94"/>
      <c r="DL611" s="94"/>
      <c r="DM611" s="94"/>
      <c r="DN611" s="94"/>
      <c r="DO611" s="94"/>
      <c r="DP611" s="94"/>
      <c r="DQ611" s="94"/>
    </row>
    <row r="612" spans="1:121" ht="15" customHeight="1" outlineLevel="3" x14ac:dyDescent="0.3">
      <c r="A612" s="100"/>
      <c r="B612" s="100"/>
      <c r="C612" s="99">
        <v>4</v>
      </c>
      <c r="D612" s="98" t="s">
        <v>689</v>
      </c>
      <c r="H612" s="77" t="s">
        <v>688</v>
      </c>
      <c r="J612" s="94"/>
      <c r="O612" s="77" t="s">
        <v>640</v>
      </c>
      <c r="P612" s="105"/>
      <c r="Q612" s="97"/>
      <c r="R612" s="97"/>
      <c r="AB612" s="72">
        <v>1</v>
      </c>
      <c r="AE612" s="96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94"/>
      <c r="BZ612" s="94"/>
      <c r="CA612" s="94"/>
      <c r="CB612" s="94"/>
      <c r="CC612" s="94"/>
      <c r="CD612" s="94"/>
      <c r="CE612" s="94"/>
      <c r="CF612" s="94"/>
      <c r="CG612" s="94"/>
      <c r="CH612" s="94"/>
      <c r="CI612" s="94"/>
      <c r="CJ612" s="94"/>
      <c r="CK612" s="94" t="str">
        <f>"" &amp; TEXT(AF612,"#0.00%") &amp; " " &amp; "Install Beam&amp;Bracing(2th)" &amp; " " &amp; IF(Q612="","",TEXT(Q612,"M/D-")) &amp; IF(R612="","",TEXT(R612,"M/D")) &amp; " "</f>
        <v xml:space="preserve">0.00% Install Beam&amp;Bracing(2th)  </v>
      </c>
      <c r="CL612" s="94"/>
      <c r="CM612" s="94"/>
      <c r="CN612" s="94"/>
      <c r="CO612" s="94"/>
      <c r="CP612" s="94"/>
      <c r="CQ612" s="94"/>
      <c r="CR612" s="94"/>
      <c r="CS612" s="94"/>
      <c r="CT612" s="94"/>
      <c r="CU612" s="94"/>
      <c r="CV612" s="94"/>
      <c r="CW612" s="94"/>
      <c r="CX612" s="94"/>
      <c r="CY612" s="94"/>
      <c r="CZ612" s="94"/>
      <c r="DA612" s="94"/>
      <c r="DB612" s="94"/>
      <c r="DC612" s="94"/>
      <c r="DD612" s="94"/>
      <c r="DE612" s="94"/>
      <c r="DF612" s="94"/>
      <c r="DG612" s="94"/>
      <c r="DH612" s="94"/>
      <c r="DI612" s="94"/>
      <c r="DJ612" s="94"/>
      <c r="DK612" s="94"/>
      <c r="DL612" s="94"/>
      <c r="DM612" s="94"/>
      <c r="DN612" s="94"/>
      <c r="DO612" s="94"/>
      <c r="DP612" s="94"/>
      <c r="DQ612" s="94"/>
    </row>
    <row r="613" spans="1:121" ht="15" customHeight="1" outlineLevel="3" x14ac:dyDescent="0.3">
      <c r="A613" s="100"/>
      <c r="B613" s="100"/>
      <c r="C613" s="99">
        <v>4</v>
      </c>
      <c r="D613" s="98" t="s">
        <v>687</v>
      </c>
      <c r="H613" s="77" t="s">
        <v>686</v>
      </c>
      <c r="J613" s="94"/>
      <c r="O613" s="77" t="s">
        <v>640</v>
      </c>
      <c r="P613" s="105"/>
      <c r="Q613" s="97"/>
      <c r="R613" s="97"/>
      <c r="AB613" s="72">
        <v>1</v>
      </c>
      <c r="AE613" s="96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94"/>
      <c r="BZ613" s="94"/>
      <c r="CA613" s="94"/>
      <c r="CB613" s="94"/>
      <c r="CC613" s="94"/>
      <c r="CD613" s="94"/>
      <c r="CE613" s="94"/>
      <c r="CF613" s="94"/>
      <c r="CG613" s="94"/>
      <c r="CH613" s="94"/>
      <c r="CI613" s="94"/>
      <c r="CJ613" s="94"/>
      <c r="CK613" s="94" t="str">
        <f>"    " &amp; TEXT(AF613,"#0.00%") &amp; " " &amp; "Install Rack&amp;Beam&amp;Bracing(5th)" &amp; " " &amp; IF(Q613="","",TEXT(Q613,"M/D-")) &amp; IF(R613="","",TEXT(R613,"M/D")) &amp; " "</f>
        <v xml:space="preserve">    0.00% Install Rack&amp;Beam&amp;Bracing(5th)  </v>
      </c>
      <c r="CL613" s="94"/>
      <c r="CM613" s="94"/>
      <c r="CN613" s="94"/>
      <c r="CO613" s="94"/>
      <c r="CP613" s="94"/>
      <c r="CQ613" s="94"/>
      <c r="CR613" s="94"/>
      <c r="CS613" s="94"/>
      <c r="CT613" s="94"/>
      <c r="CU613" s="94"/>
      <c r="CV613" s="94"/>
      <c r="CW613" s="94"/>
      <c r="CX613" s="94"/>
      <c r="CY613" s="94"/>
      <c r="CZ613" s="94"/>
      <c r="DA613" s="94"/>
      <c r="DB613" s="94"/>
      <c r="DC613" s="94"/>
      <c r="DD613" s="94"/>
      <c r="DE613" s="94"/>
      <c r="DF613" s="94"/>
      <c r="DG613" s="94"/>
      <c r="DH613" s="94"/>
      <c r="DI613" s="94"/>
      <c r="DJ613" s="94"/>
      <c r="DK613" s="94"/>
      <c r="DL613" s="94"/>
      <c r="DM613" s="94"/>
      <c r="DN613" s="94"/>
      <c r="DO613" s="94"/>
      <c r="DP613" s="94"/>
      <c r="DQ613" s="94"/>
    </row>
    <row r="614" spans="1:121" ht="15" customHeight="1" outlineLevel="3" x14ac:dyDescent="0.3">
      <c r="A614" s="100"/>
      <c r="B614" s="100"/>
      <c r="C614" s="99">
        <v>4</v>
      </c>
      <c r="D614" s="98" t="s">
        <v>685</v>
      </c>
      <c r="H614" s="77" t="s">
        <v>546</v>
      </c>
      <c r="J614" s="94"/>
      <c r="O614" s="77" t="s">
        <v>640</v>
      </c>
      <c r="P614" s="105"/>
      <c r="Q614" s="97"/>
      <c r="R614" s="97"/>
      <c r="AB614" s="72">
        <v>1</v>
      </c>
      <c r="AE614" s="96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94"/>
      <c r="BZ614" s="94"/>
      <c r="CA614" s="94"/>
      <c r="CB614" s="94"/>
      <c r="CC614" s="94"/>
      <c r="CD614" s="94"/>
      <c r="CE614" s="94"/>
      <c r="CF614" s="94"/>
      <c r="CG614" s="94"/>
      <c r="CH614" s="94"/>
      <c r="CI614" s="94"/>
      <c r="CJ614" s="94"/>
      <c r="CK614" s="94"/>
      <c r="CL614" s="94" t="str">
        <f>"" &amp; TEXT(AF614,"#0.00%") &amp; " " &amp; "Install Deck Frame&amp;Hand Rail" &amp; " " &amp; IF(Q614="","",TEXT(Q614,"M/D-")) &amp; IF(R614="","",TEXT(R614,"M/D")) &amp; " "</f>
        <v xml:space="preserve">0.00% Install Deck Frame&amp;Hand Rail  </v>
      </c>
      <c r="CM614" s="94"/>
      <c r="CN614" s="94"/>
      <c r="CO614" s="94"/>
      <c r="CP614" s="94"/>
      <c r="CQ614" s="94"/>
      <c r="CR614" s="94"/>
      <c r="CS614" s="94"/>
      <c r="CT614" s="94"/>
      <c r="CU614" s="94"/>
      <c r="CV614" s="94"/>
      <c r="CW614" s="94"/>
      <c r="CX614" s="94"/>
      <c r="CY614" s="94"/>
      <c r="CZ614" s="94"/>
      <c r="DA614" s="94"/>
      <c r="DB614" s="94"/>
      <c r="DC614" s="94"/>
      <c r="DD614" s="94"/>
      <c r="DE614" s="94"/>
      <c r="DF614" s="94"/>
      <c r="DG614" s="94"/>
      <c r="DH614" s="94"/>
      <c r="DI614" s="94"/>
      <c r="DJ614" s="94"/>
      <c r="DK614" s="94"/>
      <c r="DL614" s="94"/>
      <c r="DM614" s="94"/>
      <c r="DN614" s="94"/>
      <c r="DO614" s="94"/>
      <c r="DP614" s="94"/>
      <c r="DQ614" s="94"/>
    </row>
    <row r="615" spans="1:121" ht="15" customHeight="1" outlineLevel="3" x14ac:dyDescent="0.3">
      <c r="A615" s="100"/>
      <c r="B615" s="100"/>
      <c r="C615" s="99">
        <v>4</v>
      </c>
      <c r="D615" s="98" t="s">
        <v>684</v>
      </c>
      <c r="H615" s="77" t="s">
        <v>683</v>
      </c>
      <c r="J615" s="94"/>
      <c r="O615" s="77" t="s">
        <v>678</v>
      </c>
      <c r="P615" s="105"/>
      <c r="Q615" s="97"/>
      <c r="R615" s="97"/>
      <c r="AB615" s="72">
        <v>1</v>
      </c>
      <c r="AE615" s="96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94"/>
      <c r="BZ615" s="94"/>
      <c r="CA615" s="94"/>
      <c r="CB615" s="94"/>
      <c r="CC615" s="94"/>
      <c r="CD615" s="94"/>
      <c r="CE615" s="94"/>
      <c r="CF615" s="94"/>
      <c r="CG615" s="94"/>
      <c r="CH615" s="94"/>
      <c r="CI615" s="94"/>
      <c r="CJ615" s="94"/>
      <c r="CK615" s="94"/>
      <c r="CL615" s="94" t="str">
        <f>"  " &amp; TEXT(AF615,"#0.00%") &amp; " " &amp; "Check Track No." &amp; " " &amp; IF(Q615="","",TEXT(Q615,"M/D-")) &amp; IF(R615="","",TEXT(R615,"M/D")) &amp; " "</f>
        <v xml:space="preserve">  0.00% Check Track No.  </v>
      </c>
      <c r="CM615" s="94"/>
      <c r="CN615" s="94"/>
      <c r="CO615" s="94"/>
      <c r="CP615" s="94"/>
      <c r="CQ615" s="94"/>
      <c r="CR615" s="94"/>
      <c r="CS615" s="94"/>
      <c r="CT615" s="94"/>
      <c r="CU615" s="94"/>
      <c r="CV615" s="94"/>
      <c r="CW615" s="94"/>
      <c r="CX615" s="94"/>
      <c r="CY615" s="94"/>
      <c r="CZ615" s="94"/>
      <c r="DA615" s="94"/>
      <c r="DB615" s="94"/>
      <c r="DC615" s="94"/>
      <c r="DD615" s="94"/>
      <c r="DE615" s="94"/>
      <c r="DF615" s="94"/>
      <c r="DG615" s="94"/>
      <c r="DH615" s="94"/>
      <c r="DI615" s="94"/>
      <c r="DJ615" s="94"/>
      <c r="DK615" s="94"/>
      <c r="DL615" s="94"/>
      <c r="DM615" s="94"/>
      <c r="DN615" s="94"/>
      <c r="DO615" s="94"/>
      <c r="DP615" s="94"/>
      <c r="DQ615" s="94"/>
    </row>
    <row r="616" spans="1:121" ht="15" customHeight="1" outlineLevel="3" x14ac:dyDescent="0.3">
      <c r="A616" s="100"/>
      <c r="B616" s="100"/>
      <c r="C616" s="99">
        <v>4</v>
      </c>
      <c r="D616" s="98" t="s">
        <v>682</v>
      </c>
      <c r="H616" s="77" t="s">
        <v>681</v>
      </c>
      <c r="J616" s="94"/>
      <c r="O616" s="77" t="s">
        <v>678</v>
      </c>
      <c r="P616" s="105"/>
      <c r="Q616" s="97"/>
      <c r="R616" s="97"/>
      <c r="AB616" s="72">
        <v>1</v>
      </c>
      <c r="AE616" s="96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/>
      <c r="BO616" s="102"/>
      <c r="BP616" s="102"/>
      <c r="BQ616" s="102"/>
      <c r="BR616" s="102"/>
      <c r="BS616" s="102"/>
      <c r="BT616" s="102"/>
      <c r="BU616" s="102"/>
      <c r="BV616" s="102"/>
      <c r="BW616" s="102"/>
      <c r="BX616" s="102"/>
      <c r="BY616" s="94"/>
      <c r="BZ616" s="94"/>
      <c r="CA616" s="94"/>
      <c r="CB616" s="94"/>
      <c r="CC616" s="94"/>
      <c r="CD616" s="94"/>
      <c r="CE616" s="94"/>
      <c r="CF616" s="94"/>
      <c r="CG616" s="94"/>
      <c r="CH616" s="94"/>
      <c r="CI616" s="94"/>
      <c r="CJ616" s="94"/>
      <c r="CK616" s="94"/>
      <c r="CL616" s="94" t="str">
        <f>"    " &amp; TEXT(AF616,"#0.00%") &amp; " " &amp; "Install HP Home Stand &amp; C/V" &amp; " " &amp; IF(Q616="","",TEXT(Q616,"M/D-")) &amp; IF(R616="","",TEXT(R616,"M/D")) &amp; " "</f>
        <v xml:space="preserve">    0.00% Install HP Home Stand &amp; C/V  </v>
      </c>
      <c r="CM616" s="94"/>
      <c r="CN616" s="94"/>
      <c r="CO616" s="94"/>
      <c r="CP616" s="94"/>
      <c r="CQ616" s="94"/>
      <c r="CR616" s="94"/>
      <c r="CS616" s="94"/>
      <c r="CT616" s="94"/>
      <c r="CU616" s="94"/>
      <c r="CV616" s="94"/>
      <c r="CW616" s="94"/>
      <c r="CX616" s="94"/>
      <c r="CY616" s="94"/>
      <c r="CZ616" s="94"/>
      <c r="DA616" s="94"/>
      <c r="DB616" s="94"/>
      <c r="DC616" s="94"/>
      <c r="DD616" s="94"/>
      <c r="DE616" s="94"/>
      <c r="DF616" s="94"/>
      <c r="DG616" s="94"/>
      <c r="DH616" s="94"/>
      <c r="DI616" s="94"/>
      <c r="DJ616" s="94"/>
      <c r="DK616" s="94"/>
      <c r="DL616" s="94"/>
      <c r="DM616" s="94"/>
      <c r="DN616" s="94"/>
      <c r="DO616" s="94"/>
      <c r="DP616" s="94"/>
      <c r="DQ616" s="94"/>
    </row>
    <row r="617" spans="1:121" ht="15" customHeight="1" outlineLevel="3" x14ac:dyDescent="0.3">
      <c r="A617" s="100"/>
      <c r="B617" s="100"/>
      <c r="C617" s="99">
        <v>4</v>
      </c>
      <c r="D617" s="98" t="s">
        <v>680</v>
      </c>
      <c r="H617" s="77" t="s">
        <v>679</v>
      </c>
      <c r="J617" s="94"/>
      <c r="O617" s="77" t="s">
        <v>678</v>
      </c>
      <c r="P617" s="105"/>
      <c r="Q617" s="97"/>
      <c r="R617" s="97"/>
      <c r="AB617" s="72">
        <v>1</v>
      </c>
      <c r="AE617" s="96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/>
      <c r="BO617" s="102"/>
      <c r="BP617" s="102"/>
      <c r="BQ617" s="102"/>
      <c r="BR617" s="102"/>
      <c r="BS617" s="102"/>
      <c r="BT617" s="102"/>
      <c r="BU617" s="102"/>
      <c r="BV617" s="102"/>
      <c r="BW617" s="102"/>
      <c r="BX617" s="102"/>
      <c r="BY617" s="94"/>
      <c r="BZ617" s="94"/>
      <c r="CA617" s="94"/>
      <c r="CB617" s="94"/>
      <c r="CC617" s="94"/>
      <c r="CD617" s="94"/>
      <c r="CE617" s="94"/>
      <c r="CF617" s="94"/>
      <c r="CG617" s="94"/>
      <c r="CH617" s="94"/>
      <c r="CI617" s="94"/>
      <c r="CJ617" s="94"/>
      <c r="CK617" s="94"/>
      <c r="CL617" s="94"/>
      <c r="CM617" s="94" t="str">
        <f>"" &amp; TEXT(AF617,"#0.00%") &amp; " " &amp; "Check home stand CV Level &amp; Center line" &amp; " " &amp; IF(Q617="","",TEXT(Q617,"M/D-")) &amp; IF(R617="","",TEXT(R617,"M/D")) &amp; " "</f>
        <v xml:space="preserve">0.00% Check home stand CV Level &amp; Center line  </v>
      </c>
      <c r="CN617" s="94"/>
      <c r="CO617" s="94"/>
      <c r="CP617" s="94"/>
      <c r="CQ617" s="94"/>
      <c r="CR617" s="94"/>
      <c r="CS617" s="94"/>
      <c r="CT617" s="94"/>
      <c r="CU617" s="94"/>
      <c r="CV617" s="94"/>
      <c r="CW617" s="94"/>
      <c r="CX617" s="94"/>
      <c r="CY617" s="94"/>
      <c r="CZ617" s="94"/>
      <c r="DA617" s="94"/>
      <c r="DB617" s="94"/>
      <c r="DC617" s="94"/>
      <c r="DD617" s="94"/>
      <c r="DE617" s="94"/>
      <c r="DF617" s="94"/>
      <c r="DG617" s="94"/>
      <c r="DH617" s="94"/>
      <c r="DI617" s="94"/>
      <c r="DJ617" s="94"/>
      <c r="DK617" s="94"/>
      <c r="DL617" s="94"/>
      <c r="DM617" s="94"/>
      <c r="DN617" s="94"/>
      <c r="DO617" s="94"/>
      <c r="DP617" s="94"/>
      <c r="DQ617" s="94"/>
    </row>
    <row r="618" spans="1:121" ht="15" customHeight="1" outlineLevel="3" x14ac:dyDescent="0.3">
      <c r="A618" s="100"/>
      <c r="B618" s="100"/>
      <c r="C618" s="99">
        <v>4</v>
      </c>
      <c r="D618" s="98" t="s">
        <v>677</v>
      </c>
      <c r="H618" s="77" t="s">
        <v>676</v>
      </c>
      <c r="J618" s="94"/>
      <c r="O618" s="77" t="s">
        <v>640</v>
      </c>
      <c r="P618" s="105"/>
      <c r="Q618" s="97"/>
      <c r="R618" s="97"/>
      <c r="AB618" s="72">
        <v>1</v>
      </c>
      <c r="AE618" s="96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94"/>
      <c r="BZ618" s="94"/>
      <c r="CA618" s="94"/>
      <c r="CB618" s="94"/>
      <c r="CC618" s="94"/>
      <c r="CD618" s="94"/>
      <c r="CE618" s="94"/>
      <c r="CF618" s="94"/>
      <c r="CG618" s="94"/>
      <c r="CH618" s="94"/>
      <c r="CI618" s="94" t="str">
        <f>" " &amp; TEXT(AF618,"#0.00%") &amp; " " &amp; "Pre-Assembly Rack(5~58h)" &amp; " " &amp; IF(Q618="","",TEXT(Q618,"M/D-")) &amp; IF(R618="","",TEXT(R618,"M/D")) &amp; " "</f>
        <v xml:space="preserve"> 0.00% Pre-Assembly Rack(5~58h)  </v>
      </c>
      <c r="CJ618" s="94"/>
      <c r="CK618" s="94"/>
      <c r="CL618" s="94"/>
      <c r="CM618" s="94"/>
      <c r="CN618" s="94"/>
      <c r="CO618" s="94"/>
      <c r="CP618" s="94"/>
      <c r="CQ618" s="94"/>
      <c r="CR618" s="94"/>
      <c r="CS618" s="94"/>
      <c r="CT618" s="94"/>
      <c r="CU618" s="94"/>
      <c r="CV618" s="94"/>
      <c r="CW618" s="94"/>
      <c r="CX618" s="94"/>
      <c r="CY618" s="94"/>
      <c r="CZ618" s="94"/>
      <c r="DA618" s="94"/>
      <c r="DB618" s="94"/>
      <c r="DC618" s="94"/>
      <c r="DD618" s="94"/>
      <c r="DE618" s="94"/>
      <c r="DF618" s="94"/>
      <c r="DG618" s="94"/>
      <c r="DH618" s="94"/>
      <c r="DI618" s="94"/>
      <c r="DJ618" s="94"/>
      <c r="DK618" s="94"/>
      <c r="DL618" s="94"/>
      <c r="DM618" s="94"/>
      <c r="DN618" s="94"/>
      <c r="DO618" s="94"/>
      <c r="DP618" s="94"/>
      <c r="DQ618" s="94"/>
    </row>
    <row r="619" spans="1:121" ht="15" customHeight="1" outlineLevel="3" x14ac:dyDescent="0.3">
      <c r="A619" s="100"/>
      <c r="B619" s="100"/>
      <c r="C619" s="99">
        <v>4</v>
      </c>
      <c r="D619" s="98" t="s">
        <v>675</v>
      </c>
      <c r="H619" s="77" t="s">
        <v>674</v>
      </c>
      <c r="J619" s="94"/>
      <c r="O619" s="77" t="s">
        <v>640</v>
      </c>
      <c r="P619" s="105"/>
      <c r="Q619" s="97"/>
      <c r="R619" s="97"/>
      <c r="AB619" s="72">
        <v>1</v>
      </c>
      <c r="AE619" s="96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94"/>
      <c r="BZ619" s="94"/>
      <c r="CA619" s="94"/>
      <c r="CB619" s="94"/>
      <c r="CC619" s="94"/>
      <c r="CD619" s="94"/>
      <c r="CE619" s="94"/>
      <c r="CF619" s="94"/>
      <c r="CG619" s="94"/>
      <c r="CH619" s="94"/>
      <c r="CI619" s="94" t="str">
        <f>"   " &amp; TEXT(AF619,"#0.00%") &amp; " " &amp; "Install Rack&amp;Beam&amp;Bracing&amp;Rail Base(10th)" &amp; " " &amp; IF(Q619="","",TEXT(Q619,"M/D-")) &amp; IF(R619="","",TEXT(R619,"M/D")) &amp; " "</f>
        <v xml:space="preserve">   0.00% Install Rack&amp;Beam&amp;Bracing&amp;Rail Base(10th)  </v>
      </c>
      <c r="CJ619" s="94"/>
      <c r="CK619" s="94"/>
      <c r="CL619" s="94"/>
      <c r="CM619" s="94"/>
      <c r="CN619" s="94"/>
      <c r="CO619" s="94"/>
      <c r="CP619" s="94"/>
      <c r="CQ619" s="94"/>
      <c r="CR619" s="94"/>
      <c r="CS619" s="94"/>
      <c r="CT619" s="94"/>
      <c r="CU619" s="94"/>
      <c r="CV619" s="94"/>
      <c r="CW619" s="94"/>
      <c r="CX619" s="94"/>
      <c r="CY619" s="94"/>
      <c r="CZ619" s="94"/>
      <c r="DA619" s="94"/>
      <c r="DB619" s="94"/>
      <c r="DC619" s="94"/>
      <c r="DD619" s="94"/>
      <c r="DE619" s="94"/>
      <c r="DF619" s="94"/>
      <c r="DG619" s="94"/>
      <c r="DH619" s="94"/>
      <c r="DI619" s="94"/>
      <c r="DJ619" s="94"/>
      <c r="DK619" s="94"/>
      <c r="DL619" s="94"/>
      <c r="DM619" s="94"/>
      <c r="DN619" s="94"/>
      <c r="DO619" s="94"/>
      <c r="DP619" s="94"/>
      <c r="DQ619" s="94"/>
    </row>
    <row r="620" spans="1:121" ht="15" customHeight="1" outlineLevel="3" x14ac:dyDescent="0.3">
      <c r="A620" s="100"/>
      <c r="B620" s="100"/>
      <c r="C620" s="99">
        <v>4</v>
      </c>
      <c r="D620" s="98" t="s">
        <v>673</v>
      </c>
      <c r="H620" s="77" t="s">
        <v>672</v>
      </c>
      <c r="J620" s="94"/>
      <c r="O620" s="77" t="s">
        <v>640</v>
      </c>
      <c r="P620" s="105"/>
      <c r="Q620" s="97"/>
      <c r="R620" s="97"/>
      <c r="AB620" s="72">
        <v>1</v>
      </c>
      <c r="AE620" s="96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94"/>
      <c r="BZ620" s="94"/>
      <c r="CA620" s="94"/>
      <c r="CB620" s="94"/>
      <c r="CC620" s="94"/>
      <c r="CD620" s="94"/>
      <c r="CE620" s="94"/>
      <c r="CF620" s="94"/>
      <c r="CG620" s="94"/>
      <c r="CH620" s="94"/>
      <c r="CI620" s="94"/>
      <c r="CJ620" s="94" t="str">
        <f>"" &amp; TEXT(AF620,"#0.00%") &amp; " " &amp; "Check Vertical(1~10th)" &amp; " " &amp; IF(Q620="","",TEXT(Q620,"M/D-")) &amp; IF(R620="","",TEXT(R620,"M/D")) &amp; " "</f>
        <v xml:space="preserve">0.00% Check Vertical(1~10th)  </v>
      </c>
      <c r="CK620" s="94"/>
      <c r="CL620" s="94"/>
      <c r="CM620" s="94"/>
      <c r="CN620" s="94"/>
      <c r="CO620" s="94"/>
      <c r="CP620" s="94"/>
      <c r="CQ620" s="94"/>
      <c r="CR620" s="94"/>
      <c r="CS620" s="94"/>
      <c r="CT620" s="94"/>
      <c r="CU620" s="94"/>
      <c r="CV620" s="94"/>
      <c r="CW620" s="94"/>
      <c r="CX620" s="94"/>
      <c r="CY620" s="94"/>
      <c r="CZ620" s="94"/>
      <c r="DA620" s="94"/>
      <c r="DB620" s="94"/>
      <c r="DC620" s="94"/>
      <c r="DD620" s="94"/>
      <c r="DE620" s="94"/>
      <c r="DF620" s="94"/>
      <c r="DG620" s="94"/>
      <c r="DH620" s="94"/>
      <c r="DI620" s="94"/>
      <c r="DJ620" s="94"/>
      <c r="DK620" s="94"/>
      <c r="DL620" s="94"/>
      <c r="DM620" s="94"/>
      <c r="DN620" s="94"/>
      <c r="DO620" s="94"/>
      <c r="DP620" s="94"/>
      <c r="DQ620" s="94"/>
    </row>
    <row r="621" spans="1:121" ht="15" customHeight="1" outlineLevel="3" x14ac:dyDescent="0.3">
      <c r="A621" s="100"/>
      <c r="B621" s="100"/>
      <c r="C621" s="99">
        <v>4</v>
      </c>
      <c r="D621" s="98" t="s">
        <v>671</v>
      </c>
      <c r="H621" s="77" t="s">
        <v>670</v>
      </c>
      <c r="J621" s="94"/>
      <c r="O621" s="77" t="s">
        <v>649</v>
      </c>
      <c r="P621" s="105"/>
      <c r="Q621" s="97"/>
      <c r="R621" s="97"/>
      <c r="AB621" s="72">
        <v>1</v>
      </c>
      <c r="AE621" s="96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94"/>
      <c r="BZ621" s="94"/>
      <c r="CA621" s="94"/>
      <c r="CB621" s="94"/>
      <c r="CC621" s="94"/>
      <c r="CD621" s="94"/>
      <c r="CE621" s="94"/>
      <c r="CF621" s="94"/>
      <c r="CG621" s="94"/>
      <c r="CH621" s="94"/>
      <c r="CI621" s="94"/>
      <c r="CJ621" s="94" t="str">
        <f>"   " &amp; TEXT(AF621,"#0.00%") &amp; " " &amp; "Install MSC Rail(1st rail)" &amp; " " &amp; IF(Q621="","",TEXT(Q621,"M/D-")) &amp; IF(R621="","",TEXT(R621,"M/D")) &amp; " "</f>
        <v xml:space="preserve">   0.00% Install MSC Rail(1st rail)  </v>
      </c>
      <c r="CK621" s="94"/>
      <c r="CL621" s="94"/>
      <c r="CM621" s="94"/>
      <c r="CN621" s="94"/>
      <c r="CO621" s="94"/>
      <c r="CP621" s="94"/>
      <c r="CQ621" s="94"/>
      <c r="CR621" s="94"/>
      <c r="CS621" s="94"/>
      <c r="CT621" s="94"/>
      <c r="CU621" s="94"/>
      <c r="CV621" s="94"/>
      <c r="CW621" s="94"/>
      <c r="CX621" s="94"/>
      <c r="CY621" s="94"/>
      <c r="CZ621" s="94"/>
      <c r="DA621" s="94"/>
      <c r="DB621" s="94"/>
      <c r="DC621" s="94"/>
      <c r="DD621" s="94"/>
      <c r="DE621" s="94"/>
      <c r="DF621" s="94"/>
      <c r="DG621" s="94"/>
      <c r="DH621" s="94"/>
      <c r="DI621" s="94"/>
      <c r="DJ621" s="94"/>
      <c r="DK621" s="94"/>
      <c r="DL621" s="94"/>
      <c r="DM621" s="94"/>
      <c r="DN621" s="94"/>
      <c r="DO621" s="94"/>
      <c r="DP621" s="94"/>
      <c r="DQ621" s="94"/>
    </row>
    <row r="622" spans="1:121" ht="15" customHeight="1" outlineLevel="3" x14ac:dyDescent="0.3">
      <c r="A622" s="100"/>
      <c r="B622" s="100"/>
      <c r="C622" s="99">
        <v>4</v>
      </c>
      <c r="D622" s="98" t="s">
        <v>669</v>
      </c>
      <c r="H622" s="77" t="s">
        <v>668</v>
      </c>
      <c r="J622" s="94"/>
      <c r="O622" s="77" t="s">
        <v>649</v>
      </c>
      <c r="P622" s="105"/>
      <c r="Q622" s="97"/>
      <c r="R622" s="97"/>
      <c r="AB622" s="72">
        <v>1</v>
      </c>
      <c r="AE622" s="96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94"/>
      <c r="BZ622" s="94"/>
      <c r="CA622" s="94"/>
      <c r="CB622" s="94"/>
      <c r="CC622" s="94"/>
      <c r="CD622" s="94"/>
      <c r="CE622" s="94"/>
      <c r="CF622" s="94"/>
      <c r="CG622" s="94"/>
      <c r="CH622" s="94"/>
      <c r="CI622" s="94"/>
      <c r="CJ622" s="94" t="str">
        <f>"      " &amp; TEXT(AF622,"#0.00%") &amp; " " &amp; "Lifting MSC" &amp; " " &amp; IF(Q622="","",TEXT(Q622,"M/D-")) &amp; IF(R622="","",TEXT(R622,"M/D")) &amp; " "</f>
        <v xml:space="preserve">      0.00% Lifting MSC  </v>
      </c>
      <c r="CK622" s="94"/>
      <c r="CL622" s="94"/>
      <c r="CM622" s="94"/>
      <c r="CN622" s="94"/>
      <c r="CO622" s="94"/>
      <c r="CP622" s="94"/>
      <c r="CQ622" s="94"/>
      <c r="CR622" s="94"/>
      <c r="CS622" s="94"/>
      <c r="CT622" s="94"/>
      <c r="CU622" s="94"/>
      <c r="CV622" s="94"/>
      <c r="CW622" s="94"/>
      <c r="CX622" s="94"/>
      <c r="CY622" s="94"/>
      <c r="CZ622" s="94"/>
      <c r="DA622" s="94"/>
      <c r="DB622" s="94"/>
      <c r="DC622" s="94"/>
      <c r="DD622" s="94"/>
      <c r="DE622" s="94"/>
      <c r="DF622" s="94"/>
      <c r="DG622" s="94"/>
      <c r="DH622" s="94"/>
      <c r="DI622" s="94"/>
      <c r="DJ622" s="94"/>
      <c r="DK622" s="94"/>
      <c r="DL622" s="94"/>
      <c r="DM622" s="94"/>
      <c r="DN622" s="94"/>
      <c r="DO622" s="94"/>
      <c r="DP622" s="94"/>
      <c r="DQ622" s="94"/>
    </row>
    <row r="623" spans="1:121" ht="15" customHeight="1" outlineLevel="3" x14ac:dyDescent="0.3">
      <c r="A623" s="100"/>
      <c r="B623" s="100"/>
      <c r="C623" s="99">
        <v>4</v>
      </c>
      <c r="D623" s="98" t="s">
        <v>667</v>
      </c>
      <c r="H623" s="77" t="s">
        <v>666</v>
      </c>
      <c r="J623" s="94"/>
      <c r="O623" s="77" t="s">
        <v>640</v>
      </c>
      <c r="P623" s="105"/>
      <c r="Q623" s="97"/>
      <c r="R623" s="97"/>
      <c r="AB623" s="72">
        <v>1</v>
      </c>
      <c r="AE623" s="96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94"/>
      <c r="BZ623" s="94"/>
      <c r="CA623" s="94"/>
      <c r="CB623" s="94"/>
      <c r="CC623" s="94"/>
      <c r="CD623" s="94"/>
      <c r="CE623" s="94"/>
      <c r="CF623" s="94"/>
      <c r="CG623" s="94"/>
      <c r="CH623" s="94"/>
      <c r="CI623" s="94"/>
      <c r="CJ623" s="94"/>
      <c r="CK623" s="94" t="str">
        <f>"   " &amp; TEXT(AF623,"#0.00%") &amp; " " &amp; "Install Rack&amp;Beam&amp;Bracing&amp;Rail Base(Every 10th, ~59th)" &amp; " " &amp; IF(Q623="","",TEXT(Q623,"M/D-")) &amp; IF(R623="","",TEXT(R623,"M/D")) &amp; " "</f>
        <v xml:space="preserve">   0.00% Install Rack&amp;Beam&amp;Bracing&amp;Rail Base(Every 10th, ~59th)  </v>
      </c>
      <c r="CL623" s="94"/>
      <c r="CM623" s="94"/>
      <c r="CN623" s="94"/>
      <c r="CO623" s="94"/>
      <c r="CP623" s="94"/>
      <c r="CQ623" s="94"/>
      <c r="CR623" s="94"/>
      <c r="CS623" s="94"/>
      <c r="CT623" s="94"/>
      <c r="CU623" s="94"/>
      <c r="CV623" s="94"/>
      <c r="CW623" s="94"/>
      <c r="CX623" s="94"/>
      <c r="CY623" s="94"/>
      <c r="CZ623" s="94"/>
      <c r="DA623" s="94"/>
      <c r="DB623" s="94"/>
      <c r="DC623" s="94"/>
      <c r="DD623" s="94"/>
      <c r="DE623" s="94"/>
      <c r="DF623" s="94"/>
      <c r="DG623" s="94"/>
      <c r="DH623" s="94"/>
      <c r="DI623" s="94"/>
      <c r="DJ623" s="94"/>
      <c r="DK623" s="94"/>
      <c r="DL623" s="94"/>
      <c r="DM623" s="94"/>
      <c r="DN623" s="94"/>
      <c r="DO623" s="94"/>
      <c r="DP623" s="94"/>
      <c r="DQ623" s="94"/>
    </row>
    <row r="624" spans="1:121" ht="15" customHeight="1" outlineLevel="3" x14ac:dyDescent="0.3">
      <c r="A624" s="100"/>
      <c r="B624" s="100"/>
      <c r="C624" s="99">
        <v>4</v>
      </c>
      <c r="D624" s="98" t="s">
        <v>665</v>
      </c>
      <c r="H624" s="77" t="s">
        <v>664</v>
      </c>
      <c r="J624" s="94"/>
      <c r="O624" s="77" t="s">
        <v>640</v>
      </c>
      <c r="P624" s="105"/>
      <c r="Q624" s="97"/>
      <c r="R624" s="97"/>
      <c r="AB624" s="72">
        <v>1</v>
      </c>
      <c r="AE624" s="96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94"/>
      <c r="BZ624" s="94"/>
      <c r="CA624" s="94"/>
      <c r="CB624" s="94"/>
      <c r="CC624" s="94"/>
      <c r="CD624" s="94"/>
      <c r="CE624" s="94"/>
      <c r="CF624" s="94"/>
      <c r="CG624" s="94"/>
      <c r="CH624" s="94"/>
      <c r="CI624" s="94"/>
      <c r="CJ624" s="94"/>
      <c r="CK624" s="94"/>
      <c r="CL624" s="94" t="str">
        <f>"" &amp; TEXT(AF624,"#0.00%") &amp; " " &amp; "Check Vertical(Every 10th, ~59th)" &amp; " " &amp; IF(Q624="","",TEXT(Q624,"M/D-")) &amp; IF(R624="","",TEXT(R624,"M/D")) &amp; " "</f>
        <v xml:space="preserve">0.00% Check Vertical(Every 10th, ~59th)  </v>
      </c>
      <c r="CM624" s="94"/>
      <c r="CN624" s="94"/>
      <c r="CO624" s="94"/>
      <c r="CP624" s="94"/>
      <c r="CQ624" s="94"/>
      <c r="CR624" s="94"/>
      <c r="CS624" s="94"/>
      <c r="CT624" s="94"/>
      <c r="CU624" s="94"/>
      <c r="CV624" s="94"/>
      <c r="CW624" s="94"/>
      <c r="CX624" s="94"/>
      <c r="CY624" s="94"/>
      <c r="CZ624" s="94"/>
      <c r="DA624" s="94"/>
      <c r="DB624" s="94"/>
      <c r="DC624" s="94"/>
      <c r="DD624" s="94"/>
      <c r="DE624" s="94"/>
      <c r="DF624" s="94"/>
      <c r="DG624" s="94"/>
      <c r="DH624" s="94"/>
      <c r="DI624" s="94"/>
      <c r="DJ624" s="94"/>
      <c r="DK624" s="94"/>
      <c r="DL624" s="94"/>
      <c r="DM624" s="94"/>
      <c r="DN624" s="94"/>
      <c r="DO624" s="94"/>
      <c r="DP624" s="94"/>
      <c r="DQ624" s="94"/>
    </row>
    <row r="625" spans="1:121" ht="15" customHeight="1" outlineLevel="3" x14ac:dyDescent="0.3">
      <c r="A625" s="100"/>
      <c r="B625" s="100"/>
      <c r="C625" s="99">
        <v>4</v>
      </c>
      <c r="D625" s="98" t="s">
        <v>663</v>
      </c>
      <c r="H625" s="77" t="s">
        <v>662</v>
      </c>
      <c r="J625" s="94"/>
      <c r="O625" s="77" t="s">
        <v>649</v>
      </c>
      <c r="P625" s="105"/>
      <c r="Q625" s="97"/>
      <c r="R625" s="97"/>
      <c r="AB625" s="72">
        <v>1</v>
      </c>
      <c r="AE625" s="96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94"/>
      <c r="BZ625" s="94"/>
      <c r="CA625" s="94"/>
      <c r="CB625" s="94"/>
      <c r="CC625" s="94"/>
      <c r="CD625" s="94"/>
      <c r="CE625" s="94"/>
      <c r="CF625" s="94"/>
      <c r="CG625" s="94"/>
      <c r="CH625" s="94"/>
      <c r="CI625" s="94"/>
      <c r="CJ625" s="94"/>
      <c r="CK625" s="94"/>
      <c r="CL625" s="94" t="str">
        <f>" " &amp; TEXT(AF625,"#0.00%") &amp; " " &amp; "Install MSC Rail(Every 10th, ~59th)" &amp; " " &amp; IF(Q625="","",TEXT(Q625,"M/D-")) &amp; IF(R625="","",TEXT(R625,"M/D")) &amp; " "</f>
        <v xml:space="preserve"> 0.00% Install MSC Rail(Every 10th, ~59th)  </v>
      </c>
      <c r="CM625" s="94"/>
      <c r="CN625" s="94"/>
      <c r="CO625" s="94"/>
      <c r="CP625" s="94"/>
      <c r="CQ625" s="94"/>
      <c r="CR625" s="94"/>
      <c r="CS625" s="94"/>
      <c r="CT625" s="94"/>
      <c r="CU625" s="94"/>
      <c r="CV625" s="94"/>
      <c r="CW625" s="94"/>
      <c r="CX625" s="94"/>
      <c r="CY625" s="94"/>
      <c r="CZ625" s="94"/>
      <c r="DA625" s="94"/>
      <c r="DB625" s="94"/>
      <c r="DC625" s="94"/>
      <c r="DD625" s="94"/>
      <c r="DE625" s="94"/>
      <c r="DF625" s="94"/>
      <c r="DG625" s="94"/>
      <c r="DH625" s="94"/>
      <c r="DI625" s="94"/>
      <c r="DJ625" s="94"/>
      <c r="DK625" s="94"/>
      <c r="DL625" s="94"/>
      <c r="DM625" s="94"/>
      <c r="DN625" s="94"/>
      <c r="DO625" s="94"/>
      <c r="DP625" s="94"/>
      <c r="DQ625" s="94"/>
    </row>
    <row r="626" spans="1:121" ht="15" customHeight="1" outlineLevel="3" x14ac:dyDescent="0.3">
      <c r="A626" s="100"/>
      <c r="B626" s="100"/>
      <c r="C626" s="99">
        <v>4</v>
      </c>
      <c r="D626" s="98" t="s">
        <v>661</v>
      </c>
      <c r="H626" s="77" t="s">
        <v>660</v>
      </c>
      <c r="J626" s="94"/>
      <c r="O626" s="77" t="s">
        <v>659</v>
      </c>
      <c r="P626" s="105"/>
      <c r="Q626" s="97"/>
      <c r="R626" s="97"/>
      <c r="AB626" s="72">
        <v>1</v>
      </c>
      <c r="AE626" s="96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94"/>
      <c r="BZ626" s="94"/>
      <c r="CA626" s="94"/>
      <c r="CB626" s="94"/>
      <c r="CC626" s="94"/>
      <c r="CD626" s="94"/>
      <c r="CE626" s="94"/>
      <c r="CF626" s="94"/>
      <c r="CG626" s="94"/>
      <c r="CH626" s="94"/>
      <c r="CI626" s="94"/>
      <c r="CJ626" s="94"/>
      <c r="CK626" s="94"/>
      <c r="CL626" s="94"/>
      <c r="CM626" s="94"/>
      <c r="CN626" s="94" t="str">
        <f>" " &amp; TEXT(AF626,"#0.00%") &amp; " " &amp; "Install Water Tank Assembly" &amp; " " &amp; IF(Q626="","",TEXT(Q626,"M/D-")) &amp; IF(R626="","",TEXT(R626,"M/D")) &amp; " "</f>
        <v xml:space="preserve"> 0.00% Install Water Tank Assembly  </v>
      </c>
      <c r="CO626" s="94"/>
      <c r="CP626" s="94"/>
      <c r="CQ626" s="94"/>
      <c r="CR626" s="94"/>
      <c r="CS626" s="94"/>
      <c r="CT626" s="94"/>
      <c r="CU626" s="94"/>
      <c r="CV626" s="94"/>
      <c r="CW626" s="94"/>
      <c r="CX626" s="94"/>
      <c r="CY626" s="94"/>
      <c r="CZ626" s="94"/>
      <c r="DA626" s="94"/>
      <c r="DB626" s="94"/>
      <c r="DC626" s="94"/>
      <c r="DD626" s="94"/>
      <c r="DE626" s="94"/>
      <c r="DF626" s="94"/>
      <c r="DG626" s="94"/>
      <c r="DH626" s="94"/>
      <c r="DI626" s="94"/>
      <c r="DJ626" s="94"/>
      <c r="DK626" s="94"/>
      <c r="DL626" s="94"/>
      <c r="DM626" s="94"/>
      <c r="DN626" s="94"/>
      <c r="DO626" s="94"/>
      <c r="DP626" s="94"/>
      <c r="DQ626" s="94"/>
    </row>
    <row r="627" spans="1:121" ht="15" customHeight="1" outlineLevel="3" x14ac:dyDescent="0.3">
      <c r="A627" s="100"/>
      <c r="B627" s="100"/>
      <c r="C627" s="99">
        <v>4</v>
      </c>
      <c r="D627" s="98" t="s">
        <v>658</v>
      </c>
      <c r="H627" s="77" t="s">
        <v>657</v>
      </c>
      <c r="J627" s="94"/>
      <c r="O627" s="77" t="s">
        <v>640</v>
      </c>
      <c r="P627" s="105"/>
      <c r="Q627" s="97"/>
      <c r="R627" s="97"/>
      <c r="AB627" s="72">
        <v>1</v>
      </c>
      <c r="AE627" s="96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/>
      <c r="BO627" s="102"/>
      <c r="BP627" s="102"/>
      <c r="BQ627" s="102"/>
      <c r="BR627" s="102"/>
      <c r="BS627" s="102"/>
      <c r="BT627" s="102"/>
      <c r="BU627" s="102"/>
      <c r="BV627" s="102"/>
      <c r="BW627" s="102"/>
      <c r="BX627" s="102"/>
      <c r="BY627" s="94"/>
      <c r="BZ627" s="94"/>
      <c r="CA627" s="94"/>
      <c r="CB627" s="94"/>
      <c r="CC627" s="94"/>
      <c r="CD627" s="94"/>
      <c r="CE627" s="94"/>
      <c r="CF627" s="94"/>
      <c r="CG627" s="94"/>
      <c r="CH627" s="94"/>
      <c r="CI627" s="94"/>
      <c r="CJ627" s="94"/>
      <c r="CK627" s="94"/>
      <c r="CL627" s="94"/>
      <c r="CM627" s="94"/>
      <c r="CN627" s="94" t="str">
        <f>"     " &amp; TEXT(AF627,"#0.00%") &amp; " " &amp; "Install Rack&amp;Beam&amp;Bracing&amp;Rail Base(~62th)" &amp; " " &amp; IF(Q627="","",TEXT(Q627,"M/D-")) &amp; IF(R627="","",TEXT(R627,"M/D")) &amp; " "</f>
        <v xml:space="preserve">     0.00% Install Rack&amp;Beam&amp;Bracing&amp;Rail Base(~62th)  </v>
      </c>
      <c r="CO627" s="94"/>
      <c r="CP627" s="94"/>
      <c r="CQ627" s="94"/>
      <c r="CR627" s="94"/>
      <c r="CS627" s="94"/>
      <c r="CT627" s="94"/>
      <c r="CU627" s="94"/>
      <c r="CV627" s="94"/>
      <c r="CW627" s="94"/>
      <c r="CX627" s="94"/>
      <c r="CY627" s="94"/>
      <c r="CZ627" s="94"/>
      <c r="DA627" s="94"/>
      <c r="DB627" s="94"/>
      <c r="DC627" s="94"/>
      <c r="DD627" s="94"/>
      <c r="DE627" s="94"/>
      <c r="DF627" s="94"/>
      <c r="DG627" s="94"/>
      <c r="DH627" s="94"/>
      <c r="DI627" s="94"/>
      <c r="DJ627" s="94"/>
      <c r="DK627" s="94"/>
      <c r="DL627" s="94"/>
      <c r="DM627" s="94"/>
      <c r="DN627" s="94"/>
      <c r="DO627" s="94"/>
      <c r="DP627" s="94"/>
      <c r="DQ627" s="94"/>
    </row>
    <row r="628" spans="1:121" ht="15" customHeight="1" outlineLevel="3" x14ac:dyDescent="0.3">
      <c r="A628" s="100"/>
      <c r="B628" s="100"/>
      <c r="C628" s="99">
        <v>4</v>
      </c>
      <c r="D628" s="98" t="s">
        <v>656</v>
      </c>
      <c r="H628" s="77" t="s">
        <v>546</v>
      </c>
      <c r="J628" s="94"/>
      <c r="O628" s="77" t="s">
        <v>640</v>
      </c>
      <c r="P628" s="105"/>
      <c r="Q628" s="97"/>
      <c r="R628" s="97"/>
      <c r="AB628" s="72">
        <v>1</v>
      </c>
      <c r="AE628" s="96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/>
      <c r="BO628" s="102"/>
      <c r="BP628" s="102"/>
      <c r="BQ628" s="102"/>
      <c r="BR628" s="102"/>
      <c r="BS628" s="102"/>
      <c r="BT628" s="102"/>
      <c r="BU628" s="102"/>
      <c r="BV628" s="102"/>
      <c r="BW628" s="102"/>
      <c r="BX628" s="102"/>
      <c r="BY628" s="94"/>
      <c r="BZ628" s="94"/>
      <c r="CA628" s="94"/>
      <c r="CB628" s="94"/>
      <c r="CC628" s="94"/>
      <c r="CD628" s="94"/>
      <c r="CE628" s="94"/>
      <c r="CF628" s="94"/>
      <c r="CG628" s="94"/>
      <c r="CH628" s="94"/>
      <c r="CI628" s="94"/>
      <c r="CJ628" s="94"/>
      <c r="CK628" s="94"/>
      <c r="CL628" s="94"/>
      <c r="CM628" s="94"/>
      <c r="CN628" s="94"/>
      <c r="CO628" s="94" t="str">
        <f>"  " &amp; TEXT(AF628,"#0.00%") &amp; " " &amp; "Install Deck Frame&amp;Hand Rail" &amp; " " &amp; IF(Q628="","",TEXT(Q628,"M/D-")) &amp; IF(R628="","",TEXT(R628,"M/D")) &amp; " "</f>
        <v xml:space="preserve">  0.00% Install Deck Frame&amp;Hand Rail  </v>
      </c>
      <c r="CP628" s="94"/>
      <c r="CQ628" s="94"/>
      <c r="CR628" s="94"/>
      <c r="CS628" s="94"/>
      <c r="CT628" s="94"/>
      <c r="CU628" s="94"/>
      <c r="CV628" s="94"/>
      <c r="CW628" s="94"/>
      <c r="CX628" s="94"/>
      <c r="CY628" s="94"/>
      <c r="CZ628" s="94"/>
      <c r="DA628" s="94"/>
      <c r="DB628" s="94"/>
      <c r="DC628" s="94"/>
      <c r="DD628" s="94"/>
      <c r="DE628" s="94"/>
      <c r="DF628" s="94"/>
      <c r="DG628" s="94"/>
      <c r="DH628" s="94"/>
      <c r="DI628" s="94"/>
      <c r="DJ628" s="94"/>
      <c r="DK628" s="94"/>
      <c r="DL628" s="94"/>
      <c r="DM628" s="94"/>
      <c r="DN628" s="94"/>
      <c r="DO628" s="94"/>
      <c r="DP628" s="94"/>
      <c r="DQ628" s="94"/>
    </row>
    <row r="629" spans="1:121" ht="15" customHeight="1" outlineLevel="3" x14ac:dyDescent="0.3">
      <c r="A629" s="100"/>
      <c r="B629" s="100"/>
      <c r="C629" s="99">
        <v>4</v>
      </c>
      <c r="D629" s="98" t="s">
        <v>655</v>
      </c>
      <c r="H629" s="77" t="s">
        <v>654</v>
      </c>
      <c r="J629" s="94"/>
      <c r="O629" s="77" t="s">
        <v>640</v>
      </c>
      <c r="P629" s="105"/>
      <c r="Q629" s="97"/>
      <c r="R629" s="97"/>
      <c r="AB629" s="72">
        <v>1</v>
      </c>
      <c r="AE629" s="96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94"/>
      <c r="BZ629" s="94"/>
      <c r="CA629" s="94"/>
      <c r="CB629" s="94"/>
      <c r="CC629" s="94"/>
      <c r="CD629" s="94"/>
      <c r="CE629" s="94"/>
      <c r="CF629" s="94"/>
      <c r="CG629" s="94"/>
      <c r="CH629" s="94"/>
      <c r="CI629" s="94"/>
      <c r="CJ629" s="94"/>
      <c r="CK629" s="94"/>
      <c r="CL629" s="94"/>
      <c r="CM629" s="94"/>
      <c r="CN629" s="94"/>
      <c r="CO629" s="94" t="str">
        <f>"   " &amp; TEXT(AF629,"#0.00%") &amp; " " &amp; "Install Top Cover, Rail Walk-Way, Top Maintenance Walk-Way" &amp; " " &amp; IF(Q629="","",TEXT(Q629,"M/D-")) &amp; IF(R629="","",TEXT(R629,"M/D")) &amp; " "</f>
        <v xml:space="preserve">   0.00% Install Top Cover, Rail Walk-Way, Top Maintenance Walk-Way  </v>
      </c>
      <c r="CP629" s="94"/>
      <c r="CQ629" s="94"/>
      <c r="CR629" s="94"/>
      <c r="CS629" s="94"/>
      <c r="CT629" s="94"/>
      <c r="CU629" s="94"/>
      <c r="CV629" s="94"/>
      <c r="CW629" s="94"/>
      <c r="CX629" s="94"/>
      <c r="CY629" s="94"/>
      <c r="CZ629" s="94"/>
      <c r="DA629" s="94"/>
      <c r="DB629" s="94"/>
      <c r="DC629" s="94"/>
      <c r="DD629" s="94"/>
      <c r="DE629" s="94"/>
      <c r="DF629" s="94"/>
      <c r="DG629" s="94"/>
      <c r="DH629" s="94"/>
      <c r="DI629" s="94"/>
      <c r="DJ629" s="94"/>
      <c r="DK629" s="94"/>
      <c r="DL629" s="94"/>
      <c r="DM629" s="94"/>
      <c r="DN629" s="94"/>
      <c r="DO629" s="94"/>
      <c r="DP629" s="94"/>
      <c r="DQ629" s="94"/>
    </row>
    <row r="630" spans="1:121" ht="15" customHeight="1" outlineLevel="3" x14ac:dyDescent="0.3">
      <c r="A630" s="100"/>
      <c r="B630" s="100"/>
      <c r="C630" s="99">
        <v>4</v>
      </c>
      <c r="D630" s="98" t="s">
        <v>653</v>
      </c>
      <c r="H630" s="77" t="s">
        <v>652</v>
      </c>
      <c r="J630" s="94"/>
      <c r="O630" s="77" t="s">
        <v>649</v>
      </c>
      <c r="P630" s="105"/>
      <c r="Q630" s="97"/>
      <c r="R630" s="97"/>
      <c r="AB630" s="72">
        <v>1</v>
      </c>
      <c r="AE630" s="96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94"/>
      <c r="BZ630" s="94"/>
      <c r="CA630" s="94"/>
      <c r="CB630" s="94"/>
      <c r="CC630" s="94"/>
      <c r="CD630" s="94"/>
      <c r="CE630" s="94"/>
      <c r="CF630" s="94"/>
      <c r="CG630" s="94"/>
      <c r="CH630" s="94"/>
      <c r="CI630" s="94"/>
      <c r="CJ630" s="94"/>
      <c r="CK630" s="94"/>
      <c r="CL630" s="94"/>
      <c r="CM630" s="94"/>
      <c r="CN630" s="94"/>
      <c r="CO630" s="94" t="str">
        <f>"      " &amp; TEXT(AF630,"#0.00%") &amp; " " &amp; "Install MSC Accessories" &amp; " " &amp; IF(Q630="","",TEXT(Q630,"M/D-")) &amp; IF(R630="","",TEXT(R630,"M/D")) &amp; " "</f>
        <v xml:space="preserve">      0.00% Install MSC Accessories  </v>
      </c>
      <c r="CP630" s="94"/>
      <c r="CQ630" s="94"/>
      <c r="CR630" s="94"/>
      <c r="CS630" s="94"/>
      <c r="CT630" s="94"/>
      <c r="CU630" s="94"/>
      <c r="CV630" s="94"/>
      <c r="CW630" s="94"/>
      <c r="CX630" s="94"/>
      <c r="CY630" s="94"/>
      <c r="CZ630" s="94"/>
      <c r="DA630" s="94"/>
      <c r="DB630" s="94"/>
      <c r="DC630" s="94"/>
      <c r="DD630" s="94"/>
      <c r="DE630" s="94"/>
      <c r="DF630" s="94"/>
      <c r="DG630" s="94"/>
      <c r="DH630" s="94"/>
      <c r="DI630" s="94"/>
      <c r="DJ630" s="94"/>
      <c r="DK630" s="94"/>
      <c r="DL630" s="94"/>
      <c r="DM630" s="94"/>
      <c r="DN630" s="94"/>
      <c r="DO630" s="94"/>
      <c r="DP630" s="94"/>
      <c r="DQ630" s="94"/>
    </row>
    <row r="631" spans="1:121" ht="15" customHeight="1" outlineLevel="3" x14ac:dyDescent="0.3">
      <c r="A631" s="100"/>
      <c r="B631" s="100"/>
      <c r="C631" s="99">
        <v>4</v>
      </c>
      <c r="D631" s="98" t="s">
        <v>651</v>
      </c>
      <c r="H631" s="77" t="s">
        <v>650</v>
      </c>
      <c r="J631" s="94"/>
      <c r="O631" s="77" t="s">
        <v>649</v>
      </c>
      <c r="P631" s="105"/>
      <c r="Q631" s="97"/>
      <c r="R631" s="97"/>
      <c r="AB631" s="72">
        <v>1</v>
      </c>
      <c r="AE631" s="96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94"/>
      <c r="BZ631" s="94"/>
      <c r="CA631" s="94"/>
      <c r="CB631" s="94"/>
      <c r="CC631" s="94"/>
      <c r="CD631" s="94"/>
      <c r="CE631" s="94"/>
      <c r="CF631" s="94"/>
      <c r="CG631" s="94"/>
      <c r="CH631" s="94"/>
      <c r="CI631" s="94"/>
      <c r="CJ631" s="94"/>
      <c r="CK631" s="94"/>
      <c r="CL631" s="94"/>
      <c r="CM631" s="94"/>
      <c r="CN631" s="94"/>
      <c r="CO631" s="94"/>
      <c r="CP631" s="94" t="str">
        <f>"     " &amp; TEXT(AF631,"#0.00%") &amp; " " &amp; "Check MSC rail straightness &amp; rail/load arm level" &amp; " " &amp; IF(Q631="","",TEXT(Q631,"M/D-")) &amp; IF(R631="","",TEXT(R631,"M/D")) &amp; " "</f>
        <v xml:space="preserve">     0.00% Check MSC rail straightness &amp; rail/load arm level  </v>
      </c>
      <c r="CQ631" s="94"/>
      <c r="CR631" s="94"/>
      <c r="CS631" s="94"/>
      <c r="CT631" s="94"/>
      <c r="CU631" s="94"/>
      <c r="CV631" s="94"/>
      <c r="CW631" s="94"/>
      <c r="CX631" s="94"/>
      <c r="CY631" s="94"/>
      <c r="CZ631" s="94"/>
      <c r="DA631" s="94"/>
      <c r="DB631" s="94"/>
      <c r="DC631" s="94"/>
      <c r="DD631" s="94"/>
      <c r="DE631" s="94"/>
      <c r="DF631" s="94"/>
      <c r="DG631" s="94"/>
      <c r="DH631" s="94"/>
      <c r="DI631" s="94"/>
      <c r="DJ631" s="94"/>
      <c r="DK631" s="94"/>
      <c r="DL631" s="94"/>
      <c r="DM631" s="94"/>
      <c r="DN631" s="94"/>
      <c r="DO631" s="94"/>
      <c r="DP631" s="94"/>
      <c r="DQ631" s="94"/>
    </row>
    <row r="632" spans="1:121" ht="15" customHeight="1" outlineLevel="3" x14ac:dyDescent="0.3">
      <c r="A632" s="100"/>
      <c r="B632" s="100"/>
      <c r="C632" s="99">
        <v>4</v>
      </c>
      <c r="D632" s="98" t="s">
        <v>648</v>
      </c>
      <c r="H632" s="77" t="s">
        <v>647</v>
      </c>
      <c r="J632" s="94"/>
      <c r="O632" s="77" t="s">
        <v>646</v>
      </c>
      <c r="P632" s="105"/>
      <c r="Q632" s="97"/>
      <c r="R632" s="97"/>
      <c r="AB632" s="72">
        <v>1</v>
      </c>
      <c r="AE632" s="96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94"/>
      <c r="BZ632" s="94"/>
      <c r="CA632" s="94"/>
      <c r="CB632" s="94"/>
      <c r="CC632" s="94"/>
      <c r="CD632" s="94"/>
      <c r="CE632" s="94"/>
      <c r="CF632" s="94"/>
      <c r="CG632" s="94"/>
      <c r="CH632" s="94"/>
      <c r="CI632" s="94"/>
      <c r="CJ632" s="94"/>
      <c r="CK632" s="94"/>
      <c r="CL632" s="94"/>
      <c r="CM632" s="94"/>
      <c r="CN632" s="94"/>
      <c r="CO632" s="94"/>
      <c r="CP632" s="94" t="str">
        <f>"    " &amp; TEXT(AF632,"#0.00%") &amp; " " &amp; "Install Tower Stair" &amp; " " &amp; IF(Q632="","",TEXT(Q632,"M/D-")) &amp; IF(R632="","",TEXT(R632,"M/D")) &amp; " "</f>
        <v xml:space="preserve">    0.00% Install Tower Stair  </v>
      </c>
      <c r="CQ632" s="94"/>
      <c r="CR632" s="94"/>
      <c r="CS632" s="94"/>
      <c r="CT632" s="94"/>
      <c r="CU632" s="94"/>
      <c r="CV632" s="94"/>
      <c r="CW632" s="94"/>
      <c r="CX632" s="94"/>
      <c r="CY632" s="94"/>
      <c r="CZ632" s="94"/>
      <c r="DA632" s="94"/>
      <c r="DB632" s="94"/>
      <c r="DC632" s="94"/>
      <c r="DD632" s="94"/>
      <c r="DE632" s="94"/>
      <c r="DF632" s="94"/>
      <c r="DG632" s="94"/>
      <c r="DH632" s="94"/>
      <c r="DI632" s="94"/>
      <c r="DJ632" s="94"/>
      <c r="DK632" s="94"/>
      <c r="DL632" s="94"/>
      <c r="DM632" s="94"/>
      <c r="DN632" s="94"/>
      <c r="DO632" s="94"/>
      <c r="DP632" s="94"/>
      <c r="DQ632" s="94"/>
    </row>
    <row r="633" spans="1:121" ht="15" customHeight="1" outlineLevel="3" x14ac:dyDescent="0.3">
      <c r="A633" s="100"/>
      <c r="B633" s="100"/>
      <c r="C633" s="99">
        <v>4</v>
      </c>
      <c r="D633" s="98" t="s">
        <v>645</v>
      </c>
      <c r="H633" s="77" t="s">
        <v>644</v>
      </c>
      <c r="J633" s="94"/>
      <c r="O633" s="77" t="s">
        <v>643</v>
      </c>
      <c r="P633" s="105"/>
      <c r="Q633" s="97"/>
      <c r="R633" s="97"/>
      <c r="AB633" s="72">
        <v>1</v>
      </c>
      <c r="AE633" s="96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94"/>
      <c r="BZ633" s="94"/>
      <c r="CA633" s="94"/>
      <c r="CB633" s="94"/>
      <c r="CC633" s="94"/>
      <c r="CD633" s="94"/>
      <c r="CE633" s="94"/>
      <c r="CF633" s="94"/>
      <c r="CG633" s="94"/>
      <c r="CH633" s="94"/>
      <c r="CI633" s="94"/>
      <c r="CJ633" s="94"/>
      <c r="CK633" s="94"/>
      <c r="CL633" s="94"/>
      <c r="CM633" s="94"/>
      <c r="CN633" s="94"/>
      <c r="CO633" s="94"/>
      <c r="CP633" s="94" t="str">
        <f>"   " &amp; TEXT(AF633,"#0.00%") &amp; " " &amp; "Install Smoke Detector" &amp; " " &amp; IF(Q633="","",TEXT(Q633,"M/D-")) &amp; IF(R633="","",TEXT(R633,"M/D")) &amp; " "</f>
        <v xml:space="preserve">   0.00% Install Smoke Detector  </v>
      </c>
      <c r="CQ633" s="94"/>
      <c r="CR633" s="94"/>
      <c r="CS633" s="94"/>
      <c r="CT633" s="94"/>
      <c r="CU633" s="94"/>
      <c r="CV633" s="94"/>
      <c r="CW633" s="94"/>
      <c r="CX633" s="94"/>
      <c r="CY633" s="94"/>
      <c r="CZ633" s="94"/>
      <c r="DA633" s="94"/>
      <c r="DB633" s="94"/>
      <c r="DC633" s="94"/>
      <c r="DD633" s="94"/>
      <c r="DE633" s="94"/>
      <c r="DF633" s="94"/>
      <c r="DG633" s="94"/>
      <c r="DH633" s="94"/>
      <c r="DI633" s="94"/>
      <c r="DJ633" s="94"/>
      <c r="DK633" s="94"/>
      <c r="DL633" s="94"/>
      <c r="DM633" s="94"/>
      <c r="DN633" s="94"/>
      <c r="DO633" s="94"/>
      <c r="DP633" s="94"/>
      <c r="DQ633" s="94"/>
    </row>
    <row r="634" spans="1:121" ht="15" customHeight="1" outlineLevel="3" x14ac:dyDescent="0.3">
      <c r="A634" s="100"/>
      <c r="B634" s="100"/>
      <c r="C634" s="99">
        <v>4</v>
      </c>
      <c r="D634" s="98" t="s">
        <v>642</v>
      </c>
      <c r="H634" s="77" t="s">
        <v>641</v>
      </c>
      <c r="J634" s="94"/>
      <c r="O634" s="77" t="s">
        <v>640</v>
      </c>
      <c r="P634" s="105"/>
      <c r="Q634" s="97"/>
      <c r="R634" s="97"/>
      <c r="AB634" s="72">
        <v>1</v>
      </c>
      <c r="AE634" s="96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94"/>
      <c r="BZ634" s="94"/>
      <c r="CA634" s="94"/>
      <c r="CB634" s="94"/>
      <c r="CC634" s="94"/>
      <c r="CD634" s="94"/>
      <c r="CE634" s="94"/>
      <c r="CF634" s="94"/>
      <c r="CG634" s="94"/>
      <c r="CH634" s="94"/>
      <c r="CI634" s="94"/>
      <c r="CJ634" s="94"/>
      <c r="CK634" s="94"/>
      <c r="CL634" s="94"/>
      <c r="CM634" s="94"/>
      <c r="CN634" s="94"/>
      <c r="CO634" s="94"/>
      <c r="CP634" s="94"/>
      <c r="CQ634" s="94" t="str">
        <f>"  " &amp; TEXT(AF634,"#0.00%") &amp; " " &amp; "install fence" &amp; " " &amp; IF(Q634="","",TEXT(Q634,"M/D-")) &amp; IF(R634="","",TEXT(R634,"M/D")) &amp; " "</f>
        <v xml:space="preserve">  0.00% install fence  </v>
      </c>
      <c r="CR634" s="94"/>
      <c r="CS634" s="94"/>
      <c r="CT634" s="94"/>
      <c r="CU634" s="94"/>
      <c r="CV634" s="94"/>
      <c r="CW634" s="94"/>
      <c r="CX634" s="94"/>
      <c r="CY634" s="94"/>
      <c r="CZ634" s="94"/>
      <c r="DA634" s="94"/>
      <c r="DB634" s="94"/>
      <c r="DC634" s="94"/>
      <c r="DD634" s="94"/>
      <c r="DE634" s="94"/>
      <c r="DF634" s="94"/>
      <c r="DG634" s="94"/>
      <c r="DH634" s="94"/>
      <c r="DI634" s="94"/>
      <c r="DJ634" s="94"/>
      <c r="DK634" s="94"/>
      <c r="DL634" s="94"/>
      <c r="DM634" s="94"/>
      <c r="DN634" s="94"/>
      <c r="DO634" s="94"/>
      <c r="DP634" s="94"/>
      <c r="DQ634" s="94"/>
    </row>
    <row r="635" spans="1:121" ht="15" customHeight="1" outlineLevel="3" x14ac:dyDescent="0.3">
      <c r="A635" s="100"/>
      <c r="B635" s="100"/>
      <c r="C635" s="99">
        <v>4</v>
      </c>
      <c r="D635" s="98" t="s">
        <v>639</v>
      </c>
      <c r="H635" s="77" t="s">
        <v>638</v>
      </c>
      <c r="J635" s="94"/>
      <c r="O635" s="77" t="s">
        <v>515</v>
      </c>
      <c r="P635" s="105"/>
      <c r="Q635" s="97"/>
      <c r="R635" s="97"/>
      <c r="AB635" s="72">
        <v>1</v>
      </c>
      <c r="AE635" s="96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94"/>
      <c r="BZ635" s="94"/>
      <c r="CA635" s="94"/>
      <c r="CB635" s="94"/>
      <c r="CC635" s="94"/>
      <c r="CD635" s="94"/>
      <c r="CE635" s="94"/>
      <c r="CF635" s="94"/>
      <c r="CG635" s="94"/>
      <c r="CH635" s="94"/>
      <c r="CI635" s="94"/>
      <c r="CJ635" s="94"/>
      <c r="CK635" s="94"/>
      <c r="CL635" s="94"/>
      <c r="CM635" s="94"/>
      <c r="CN635" s="94"/>
      <c r="CO635" s="94"/>
      <c r="CP635" s="94"/>
      <c r="CQ635" s="94" t="str">
        <f>"  " &amp; TEXT(AF635,"#0.00%") &amp; " " &amp; "Grouting &amp; Cleaning" &amp; " " &amp; IF(Q635="","",TEXT(Q635,"M/D-")) &amp; IF(R635="","",TEXT(R635,"M/D")) &amp; " "</f>
        <v xml:space="preserve">  0.00% Grouting &amp; Cleaning  </v>
      </c>
      <c r="CR635" s="94"/>
      <c r="CS635" s="94"/>
      <c r="CT635" s="94"/>
      <c r="CU635" s="94"/>
      <c r="CV635" s="94"/>
      <c r="CW635" s="94"/>
      <c r="CX635" s="94"/>
      <c r="CY635" s="94"/>
      <c r="CZ635" s="94"/>
      <c r="DA635" s="94"/>
      <c r="DB635" s="94"/>
      <c r="DC635" s="94"/>
      <c r="DD635" s="94"/>
      <c r="DE635" s="94"/>
      <c r="DF635" s="94"/>
      <c r="DG635" s="94"/>
      <c r="DH635" s="94"/>
      <c r="DI635" s="94"/>
      <c r="DJ635" s="94"/>
      <c r="DK635" s="94"/>
      <c r="DL635" s="94"/>
      <c r="DM635" s="94"/>
      <c r="DN635" s="94"/>
      <c r="DO635" s="94"/>
      <c r="DP635" s="94"/>
      <c r="DQ635" s="94"/>
    </row>
    <row r="636" spans="1:121" ht="15" customHeight="1" outlineLevel="2" x14ac:dyDescent="0.3">
      <c r="A636" s="100"/>
      <c r="B636" s="100" t="s">
        <v>298</v>
      </c>
      <c r="C636" s="99">
        <v>3</v>
      </c>
      <c r="D636" s="98" t="s">
        <v>637</v>
      </c>
      <c r="G636" s="77" t="s">
        <v>368</v>
      </c>
      <c r="O636" s="94" t="s">
        <v>367</v>
      </c>
      <c r="Q636" s="97"/>
      <c r="R636" s="97"/>
      <c r="AE636" s="96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94"/>
      <c r="BZ636" s="94"/>
      <c r="CA636" s="94"/>
      <c r="CB636" s="94"/>
      <c r="CC636" s="94"/>
      <c r="CD636" s="94"/>
      <c r="CE636" s="94"/>
      <c r="CF636" s="94"/>
      <c r="CG636" s="94"/>
      <c r="CH636" s="94"/>
      <c r="CI636" s="94"/>
      <c r="CJ636" s="94"/>
      <c r="CK636" s="94"/>
      <c r="CL636" s="94"/>
      <c r="CM636" s="94" t="str">
        <f>"    " &amp; TEXT(AF636,"#0.00%") &amp; " " &amp; "Assembly" &amp; " " &amp; IF(Q636="","",TEXT(Q636,"M/D-")) &amp; IF(R636="","",TEXT(R636,"M/D")) &amp; " "</f>
        <v xml:space="preserve">    0.00% Assembly  </v>
      </c>
      <c r="CN636" s="94"/>
      <c r="CO636" s="94"/>
      <c r="CP636" s="94"/>
      <c r="CQ636" s="94"/>
      <c r="CR636" s="94"/>
      <c r="CS636" s="94"/>
      <c r="CT636" s="94"/>
      <c r="CU636" s="94"/>
      <c r="CV636" s="94"/>
      <c r="CW636" s="94"/>
      <c r="CX636" s="94"/>
      <c r="CY636" s="94"/>
      <c r="CZ636" s="94"/>
      <c r="DA636" s="94"/>
      <c r="DB636" s="94"/>
      <c r="DC636" s="94"/>
      <c r="DD636" s="94"/>
      <c r="DE636" s="94"/>
      <c r="DF636" s="94"/>
      <c r="DG636" s="94"/>
      <c r="DH636" s="94"/>
      <c r="DI636" s="94"/>
      <c r="DJ636" s="94"/>
      <c r="DK636" s="94"/>
      <c r="DL636" s="94"/>
      <c r="DM636" s="94"/>
      <c r="DN636" s="94"/>
      <c r="DO636" s="94"/>
      <c r="DP636" s="94"/>
      <c r="DQ636" s="94"/>
    </row>
    <row r="637" spans="1:121" ht="15" customHeight="1" outlineLevel="3" x14ac:dyDescent="0.3">
      <c r="A637" s="100"/>
      <c r="B637" s="100"/>
      <c r="C637" s="99">
        <v>4</v>
      </c>
      <c r="D637" s="98" t="s">
        <v>636</v>
      </c>
      <c r="H637" s="77" t="s">
        <v>534</v>
      </c>
      <c r="O637" s="94" t="s">
        <v>506</v>
      </c>
      <c r="Q637" s="97"/>
      <c r="R637" s="97"/>
      <c r="AB637" s="72">
        <v>1</v>
      </c>
      <c r="AE637" s="96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94"/>
      <c r="BZ637" s="94"/>
      <c r="CA637" s="94"/>
      <c r="CB637" s="94"/>
      <c r="CC637" s="94"/>
      <c r="CD637" s="94"/>
      <c r="CE637" s="94"/>
      <c r="CF637" s="94"/>
      <c r="CG637" s="94"/>
      <c r="CH637" s="94" t="str">
        <f>"  " &amp; TEXT(AF637,"#0.00%") &amp; " " &amp; "Line Marking" &amp; " " &amp; IF(Q637="","",TEXT(Q637,"M/D-")) &amp; IF(R637="","",TEXT(R637,"M/D")) &amp; " "</f>
        <v xml:space="preserve">  0.00% Line Marking  </v>
      </c>
      <c r="CI637" s="94"/>
      <c r="CJ637" s="94"/>
      <c r="CK637" s="94"/>
      <c r="CL637" s="94"/>
      <c r="CM637" s="94"/>
      <c r="CN637" s="94"/>
      <c r="CO637" s="94"/>
      <c r="CP637" s="94"/>
      <c r="CQ637" s="94"/>
      <c r="CR637" s="94"/>
      <c r="CS637" s="94"/>
      <c r="CT637" s="94"/>
      <c r="CU637" s="94"/>
      <c r="CV637" s="94"/>
      <c r="CW637" s="94"/>
      <c r="CX637" s="94"/>
      <c r="CY637" s="94"/>
      <c r="CZ637" s="94"/>
      <c r="DA637" s="94"/>
      <c r="DB637" s="94"/>
      <c r="DC637" s="94"/>
      <c r="DD637" s="94"/>
      <c r="DE637" s="94"/>
      <c r="DF637" s="94"/>
      <c r="DG637" s="94"/>
      <c r="DH637" s="94"/>
      <c r="DI637" s="94"/>
      <c r="DJ637" s="94"/>
      <c r="DK637" s="94"/>
      <c r="DL637" s="94"/>
      <c r="DM637" s="94"/>
      <c r="DN637" s="94"/>
      <c r="DO637" s="94"/>
      <c r="DP637" s="94"/>
      <c r="DQ637" s="94"/>
    </row>
    <row r="638" spans="1:121" ht="15" customHeight="1" outlineLevel="3" x14ac:dyDescent="0.3">
      <c r="A638" s="100"/>
      <c r="B638" s="100"/>
      <c r="C638" s="99">
        <v>4</v>
      </c>
      <c r="D638" s="98" t="s">
        <v>635</v>
      </c>
      <c r="H638" s="77" t="s">
        <v>532</v>
      </c>
      <c r="O638" s="94" t="s">
        <v>506</v>
      </c>
      <c r="Q638" s="97"/>
      <c r="R638" s="97"/>
      <c r="AB638" s="72">
        <v>1</v>
      </c>
      <c r="AE638" s="96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/>
      <c r="BO638" s="102"/>
      <c r="BP638" s="102"/>
      <c r="BQ638" s="102"/>
      <c r="BR638" s="102"/>
      <c r="BS638" s="102"/>
      <c r="BT638" s="102"/>
      <c r="BU638" s="102"/>
      <c r="BV638" s="102"/>
      <c r="BW638" s="102"/>
      <c r="BX638" s="102"/>
      <c r="BY638" s="94"/>
      <c r="BZ638" s="94"/>
      <c r="CA638" s="94"/>
      <c r="CB638" s="94"/>
      <c r="CC638" s="94"/>
      <c r="CD638" s="94"/>
      <c r="CE638" s="94"/>
      <c r="CF638" s="94"/>
      <c r="CG638" s="94"/>
      <c r="CH638" s="94" t="str">
        <f>"  " &amp; TEXT(AF638,"#0.00%") &amp; " " &amp; "Check Line Marking" &amp; " " &amp; IF(Q638="","",TEXT(Q638,"M/D-")) &amp; IF(R638="","",TEXT(R638,"M/D")) &amp; " "</f>
        <v xml:space="preserve">  0.00% Check Line Marking  </v>
      </c>
      <c r="CI638" s="94"/>
      <c r="CJ638" s="94"/>
      <c r="CK638" s="94"/>
      <c r="CL638" s="94"/>
      <c r="CM638" s="94"/>
      <c r="CN638" s="94"/>
      <c r="CO638" s="94"/>
      <c r="CP638" s="94"/>
      <c r="CQ638" s="94"/>
      <c r="CR638" s="94"/>
      <c r="CS638" s="94"/>
      <c r="CT638" s="94"/>
      <c r="CU638" s="94"/>
      <c r="CV638" s="94"/>
      <c r="CW638" s="94"/>
      <c r="CX638" s="94"/>
      <c r="CY638" s="94"/>
      <c r="CZ638" s="94"/>
      <c r="DA638" s="94"/>
      <c r="DB638" s="94"/>
      <c r="DC638" s="94"/>
      <c r="DD638" s="94"/>
      <c r="DE638" s="94"/>
      <c r="DF638" s="94"/>
      <c r="DG638" s="94"/>
      <c r="DH638" s="94"/>
      <c r="DI638" s="94"/>
      <c r="DJ638" s="94"/>
      <c r="DK638" s="94"/>
      <c r="DL638" s="94"/>
      <c r="DM638" s="94"/>
      <c r="DN638" s="94"/>
      <c r="DO638" s="94"/>
      <c r="DP638" s="94"/>
      <c r="DQ638" s="94"/>
    </row>
    <row r="639" spans="1:121" ht="15" customHeight="1" outlineLevel="3" x14ac:dyDescent="0.3">
      <c r="A639" s="100"/>
      <c r="B639" s="100"/>
      <c r="C639" s="99">
        <v>4</v>
      </c>
      <c r="D639" s="98" t="s">
        <v>634</v>
      </c>
      <c r="H639" s="77" t="s">
        <v>589</v>
      </c>
      <c r="O639" s="94" t="s">
        <v>506</v>
      </c>
      <c r="Q639" s="97"/>
      <c r="R639" s="97"/>
      <c r="AB639" s="72">
        <v>1</v>
      </c>
      <c r="AE639" s="96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/>
      <c r="BO639" s="102"/>
      <c r="BP639" s="102"/>
      <c r="BQ639" s="102"/>
      <c r="BR639" s="102"/>
      <c r="BS639" s="102"/>
      <c r="BT639" s="102"/>
      <c r="BU639" s="102"/>
      <c r="BV639" s="102"/>
      <c r="BW639" s="102"/>
      <c r="BX639" s="102"/>
      <c r="BY639" s="94"/>
      <c r="BZ639" s="94"/>
      <c r="CA639" s="94"/>
      <c r="CB639" s="94"/>
      <c r="CC639" s="94"/>
      <c r="CD639" s="94"/>
      <c r="CE639" s="94"/>
      <c r="CF639" s="94"/>
      <c r="CG639" s="94"/>
      <c r="CH639" s="94" t="str">
        <f>"     " &amp; TEXT(AF639,"#0.00%") &amp; " " &amp; "Drilling Anchor Hole" &amp; " " &amp; IF(Q639="","",TEXT(Q639,"M/D-")) &amp; IF(R639="","",TEXT(R639,"M/D")) &amp; " "</f>
        <v xml:space="preserve">     0.00% Drilling Anchor Hole  </v>
      </c>
      <c r="CI639" s="94"/>
      <c r="CJ639" s="94"/>
      <c r="CK639" s="94"/>
      <c r="CL639" s="94"/>
      <c r="CM639" s="94"/>
      <c r="CN639" s="94"/>
      <c r="CO639" s="94"/>
      <c r="CP639" s="94"/>
      <c r="CQ639" s="94"/>
      <c r="CR639" s="94"/>
      <c r="CS639" s="94"/>
      <c r="CT639" s="94"/>
      <c r="CU639" s="94"/>
      <c r="CV639" s="94"/>
      <c r="CW639" s="94"/>
      <c r="CX639" s="94"/>
      <c r="CY639" s="94"/>
      <c r="CZ639" s="94"/>
      <c r="DA639" s="94"/>
      <c r="DB639" s="94"/>
      <c r="DC639" s="94"/>
      <c r="DD639" s="94"/>
      <c r="DE639" s="94"/>
      <c r="DF639" s="94"/>
      <c r="DG639" s="94"/>
      <c r="DH639" s="94"/>
      <c r="DI639" s="94"/>
      <c r="DJ639" s="94"/>
      <c r="DK639" s="94"/>
      <c r="DL639" s="94"/>
      <c r="DM639" s="94"/>
      <c r="DN639" s="94"/>
      <c r="DO639" s="94"/>
      <c r="DP639" s="94"/>
      <c r="DQ639" s="94"/>
    </row>
    <row r="640" spans="1:121" ht="15" customHeight="1" outlineLevel="3" x14ac:dyDescent="0.3">
      <c r="A640" s="100"/>
      <c r="B640" s="100"/>
      <c r="C640" s="99">
        <v>4</v>
      </c>
      <c r="D640" s="98" t="s">
        <v>633</v>
      </c>
      <c r="H640" s="77" t="s">
        <v>530</v>
      </c>
      <c r="O640" s="94" t="s">
        <v>506</v>
      </c>
      <c r="Q640" s="97"/>
      <c r="R640" s="97"/>
      <c r="AB640" s="72">
        <v>1</v>
      </c>
      <c r="AE640" s="96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94"/>
      <c r="BZ640" s="94"/>
      <c r="CA640" s="94"/>
      <c r="CB640" s="94"/>
      <c r="CC640" s="94"/>
      <c r="CD640" s="94"/>
      <c r="CE640" s="94"/>
      <c r="CF640" s="94"/>
      <c r="CG640" s="94"/>
      <c r="CH640" s="94"/>
      <c r="CI640" s="94"/>
      <c r="CJ640" s="94"/>
      <c r="CK640" s="94"/>
      <c r="CL640" s="94" t="str">
        <f>"  " &amp; TEXT(AF640,"#0.00%") &amp; " " &amp; "Move In" &amp; " " &amp; IF(Q640="","",TEXT(Q640,"M/D-")) &amp; IF(R640="","",TEXT(R640,"M/D")) &amp; " "</f>
        <v xml:space="preserve">  0.00% Move In  </v>
      </c>
      <c r="CM640" s="94"/>
      <c r="CN640" s="94"/>
      <c r="CO640" s="94"/>
      <c r="CP640" s="94"/>
      <c r="CQ640" s="94"/>
      <c r="CR640" s="94"/>
      <c r="CS640" s="94"/>
      <c r="CT640" s="94"/>
      <c r="CU640" s="94"/>
      <c r="CV640" s="94"/>
      <c r="CW640" s="94"/>
      <c r="CX640" s="94"/>
      <c r="CY640" s="94"/>
      <c r="CZ640" s="94"/>
      <c r="DA640" s="94"/>
      <c r="DB640" s="94"/>
      <c r="DC640" s="94"/>
      <c r="DD640" s="94"/>
      <c r="DE640" s="94"/>
      <c r="DF640" s="94"/>
      <c r="DG640" s="94"/>
      <c r="DH640" s="94"/>
      <c r="DI640" s="94"/>
      <c r="DJ640" s="94"/>
      <c r="DK640" s="94"/>
      <c r="DL640" s="94"/>
      <c r="DM640" s="94"/>
      <c r="DN640" s="94"/>
      <c r="DO640" s="94"/>
      <c r="DP640" s="94"/>
      <c r="DQ640" s="94"/>
    </row>
    <row r="641" spans="1:121" ht="15" customHeight="1" outlineLevel="3" x14ac:dyDescent="0.3">
      <c r="A641" s="100"/>
      <c r="B641" s="100"/>
      <c r="C641" s="99">
        <v>4</v>
      </c>
      <c r="D641" s="98" t="s">
        <v>632</v>
      </c>
      <c r="H641" s="77" t="s">
        <v>550</v>
      </c>
      <c r="O641" s="94" t="s">
        <v>515</v>
      </c>
      <c r="Q641" s="97"/>
      <c r="R641" s="97"/>
      <c r="AB641" s="72">
        <v>1</v>
      </c>
      <c r="AE641" s="96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94"/>
      <c r="BZ641" s="94"/>
      <c r="CA641" s="94"/>
      <c r="CB641" s="94"/>
      <c r="CC641" s="94"/>
      <c r="CD641" s="94"/>
      <c r="CE641" s="94"/>
      <c r="CF641" s="94"/>
      <c r="CG641" s="94"/>
      <c r="CH641" s="94" t="str">
        <f>"    " &amp; TEXT(AF641,"#0.00%") &amp; " " &amp; "Install Anchor" &amp; " " &amp; IF(Q641="","",TEXT(Q641,"M/D-")) &amp; IF(R641="","",TEXT(R641,"M/D")) &amp; " "</f>
        <v xml:space="preserve">    0.00% Install Anchor  </v>
      </c>
      <c r="CI641" s="94"/>
      <c r="CJ641" s="94"/>
      <c r="CK641" s="94"/>
      <c r="CL641" s="94"/>
      <c r="CM641" s="94"/>
      <c r="CN641" s="94"/>
      <c r="CO641" s="94"/>
      <c r="CP641" s="94"/>
      <c r="CQ641" s="94"/>
      <c r="CR641" s="94"/>
      <c r="CS641" s="94"/>
      <c r="CT641" s="94"/>
      <c r="CU641" s="94"/>
      <c r="CV641" s="94"/>
      <c r="CW641" s="94"/>
      <c r="CX641" s="94"/>
      <c r="CY641" s="94"/>
      <c r="CZ641" s="94"/>
      <c r="DA641" s="94"/>
      <c r="DB641" s="94"/>
      <c r="DC641" s="94"/>
      <c r="DD641" s="94"/>
      <c r="DE641" s="94"/>
      <c r="DF641" s="94"/>
      <c r="DG641" s="94"/>
      <c r="DH641" s="94"/>
      <c r="DI641" s="94"/>
      <c r="DJ641" s="94"/>
      <c r="DK641" s="94"/>
      <c r="DL641" s="94"/>
      <c r="DM641" s="94"/>
      <c r="DN641" s="94"/>
      <c r="DO641" s="94"/>
      <c r="DP641" s="94"/>
      <c r="DQ641" s="94"/>
    </row>
    <row r="642" spans="1:121" ht="15" customHeight="1" outlineLevel="3" x14ac:dyDescent="0.3">
      <c r="A642" s="100"/>
      <c r="B642" s="100"/>
      <c r="C642" s="99">
        <v>4</v>
      </c>
      <c r="D642" s="98" t="s">
        <v>631</v>
      </c>
      <c r="H642" s="77" t="s">
        <v>548</v>
      </c>
      <c r="O642" s="94" t="s">
        <v>515</v>
      </c>
      <c r="Q642" s="97"/>
      <c r="R642" s="97"/>
      <c r="AB642" s="72">
        <v>1</v>
      </c>
      <c r="AE642" s="96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94"/>
      <c r="BZ642" s="94"/>
      <c r="CA642" s="94"/>
      <c r="CB642" s="94"/>
      <c r="CC642" s="94"/>
      <c r="CD642" s="94"/>
      <c r="CE642" s="94"/>
      <c r="CF642" s="94"/>
      <c r="CG642" s="94"/>
      <c r="CH642" s="94"/>
      <c r="CI642" s="94"/>
      <c r="CJ642" s="94"/>
      <c r="CK642" s="94" t="str">
        <f>"    " &amp; TEXT(AF642,"#0.00%") &amp; " " &amp; "Install Deck Post" &amp; " " &amp; IF(Q642="","",TEXT(Q642,"M/D-")) &amp; IF(R642="","",TEXT(R642,"M/D")) &amp; " "</f>
        <v xml:space="preserve">    0.00% Install Deck Post  </v>
      </c>
      <c r="CL642" s="94"/>
      <c r="CM642" s="94"/>
      <c r="CN642" s="94"/>
      <c r="CO642" s="94"/>
      <c r="CP642" s="94"/>
      <c r="CQ642" s="94"/>
      <c r="CR642" s="94"/>
      <c r="CS642" s="94"/>
      <c r="CT642" s="94"/>
      <c r="CU642" s="94"/>
      <c r="CV642" s="94"/>
      <c r="CW642" s="94"/>
      <c r="CX642" s="94"/>
      <c r="CY642" s="94"/>
      <c r="CZ642" s="94"/>
      <c r="DA642" s="94"/>
      <c r="DB642" s="94"/>
      <c r="DC642" s="94"/>
      <c r="DD642" s="94"/>
      <c r="DE642" s="94"/>
      <c r="DF642" s="94"/>
      <c r="DG642" s="94"/>
      <c r="DH642" s="94"/>
      <c r="DI642" s="94"/>
      <c r="DJ642" s="94"/>
      <c r="DK642" s="94"/>
      <c r="DL642" s="94"/>
      <c r="DM642" s="94"/>
      <c r="DN642" s="94"/>
      <c r="DO642" s="94"/>
      <c r="DP642" s="94"/>
      <c r="DQ642" s="94"/>
    </row>
    <row r="643" spans="1:121" ht="15" customHeight="1" outlineLevel="3" x14ac:dyDescent="0.3">
      <c r="A643" s="100"/>
      <c r="B643" s="100"/>
      <c r="C643" s="99">
        <v>4</v>
      </c>
      <c r="D643" s="98" t="s">
        <v>630</v>
      </c>
      <c r="H643" s="77" t="s">
        <v>546</v>
      </c>
      <c r="O643" s="94" t="s">
        <v>515</v>
      </c>
      <c r="Q643" s="97"/>
      <c r="R643" s="97"/>
      <c r="AB643" s="72">
        <v>1</v>
      </c>
      <c r="AE643" s="96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94"/>
      <c r="BZ643" s="94"/>
      <c r="CA643" s="94"/>
      <c r="CB643" s="94"/>
      <c r="CC643" s="94"/>
      <c r="CD643" s="94"/>
      <c r="CE643" s="94"/>
      <c r="CF643" s="94"/>
      <c r="CG643" s="94"/>
      <c r="CH643" s="94"/>
      <c r="CI643" s="94"/>
      <c r="CJ643" s="94"/>
      <c r="CK643" s="94"/>
      <c r="CL643" s="94" t="str">
        <f>"   " &amp; TEXT(AF643,"#0.00%") &amp; " " &amp; "Install Deck Frame&amp;Hand Rail" &amp; " " &amp; IF(Q643="","",TEXT(Q643,"M/D-")) &amp; IF(R643="","",TEXT(R643,"M/D")) &amp; " "</f>
        <v xml:space="preserve">   0.00% Install Deck Frame&amp;Hand Rail  </v>
      </c>
      <c r="CM643" s="94"/>
      <c r="CN643" s="94"/>
      <c r="CO643" s="94"/>
      <c r="CP643" s="94"/>
      <c r="CQ643" s="94"/>
      <c r="CR643" s="94"/>
      <c r="CS643" s="94"/>
      <c r="CT643" s="94"/>
      <c r="CU643" s="94"/>
      <c r="CV643" s="94"/>
      <c r="CW643" s="94"/>
      <c r="CX643" s="94"/>
      <c r="CY643" s="94"/>
      <c r="CZ643" s="94"/>
      <c r="DA643" s="94"/>
      <c r="DB643" s="94"/>
      <c r="DC643" s="94"/>
      <c r="DD643" s="94"/>
      <c r="DE643" s="94"/>
      <c r="DF643" s="94"/>
      <c r="DG643" s="94"/>
      <c r="DH643" s="94"/>
      <c r="DI643" s="94"/>
      <c r="DJ643" s="94"/>
      <c r="DK643" s="94"/>
      <c r="DL643" s="94"/>
      <c r="DM643" s="94"/>
      <c r="DN643" s="94"/>
      <c r="DO643" s="94"/>
      <c r="DP643" s="94"/>
      <c r="DQ643" s="94"/>
    </row>
    <row r="644" spans="1:121" ht="15" customHeight="1" outlineLevel="3" x14ac:dyDescent="0.3">
      <c r="A644" s="100"/>
      <c r="B644" s="100"/>
      <c r="C644" s="99">
        <v>4</v>
      </c>
      <c r="D644" s="98" t="s">
        <v>629</v>
      </c>
      <c r="H644" s="77" t="s">
        <v>544</v>
      </c>
      <c r="O644" s="94" t="s">
        <v>518</v>
      </c>
      <c r="Q644" s="97"/>
      <c r="R644" s="97"/>
      <c r="AB644" s="72">
        <v>1</v>
      </c>
      <c r="AE644" s="96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94"/>
      <c r="BZ644" s="94"/>
      <c r="CA644" s="94"/>
      <c r="CB644" s="94"/>
      <c r="CC644" s="94"/>
      <c r="CD644" s="94"/>
      <c r="CE644" s="94"/>
      <c r="CF644" s="94"/>
      <c r="CG644" s="94"/>
      <c r="CH644" s="94"/>
      <c r="CI644" s="94"/>
      <c r="CJ644" s="94"/>
      <c r="CK644" s="94"/>
      <c r="CL644" s="94" t="str">
        <f>"    " &amp; TEXT(AF644,"#0.00%") &amp; " " &amp; "Install Lifter" &amp; " " &amp; IF(Q644="","",TEXT(Q644,"M/D-")) &amp; IF(R644="","",TEXT(R644,"M/D")) &amp; " "</f>
        <v xml:space="preserve">    0.00% Install Lifter  </v>
      </c>
      <c r="CM644" s="94"/>
      <c r="CN644" s="94"/>
      <c r="CO644" s="94"/>
      <c r="CP644" s="94"/>
      <c r="CQ644" s="94"/>
      <c r="CR644" s="94"/>
      <c r="CS644" s="94"/>
      <c r="CT644" s="94"/>
      <c r="CU644" s="94"/>
      <c r="CV644" s="94"/>
      <c r="CW644" s="94"/>
      <c r="CX644" s="94"/>
      <c r="CY644" s="94"/>
      <c r="CZ644" s="94"/>
      <c r="DA644" s="94"/>
      <c r="DB644" s="94"/>
      <c r="DC644" s="94"/>
      <c r="DD644" s="94"/>
      <c r="DE644" s="94"/>
      <c r="DF644" s="94"/>
      <c r="DG644" s="94"/>
      <c r="DH644" s="94"/>
      <c r="DI644" s="94"/>
      <c r="DJ644" s="94"/>
      <c r="DK644" s="94"/>
      <c r="DL644" s="94"/>
      <c r="DM644" s="94"/>
      <c r="DN644" s="94"/>
      <c r="DO644" s="94"/>
      <c r="DP644" s="94"/>
      <c r="DQ644" s="94"/>
    </row>
    <row r="645" spans="1:121" ht="15" customHeight="1" outlineLevel="3" x14ac:dyDescent="0.3">
      <c r="A645" s="100"/>
      <c r="B645" s="100"/>
      <c r="C645" s="99">
        <v>4</v>
      </c>
      <c r="D645" s="98" t="s">
        <v>628</v>
      </c>
      <c r="H645" s="77" t="s">
        <v>516</v>
      </c>
      <c r="O645" s="94" t="s">
        <v>515</v>
      </c>
      <c r="Q645" s="97"/>
      <c r="R645" s="97"/>
      <c r="AB645" s="72">
        <v>1</v>
      </c>
      <c r="AE645" s="96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94"/>
      <c r="BZ645" s="94"/>
      <c r="CA645" s="94"/>
      <c r="CB645" s="94"/>
      <c r="CC645" s="94"/>
      <c r="CD645" s="94"/>
      <c r="CE645" s="94"/>
      <c r="CF645" s="94"/>
      <c r="CG645" s="94"/>
      <c r="CH645" s="94"/>
      <c r="CI645" s="94"/>
      <c r="CJ645" s="94" t="str">
        <f>" " &amp; TEXT(AF645,"#0.00%") &amp; " " &amp; "Check Deck Level" &amp; " " &amp; IF(Q645="","",TEXT(Q645,"M/D-")) &amp; IF(R645="","",TEXT(R645,"M/D")) &amp; " "</f>
        <v xml:space="preserve"> 0.00% Check Deck Level  </v>
      </c>
      <c r="CK645" s="94"/>
      <c r="CL645" s="94"/>
      <c r="CM645" s="94"/>
      <c r="CN645" s="94"/>
      <c r="CO645" s="94"/>
      <c r="CP645" s="94"/>
      <c r="CQ645" s="94"/>
      <c r="CR645" s="94"/>
      <c r="CS645" s="94"/>
      <c r="CT645" s="94"/>
      <c r="CU645" s="94"/>
      <c r="CV645" s="94"/>
      <c r="CW645" s="94"/>
      <c r="CX645" s="94"/>
      <c r="CY645" s="94"/>
      <c r="CZ645" s="94"/>
      <c r="DA645" s="94"/>
      <c r="DB645" s="94"/>
      <c r="DC645" s="94"/>
      <c r="DD645" s="94"/>
      <c r="DE645" s="94"/>
      <c r="DF645" s="94"/>
      <c r="DG645" s="94"/>
      <c r="DH645" s="94"/>
      <c r="DI645" s="94"/>
      <c r="DJ645" s="94"/>
      <c r="DK645" s="94"/>
      <c r="DL645" s="94"/>
      <c r="DM645" s="94"/>
      <c r="DN645" s="94"/>
      <c r="DO645" s="94"/>
      <c r="DP645" s="94"/>
      <c r="DQ645" s="94"/>
    </row>
    <row r="646" spans="1:121" ht="15" customHeight="1" outlineLevel="3" x14ac:dyDescent="0.3">
      <c r="A646" s="100"/>
      <c r="B646" s="100"/>
      <c r="C646" s="99">
        <v>4</v>
      </c>
      <c r="D646" s="98" t="s">
        <v>627</v>
      </c>
      <c r="H646" s="77" t="s">
        <v>541</v>
      </c>
      <c r="O646" s="94" t="s">
        <v>506</v>
      </c>
      <c r="Q646" s="97"/>
      <c r="R646" s="97"/>
      <c r="AB646" s="72">
        <v>1</v>
      </c>
      <c r="AE646" s="96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94"/>
      <c r="BZ646" s="94"/>
      <c r="CA646" s="94"/>
      <c r="CB646" s="94"/>
      <c r="CC646" s="94"/>
      <c r="CD646" s="94"/>
      <c r="CE646" s="94"/>
      <c r="CF646" s="94"/>
      <c r="CG646" s="94"/>
      <c r="CH646" s="94"/>
      <c r="CI646" s="94"/>
      <c r="CJ646" s="94"/>
      <c r="CK646" s="94"/>
      <c r="CL646" s="94" t="str">
        <f>"  " &amp; TEXT(AF646,"#0.00%") &amp; " " &amp; "Check Track NO." &amp; " " &amp; IF(Q646="","",TEXT(Q646,"M/D-")) &amp; IF(R646="","",TEXT(R646,"M/D")) &amp; " "</f>
        <v xml:space="preserve">  0.00% Check Track NO.  </v>
      </c>
      <c r="CM646" s="94"/>
      <c r="CN646" s="94"/>
      <c r="CO646" s="94"/>
      <c r="CP646" s="94"/>
      <c r="CQ646" s="94"/>
      <c r="CR646" s="94"/>
      <c r="CS646" s="94"/>
      <c r="CT646" s="94"/>
      <c r="CU646" s="94"/>
      <c r="CV646" s="94"/>
      <c r="CW646" s="94"/>
      <c r="CX646" s="94"/>
      <c r="CY646" s="94"/>
      <c r="CZ646" s="94"/>
      <c r="DA646" s="94"/>
      <c r="DB646" s="94"/>
      <c r="DC646" s="94"/>
      <c r="DD646" s="94"/>
      <c r="DE646" s="94"/>
      <c r="DF646" s="94"/>
      <c r="DG646" s="94"/>
      <c r="DH646" s="94"/>
      <c r="DI646" s="94"/>
      <c r="DJ646" s="94"/>
      <c r="DK646" s="94"/>
      <c r="DL646" s="94"/>
      <c r="DM646" s="94"/>
      <c r="DN646" s="94"/>
      <c r="DO646" s="94"/>
      <c r="DP646" s="94"/>
      <c r="DQ646" s="94"/>
    </row>
    <row r="647" spans="1:121" ht="15" customHeight="1" outlineLevel="3" x14ac:dyDescent="0.3">
      <c r="A647" s="100"/>
      <c r="B647" s="100"/>
      <c r="C647" s="99">
        <v>4</v>
      </c>
      <c r="D647" s="98" t="s">
        <v>626</v>
      </c>
      <c r="H647" s="77" t="s">
        <v>625</v>
      </c>
      <c r="O647" s="94" t="s">
        <v>506</v>
      </c>
      <c r="Q647" s="97"/>
      <c r="R647" s="97"/>
      <c r="AB647" s="72">
        <v>1</v>
      </c>
      <c r="AE647" s="96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94"/>
      <c r="BZ647" s="94"/>
      <c r="CA647" s="94"/>
      <c r="CB647" s="94"/>
      <c r="CC647" s="94"/>
      <c r="CD647" s="94"/>
      <c r="CE647" s="94"/>
      <c r="CF647" s="94"/>
      <c r="CG647" s="94"/>
      <c r="CH647" s="94"/>
      <c r="CI647" s="94" t="str">
        <f>"  " &amp; TEXT(AF647,"#0.00%") &amp; " " &amp; "Pre-assembly C/V" &amp; " " &amp; IF(Q647="","",TEXT(Q647,"M/D-")) &amp; IF(R647="","",TEXT(R647,"M/D")) &amp; " "</f>
        <v xml:space="preserve">  0.00% Pre-assembly C/V  </v>
      </c>
      <c r="CJ647" s="94"/>
      <c r="CK647" s="94"/>
      <c r="CL647" s="94"/>
      <c r="CM647" s="94"/>
      <c r="CN647" s="94"/>
      <c r="CO647" s="94"/>
      <c r="CP647" s="94"/>
      <c r="CQ647" s="94"/>
      <c r="CR647" s="94"/>
      <c r="CS647" s="94"/>
      <c r="CT647" s="94"/>
      <c r="CU647" s="94"/>
      <c r="CV647" s="94"/>
      <c r="CW647" s="94"/>
      <c r="CX647" s="94"/>
      <c r="CY647" s="94"/>
      <c r="CZ647" s="94"/>
      <c r="DA647" s="94"/>
      <c r="DB647" s="94"/>
      <c r="DC647" s="94"/>
      <c r="DD647" s="94"/>
      <c r="DE647" s="94"/>
      <c r="DF647" s="94"/>
      <c r="DG647" s="94"/>
      <c r="DH647" s="94"/>
      <c r="DI647" s="94"/>
      <c r="DJ647" s="94"/>
      <c r="DK647" s="94"/>
      <c r="DL647" s="94"/>
      <c r="DM647" s="94"/>
      <c r="DN647" s="94"/>
      <c r="DO647" s="94"/>
      <c r="DP647" s="94"/>
      <c r="DQ647" s="94"/>
    </row>
    <row r="648" spans="1:121" ht="15" customHeight="1" outlineLevel="3" x14ac:dyDescent="0.3">
      <c r="A648" s="100"/>
      <c r="B648" s="100"/>
      <c r="C648" s="99">
        <v>4</v>
      </c>
      <c r="D648" s="98" t="s">
        <v>624</v>
      </c>
      <c r="H648" s="77" t="s">
        <v>623</v>
      </c>
      <c r="O648" s="94" t="s">
        <v>506</v>
      </c>
      <c r="Q648" s="97"/>
      <c r="R648" s="97"/>
      <c r="AB648" s="72">
        <v>1</v>
      </c>
      <c r="AE648" s="96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94"/>
      <c r="BZ648" s="94"/>
      <c r="CA648" s="94"/>
      <c r="CB648" s="94"/>
      <c r="CC648" s="94"/>
      <c r="CD648" s="94"/>
      <c r="CE648" s="94"/>
      <c r="CF648" s="94"/>
      <c r="CG648" s="94"/>
      <c r="CH648" s="94"/>
      <c r="CI648" s="94"/>
      <c r="CJ648" s="94"/>
      <c r="CK648" s="94"/>
      <c r="CL648" s="94" t="str">
        <f>"    " &amp; TEXT(AF648,"#0.00%") &amp; " " &amp; "Install C/V" &amp; " " &amp; IF(Q648="","",TEXT(Q648,"M/D-")) &amp; IF(R648="","",TEXT(R648,"M/D")) &amp; " "</f>
        <v xml:space="preserve">    0.00% Install C/V  </v>
      </c>
      <c r="CM648" s="94"/>
      <c r="CN648" s="94"/>
      <c r="CO648" s="94"/>
      <c r="CP648" s="94"/>
      <c r="CQ648" s="94"/>
      <c r="CR648" s="94"/>
      <c r="CS648" s="94"/>
      <c r="CT648" s="94"/>
      <c r="CU648" s="94"/>
      <c r="CV648" s="94"/>
      <c r="CW648" s="94"/>
      <c r="CX648" s="94"/>
      <c r="CY648" s="94"/>
      <c r="CZ648" s="94"/>
      <c r="DA648" s="94"/>
      <c r="DB648" s="94"/>
      <c r="DC648" s="94"/>
      <c r="DD648" s="94"/>
      <c r="DE648" s="94"/>
      <c r="DF648" s="94"/>
      <c r="DG648" s="94"/>
      <c r="DH648" s="94"/>
      <c r="DI648" s="94"/>
      <c r="DJ648" s="94"/>
      <c r="DK648" s="94"/>
      <c r="DL648" s="94"/>
      <c r="DM648" s="94"/>
      <c r="DN648" s="94"/>
      <c r="DO648" s="94"/>
      <c r="DP648" s="94"/>
      <c r="DQ648" s="94"/>
    </row>
    <row r="649" spans="1:121" ht="15" customHeight="1" outlineLevel="3" x14ac:dyDescent="0.3">
      <c r="A649" s="100"/>
      <c r="B649" s="100"/>
      <c r="C649" s="99">
        <v>4</v>
      </c>
      <c r="D649" s="98" t="s">
        <v>622</v>
      </c>
      <c r="H649" s="77" t="s">
        <v>511</v>
      </c>
      <c r="O649" s="94" t="s">
        <v>506</v>
      </c>
      <c r="Q649" s="97"/>
      <c r="R649" s="97"/>
      <c r="AB649" s="72">
        <v>1</v>
      </c>
      <c r="AE649" s="96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  <c r="BI649" s="102"/>
      <c r="BJ649" s="102"/>
      <c r="BK649" s="102"/>
      <c r="BL649" s="102"/>
      <c r="BM649" s="102"/>
      <c r="BN649" s="102"/>
      <c r="BO649" s="102"/>
      <c r="BP649" s="102"/>
      <c r="BQ649" s="102"/>
      <c r="BR649" s="102"/>
      <c r="BS649" s="102"/>
      <c r="BT649" s="102"/>
      <c r="BU649" s="102"/>
      <c r="BV649" s="102"/>
      <c r="BW649" s="102"/>
      <c r="BX649" s="102"/>
      <c r="BY649" s="94"/>
      <c r="BZ649" s="94"/>
      <c r="CA649" s="94"/>
      <c r="CB649" s="94"/>
      <c r="CC649" s="94"/>
      <c r="CD649" s="94"/>
      <c r="CE649" s="94"/>
      <c r="CF649" s="94"/>
      <c r="CG649" s="94"/>
      <c r="CH649" s="94"/>
      <c r="CI649" s="94"/>
      <c r="CJ649" s="94"/>
      <c r="CK649" s="94"/>
      <c r="CL649" s="94" t="str">
        <f>"  " &amp; TEXT(AF649,"#0.00%") &amp; " " &amp; "Check C/V Level  Center Line" &amp; " " &amp; IF(Q649="","",TEXT(Q649,"M/D-")) &amp; IF(R649="","",TEXT(R649,"M/D")) &amp; " "</f>
        <v xml:space="preserve">  0.00% Check C/V Level  Center Line  </v>
      </c>
      <c r="CM649" s="94"/>
      <c r="CN649" s="94"/>
      <c r="CO649" s="94"/>
      <c r="CP649" s="94"/>
      <c r="CQ649" s="94"/>
      <c r="CR649" s="94"/>
      <c r="CS649" s="94"/>
      <c r="CT649" s="94"/>
      <c r="CU649" s="94"/>
      <c r="CV649" s="94"/>
      <c r="CW649" s="94"/>
      <c r="CX649" s="94"/>
      <c r="CY649" s="94"/>
      <c r="CZ649" s="94"/>
      <c r="DA649" s="94"/>
      <c r="DB649" s="94"/>
      <c r="DC649" s="94"/>
      <c r="DD649" s="94"/>
      <c r="DE649" s="94"/>
      <c r="DF649" s="94"/>
      <c r="DG649" s="94"/>
      <c r="DH649" s="94"/>
      <c r="DI649" s="94"/>
      <c r="DJ649" s="94"/>
      <c r="DK649" s="94"/>
      <c r="DL649" s="94"/>
      <c r="DM649" s="94"/>
      <c r="DN649" s="94"/>
      <c r="DO649" s="94"/>
      <c r="DP649" s="94"/>
      <c r="DQ649" s="94"/>
    </row>
    <row r="650" spans="1:121" ht="15" customHeight="1" outlineLevel="3" x14ac:dyDescent="0.3">
      <c r="A650" s="100"/>
      <c r="B650" s="100"/>
      <c r="C650" s="99">
        <v>4</v>
      </c>
      <c r="D650" s="98" t="s">
        <v>621</v>
      </c>
      <c r="H650" s="77" t="s">
        <v>507</v>
      </c>
      <c r="O650" s="94" t="s">
        <v>506</v>
      </c>
      <c r="Q650" s="97"/>
      <c r="R650" s="97"/>
      <c r="AB650" s="72">
        <v>1</v>
      </c>
      <c r="AE650" s="96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  <c r="BI650" s="102"/>
      <c r="BJ650" s="102"/>
      <c r="BK650" s="102"/>
      <c r="BL650" s="102"/>
      <c r="BM650" s="102"/>
      <c r="BN650" s="102"/>
      <c r="BO650" s="102"/>
      <c r="BP650" s="102"/>
      <c r="BQ650" s="102"/>
      <c r="BR650" s="102"/>
      <c r="BS650" s="102"/>
      <c r="BT650" s="102"/>
      <c r="BU650" s="102"/>
      <c r="BV650" s="102"/>
      <c r="BW650" s="102"/>
      <c r="BX650" s="102"/>
      <c r="BY650" s="94"/>
      <c r="BZ650" s="94"/>
      <c r="CA650" s="94"/>
      <c r="CB650" s="94"/>
      <c r="CC650" s="94"/>
      <c r="CD650" s="94"/>
      <c r="CE650" s="94"/>
      <c r="CF650" s="94"/>
      <c r="CG650" s="94"/>
      <c r="CH650" s="94"/>
      <c r="CI650" s="94"/>
      <c r="CJ650" s="94"/>
      <c r="CK650" s="94"/>
      <c r="CL650" s="94" t="str">
        <f>"    " &amp; TEXT(AF650,"#0.00%") &amp; " " &amp; "Install Stair" &amp; " " &amp; IF(Q650="","",TEXT(Q650,"M/D-")) &amp; IF(R650="","",TEXT(R650,"M/D")) &amp; " "</f>
        <v xml:space="preserve">    0.00% Install Stair  </v>
      </c>
      <c r="CM650" s="94"/>
      <c r="CN650" s="94"/>
      <c r="CO650" s="94"/>
      <c r="CP650" s="94"/>
      <c r="CQ650" s="94"/>
      <c r="CR650" s="94"/>
      <c r="CS650" s="94"/>
      <c r="CT650" s="94"/>
      <c r="CU650" s="94"/>
      <c r="CV650" s="94"/>
      <c r="CW650" s="94"/>
      <c r="CX650" s="94"/>
      <c r="CY650" s="94"/>
      <c r="CZ650" s="94"/>
      <c r="DA650" s="94"/>
      <c r="DB650" s="94"/>
      <c r="DC650" s="94"/>
      <c r="DD650" s="94"/>
      <c r="DE650" s="94"/>
      <c r="DF650" s="94"/>
      <c r="DG650" s="94"/>
      <c r="DH650" s="94"/>
      <c r="DI650" s="94"/>
      <c r="DJ650" s="94"/>
      <c r="DK650" s="94"/>
      <c r="DL650" s="94"/>
      <c r="DM650" s="94"/>
      <c r="DN650" s="94"/>
      <c r="DO650" s="94"/>
      <c r="DP650" s="94"/>
      <c r="DQ650" s="94"/>
    </row>
    <row r="651" spans="1:121" ht="15" customHeight="1" outlineLevel="2" x14ac:dyDescent="0.3">
      <c r="A651" s="100"/>
      <c r="B651" s="100" t="s">
        <v>298</v>
      </c>
      <c r="C651" s="99">
        <v>3</v>
      </c>
      <c r="D651" s="98" t="s">
        <v>620</v>
      </c>
      <c r="G651" s="77" t="s">
        <v>619</v>
      </c>
      <c r="O651" s="94" t="s">
        <v>354</v>
      </c>
      <c r="Q651" s="97"/>
      <c r="R651" s="97"/>
      <c r="AE651" s="96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94"/>
      <c r="BZ651" s="94"/>
      <c r="CA651" s="94"/>
      <c r="CB651" s="94"/>
      <c r="CC651" s="94"/>
      <c r="CD651" s="94"/>
      <c r="CE651" s="94"/>
      <c r="CF651" s="94"/>
      <c r="CG651" s="94"/>
      <c r="CH651" s="94" t="str">
        <f>"     " &amp; TEXT(AF651,"#0.00%") &amp; " "</f>
        <v xml:space="preserve">     0.00% </v>
      </c>
      <c r="CI651" s="94"/>
      <c r="CJ651" s="94"/>
      <c r="CK651" s="94"/>
      <c r="CL651" s="94"/>
      <c r="CM651" s="94" t="str">
        <f>"     " &amp; "Interconnect(Recollect)" &amp; " " &amp; IF(Q651="","",TEXT(Q651,"M/D-")) &amp; IF(R651="","",TEXT(R651,"M/D")) &amp; " "</f>
        <v xml:space="preserve">     Interconnect(Recollect)  </v>
      </c>
      <c r="CN651" s="94"/>
      <c r="CO651" s="94"/>
      <c r="CP651" s="94"/>
      <c r="CQ651" s="94"/>
      <c r="CR651" s="94"/>
      <c r="CS651" s="94"/>
      <c r="CT651" s="94"/>
      <c r="CU651" s="94"/>
      <c r="CV651" s="94"/>
      <c r="CW651" s="94"/>
      <c r="CX651" s="94"/>
      <c r="CY651" s="94"/>
      <c r="CZ651" s="94"/>
      <c r="DA651" s="94"/>
      <c r="DB651" s="94"/>
      <c r="DC651" s="94"/>
      <c r="DD651" s="94"/>
      <c r="DE651" s="94"/>
      <c r="DF651" s="94"/>
      <c r="DG651" s="94"/>
      <c r="DH651" s="94"/>
      <c r="DI651" s="94"/>
      <c r="DJ651" s="94"/>
      <c r="DK651" s="94"/>
      <c r="DL651" s="94"/>
      <c r="DM651" s="94"/>
      <c r="DN651" s="94"/>
      <c r="DO651" s="94"/>
      <c r="DP651" s="94"/>
      <c r="DQ651" s="94"/>
    </row>
    <row r="652" spans="1:121" ht="15" customHeight="1" outlineLevel="3" x14ac:dyDescent="0.3">
      <c r="A652" s="100"/>
      <c r="B652" s="100"/>
      <c r="C652" s="99">
        <v>4</v>
      </c>
      <c r="D652" s="98" t="s">
        <v>618</v>
      </c>
      <c r="H652" s="77" t="s">
        <v>534</v>
      </c>
      <c r="O652" s="94" t="s">
        <v>506</v>
      </c>
      <c r="Q652" s="97"/>
      <c r="R652" s="97"/>
      <c r="AB652" s="72">
        <v>1</v>
      </c>
      <c r="AE652" s="96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94"/>
      <c r="BZ652" s="94"/>
      <c r="CA652" s="94"/>
      <c r="CB652" s="94"/>
      <c r="CC652" s="94"/>
      <c r="CD652" s="94"/>
      <c r="CE652" s="94"/>
      <c r="CF652" s="94"/>
      <c r="CG652" s="94"/>
      <c r="CH652" s="94" t="str">
        <f>"     " &amp; TEXT(AF652,"#0.00%") &amp; " " &amp; "Line Marking" &amp; " " &amp; IF(Q652="","",TEXT(Q652,"M/D-")) &amp; IF(R652="","",TEXT(R652,"M/D")) &amp; " "</f>
        <v xml:space="preserve">     0.00% Line Marking  </v>
      </c>
      <c r="CI652" s="94"/>
      <c r="CJ652" s="94"/>
      <c r="CK652" s="94"/>
      <c r="CL652" s="94"/>
      <c r="CM652" s="94"/>
      <c r="CN652" s="94"/>
      <c r="CO652" s="94"/>
      <c r="CP652" s="94"/>
      <c r="CQ652" s="94"/>
      <c r="CR652" s="94"/>
      <c r="CS652" s="94"/>
      <c r="CT652" s="94"/>
      <c r="CU652" s="94"/>
      <c r="CV652" s="94"/>
      <c r="CW652" s="94"/>
      <c r="CX652" s="94"/>
      <c r="CY652" s="94"/>
      <c r="CZ652" s="94"/>
      <c r="DA652" s="94"/>
      <c r="DB652" s="94"/>
      <c r="DC652" s="94"/>
      <c r="DD652" s="94"/>
      <c r="DE652" s="94"/>
      <c r="DF652" s="94"/>
      <c r="DG652" s="94"/>
      <c r="DH652" s="94"/>
      <c r="DI652" s="94"/>
      <c r="DJ652" s="94"/>
      <c r="DK652" s="94"/>
      <c r="DL652" s="94"/>
      <c r="DM652" s="94"/>
      <c r="DN652" s="94"/>
      <c r="DO652" s="94"/>
      <c r="DP652" s="94"/>
      <c r="DQ652" s="94"/>
    </row>
    <row r="653" spans="1:121" ht="15" customHeight="1" outlineLevel="3" x14ac:dyDescent="0.3">
      <c r="A653" s="100"/>
      <c r="B653" s="100"/>
      <c r="C653" s="99">
        <v>4</v>
      </c>
      <c r="D653" s="98" t="s">
        <v>617</v>
      </c>
      <c r="H653" s="77" t="s">
        <v>532</v>
      </c>
      <c r="O653" s="94" t="s">
        <v>506</v>
      </c>
      <c r="Q653" s="97"/>
      <c r="R653" s="97"/>
      <c r="AB653" s="72">
        <v>1</v>
      </c>
      <c r="AE653" s="96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94"/>
      <c r="BZ653" s="94"/>
      <c r="CA653" s="94"/>
      <c r="CB653" s="94"/>
      <c r="CC653" s="94"/>
      <c r="CD653" s="94"/>
      <c r="CE653" s="94"/>
      <c r="CF653" s="94"/>
      <c r="CG653" s="94"/>
      <c r="CH653" s="94"/>
      <c r="CI653" s="94" t="str">
        <f>"" &amp; TEXT(AF653,"#0.00%") &amp; " " &amp; "Check Line Marking" &amp; " " &amp; IF(Q653="","",TEXT(Q653,"M/D-")) &amp; IF(R653="","",TEXT(R653,"M/D")) &amp; " "</f>
        <v xml:space="preserve">0.00% Check Line Marking  </v>
      </c>
      <c r="CJ653" s="94"/>
      <c r="CK653" s="94"/>
      <c r="CL653" s="94"/>
      <c r="CM653" s="94"/>
      <c r="CN653" s="94"/>
      <c r="CO653" s="94"/>
      <c r="CP653" s="94"/>
      <c r="CQ653" s="94"/>
      <c r="CR653" s="94"/>
      <c r="CS653" s="94"/>
      <c r="CT653" s="94"/>
      <c r="CU653" s="94"/>
      <c r="CV653" s="94"/>
      <c r="CW653" s="94"/>
      <c r="CX653" s="94"/>
      <c r="CY653" s="94"/>
      <c r="CZ653" s="94"/>
      <c r="DA653" s="94"/>
      <c r="DB653" s="94"/>
      <c r="DC653" s="94"/>
      <c r="DD653" s="94"/>
      <c r="DE653" s="94"/>
      <c r="DF653" s="94"/>
      <c r="DG653" s="94"/>
      <c r="DH653" s="94"/>
      <c r="DI653" s="94"/>
      <c r="DJ653" s="94"/>
      <c r="DK653" s="94"/>
      <c r="DL653" s="94"/>
      <c r="DM653" s="94"/>
      <c r="DN653" s="94"/>
      <c r="DO653" s="94"/>
      <c r="DP653" s="94"/>
      <c r="DQ653" s="94"/>
    </row>
    <row r="654" spans="1:121" ht="15" customHeight="1" outlineLevel="3" x14ac:dyDescent="0.3">
      <c r="A654" s="100"/>
      <c r="B654" s="100"/>
      <c r="C654" s="99">
        <v>4</v>
      </c>
      <c r="D654" s="98" t="s">
        <v>616</v>
      </c>
      <c r="H654" s="77" t="s">
        <v>589</v>
      </c>
      <c r="O654" s="94" t="s">
        <v>506</v>
      </c>
      <c r="Q654" s="97"/>
      <c r="R654" s="97"/>
      <c r="AB654" s="72">
        <v>1</v>
      </c>
      <c r="AE654" s="96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94"/>
      <c r="BZ654" s="94"/>
      <c r="CA654" s="94"/>
      <c r="CB654" s="94"/>
      <c r="CC654" s="94"/>
      <c r="CD654" s="94"/>
      <c r="CE654" s="94"/>
      <c r="CF654" s="94"/>
      <c r="CG654" s="94"/>
      <c r="CH654" s="94"/>
      <c r="CI654" s="94" t="str">
        <f>"  " &amp; TEXT(AF654,"#0.00%") &amp; " " &amp; "Drilling Anchor Hole" &amp; " " &amp; IF(Q654="","",TEXT(Q654,"M/D-")) &amp; IF(R654="","",TEXT(R654,"M/D")) &amp; " "</f>
        <v xml:space="preserve">  0.00% Drilling Anchor Hole  </v>
      </c>
      <c r="CJ654" s="94"/>
      <c r="CK654" s="94"/>
      <c r="CL654" s="94"/>
      <c r="CM654" s="94"/>
      <c r="CN654" s="94"/>
      <c r="CO654" s="94"/>
      <c r="CP654" s="94"/>
      <c r="CQ654" s="94"/>
      <c r="CR654" s="94"/>
      <c r="CS654" s="94"/>
      <c r="CT654" s="94"/>
      <c r="CU654" s="94"/>
      <c r="CV654" s="94"/>
      <c r="CW654" s="94"/>
      <c r="CX654" s="94"/>
      <c r="CY654" s="94"/>
      <c r="CZ654" s="94"/>
      <c r="DA654" s="94"/>
      <c r="DB654" s="94"/>
      <c r="DC654" s="94"/>
      <c r="DD654" s="94"/>
      <c r="DE654" s="94"/>
      <c r="DF654" s="94"/>
      <c r="DG654" s="94"/>
      <c r="DH654" s="94"/>
      <c r="DI654" s="94"/>
      <c r="DJ654" s="94"/>
      <c r="DK654" s="94"/>
      <c r="DL654" s="94"/>
      <c r="DM654" s="94"/>
      <c r="DN654" s="94"/>
      <c r="DO654" s="94"/>
      <c r="DP654" s="94"/>
      <c r="DQ654" s="94"/>
    </row>
    <row r="655" spans="1:121" ht="15" customHeight="1" outlineLevel="3" x14ac:dyDescent="0.3">
      <c r="A655" s="100"/>
      <c r="B655" s="100"/>
      <c r="C655" s="99">
        <v>4</v>
      </c>
      <c r="D655" s="98" t="s">
        <v>615</v>
      </c>
      <c r="H655" s="77" t="s">
        <v>530</v>
      </c>
      <c r="O655" s="94" t="s">
        <v>506</v>
      </c>
      <c r="Q655" s="97"/>
      <c r="R655" s="97"/>
      <c r="AB655" s="72">
        <v>1</v>
      </c>
      <c r="AE655" s="96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94"/>
      <c r="BZ655" s="94"/>
      <c r="CA655" s="94"/>
      <c r="CB655" s="94"/>
      <c r="CC655" s="94"/>
      <c r="CD655" s="94"/>
      <c r="CE655" s="94"/>
      <c r="CF655" s="94"/>
      <c r="CG655" s="94"/>
      <c r="CH655" s="94"/>
      <c r="CI655" s="94" t="str">
        <f>"    " &amp; TEXT(AF655,"#0.00%") &amp; " " &amp; "Move In" &amp; " " &amp; IF(Q655="","",TEXT(Q655,"M/D-")) &amp; IF(R655="","",TEXT(R655,"M/D")) &amp; " "</f>
        <v xml:space="preserve">    0.00% Move In  </v>
      </c>
      <c r="CJ655" s="94"/>
      <c r="CK655" s="94"/>
      <c r="CL655" s="94"/>
      <c r="CM655" s="94"/>
      <c r="CN655" s="94"/>
      <c r="CO655" s="94"/>
      <c r="CP655" s="94"/>
      <c r="CQ655" s="94"/>
      <c r="CR655" s="94"/>
      <c r="CS655" s="94"/>
      <c r="CT655" s="94"/>
      <c r="CU655" s="94"/>
      <c r="CV655" s="94"/>
      <c r="CW655" s="94"/>
      <c r="CX655" s="94"/>
      <c r="CY655" s="94"/>
      <c r="CZ655" s="94"/>
      <c r="DA655" s="94"/>
      <c r="DB655" s="94"/>
      <c r="DC655" s="94"/>
      <c r="DD655" s="94"/>
      <c r="DE655" s="94"/>
      <c r="DF655" s="94"/>
      <c r="DG655" s="94"/>
      <c r="DH655" s="94"/>
      <c r="DI655" s="94"/>
      <c r="DJ655" s="94"/>
      <c r="DK655" s="94"/>
      <c r="DL655" s="94"/>
      <c r="DM655" s="94"/>
      <c r="DN655" s="94"/>
      <c r="DO655" s="94"/>
      <c r="DP655" s="94"/>
      <c r="DQ655" s="94"/>
    </row>
    <row r="656" spans="1:121" ht="15" customHeight="1" outlineLevel="3" x14ac:dyDescent="0.3">
      <c r="A656" s="100"/>
      <c r="B656" s="100"/>
      <c r="C656" s="99">
        <v>4</v>
      </c>
      <c r="D656" s="98" t="s">
        <v>614</v>
      </c>
      <c r="H656" s="77" t="s">
        <v>613</v>
      </c>
      <c r="O656" s="94" t="s">
        <v>518</v>
      </c>
      <c r="Q656" s="97"/>
      <c r="R656" s="97"/>
      <c r="AB656" s="72">
        <v>1</v>
      </c>
      <c r="AE656" s="96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94"/>
      <c r="BZ656" s="94"/>
      <c r="CA656" s="94"/>
      <c r="CB656" s="94"/>
      <c r="CC656" s="94"/>
      <c r="CD656" s="94"/>
      <c r="CE656" s="94"/>
      <c r="CF656" s="94"/>
      <c r="CG656" s="94"/>
      <c r="CH656" s="94"/>
      <c r="CI656" s="94" t="str">
        <f>"     " &amp; TEXT(AF656,"#0.00%") &amp; " " &amp; "Floor Lifter Erection &amp; Lifting" &amp; " " &amp; IF(Q656="","",TEXT(Q656,"M/D-")) &amp; IF(R656="","",TEXT(R656,"M/D")) &amp; " "</f>
        <v xml:space="preserve">     0.00% Floor Lifter Erection &amp; Lifting  </v>
      </c>
      <c r="CJ656" s="94"/>
      <c r="CK656" s="94"/>
      <c r="CL656" s="94"/>
      <c r="CM656" s="94"/>
      <c r="CN656" s="94"/>
      <c r="CO656" s="94"/>
      <c r="CP656" s="94"/>
      <c r="CQ656" s="94"/>
      <c r="CR656" s="94"/>
      <c r="CS656" s="94"/>
      <c r="CT656" s="94"/>
      <c r="CU656" s="94"/>
      <c r="CV656" s="94"/>
      <c r="CW656" s="94"/>
      <c r="CX656" s="94"/>
      <c r="CY656" s="94"/>
      <c r="CZ656" s="94"/>
      <c r="DA656" s="94"/>
      <c r="DB656" s="94"/>
      <c r="DC656" s="94"/>
      <c r="DD656" s="94"/>
      <c r="DE656" s="94"/>
      <c r="DF656" s="94"/>
      <c r="DG656" s="94"/>
      <c r="DH656" s="94"/>
      <c r="DI656" s="94"/>
      <c r="DJ656" s="94"/>
      <c r="DK656" s="94"/>
      <c r="DL656" s="94"/>
      <c r="DM656" s="94"/>
      <c r="DN656" s="94"/>
      <c r="DO656" s="94"/>
      <c r="DP656" s="94"/>
      <c r="DQ656" s="94"/>
    </row>
    <row r="657" spans="1:121" ht="15" customHeight="1" outlineLevel="3" x14ac:dyDescent="0.3">
      <c r="A657" s="100"/>
      <c r="B657" s="100"/>
      <c r="C657" s="99">
        <v>4</v>
      </c>
      <c r="D657" s="98" t="s">
        <v>612</v>
      </c>
      <c r="H657" s="77" t="s">
        <v>611</v>
      </c>
      <c r="O657" s="94" t="s">
        <v>518</v>
      </c>
      <c r="Q657" s="97"/>
      <c r="R657" s="97"/>
      <c r="AB657" s="72">
        <v>1</v>
      </c>
      <c r="AE657" s="96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94"/>
      <c r="BZ657" s="94"/>
      <c r="CA657" s="94"/>
      <c r="CB657" s="94"/>
      <c r="CC657" s="94"/>
      <c r="CD657" s="94"/>
      <c r="CE657" s="94"/>
      <c r="CF657" s="94"/>
      <c r="CG657" s="94"/>
      <c r="CH657" s="94"/>
      <c r="CI657" s="94"/>
      <c r="CJ657" s="94" t="str">
        <f>" " &amp; TEXT(AF657,"#0.00%") &amp; " " &amp; "Floor Lifter mast Alignment" &amp; " " &amp; IF(Q657="","",TEXT(Q657,"M/D-")) &amp; IF(R657="","",TEXT(R657,"M/D")) &amp; " "</f>
        <v xml:space="preserve"> 0.00% Floor Lifter mast Alignment  </v>
      </c>
      <c r="CK657" s="94"/>
      <c r="CL657" s="94"/>
      <c r="CM657" s="94"/>
      <c r="CN657" s="94"/>
      <c r="CO657" s="94"/>
      <c r="CP657" s="94"/>
      <c r="CQ657" s="94"/>
      <c r="CR657" s="94"/>
      <c r="CS657" s="94"/>
      <c r="CT657" s="94"/>
      <c r="CU657" s="94"/>
      <c r="CV657" s="94"/>
      <c r="CW657" s="94"/>
      <c r="CX657" s="94"/>
      <c r="CY657" s="94"/>
      <c r="CZ657" s="94"/>
      <c r="DA657" s="94"/>
      <c r="DB657" s="94"/>
      <c r="DC657" s="94"/>
      <c r="DD657" s="94"/>
      <c r="DE657" s="94"/>
      <c r="DF657" s="94"/>
      <c r="DG657" s="94"/>
      <c r="DH657" s="94"/>
      <c r="DI657" s="94"/>
      <c r="DJ657" s="94"/>
      <c r="DK657" s="94"/>
      <c r="DL657" s="94"/>
      <c r="DM657" s="94"/>
      <c r="DN657" s="94"/>
      <c r="DO657" s="94"/>
      <c r="DP657" s="94"/>
      <c r="DQ657" s="94"/>
    </row>
    <row r="658" spans="1:121" ht="15" customHeight="1" outlineLevel="3" x14ac:dyDescent="0.3">
      <c r="A658" s="100"/>
      <c r="B658" s="100"/>
      <c r="C658" s="99">
        <v>4</v>
      </c>
      <c r="D658" s="98" t="s">
        <v>610</v>
      </c>
      <c r="H658" s="77" t="s">
        <v>609</v>
      </c>
      <c r="O658" s="94" t="s">
        <v>518</v>
      </c>
      <c r="Q658" s="97"/>
      <c r="R658" s="97"/>
      <c r="AB658" s="72">
        <v>1</v>
      </c>
      <c r="AE658" s="96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94"/>
      <c r="BZ658" s="94"/>
      <c r="CA658" s="94"/>
      <c r="CB658" s="94"/>
      <c r="CC658" s="94"/>
      <c r="CD658" s="94"/>
      <c r="CE658" s="94"/>
      <c r="CF658" s="94"/>
      <c r="CG658" s="94"/>
      <c r="CH658" s="94"/>
      <c r="CI658" s="94"/>
      <c r="CJ658" s="94" t="str">
        <f>"  " &amp; TEXT(AF658,"#0.00%") &amp; " " &amp; "Floor Lifter Anchoring" &amp; " " &amp; IF(Q658="","",TEXT(Q658,"M/D-")) &amp; IF(R658="","",TEXT(R658,"M/D")) &amp; " "</f>
        <v xml:space="preserve">  0.00% Floor Lifter Anchoring  </v>
      </c>
      <c r="CK658" s="94"/>
      <c r="CL658" s="94"/>
      <c r="CM658" s="94"/>
      <c r="CN658" s="94"/>
      <c r="CO658" s="94"/>
      <c r="CP658" s="94"/>
      <c r="CQ658" s="94"/>
      <c r="CR658" s="94"/>
      <c r="CS658" s="94"/>
      <c r="CT658" s="94"/>
      <c r="CU658" s="94"/>
      <c r="CV658" s="94"/>
      <c r="CW658" s="94"/>
      <c r="CX658" s="94"/>
      <c r="CY658" s="94"/>
      <c r="CZ658" s="94"/>
      <c r="DA658" s="94"/>
      <c r="DB658" s="94"/>
      <c r="DC658" s="94"/>
      <c r="DD658" s="94"/>
      <c r="DE658" s="94"/>
      <c r="DF658" s="94"/>
      <c r="DG658" s="94"/>
      <c r="DH658" s="94"/>
      <c r="DI658" s="94"/>
      <c r="DJ658" s="94"/>
      <c r="DK658" s="94"/>
      <c r="DL658" s="94"/>
      <c r="DM658" s="94"/>
      <c r="DN658" s="94"/>
      <c r="DO658" s="94"/>
      <c r="DP658" s="94"/>
      <c r="DQ658" s="94"/>
    </row>
    <row r="659" spans="1:121" ht="15" customHeight="1" outlineLevel="3" x14ac:dyDescent="0.3">
      <c r="A659" s="100"/>
      <c r="B659" s="100"/>
      <c r="C659" s="99">
        <v>4</v>
      </c>
      <c r="D659" s="98" t="s">
        <v>608</v>
      </c>
      <c r="H659" s="77" t="s">
        <v>607</v>
      </c>
      <c r="O659" s="94" t="s">
        <v>518</v>
      </c>
      <c r="Q659" s="97"/>
      <c r="R659" s="97"/>
      <c r="AB659" s="72">
        <v>1</v>
      </c>
      <c r="AE659" s="96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94"/>
      <c r="BZ659" s="94"/>
      <c r="CA659" s="94"/>
      <c r="CB659" s="94"/>
      <c r="CC659" s="94"/>
      <c r="CD659" s="94"/>
      <c r="CE659" s="94"/>
      <c r="CF659" s="94"/>
      <c r="CG659" s="94"/>
      <c r="CH659" s="94"/>
      <c r="CI659" s="94"/>
      <c r="CJ659" s="94" t="str">
        <f>"   " &amp; TEXT(AF659,"#0.00%") &amp; " " &amp; "Setting Lifter Inside" &amp; " " &amp; IF(Q659="","",TEXT(Q659,"M/D-")) &amp; IF(R659="","",TEXT(R659,"M/D")) &amp; " "</f>
        <v xml:space="preserve">   0.00% Setting Lifter Inside  </v>
      </c>
      <c r="CK659" s="94"/>
      <c r="CL659" s="94"/>
      <c r="CM659" s="94"/>
      <c r="CN659" s="94"/>
      <c r="CO659" s="94"/>
      <c r="CP659" s="94"/>
      <c r="CQ659" s="94"/>
      <c r="CR659" s="94"/>
      <c r="CS659" s="94"/>
      <c r="CT659" s="94"/>
      <c r="CU659" s="94"/>
      <c r="CV659" s="94"/>
      <c r="CW659" s="94"/>
      <c r="CX659" s="94"/>
      <c r="CY659" s="94"/>
      <c r="CZ659" s="94"/>
      <c r="DA659" s="94"/>
      <c r="DB659" s="94"/>
      <c r="DC659" s="94"/>
      <c r="DD659" s="94"/>
      <c r="DE659" s="94"/>
      <c r="DF659" s="94"/>
      <c r="DG659" s="94"/>
      <c r="DH659" s="94"/>
      <c r="DI659" s="94"/>
      <c r="DJ659" s="94"/>
      <c r="DK659" s="94"/>
      <c r="DL659" s="94"/>
      <c r="DM659" s="94"/>
      <c r="DN659" s="94"/>
      <c r="DO659" s="94"/>
      <c r="DP659" s="94"/>
      <c r="DQ659" s="94"/>
    </row>
    <row r="660" spans="1:121" ht="15" customHeight="1" outlineLevel="3" x14ac:dyDescent="0.3">
      <c r="A660" s="100"/>
      <c r="B660" s="100"/>
      <c r="C660" s="99">
        <v>4</v>
      </c>
      <c r="D660" s="98" t="s">
        <v>606</v>
      </c>
      <c r="H660" s="77" t="s">
        <v>605</v>
      </c>
      <c r="O660" s="94" t="s">
        <v>515</v>
      </c>
      <c r="Q660" s="97"/>
      <c r="R660" s="97"/>
      <c r="AB660" s="72">
        <v>1</v>
      </c>
      <c r="AE660" s="96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2"/>
      <c r="BM660" s="102"/>
      <c r="BN660" s="102"/>
      <c r="BO660" s="102"/>
      <c r="BP660" s="102"/>
      <c r="BQ660" s="102"/>
      <c r="BR660" s="102"/>
      <c r="BS660" s="102"/>
      <c r="BT660" s="102"/>
      <c r="BU660" s="102"/>
      <c r="BV660" s="102"/>
      <c r="BW660" s="102"/>
      <c r="BX660" s="102"/>
      <c r="BY660" s="94"/>
      <c r="BZ660" s="94"/>
      <c r="CA660" s="94"/>
      <c r="CB660" s="94"/>
      <c r="CC660" s="94"/>
      <c r="CD660" s="94"/>
      <c r="CE660" s="94"/>
      <c r="CF660" s="94"/>
      <c r="CG660" s="94"/>
      <c r="CH660" s="94"/>
      <c r="CI660" s="94"/>
      <c r="CJ660" s="94" t="str">
        <f>"    " &amp; TEXT(AF660,"#0.00%") &amp; " " &amp; "Install Deck(Sq 1-4, 1-5, after EMPT east rack/MSC install)" &amp; " " &amp; IF(Q660="","",TEXT(Q660,"M/D-")) &amp; IF(R660="","",TEXT(R660,"M/D")) &amp; " "</f>
        <v xml:space="preserve">    0.00% Install Deck(Sq 1-4, 1-5, after EMPT east rack/MSC install)  </v>
      </c>
      <c r="CK660" s="94"/>
      <c r="CL660" s="94"/>
      <c r="CM660" s="94"/>
      <c r="CN660" s="94"/>
      <c r="CO660" s="94"/>
      <c r="CP660" s="94"/>
      <c r="CQ660" s="94"/>
      <c r="CR660" s="94"/>
      <c r="CS660" s="94"/>
      <c r="CT660" s="94"/>
      <c r="CU660" s="94"/>
      <c r="CV660" s="94"/>
      <c r="CW660" s="94"/>
      <c r="CX660" s="94"/>
      <c r="CY660" s="94"/>
      <c r="CZ660" s="94"/>
      <c r="DA660" s="94"/>
      <c r="DB660" s="94"/>
      <c r="DC660" s="94"/>
      <c r="DD660" s="94"/>
      <c r="DE660" s="94"/>
      <c r="DF660" s="94"/>
      <c r="DG660" s="94"/>
      <c r="DH660" s="94"/>
      <c r="DI660" s="94"/>
      <c r="DJ660" s="94"/>
      <c r="DK660" s="94"/>
      <c r="DL660" s="94"/>
      <c r="DM660" s="94"/>
      <c r="DN660" s="94"/>
      <c r="DO660" s="94"/>
      <c r="DP660" s="94"/>
      <c r="DQ660" s="94"/>
    </row>
    <row r="661" spans="1:121" ht="15" customHeight="1" outlineLevel="3" x14ac:dyDescent="0.3">
      <c r="A661" s="100"/>
      <c r="B661" s="100"/>
      <c r="C661" s="99">
        <v>4</v>
      </c>
      <c r="D661" s="98" t="s">
        <v>604</v>
      </c>
      <c r="H661" s="77" t="s">
        <v>584</v>
      </c>
      <c r="O661" s="94" t="s">
        <v>518</v>
      </c>
      <c r="Q661" s="97"/>
      <c r="R661" s="97"/>
      <c r="AB661" s="72">
        <v>1</v>
      </c>
      <c r="AE661" s="96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/>
      <c r="BO661" s="102"/>
      <c r="BP661" s="102"/>
      <c r="BQ661" s="102"/>
      <c r="BR661" s="102"/>
      <c r="BS661" s="102"/>
      <c r="BT661" s="102"/>
      <c r="BU661" s="102"/>
      <c r="BV661" s="102"/>
      <c r="BW661" s="102"/>
      <c r="BX661" s="102"/>
      <c r="BY661" s="94"/>
      <c r="BZ661" s="94"/>
      <c r="CA661" s="94"/>
      <c r="CB661" s="94"/>
      <c r="CC661" s="94"/>
      <c r="CD661" s="94"/>
      <c r="CE661" s="94"/>
      <c r="CF661" s="94"/>
      <c r="CG661" s="94"/>
      <c r="CH661" s="94"/>
      <c r="CI661" s="94"/>
      <c r="CJ661" s="94"/>
      <c r="CK661" s="94" t="str">
        <f>" " &amp; TEXT(AF661,"#0.00%") &amp; " " &amp; "Deck Lifter lifting &amp; Alignment" &amp; " " &amp; IF(Q661="","",TEXT(Q661,"M/D-")) &amp; IF(R661="","",TEXT(R661,"M/D")) &amp; " "</f>
        <v xml:space="preserve"> 0.00% Deck Lifter lifting &amp; Alignment  </v>
      </c>
      <c r="CL661" s="94"/>
      <c r="CM661" s="94"/>
      <c r="CN661" s="94"/>
      <c r="CO661" s="94"/>
      <c r="CP661" s="94"/>
      <c r="CQ661" s="94"/>
      <c r="CR661" s="94"/>
      <c r="CS661" s="94"/>
      <c r="CT661" s="94"/>
      <c r="CU661" s="94"/>
      <c r="CV661" s="94"/>
      <c r="CW661" s="94"/>
      <c r="CX661" s="94"/>
      <c r="CY661" s="94"/>
      <c r="CZ661" s="94"/>
      <c r="DA661" s="94"/>
      <c r="DB661" s="94"/>
      <c r="DC661" s="94"/>
      <c r="DD661" s="94"/>
      <c r="DE661" s="94"/>
      <c r="DF661" s="94"/>
      <c r="DG661" s="94"/>
      <c r="DH661" s="94"/>
      <c r="DI661" s="94"/>
      <c r="DJ661" s="94"/>
      <c r="DK661" s="94"/>
      <c r="DL661" s="94"/>
      <c r="DM661" s="94"/>
      <c r="DN661" s="94"/>
      <c r="DO661" s="94"/>
      <c r="DP661" s="94"/>
      <c r="DQ661" s="94"/>
    </row>
    <row r="662" spans="1:121" ht="15" customHeight="1" outlineLevel="3" x14ac:dyDescent="0.3">
      <c r="A662" s="100"/>
      <c r="B662" s="100"/>
      <c r="C662" s="99">
        <v>4</v>
      </c>
      <c r="D662" s="98" t="s">
        <v>603</v>
      </c>
      <c r="H662" s="77" t="s">
        <v>582</v>
      </c>
      <c r="O662" s="94" t="s">
        <v>506</v>
      </c>
      <c r="Q662" s="97"/>
      <c r="R662" s="97"/>
      <c r="AB662" s="72">
        <v>1</v>
      </c>
      <c r="AE662" s="96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94"/>
      <c r="BZ662" s="94"/>
      <c r="CA662" s="94"/>
      <c r="CB662" s="94"/>
      <c r="CC662" s="94"/>
      <c r="CD662" s="94"/>
      <c r="CE662" s="94"/>
      <c r="CF662" s="94"/>
      <c r="CG662" s="94"/>
      <c r="CH662" s="94"/>
      <c r="CI662" s="94"/>
      <c r="CJ662" s="94"/>
      <c r="CK662" s="94" t="str">
        <f>"    " &amp; TEXT(AF662,"#0.00%") &amp; " " &amp; "Deck CV Center Line Marking" &amp; " " &amp; IF(Q662="","",TEXT(Q662,"M/D-")) &amp; IF(R662="","",TEXT(R662,"M/D")) &amp; " "</f>
        <v xml:space="preserve">    0.00% Deck CV Center Line Marking  </v>
      </c>
      <c r="CL662" s="94"/>
      <c r="CM662" s="94"/>
      <c r="CN662" s="94"/>
      <c r="CO662" s="94"/>
      <c r="CP662" s="94"/>
      <c r="CQ662" s="94"/>
      <c r="CR662" s="94"/>
      <c r="CS662" s="94"/>
      <c r="CT662" s="94"/>
      <c r="CU662" s="94"/>
      <c r="CV662" s="94"/>
      <c r="CW662" s="94"/>
      <c r="CX662" s="94"/>
      <c r="CY662" s="94"/>
      <c r="CZ662" s="94"/>
      <c r="DA662" s="94"/>
      <c r="DB662" s="94"/>
      <c r="DC662" s="94"/>
      <c r="DD662" s="94"/>
      <c r="DE662" s="94"/>
      <c r="DF662" s="94"/>
      <c r="DG662" s="94"/>
      <c r="DH662" s="94"/>
      <c r="DI662" s="94"/>
      <c r="DJ662" s="94"/>
      <c r="DK662" s="94"/>
      <c r="DL662" s="94"/>
      <c r="DM662" s="94"/>
      <c r="DN662" s="94"/>
      <c r="DO662" s="94"/>
      <c r="DP662" s="94"/>
      <c r="DQ662" s="94"/>
    </row>
    <row r="663" spans="1:121" ht="15" customHeight="1" outlineLevel="3" x14ac:dyDescent="0.3">
      <c r="A663" s="100"/>
      <c r="B663" s="100"/>
      <c r="C663" s="99">
        <v>4</v>
      </c>
      <c r="D663" s="98" t="s">
        <v>602</v>
      </c>
      <c r="H663" s="77" t="s">
        <v>580</v>
      </c>
      <c r="O663" s="94" t="s">
        <v>515</v>
      </c>
      <c r="Q663" s="97"/>
      <c r="R663" s="97"/>
      <c r="AB663" s="72">
        <v>1</v>
      </c>
      <c r="AE663" s="96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94"/>
      <c r="BZ663" s="94"/>
      <c r="CA663" s="94"/>
      <c r="CB663" s="94"/>
      <c r="CC663" s="94"/>
      <c r="CD663" s="94"/>
      <c r="CE663" s="94"/>
      <c r="CF663" s="94"/>
      <c r="CG663" s="94"/>
      <c r="CH663" s="94"/>
      <c r="CI663" s="94"/>
      <c r="CJ663" s="94"/>
      <c r="CK663" s="94" t="str">
        <f>"     " &amp; TEXT(AF663,"#0.00%") &amp; " " &amp; "Incoming PassBox &amp; Install" &amp; " " &amp; IF(Q663="","",TEXT(Q663,"M/D-")) &amp; IF(R663="","",TEXT(R663,"M/D")) &amp; " "</f>
        <v xml:space="preserve">     0.00% Incoming PassBox &amp; Install  </v>
      </c>
      <c r="CL663" s="94"/>
      <c r="CM663" s="94"/>
      <c r="CN663" s="94"/>
      <c r="CO663" s="94"/>
      <c r="CP663" s="94"/>
      <c r="CQ663" s="94"/>
      <c r="CR663" s="94"/>
      <c r="CS663" s="94"/>
      <c r="CT663" s="94"/>
      <c r="CU663" s="94"/>
      <c r="CV663" s="94"/>
      <c r="CW663" s="94"/>
      <c r="CX663" s="94"/>
      <c r="CY663" s="94"/>
      <c r="CZ663" s="94"/>
      <c r="DA663" s="94"/>
      <c r="DB663" s="94"/>
      <c r="DC663" s="94"/>
      <c r="DD663" s="94"/>
      <c r="DE663" s="94"/>
      <c r="DF663" s="94"/>
      <c r="DG663" s="94"/>
      <c r="DH663" s="94"/>
      <c r="DI663" s="94"/>
      <c r="DJ663" s="94"/>
      <c r="DK663" s="94"/>
      <c r="DL663" s="94"/>
      <c r="DM663" s="94"/>
      <c r="DN663" s="94"/>
      <c r="DO663" s="94"/>
      <c r="DP663" s="94"/>
      <c r="DQ663" s="94"/>
    </row>
    <row r="664" spans="1:121" ht="15" customHeight="1" outlineLevel="3" x14ac:dyDescent="0.3">
      <c r="A664" s="100"/>
      <c r="B664" s="100"/>
      <c r="C664" s="99">
        <v>4</v>
      </c>
      <c r="D664" s="98" t="s">
        <v>601</v>
      </c>
      <c r="H664" s="77" t="s">
        <v>600</v>
      </c>
      <c r="O664" s="94" t="s">
        <v>515</v>
      </c>
      <c r="Q664" s="97"/>
      <c r="R664" s="97"/>
      <c r="AB664" s="72">
        <v>1</v>
      </c>
      <c r="AE664" s="96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94"/>
      <c r="BZ664" s="94"/>
      <c r="CA664" s="94"/>
      <c r="CB664" s="94"/>
      <c r="CC664" s="94"/>
      <c r="CD664" s="94"/>
      <c r="CE664" s="94"/>
      <c r="CF664" s="94"/>
      <c r="CG664" s="94"/>
      <c r="CH664" s="94"/>
      <c r="CI664" s="94"/>
      <c r="CJ664" s="94"/>
      <c r="CK664" s="94"/>
      <c r="CL664" s="94" t="str">
        <f>"" &amp; TEXT(AF664,"#0.00%") &amp; " " &amp; "Install Horizontal Shutter" &amp; " " &amp; IF(Q664="","",TEXT(Q664,"M/D-")) &amp; IF(R664="","",TEXT(R664,"M/D")) &amp; " "</f>
        <v xml:space="preserve">0.00% Install Horizontal Shutter  </v>
      </c>
      <c r="CM664" s="94"/>
      <c r="CN664" s="94"/>
      <c r="CO664" s="94"/>
      <c r="CP664" s="94"/>
      <c r="CQ664" s="94"/>
      <c r="CR664" s="94"/>
      <c r="CS664" s="94"/>
      <c r="CT664" s="94"/>
      <c r="CU664" s="94"/>
      <c r="CV664" s="94"/>
      <c r="CW664" s="94"/>
      <c r="CX664" s="94"/>
      <c r="CY664" s="94"/>
      <c r="CZ664" s="94"/>
      <c r="DA664" s="94"/>
      <c r="DB664" s="94"/>
      <c r="DC664" s="94"/>
      <c r="DD664" s="94"/>
      <c r="DE664" s="94"/>
      <c r="DF664" s="94"/>
      <c r="DG664" s="94"/>
      <c r="DH664" s="94"/>
      <c r="DI664" s="94"/>
      <c r="DJ664" s="94"/>
      <c r="DK664" s="94"/>
      <c r="DL664" s="94"/>
      <c r="DM664" s="94"/>
      <c r="DN664" s="94"/>
      <c r="DO664" s="94"/>
      <c r="DP664" s="94"/>
      <c r="DQ664" s="94"/>
    </row>
    <row r="665" spans="1:121" ht="15" customHeight="1" outlineLevel="3" x14ac:dyDescent="0.3">
      <c r="A665" s="100"/>
      <c r="B665" s="100"/>
      <c r="C665" s="99">
        <v>4</v>
      </c>
      <c r="D665" s="98" t="s">
        <v>599</v>
      </c>
      <c r="H665" s="77" t="s">
        <v>528</v>
      </c>
      <c r="O665" s="94" t="s">
        <v>506</v>
      </c>
      <c r="Q665" s="97"/>
      <c r="R665" s="97"/>
      <c r="AB665" s="72">
        <v>1</v>
      </c>
      <c r="AE665" s="96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94"/>
      <c r="BZ665" s="94"/>
      <c r="CA665" s="94"/>
      <c r="CB665" s="94"/>
      <c r="CC665" s="94"/>
      <c r="CD665" s="94"/>
      <c r="CE665" s="94"/>
      <c r="CF665" s="94"/>
      <c r="CG665" s="94"/>
      <c r="CH665" s="94"/>
      <c r="CI665" s="94"/>
      <c r="CJ665" s="94"/>
      <c r="CK665" s="94"/>
      <c r="CL665" s="94" t="str">
        <f>"  " &amp; TEXT(AF665,"#0.00%") &amp; " " &amp; "Check Track Number" &amp; " " &amp; IF(Q665="","",TEXT(Q665,"M/D-")) &amp; IF(R665="","",TEXT(R665,"M/D")) &amp; " "</f>
        <v xml:space="preserve">  0.00% Check Track Number  </v>
      </c>
      <c r="CM665" s="94"/>
      <c r="CN665" s="94"/>
      <c r="CO665" s="94"/>
      <c r="CP665" s="94"/>
      <c r="CQ665" s="94"/>
      <c r="CR665" s="94"/>
      <c r="CS665" s="94"/>
      <c r="CT665" s="94"/>
      <c r="CU665" s="94"/>
      <c r="CV665" s="94"/>
      <c r="CW665" s="94"/>
      <c r="CX665" s="94"/>
      <c r="CY665" s="94"/>
      <c r="CZ665" s="94"/>
      <c r="DA665" s="94"/>
      <c r="DB665" s="94"/>
      <c r="DC665" s="94"/>
      <c r="DD665" s="94"/>
      <c r="DE665" s="94"/>
      <c r="DF665" s="94"/>
      <c r="DG665" s="94"/>
      <c r="DH665" s="94"/>
      <c r="DI665" s="94"/>
      <c r="DJ665" s="94"/>
      <c r="DK665" s="94"/>
      <c r="DL665" s="94"/>
      <c r="DM665" s="94"/>
      <c r="DN665" s="94"/>
      <c r="DO665" s="94"/>
      <c r="DP665" s="94"/>
      <c r="DQ665" s="94"/>
    </row>
    <row r="666" spans="1:121" ht="15" customHeight="1" outlineLevel="3" x14ac:dyDescent="0.3">
      <c r="A666" s="100"/>
      <c r="B666" s="100"/>
      <c r="C666" s="99">
        <v>4</v>
      </c>
      <c r="D666" s="98" t="s">
        <v>598</v>
      </c>
      <c r="H666" s="77" t="s">
        <v>577</v>
      </c>
      <c r="O666" s="94" t="s">
        <v>506</v>
      </c>
      <c r="Q666" s="97"/>
      <c r="R666" s="97"/>
      <c r="AB666" s="72">
        <v>1</v>
      </c>
      <c r="AE666" s="96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94"/>
      <c r="BZ666" s="94"/>
      <c r="CA666" s="94"/>
      <c r="CB666" s="94"/>
      <c r="CC666" s="94"/>
      <c r="CD666" s="94"/>
      <c r="CE666" s="94"/>
      <c r="CF666" s="94"/>
      <c r="CG666" s="94"/>
      <c r="CH666" s="94"/>
      <c r="CI666" s="94"/>
      <c r="CJ666" s="94"/>
      <c r="CK666" s="94"/>
      <c r="CL666" s="94" t="str">
        <f>"   " &amp; TEXT(AF666,"#0.00%") &amp; " " &amp; "Install CV" &amp; " " &amp; IF(Q666="","",TEXT(Q666,"M/D-")) &amp; IF(R666="","",TEXT(R666,"M/D")) &amp; " "</f>
        <v xml:space="preserve">   0.00% Install CV  </v>
      </c>
      <c r="CM666" s="94"/>
      <c r="CN666" s="94"/>
      <c r="CO666" s="94"/>
      <c r="CP666" s="94"/>
      <c r="CQ666" s="94"/>
      <c r="CR666" s="94"/>
      <c r="CS666" s="94"/>
      <c r="CT666" s="94"/>
      <c r="CU666" s="94"/>
      <c r="CV666" s="94"/>
      <c r="CW666" s="94"/>
      <c r="CX666" s="94"/>
      <c r="CY666" s="94"/>
      <c r="CZ666" s="94"/>
      <c r="DA666" s="94"/>
      <c r="DB666" s="94"/>
      <c r="DC666" s="94"/>
      <c r="DD666" s="94"/>
      <c r="DE666" s="94"/>
      <c r="DF666" s="94"/>
      <c r="DG666" s="94"/>
      <c r="DH666" s="94"/>
      <c r="DI666" s="94"/>
      <c r="DJ666" s="94"/>
      <c r="DK666" s="94"/>
      <c r="DL666" s="94"/>
      <c r="DM666" s="94"/>
      <c r="DN666" s="94"/>
      <c r="DO666" s="94"/>
      <c r="DP666" s="94"/>
      <c r="DQ666" s="94"/>
    </row>
    <row r="667" spans="1:121" ht="15" customHeight="1" outlineLevel="3" x14ac:dyDescent="0.3">
      <c r="A667" s="100"/>
      <c r="B667" s="100"/>
      <c r="C667" s="99">
        <v>4</v>
      </c>
      <c r="D667" s="98" t="s">
        <v>597</v>
      </c>
      <c r="H667" s="77" t="s">
        <v>511</v>
      </c>
      <c r="O667" s="94" t="s">
        <v>506</v>
      </c>
      <c r="Q667" s="97"/>
      <c r="R667" s="97"/>
      <c r="AB667" s="72">
        <v>1</v>
      </c>
      <c r="AE667" s="96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94"/>
      <c r="BZ667" s="94"/>
      <c r="CA667" s="94"/>
      <c r="CB667" s="94"/>
      <c r="CC667" s="94"/>
      <c r="CD667" s="94"/>
      <c r="CE667" s="94"/>
      <c r="CF667" s="94"/>
      <c r="CG667" s="94"/>
      <c r="CH667" s="94"/>
      <c r="CI667" s="94"/>
      <c r="CJ667" s="94"/>
      <c r="CK667" s="94"/>
      <c r="CL667" s="94"/>
      <c r="CM667" s="94" t="str">
        <f>" " &amp; TEXT(AF667,"#0.00%") &amp; " " &amp; "Check C/V Level  Center Line" &amp; " " &amp; IF(Q667="","",TEXT(Q667,"M/D-")) &amp; IF(R667="","",TEXT(R667,"M/D")) &amp; " "</f>
        <v xml:space="preserve"> 0.00% Check C/V Level  Center Line  </v>
      </c>
      <c r="CN667" s="94"/>
      <c r="CO667" s="94"/>
      <c r="CP667" s="94"/>
      <c r="CQ667" s="94"/>
      <c r="CR667" s="94"/>
      <c r="CS667" s="94"/>
      <c r="CT667" s="94"/>
      <c r="CU667" s="94"/>
      <c r="CV667" s="94"/>
      <c r="CW667" s="94"/>
      <c r="CX667" s="94"/>
      <c r="CY667" s="94"/>
      <c r="CZ667" s="94"/>
      <c r="DA667" s="94"/>
      <c r="DB667" s="94"/>
      <c r="DC667" s="94"/>
      <c r="DD667" s="94"/>
      <c r="DE667" s="94"/>
      <c r="DF667" s="94"/>
      <c r="DG667" s="94"/>
      <c r="DH667" s="94"/>
      <c r="DI667" s="94"/>
      <c r="DJ667" s="94"/>
      <c r="DK667" s="94"/>
      <c r="DL667" s="94"/>
      <c r="DM667" s="94"/>
      <c r="DN667" s="94"/>
      <c r="DO667" s="94"/>
      <c r="DP667" s="94"/>
      <c r="DQ667" s="94"/>
    </row>
    <row r="668" spans="1:121" ht="15" customHeight="1" outlineLevel="3" x14ac:dyDescent="0.3">
      <c r="A668" s="100"/>
      <c r="B668" s="100"/>
      <c r="C668" s="99">
        <v>4</v>
      </c>
      <c r="D668" s="98" t="s">
        <v>596</v>
      </c>
      <c r="H668" s="77" t="s">
        <v>509</v>
      </c>
      <c r="O668" s="94" t="s">
        <v>506</v>
      </c>
      <c r="Q668" s="97"/>
      <c r="R668" s="97"/>
      <c r="AB668" s="72">
        <v>1</v>
      </c>
      <c r="AE668" s="96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94"/>
      <c r="BZ668" s="94"/>
      <c r="CA668" s="94"/>
      <c r="CB668" s="94"/>
      <c r="CC668" s="94"/>
      <c r="CD668" s="94"/>
      <c r="CE668" s="94"/>
      <c r="CF668" s="94"/>
      <c r="CG668" s="94"/>
      <c r="CH668" s="94"/>
      <c r="CI668" s="94"/>
      <c r="CJ668" s="94"/>
      <c r="CK668" s="94"/>
      <c r="CL668" s="94"/>
      <c r="CM668" s="94" t="str">
        <f>"  " &amp; TEXT(AF668,"#0.00%") &amp; " " &amp; "C/V Anchor" &amp; " " &amp; IF(Q668="","",TEXT(Q668,"M/D-")) &amp; IF(R668="","",TEXT(R668,"M/D")) &amp; " "</f>
        <v xml:space="preserve">  0.00% C/V Anchor  </v>
      </c>
      <c r="CN668" s="94"/>
      <c r="CO668" s="94"/>
      <c r="CP668" s="94"/>
      <c r="CQ668" s="94"/>
      <c r="CR668" s="94"/>
      <c r="CS668" s="94"/>
      <c r="CT668" s="94"/>
      <c r="CU668" s="94"/>
      <c r="CV668" s="94"/>
      <c r="CW668" s="94"/>
      <c r="CX668" s="94"/>
      <c r="CY668" s="94"/>
      <c r="CZ668" s="94"/>
      <c r="DA668" s="94"/>
      <c r="DB668" s="94"/>
      <c r="DC668" s="94"/>
      <c r="DD668" s="94"/>
      <c r="DE668" s="94"/>
      <c r="DF668" s="94"/>
      <c r="DG668" s="94"/>
      <c r="DH668" s="94"/>
      <c r="DI668" s="94"/>
      <c r="DJ668" s="94"/>
      <c r="DK668" s="94"/>
      <c r="DL668" s="94"/>
      <c r="DM668" s="94"/>
      <c r="DN668" s="94"/>
      <c r="DO668" s="94"/>
      <c r="DP668" s="94"/>
      <c r="DQ668" s="94"/>
    </row>
    <row r="669" spans="1:121" ht="15" customHeight="1" outlineLevel="3" x14ac:dyDescent="0.3">
      <c r="A669" s="100"/>
      <c r="B669" s="100"/>
      <c r="C669" s="99">
        <v>4</v>
      </c>
      <c r="D669" s="98" t="s">
        <v>595</v>
      </c>
      <c r="H669" s="77" t="s">
        <v>507</v>
      </c>
      <c r="O669" s="94" t="s">
        <v>506</v>
      </c>
      <c r="Q669" s="97"/>
      <c r="R669" s="97"/>
      <c r="AB669" s="72">
        <v>1</v>
      </c>
      <c r="AE669" s="96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94"/>
      <c r="BZ669" s="94"/>
      <c r="CA669" s="94"/>
      <c r="CB669" s="94"/>
      <c r="CC669" s="94"/>
      <c r="CD669" s="94"/>
      <c r="CE669" s="94"/>
      <c r="CF669" s="94"/>
      <c r="CG669" s="94"/>
      <c r="CH669" s="94"/>
      <c r="CI669" s="94"/>
      <c r="CJ669" s="94"/>
      <c r="CK669" s="94"/>
      <c r="CL669" s="94"/>
      <c r="CM669" s="94" t="str">
        <f>"   " &amp; TEXT(AF669,"#0.00%") &amp; " " &amp; "Install Stair" &amp; " " &amp; IF(Q669="","",TEXT(Q669,"M/D-")) &amp; IF(R669="","",TEXT(R669,"M/D")) &amp; " "</f>
        <v xml:space="preserve">   0.00% Install Stair  </v>
      </c>
      <c r="CN669" s="94"/>
      <c r="CO669" s="94"/>
      <c r="CP669" s="94"/>
      <c r="CQ669" s="94"/>
      <c r="CR669" s="94"/>
      <c r="CS669" s="94"/>
      <c r="CT669" s="94"/>
      <c r="CU669" s="94"/>
      <c r="CV669" s="94"/>
      <c r="CW669" s="94"/>
      <c r="CX669" s="94"/>
      <c r="CY669" s="94"/>
      <c r="CZ669" s="94"/>
      <c r="DA669" s="94"/>
      <c r="DB669" s="94"/>
      <c r="DC669" s="94"/>
      <c r="DD669" s="94"/>
      <c r="DE669" s="94"/>
      <c r="DF669" s="94"/>
      <c r="DG669" s="94"/>
      <c r="DH669" s="94"/>
      <c r="DI669" s="94"/>
      <c r="DJ669" s="94"/>
      <c r="DK669" s="94"/>
      <c r="DL669" s="94"/>
      <c r="DM669" s="94"/>
      <c r="DN669" s="94"/>
      <c r="DO669" s="94"/>
      <c r="DP669" s="94"/>
      <c r="DQ669" s="94"/>
    </row>
    <row r="670" spans="1:121" ht="15" customHeight="1" outlineLevel="2" x14ac:dyDescent="0.3">
      <c r="A670" s="100"/>
      <c r="B670" s="100" t="s">
        <v>298</v>
      </c>
      <c r="C670" s="99">
        <v>3</v>
      </c>
      <c r="D670" s="98" t="s">
        <v>594</v>
      </c>
      <c r="G670" s="77" t="s">
        <v>593</v>
      </c>
      <c r="O670" s="94" t="s">
        <v>354</v>
      </c>
      <c r="Q670" s="97"/>
      <c r="R670" s="97"/>
      <c r="AE670" s="96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94"/>
      <c r="BZ670" s="94"/>
      <c r="CA670" s="94"/>
      <c r="CB670" s="94"/>
      <c r="CC670" s="94"/>
      <c r="CD670" s="94"/>
      <c r="CE670" s="94"/>
      <c r="CF670" s="94"/>
      <c r="CG670" s="94"/>
      <c r="CH670" s="94" t="str">
        <f>"     " &amp; TEXT(AF670,"#0.00%") &amp; " "</f>
        <v xml:space="preserve">     0.00% </v>
      </c>
      <c r="CI670" s="94"/>
      <c r="CJ670" s="94"/>
      <c r="CK670" s="94"/>
      <c r="CL670" s="94"/>
      <c r="CM670" s="94" t="str">
        <f>"     " &amp; "Interconnect(Aging)" &amp; " " &amp; IF(Q670="","",TEXT(Q670,"M/D-")) &amp; IF(R670="","",TEXT(R670,"M/D")) &amp; " "</f>
        <v xml:space="preserve">     Interconnect(Aging)  </v>
      </c>
      <c r="CN670" s="94"/>
      <c r="CO670" s="94"/>
      <c r="CP670" s="94"/>
      <c r="CQ670" s="94"/>
      <c r="CR670" s="94"/>
      <c r="CS670" s="94"/>
      <c r="CT670" s="94"/>
      <c r="CU670" s="94"/>
      <c r="CV670" s="94"/>
      <c r="CW670" s="94"/>
      <c r="CX670" s="94"/>
      <c r="CY670" s="94"/>
      <c r="CZ670" s="94"/>
      <c r="DA670" s="94"/>
      <c r="DB670" s="94"/>
      <c r="DC670" s="94"/>
      <c r="DD670" s="94"/>
      <c r="DE670" s="94"/>
      <c r="DF670" s="94"/>
      <c r="DG670" s="94"/>
      <c r="DH670" s="94"/>
      <c r="DI670" s="94"/>
      <c r="DJ670" s="94"/>
      <c r="DK670" s="94"/>
      <c r="DL670" s="94"/>
      <c r="DM670" s="94"/>
      <c r="DN670" s="94"/>
      <c r="DO670" s="94"/>
      <c r="DP670" s="94"/>
      <c r="DQ670" s="94"/>
    </row>
    <row r="671" spans="1:121" ht="15" customHeight="1" outlineLevel="3" x14ac:dyDescent="0.3">
      <c r="A671" s="100"/>
      <c r="B671" s="100"/>
      <c r="C671" s="99">
        <v>4</v>
      </c>
      <c r="D671" s="98" t="s">
        <v>592</v>
      </c>
      <c r="H671" s="77" t="s">
        <v>534</v>
      </c>
      <c r="O671" s="94" t="s">
        <v>506</v>
      </c>
      <c r="Q671" s="97"/>
      <c r="R671" s="97"/>
      <c r="AB671" s="72">
        <v>1</v>
      </c>
      <c r="AE671" s="96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  <c r="BI671" s="102"/>
      <c r="BJ671" s="102"/>
      <c r="BK671" s="102"/>
      <c r="BL671" s="102"/>
      <c r="BM671" s="102"/>
      <c r="BN671" s="102"/>
      <c r="BO671" s="102"/>
      <c r="BP671" s="102"/>
      <c r="BQ671" s="102"/>
      <c r="BR671" s="102"/>
      <c r="BS671" s="102"/>
      <c r="BT671" s="102"/>
      <c r="BU671" s="102"/>
      <c r="BV671" s="102"/>
      <c r="BW671" s="102"/>
      <c r="BX671" s="102"/>
      <c r="BY671" s="94"/>
      <c r="BZ671" s="94"/>
      <c r="CA671" s="94"/>
      <c r="CB671" s="94"/>
      <c r="CC671" s="94"/>
      <c r="CD671" s="94"/>
      <c r="CE671" s="94"/>
      <c r="CF671" s="94"/>
      <c r="CG671" s="94"/>
      <c r="CH671" s="94" t="str">
        <f>"     " &amp; TEXT(AF671,"#0.00%") &amp; " " &amp; "Line Marking" &amp; " " &amp; IF(Q671="","",TEXT(Q671,"M/D-")) &amp; IF(R671="","",TEXT(R671,"M/D")) &amp; " "</f>
        <v xml:space="preserve">     0.00% Line Marking  </v>
      </c>
      <c r="CI671" s="94"/>
      <c r="CJ671" s="94"/>
      <c r="CK671" s="94"/>
      <c r="CL671" s="94"/>
      <c r="CM671" s="94"/>
      <c r="CN671" s="94"/>
      <c r="CO671" s="94"/>
      <c r="CP671" s="94"/>
      <c r="CQ671" s="94"/>
      <c r="CR671" s="94"/>
      <c r="CS671" s="94"/>
      <c r="CT671" s="94"/>
      <c r="CU671" s="94"/>
      <c r="CV671" s="94"/>
      <c r="CW671" s="94"/>
      <c r="CX671" s="94"/>
      <c r="CY671" s="94"/>
      <c r="CZ671" s="94"/>
      <c r="DA671" s="94"/>
      <c r="DB671" s="94"/>
      <c r="DC671" s="94"/>
      <c r="DD671" s="94"/>
      <c r="DE671" s="94"/>
      <c r="DF671" s="94"/>
      <c r="DG671" s="94"/>
      <c r="DH671" s="94"/>
      <c r="DI671" s="94"/>
      <c r="DJ671" s="94"/>
      <c r="DK671" s="94"/>
      <c r="DL671" s="94"/>
      <c r="DM671" s="94"/>
      <c r="DN671" s="94"/>
      <c r="DO671" s="94"/>
      <c r="DP671" s="94"/>
      <c r="DQ671" s="94"/>
    </row>
    <row r="672" spans="1:121" ht="15" customHeight="1" outlineLevel="3" x14ac:dyDescent="0.3">
      <c r="A672" s="100"/>
      <c r="B672" s="100"/>
      <c r="C672" s="99">
        <v>4</v>
      </c>
      <c r="D672" s="98" t="s">
        <v>591</v>
      </c>
      <c r="H672" s="77" t="s">
        <v>532</v>
      </c>
      <c r="O672" s="94" t="s">
        <v>506</v>
      </c>
      <c r="Q672" s="97"/>
      <c r="R672" s="97"/>
      <c r="AB672" s="72">
        <v>1</v>
      </c>
      <c r="AE672" s="96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  <c r="BI672" s="102"/>
      <c r="BJ672" s="102"/>
      <c r="BK672" s="102"/>
      <c r="BL672" s="102"/>
      <c r="BM672" s="102"/>
      <c r="BN672" s="102"/>
      <c r="BO672" s="102"/>
      <c r="BP672" s="102"/>
      <c r="BQ672" s="102"/>
      <c r="BR672" s="102"/>
      <c r="BS672" s="102"/>
      <c r="BT672" s="102"/>
      <c r="BU672" s="102"/>
      <c r="BV672" s="102"/>
      <c r="BW672" s="102"/>
      <c r="BX672" s="102"/>
      <c r="BY672" s="94"/>
      <c r="BZ672" s="94"/>
      <c r="CA672" s="94"/>
      <c r="CB672" s="94"/>
      <c r="CC672" s="94"/>
      <c r="CD672" s="94"/>
      <c r="CE672" s="94"/>
      <c r="CF672" s="94"/>
      <c r="CG672" s="94"/>
      <c r="CH672" s="94"/>
      <c r="CI672" s="94" t="str">
        <f>"" &amp; TEXT(AF672,"#0.00%") &amp; " " &amp; "Check Line Marking" &amp; " " &amp; IF(Q672="","",TEXT(Q672,"M/D-")) &amp; IF(R672="","",TEXT(R672,"M/D")) &amp; " "</f>
        <v xml:space="preserve">0.00% Check Line Marking  </v>
      </c>
      <c r="CJ672" s="94"/>
      <c r="CK672" s="94"/>
      <c r="CL672" s="94"/>
      <c r="CM672" s="94"/>
      <c r="CN672" s="94"/>
      <c r="CO672" s="94"/>
      <c r="CP672" s="94"/>
      <c r="CQ672" s="94"/>
      <c r="CR672" s="94"/>
      <c r="CS672" s="94"/>
      <c r="CT672" s="94"/>
      <c r="CU672" s="94"/>
      <c r="CV672" s="94"/>
      <c r="CW672" s="94"/>
      <c r="CX672" s="94"/>
      <c r="CY672" s="94"/>
      <c r="CZ672" s="94"/>
      <c r="DA672" s="94"/>
      <c r="DB672" s="94"/>
      <c r="DC672" s="94"/>
      <c r="DD672" s="94"/>
      <c r="DE672" s="94"/>
      <c r="DF672" s="94"/>
      <c r="DG672" s="94"/>
      <c r="DH672" s="94"/>
      <c r="DI672" s="94"/>
      <c r="DJ672" s="94"/>
      <c r="DK672" s="94"/>
      <c r="DL672" s="94"/>
      <c r="DM672" s="94"/>
      <c r="DN672" s="94"/>
      <c r="DO672" s="94"/>
      <c r="DP672" s="94"/>
      <c r="DQ672" s="94"/>
    </row>
    <row r="673" spans="1:121" ht="15" customHeight="1" outlineLevel="3" x14ac:dyDescent="0.3">
      <c r="A673" s="100"/>
      <c r="B673" s="100"/>
      <c r="C673" s="99">
        <v>4</v>
      </c>
      <c r="D673" s="98" t="s">
        <v>590</v>
      </c>
      <c r="H673" s="77" t="s">
        <v>589</v>
      </c>
      <c r="O673" s="94" t="s">
        <v>506</v>
      </c>
      <c r="Q673" s="97"/>
      <c r="R673" s="97"/>
      <c r="AB673" s="72">
        <v>1</v>
      </c>
      <c r="AE673" s="96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94"/>
      <c r="BZ673" s="94"/>
      <c r="CA673" s="94"/>
      <c r="CB673" s="94"/>
      <c r="CC673" s="94"/>
      <c r="CD673" s="94"/>
      <c r="CE673" s="94"/>
      <c r="CF673" s="94"/>
      <c r="CG673" s="94"/>
      <c r="CH673" s="94"/>
      <c r="CI673" s="94" t="str">
        <f>"  " &amp; TEXT(AF673,"#0.00%") &amp; " " &amp; "Drilling Anchor Hole" &amp; " " &amp; IF(Q673="","",TEXT(Q673,"M/D-")) &amp; IF(R673="","",TEXT(R673,"M/D")) &amp; " "</f>
        <v xml:space="preserve">  0.00% Drilling Anchor Hole  </v>
      </c>
      <c r="CJ673" s="94"/>
      <c r="CK673" s="94"/>
      <c r="CL673" s="94"/>
      <c r="CM673" s="94"/>
      <c r="CN673" s="94"/>
      <c r="CO673" s="94"/>
      <c r="CP673" s="94"/>
      <c r="CQ673" s="94"/>
      <c r="CR673" s="94"/>
      <c r="CS673" s="94"/>
      <c r="CT673" s="94"/>
      <c r="CU673" s="94"/>
      <c r="CV673" s="94"/>
      <c r="CW673" s="94"/>
      <c r="CX673" s="94"/>
      <c r="CY673" s="94"/>
      <c r="CZ673" s="94"/>
      <c r="DA673" s="94"/>
      <c r="DB673" s="94"/>
      <c r="DC673" s="94"/>
      <c r="DD673" s="94"/>
      <c r="DE673" s="94"/>
      <c r="DF673" s="94"/>
      <c r="DG673" s="94"/>
      <c r="DH673" s="94"/>
      <c r="DI673" s="94"/>
      <c r="DJ673" s="94"/>
      <c r="DK673" s="94"/>
      <c r="DL673" s="94"/>
      <c r="DM673" s="94"/>
      <c r="DN673" s="94"/>
      <c r="DO673" s="94"/>
      <c r="DP673" s="94"/>
      <c r="DQ673" s="94"/>
    </row>
    <row r="674" spans="1:121" ht="15" customHeight="1" outlineLevel="3" x14ac:dyDescent="0.3">
      <c r="A674" s="100"/>
      <c r="B674" s="100"/>
      <c r="C674" s="99">
        <v>4</v>
      </c>
      <c r="D674" s="98" t="s">
        <v>588</v>
      </c>
      <c r="H674" s="77" t="s">
        <v>530</v>
      </c>
      <c r="O674" s="94" t="s">
        <v>506</v>
      </c>
      <c r="Q674" s="97"/>
      <c r="R674" s="97"/>
      <c r="AB674" s="72">
        <v>1</v>
      </c>
      <c r="AE674" s="96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94"/>
      <c r="BZ674" s="94"/>
      <c r="CA674" s="94"/>
      <c r="CB674" s="94"/>
      <c r="CC674" s="94"/>
      <c r="CD674" s="94"/>
      <c r="CE674" s="94"/>
      <c r="CF674" s="94"/>
      <c r="CG674" s="94"/>
      <c r="CH674" s="94"/>
      <c r="CI674" s="94" t="str">
        <f>"    " &amp; TEXT(AF674,"#0.00%") &amp; " " &amp; "Move In" &amp; " " &amp; IF(Q674="","",TEXT(Q674,"M/D-")) &amp; IF(R674="","",TEXT(R674,"M/D")) &amp; " "</f>
        <v xml:space="preserve">    0.00% Move In  </v>
      </c>
      <c r="CJ674" s="94"/>
      <c r="CK674" s="94"/>
      <c r="CL674" s="94"/>
      <c r="CM674" s="94"/>
      <c r="CN674" s="94"/>
      <c r="CO674" s="94"/>
      <c r="CP674" s="94"/>
      <c r="CQ674" s="94"/>
      <c r="CR674" s="94"/>
      <c r="CS674" s="94"/>
      <c r="CT674" s="94"/>
      <c r="CU674" s="94"/>
      <c r="CV674" s="94"/>
      <c r="CW674" s="94"/>
      <c r="CX674" s="94"/>
      <c r="CY674" s="94"/>
      <c r="CZ674" s="94"/>
      <c r="DA674" s="94"/>
      <c r="DB674" s="94"/>
      <c r="DC674" s="94"/>
      <c r="DD674" s="94"/>
      <c r="DE674" s="94"/>
      <c r="DF674" s="94"/>
      <c r="DG674" s="94"/>
      <c r="DH674" s="94"/>
      <c r="DI674" s="94"/>
      <c r="DJ674" s="94"/>
      <c r="DK674" s="94"/>
      <c r="DL674" s="94"/>
      <c r="DM674" s="94"/>
      <c r="DN674" s="94"/>
      <c r="DO674" s="94"/>
      <c r="DP674" s="94"/>
      <c r="DQ674" s="94"/>
    </row>
    <row r="675" spans="1:121" ht="15" customHeight="1" outlineLevel="3" x14ac:dyDescent="0.3">
      <c r="A675" s="100"/>
      <c r="B675" s="100"/>
      <c r="C675" s="99">
        <v>4</v>
      </c>
      <c r="D675" s="98" t="s">
        <v>587</v>
      </c>
      <c r="H675" s="77" t="s">
        <v>586</v>
      </c>
      <c r="O675" s="94" t="s">
        <v>515</v>
      </c>
      <c r="Q675" s="97"/>
      <c r="R675" s="97"/>
      <c r="AB675" s="72">
        <v>1</v>
      </c>
      <c r="AE675" s="96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94"/>
      <c r="BZ675" s="94"/>
      <c r="CA675" s="94"/>
      <c r="CB675" s="94"/>
      <c r="CC675" s="94"/>
      <c r="CD675" s="94"/>
      <c r="CE675" s="94"/>
      <c r="CF675" s="94"/>
      <c r="CG675" s="94"/>
      <c r="CH675" s="94"/>
      <c r="CI675" s="94" t="str">
        <f>"     " &amp; TEXT(AF675,"#0.00%") &amp; " " &amp; "Install Deck" &amp; " " &amp; IF(Q675="","",TEXT(Q675,"M/D-")) &amp; IF(R675="","",TEXT(R675,"M/D")) &amp; " "</f>
        <v xml:space="preserve">     0.00% Install Deck  </v>
      </c>
      <c r="CJ675" s="94"/>
      <c r="CK675" s="94"/>
      <c r="CL675" s="94"/>
      <c r="CM675" s="94"/>
      <c r="CN675" s="94"/>
      <c r="CO675" s="94"/>
      <c r="CP675" s="94"/>
      <c r="CQ675" s="94"/>
      <c r="CR675" s="94"/>
      <c r="CS675" s="94"/>
      <c r="CT675" s="94"/>
      <c r="CU675" s="94"/>
      <c r="CV675" s="94"/>
      <c r="CW675" s="94"/>
      <c r="CX675" s="94"/>
      <c r="CY675" s="94"/>
      <c r="CZ675" s="94"/>
      <c r="DA675" s="94"/>
      <c r="DB675" s="94"/>
      <c r="DC675" s="94"/>
      <c r="DD675" s="94"/>
      <c r="DE675" s="94"/>
      <c r="DF675" s="94"/>
      <c r="DG675" s="94"/>
      <c r="DH675" s="94"/>
      <c r="DI675" s="94"/>
      <c r="DJ675" s="94"/>
      <c r="DK675" s="94"/>
      <c r="DL675" s="94"/>
      <c r="DM675" s="94"/>
      <c r="DN675" s="94"/>
      <c r="DO675" s="94"/>
      <c r="DP675" s="94"/>
      <c r="DQ675" s="94"/>
    </row>
    <row r="676" spans="1:121" ht="15" customHeight="1" outlineLevel="3" x14ac:dyDescent="0.3">
      <c r="A676" s="100"/>
      <c r="B676" s="100"/>
      <c r="C676" s="99">
        <v>4</v>
      </c>
      <c r="D676" s="98" t="s">
        <v>585</v>
      </c>
      <c r="H676" s="77" t="s">
        <v>584</v>
      </c>
      <c r="O676" s="94" t="s">
        <v>518</v>
      </c>
      <c r="Q676" s="97"/>
      <c r="R676" s="97"/>
      <c r="AB676" s="72">
        <v>1</v>
      </c>
      <c r="AE676" s="96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94"/>
      <c r="BZ676" s="94"/>
      <c r="CA676" s="94"/>
      <c r="CB676" s="94"/>
      <c r="CC676" s="94"/>
      <c r="CD676" s="94"/>
      <c r="CE676" s="94"/>
      <c r="CF676" s="94"/>
      <c r="CG676" s="94"/>
      <c r="CH676" s="94"/>
      <c r="CI676" s="94"/>
      <c r="CJ676" s="94" t="str">
        <f>"      " &amp; TEXT(AF676,"#0.00%") &amp; " " &amp; "Deck Lifter lifting &amp; Alignment" &amp; " " &amp; IF(Q676="","",TEXT(Q676,"M/D-")) &amp; IF(R676="","",TEXT(R676,"M/D")) &amp; " "</f>
        <v xml:space="preserve">      0.00% Deck Lifter lifting &amp; Alignment  </v>
      </c>
      <c r="CK676" s="94"/>
      <c r="CL676" s="94"/>
      <c r="CM676" s="94"/>
      <c r="CN676" s="94"/>
      <c r="CO676" s="94"/>
      <c r="CP676" s="94"/>
      <c r="CQ676" s="94"/>
      <c r="CR676" s="94"/>
      <c r="CS676" s="94"/>
      <c r="CT676" s="94"/>
      <c r="CU676" s="94"/>
      <c r="CV676" s="94"/>
      <c r="CW676" s="94"/>
      <c r="CX676" s="94"/>
      <c r="CY676" s="94"/>
      <c r="CZ676" s="94"/>
      <c r="DA676" s="94"/>
      <c r="DB676" s="94"/>
      <c r="DC676" s="94"/>
      <c r="DD676" s="94"/>
      <c r="DE676" s="94"/>
      <c r="DF676" s="94"/>
      <c r="DG676" s="94"/>
      <c r="DH676" s="94"/>
      <c r="DI676" s="94"/>
      <c r="DJ676" s="94"/>
      <c r="DK676" s="94"/>
      <c r="DL676" s="94"/>
      <c r="DM676" s="94"/>
      <c r="DN676" s="94"/>
      <c r="DO676" s="94"/>
      <c r="DP676" s="94"/>
      <c r="DQ676" s="94"/>
    </row>
    <row r="677" spans="1:121" ht="15" customHeight="1" outlineLevel="3" x14ac:dyDescent="0.3">
      <c r="A677" s="100"/>
      <c r="B677" s="100"/>
      <c r="C677" s="99">
        <v>4</v>
      </c>
      <c r="D677" s="98" t="s">
        <v>583</v>
      </c>
      <c r="H677" s="77" t="s">
        <v>582</v>
      </c>
      <c r="O677" s="94" t="s">
        <v>506</v>
      </c>
      <c r="Q677" s="97"/>
      <c r="R677" s="97"/>
      <c r="AB677" s="72">
        <v>1</v>
      </c>
      <c r="AE677" s="96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94"/>
      <c r="BZ677" s="94"/>
      <c r="CA677" s="94"/>
      <c r="CB677" s="94"/>
      <c r="CC677" s="94"/>
      <c r="CD677" s="94"/>
      <c r="CE677" s="94"/>
      <c r="CF677" s="94"/>
      <c r="CG677" s="94"/>
      <c r="CH677" s="94"/>
      <c r="CI677" s="94"/>
      <c r="CJ677" s="94"/>
      <c r="CK677" s="94" t="str">
        <f>"    " &amp; TEXT(AF677,"#0.00%") &amp; " " &amp; "Deck CV Center Line Marking" &amp; " " &amp; IF(Q677="","",TEXT(Q677,"M/D-")) &amp; IF(R677="","",TEXT(R677,"M/D")) &amp; " "</f>
        <v xml:space="preserve">    0.00% Deck CV Center Line Marking  </v>
      </c>
      <c r="CL677" s="94"/>
      <c r="CM677" s="94"/>
      <c r="CN677" s="94"/>
      <c r="CO677" s="94"/>
      <c r="CP677" s="94"/>
      <c r="CQ677" s="94"/>
      <c r="CR677" s="94"/>
      <c r="CS677" s="94"/>
      <c r="CT677" s="94"/>
      <c r="CU677" s="94"/>
      <c r="CV677" s="94"/>
      <c r="CW677" s="94"/>
      <c r="CX677" s="94"/>
      <c r="CY677" s="94"/>
      <c r="CZ677" s="94"/>
      <c r="DA677" s="94"/>
      <c r="DB677" s="94"/>
      <c r="DC677" s="94"/>
      <c r="DD677" s="94"/>
      <c r="DE677" s="94"/>
      <c r="DF677" s="94"/>
      <c r="DG677" s="94"/>
      <c r="DH677" s="94"/>
      <c r="DI677" s="94"/>
      <c r="DJ677" s="94"/>
      <c r="DK677" s="94"/>
      <c r="DL677" s="94"/>
      <c r="DM677" s="94"/>
      <c r="DN677" s="94"/>
      <c r="DO677" s="94"/>
      <c r="DP677" s="94"/>
      <c r="DQ677" s="94"/>
    </row>
    <row r="678" spans="1:121" ht="15" customHeight="1" outlineLevel="3" x14ac:dyDescent="0.3">
      <c r="A678" s="100"/>
      <c r="B678" s="100"/>
      <c r="C678" s="99">
        <v>4</v>
      </c>
      <c r="D678" s="98" t="s">
        <v>581</v>
      </c>
      <c r="H678" s="77" t="s">
        <v>580</v>
      </c>
      <c r="O678" s="94" t="s">
        <v>515</v>
      </c>
      <c r="Q678" s="97"/>
      <c r="R678" s="97"/>
      <c r="AB678" s="72">
        <v>1</v>
      </c>
      <c r="AE678" s="96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94"/>
      <c r="BZ678" s="94"/>
      <c r="CA678" s="94"/>
      <c r="CB678" s="94"/>
      <c r="CC678" s="94"/>
      <c r="CD678" s="94"/>
      <c r="CE678" s="94"/>
      <c r="CF678" s="94"/>
      <c r="CG678" s="94"/>
      <c r="CH678" s="94"/>
      <c r="CI678" s="94"/>
      <c r="CJ678" s="94"/>
      <c r="CK678" s="94" t="str">
        <f>"     " &amp; TEXT(AF678,"#0.00%") &amp; " " &amp; "Incoming PassBox &amp; Install" &amp; " " &amp; IF(Q678="","",TEXT(Q678,"M/D-")) &amp; IF(R678="","",TEXT(R678,"M/D")) &amp; " "</f>
        <v xml:space="preserve">     0.00% Incoming PassBox &amp; Install  </v>
      </c>
      <c r="CL678" s="94"/>
      <c r="CM678" s="94"/>
      <c r="CN678" s="94"/>
      <c r="CO678" s="94"/>
      <c r="CP678" s="94"/>
      <c r="CQ678" s="94"/>
      <c r="CR678" s="94"/>
      <c r="CS678" s="94"/>
      <c r="CT678" s="94"/>
      <c r="CU678" s="94"/>
      <c r="CV678" s="94"/>
      <c r="CW678" s="94"/>
      <c r="CX678" s="94"/>
      <c r="CY678" s="94"/>
      <c r="CZ678" s="94"/>
      <c r="DA678" s="94"/>
      <c r="DB678" s="94"/>
      <c r="DC678" s="94"/>
      <c r="DD678" s="94"/>
      <c r="DE678" s="94"/>
      <c r="DF678" s="94"/>
      <c r="DG678" s="94"/>
      <c r="DH678" s="94"/>
      <c r="DI678" s="94"/>
      <c r="DJ678" s="94"/>
      <c r="DK678" s="94"/>
      <c r="DL678" s="94"/>
      <c r="DM678" s="94"/>
      <c r="DN678" s="94"/>
      <c r="DO678" s="94"/>
      <c r="DP678" s="94"/>
      <c r="DQ678" s="94"/>
    </row>
    <row r="679" spans="1:121" ht="15" customHeight="1" outlineLevel="3" x14ac:dyDescent="0.3">
      <c r="A679" s="100"/>
      <c r="B679" s="100"/>
      <c r="C679" s="99">
        <v>4</v>
      </c>
      <c r="D679" s="98" t="s">
        <v>579</v>
      </c>
      <c r="H679" s="77" t="s">
        <v>528</v>
      </c>
      <c r="O679" s="94" t="s">
        <v>506</v>
      </c>
      <c r="Q679" s="97"/>
      <c r="R679" s="97"/>
      <c r="AB679" s="72">
        <v>1</v>
      </c>
      <c r="AE679" s="96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94"/>
      <c r="BZ679" s="94"/>
      <c r="CA679" s="94"/>
      <c r="CB679" s="94"/>
      <c r="CC679" s="94"/>
      <c r="CD679" s="94"/>
      <c r="CE679" s="94"/>
      <c r="CF679" s="94"/>
      <c r="CG679" s="94"/>
      <c r="CH679" s="94"/>
      <c r="CI679" s="94"/>
      <c r="CJ679" s="94"/>
      <c r="CK679" s="94"/>
      <c r="CL679" s="94" t="str">
        <f>"" &amp; TEXT(AF679,"#0.00%") &amp; " " &amp; "Check Track Number" &amp; " " &amp; IF(Q679="","",TEXT(Q679,"M/D-")) &amp; IF(R679="","",TEXT(R679,"M/D")) &amp; " "</f>
        <v xml:space="preserve">0.00% Check Track Number  </v>
      </c>
      <c r="CM679" s="94"/>
      <c r="CN679" s="94"/>
      <c r="CO679" s="94"/>
      <c r="CP679" s="94"/>
      <c r="CQ679" s="94"/>
      <c r="CR679" s="94"/>
      <c r="CS679" s="94"/>
      <c r="CT679" s="94"/>
      <c r="CU679" s="94"/>
      <c r="CV679" s="94"/>
      <c r="CW679" s="94"/>
      <c r="CX679" s="94"/>
      <c r="CY679" s="94"/>
      <c r="CZ679" s="94"/>
      <c r="DA679" s="94"/>
      <c r="DB679" s="94"/>
      <c r="DC679" s="94"/>
      <c r="DD679" s="94"/>
      <c r="DE679" s="94"/>
      <c r="DF679" s="94"/>
      <c r="DG679" s="94"/>
      <c r="DH679" s="94"/>
      <c r="DI679" s="94"/>
      <c r="DJ679" s="94"/>
      <c r="DK679" s="94"/>
      <c r="DL679" s="94"/>
      <c r="DM679" s="94"/>
      <c r="DN679" s="94"/>
      <c r="DO679" s="94"/>
      <c r="DP679" s="94"/>
      <c r="DQ679" s="94"/>
    </row>
    <row r="680" spans="1:121" ht="15" customHeight="1" outlineLevel="3" x14ac:dyDescent="0.3">
      <c r="A680" s="100"/>
      <c r="B680" s="100"/>
      <c r="C680" s="99">
        <v>4</v>
      </c>
      <c r="D680" s="98" t="s">
        <v>578</v>
      </c>
      <c r="H680" s="77" t="s">
        <v>577</v>
      </c>
      <c r="O680" s="94" t="s">
        <v>506</v>
      </c>
      <c r="Q680" s="97"/>
      <c r="R680" s="97"/>
      <c r="AB680" s="72">
        <v>1</v>
      </c>
      <c r="AE680" s="96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94"/>
      <c r="BZ680" s="94"/>
      <c r="CA680" s="94"/>
      <c r="CB680" s="94"/>
      <c r="CC680" s="94"/>
      <c r="CD680" s="94"/>
      <c r="CE680" s="94"/>
      <c r="CF680" s="94"/>
      <c r="CG680" s="94"/>
      <c r="CH680" s="94"/>
      <c r="CI680" s="94"/>
      <c r="CJ680" s="94"/>
      <c r="CK680" s="94"/>
      <c r="CL680" s="94" t="str">
        <f>" " &amp; TEXT(AF680,"#0.00%") &amp; " " &amp; "Install CV" &amp; " " &amp; IF(Q680="","",TEXT(Q680,"M/D-")) &amp; IF(R680="","",TEXT(R680,"M/D")) &amp; " "</f>
        <v xml:space="preserve"> 0.00% Install CV  </v>
      </c>
      <c r="CM680" s="94"/>
      <c r="CN680" s="94"/>
      <c r="CO680" s="94"/>
      <c r="CP680" s="94"/>
      <c r="CQ680" s="94"/>
      <c r="CR680" s="94"/>
      <c r="CS680" s="94"/>
      <c r="CT680" s="94"/>
      <c r="CU680" s="94"/>
      <c r="CV680" s="94"/>
      <c r="CW680" s="94"/>
      <c r="CX680" s="94"/>
      <c r="CY680" s="94"/>
      <c r="CZ680" s="94"/>
      <c r="DA680" s="94"/>
      <c r="DB680" s="94"/>
      <c r="DC680" s="94"/>
      <c r="DD680" s="94"/>
      <c r="DE680" s="94"/>
      <c r="DF680" s="94"/>
      <c r="DG680" s="94"/>
      <c r="DH680" s="94"/>
      <c r="DI680" s="94"/>
      <c r="DJ680" s="94"/>
      <c r="DK680" s="94"/>
      <c r="DL680" s="94"/>
      <c r="DM680" s="94"/>
      <c r="DN680" s="94"/>
      <c r="DO680" s="94"/>
      <c r="DP680" s="94"/>
      <c r="DQ680" s="94"/>
    </row>
    <row r="681" spans="1:121" ht="15" customHeight="1" outlineLevel="3" x14ac:dyDescent="0.3">
      <c r="A681" s="100"/>
      <c r="B681" s="100"/>
      <c r="C681" s="99">
        <v>4</v>
      </c>
      <c r="D681" s="98" t="s">
        <v>576</v>
      </c>
      <c r="H681" s="77" t="s">
        <v>511</v>
      </c>
      <c r="O681" s="94" t="s">
        <v>506</v>
      </c>
      <c r="Q681" s="97"/>
      <c r="R681" s="97"/>
      <c r="AB681" s="72">
        <v>1</v>
      </c>
      <c r="AE681" s="96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94"/>
      <c r="BZ681" s="94"/>
      <c r="CA681" s="94"/>
      <c r="CB681" s="94"/>
      <c r="CC681" s="94"/>
      <c r="CD681" s="94"/>
      <c r="CE681" s="94"/>
      <c r="CF681" s="94"/>
      <c r="CG681" s="94"/>
      <c r="CH681" s="94"/>
      <c r="CI681" s="94"/>
      <c r="CJ681" s="94"/>
      <c r="CK681" s="94"/>
      <c r="CL681" s="94"/>
      <c r="CM681" s="94" t="str">
        <f>"" &amp; TEXT(AF681,"#0.00%") &amp; " " &amp; "Check C/V Level  Center Line" &amp; " " &amp; IF(Q681="","",TEXT(Q681,"M/D-")) &amp; IF(R681="","",TEXT(R681,"M/D")) &amp; " "</f>
        <v xml:space="preserve">0.00% Check C/V Level  Center Line  </v>
      </c>
      <c r="CN681" s="94"/>
      <c r="CO681" s="94"/>
      <c r="CP681" s="94"/>
      <c r="CQ681" s="94"/>
      <c r="CR681" s="94"/>
      <c r="CS681" s="94"/>
      <c r="CT681" s="94"/>
      <c r="CU681" s="94"/>
      <c r="CV681" s="94"/>
      <c r="CW681" s="94"/>
      <c r="CX681" s="94"/>
      <c r="CY681" s="94"/>
      <c r="CZ681" s="94"/>
      <c r="DA681" s="94"/>
      <c r="DB681" s="94"/>
      <c r="DC681" s="94"/>
      <c r="DD681" s="94"/>
      <c r="DE681" s="94"/>
      <c r="DF681" s="94"/>
      <c r="DG681" s="94"/>
      <c r="DH681" s="94"/>
      <c r="DI681" s="94"/>
      <c r="DJ681" s="94"/>
      <c r="DK681" s="94"/>
      <c r="DL681" s="94"/>
      <c r="DM681" s="94"/>
      <c r="DN681" s="94"/>
      <c r="DO681" s="94"/>
      <c r="DP681" s="94"/>
      <c r="DQ681" s="94"/>
    </row>
    <row r="682" spans="1:121" ht="15" customHeight="1" outlineLevel="3" x14ac:dyDescent="0.3">
      <c r="A682" s="100"/>
      <c r="B682" s="100"/>
      <c r="C682" s="99">
        <v>4</v>
      </c>
      <c r="D682" s="98" t="s">
        <v>575</v>
      </c>
      <c r="H682" s="77" t="s">
        <v>509</v>
      </c>
      <c r="O682" s="94" t="s">
        <v>506</v>
      </c>
      <c r="Q682" s="97"/>
      <c r="R682" s="97"/>
      <c r="AB682" s="72">
        <v>1</v>
      </c>
      <c r="AE682" s="96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  <c r="BC682" s="102"/>
      <c r="BD682" s="102"/>
      <c r="BE682" s="102"/>
      <c r="BF682" s="102"/>
      <c r="BG682" s="102"/>
      <c r="BH682" s="102"/>
      <c r="BI682" s="102"/>
      <c r="BJ682" s="102"/>
      <c r="BK682" s="102"/>
      <c r="BL682" s="102"/>
      <c r="BM682" s="102"/>
      <c r="BN682" s="102"/>
      <c r="BO682" s="102"/>
      <c r="BP682" s="102"/>
      <c r="BQ682" s="102"/>
      <c r="BR682" s="102"/>
      <c r="BS682" s="102"/>
      <c r="BT682" s="102"/>
      <c r="BU682" s="102"/>
      <c r="BV682" s="102"/>
      <c r="BW682" s="102"/>
      <c r="BX682" s="102"/>
      <c r="BY682" s="94"/>
      <c r="BZ682" s="94"/>
      <c r="CA682" s="94"/>
      <c r="CB682" s="94"/>
      <c r="CC682" s="94"/>
      <c r="CD682" s="94"/>
      <c r="CE682" s="94"/>
      <c r="CF682" s="94"/>
      <c r="CG682" s="94"/>
      <c r="CH682" s="94"/>
      <c r="CI682" s="94"/>
      <c r="CJ682" s="94"/>
      <c r="CK682" s="94"/>
      <c r="CL682" s="94"/>
      <c r="CM682" s="94" t="str">
        <f>"  " &amp; TEXT(AF682,"#0.00%") &amp; " " &amp; "C/V Anchor" &amp; " " &amp; IF(Q682="","",TEXT(Q682,"M/D-")) &amp; IF(R682="","",TEXT(R682,"M/D")) &amp; " "</f>
        <v xml:space="preserve">  0.00% C/V Anchor  </v>
      </c>
      <c r="CN682" s="94"/>
      <c r="CO682" s="94"/>
      <c r="CP682" s="94"/>
      <c r="CQ682" s="94"/>
      <c r="CR682" s="94"/>
      <c r="CS682" s="94"/>
      <c r="CT682" s="94"/>
      <c r="CU682" s="94"/>
      <c r="CV682" s="94"/>
      <c r="CW682" s="94"/>
      <c r="CX682" s="94"/>
      <c r="CY682" s="94"/>
      <c r="CZ682" s="94"/>
      <c r="DA682" s="94"/>
      <c r="DB682" s="94"/>
      <c r="DC682" s="94"/>
      <c r="DD682" s="94"/>
      <c r="DE682" s="94"/>
      <c r="DF682" s="94"/>
      <c r="DG682" s="94"/>
      <c r="DH682" s="94"/>
      <c r="DI682" s="94"/>
      <c r="DJ682" s="94"/>
      <c r="DK682" s="94"/>
      <c r="DL682" s="94"/>
      <c r="DM682" s="94"/>
      <c r="DN682" s="94"/>
      <c r="DO682" s="94"/>
      <c r="DP682" s="94"/>
      <c r="DQ682" s="94"/>
    </row>
    <row r="683" spans="1:121" ht="15" customHeight="1" outlineLevel="3" x14ac:dyDescent="0.3">
      <c r="A683" s="100"/>
      <c r="B683" s="100"/>
      <c r="C683" s="99">
        <v>4</v>
      </c>
      <c r="D683" s="98" t="s">
        <v>574</v>
      </c>
      <c r="H683" s="77" t="s">
        <v>507</v>
      </c>
      <c r="O683" s="94" t="s">
        <v>506</v>
      </c>
      <c r="Q683" s="97"/>
      <c r="R683" s="97"/>
      <c r="AB683" s="72">
        <v>1</v>
      </c>
      <c r="AE683" s="96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02"/>
      <c r="BF683" s="102"/>
      <c r="BG683" s="102"/>
      <c r="BH683" s="102"/>
      <c r="BI683" s="102"/>
      <c r="BJ683" s="102"/>
      <c r="BK683" s="102"/>
      <c r="BL683" s="102"/>
      <c r="BM683" s="102"/>
      <c r="BN683" s="102"/>
      <c r="BO683" s="102"/>
      <c r="BP683" s="102"/>
      <c r="BQ683" s="102"/>
      <c r="BR683" s="102"/>
      <c r="BS683" s="102"/>
      <c r="BT683" s="102"/>
      <c r="BU683" s="102"/>
      <c r="BV683" s="102"/>
      <c r="BW683" s="102"/>
      <c r="BX683" s="102"/>
      <c r="BY683" s="94"/>
      <c r="BZ683" s="94"/>
      <c r="CA683" s="94"/>
      <c r="CB683" s="94"/>
      <c r="CC683" s="94"/>
      <c r="CD683" s="94"/>
      <c r="CE683" s="94"/>
      <c r="CF683" s="94"/>
      <c r="CG683" s="94"/>
      <c r="CH683" s="94"/>
      <c r="CI683" s="94"/>
      <c r="CJ683" s="94"/>
      <c r="CK683" s="94"/>
      <c r="CL683" s="94"/>
      <c r="CM683" s="94" t="str">
        <f>"   " &amp; TEXT(AF683,"#0.00%") &amp; " " &amp; "Install Stair" &amp; " " &amp; IF(Q683="","",TEXT(Q683,"M/D-")) &amp; IF(R683="","",TEXT(R683,"M/D")) &amp; " "</f>
        <v xml:space="preserve">   0.00% Install Stair  </v>
      </c>
      <c r="CN683" s="94"/>
      <c r="CO683" s="94"/>
      <c r="CP683" s="94"/>
      <c r="CQ683" s="94"/>
      <c r="CR683" s="94"/>
      <c r="CS683" s="94"/>
      <c r="CT683" s="94"/>
      <c r="CU683" s="94"/>
      <c r="CV683" s="94"/>
      <c r="CW683" s="94"/>
      <c r="CX683" s="94"/>
      <c r="CY683" s="94"/>
      <c r="CZ683" s="94"/>
      <c r="DA683" s="94"/>
      <c r="DB683" s="94"/>
      <c r="DC683" s="94"/>
      <c r="DD683" s="94"/>
      <c r="DE683" s="94"/>
      <c r="DF683" s="94"/>
      <c r="DG683" s="94"/>
      <c r="DH683" s="94"/>
      <c r="DI683" s="94"/>
      <c r="DJ683" s="94"/>
      <c r="DK683" s="94"/>
      <c r="DL683" s="94"/>
      <c r="DM683" s="94"/>
      <c r="DN683" s="94"/>
      <c r="DO683" s="94"/>
      <c r="DP683" s="94"/>
      <c r="DQ683" s="94"/>
    </row>
    <row r="684" spans="1:121" ht="15" customHeight="1" outlineLevel="2" x14ac:dyDescent="0.3">
      <c r="A684" s="100"/>
      <c r="B684" s="100" t="s">
        <v>298</v>
      </c>
      <c r="C684" s="99">
        <v>3</v>
      </c>
      <c r="D684" s="98" t="s">
        <v>573</v>
      </c>
      <c r="G684" s="77" t="s">
        <v>343</v>
      </c>
      <c r="O684" s="94" t="s">
        <v>342</v>
      </c>
      <c r="Q684" s="97"/>
      <c r="R684" s="97"/>
      <c r="AE684" s="96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94"/>
      <c r="BZ684" s="94"/>
      <c r="CA684" s="94"/>
      <c r="CB684" s="94"/>
      <c r="CC684" s="94"/>
      <c r="CD684" s="94"/>
      <c r="CE684" s="94"/>
      <c r="CF684" s="94"/>
      <c r="CG684" s="94"/>
      <c r="CH684" s="94"/>
      <c r="CI684" s="94" t="str">
        <f>"" &amp; TEXT(AF684,"#0.00%") &amp; " "</f>
        <v xml:space="preserve">0.00% </v>
      </c>
      <c r="CJ684" s="94"/>
      <c r="CK684" s="94"/>
      <c r="CL684" s="94"/>
      <c r="CM684" s="94"/>
      <c r="CN684" s="94"/>
      <c r="CO684" s="94"/>
      <c r="CP684" s="94"/>
      <c r="CQ684" s="94"/>
      <c r="CR684" s="94"/>
      <c r="CS684" s="94"/>
      <c r="CT684" s="94"/>
      <c r="CU684" s="94"/>
      <c r="CV684" s="94"/>
      <c r="CW684" s="94"/>
      <c r="CX684" s="94"/>
      <c r="CY684" s="94"/>
      <c r="CZ684" s="94"/>
      <c r="DA684" s="94"/>
      <c r="DB684" s="94"/>
      <c r="DC684" s="94"/>
      <c r="DD684" s="94"/>
      <c r="DE684" s="94"/>
      <c r="DF684" s="94"/>
      <c r="DG684" s="94"/>
      <c r="DH684" s="94" t="str">
        <f>"" &amp; "1F Conveyor" &amp; " " &amp; IF(Q684="","",TEXT(Q684,"M/D-")) &amp; IF(R684="","",TEXT(R684,"M/D")) &amp; " "</f>
        <v xml:space="preserve">1F Conveyor  </v>
      </c>
      <c r="DI684" s="94"/>
      <c r="DJ684" s="94"/>
      <c r="DK684" s="94"/>
      <c r="DL684" s="94"/>
      <c r="DM684" s="94"/>
      <c r="DN684" s="94"/>
      <c r="DO684" s="94"/>
      <c r="DP684" s="94"/>
      <c r="DQ684" s="94"/>
    </row>
    <row r="685" spans="1:121" ht="15" customHeight="1" outlineLevel="3" x14ac:dyDescent="0.3">
      <c r="A685" s="100"/>
      <c r="B685" s="100"/>
      <c r="C685" s="99">
        <v>4</v>
      </c>
      <c r="D685" s="98" t="s">
        <v>572</v>
      </c>
      <c r="H685" s="77" t="s">
        <v>534</v>
      </c>
      <c r="O685" s="94" t="s">
        <v>506</v>
      </c>
      <c r="Q685" s="97"/>
      <c r="R685" s="97"/>
      <c r="AB685" s="72">
        <v>1</v>
      </c>
      <c r="AE685" s="96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94"/>
      <c r="BZ685" s="94"/>
      <c r="CA685" s="94"/>
      <c r="CB685" s="94"/>
      <c r="CC685" s="94"/>
      <c r="CD685" s="94"/>
      <c r="CE685" s="94"/>
      <c r="CF685" s="94"/>
      <c r="CG685" s="94"/>
      <c r="CH685" s="94"/>
      <c r="CI685" s="94" t="str">
        <f>"" &amp; TEXT(AF685,"#0.00%") &amp; " " &amp; "Line Marking" &amp; " " &amp; IF(Q685="","",TEXT(Q685,"M/D-")) &amp; IF(R685="","",TEXT(R685,"M/D")) &amp; " "</f>
        <v xml:space="preserve">0.00% Line Marking  </v>
      </c>
      <c r="CJ685" s="94"/>
      <c r="CK685" s="94"/>
      <c r="CL685" s="94"/>
      <c r="CM685" s="94"/>
      <c r="CN685" s="94"/>
      <c r="CO685" s="94"/>
      <c r="CP685" s="94"/>
      <c r="CQ685" s="94"/>
      <c r="CR685" s="94"/>
      <c r="CS685" s="94"/>
      <c r="CT685" s="94"/>
      <c r="CU685" s="94"/>
      <c r="CV685" s="94"/>
      <c r="CW685" s="94"/>
      <c r="CX685" s="94"/>
      <c r="CY685" s="94"/>
      <c r="CZ685" s="94"/>
      <c r="DA685" s="94"/>
      <c r="DB685" s="94"/>
      <c r="DC685" s="94"/>
      <c r="DD685" s="94"/>
      <c r="DE685" s="94"/>
      <c r="DF685" s="94"/>
      <c r="DG685" s="94"/>
      <c r="DH685" s="94"/>
      <c r="DI685" s="94"/>
      <c r="DJ685" s="94"/>
      <c r="DK685" s="94"/>
      <c r="DL685" s="94"/>
      <c r="DM685" s="94"/>
      <c r="DN685" s="94"/>
      <c r="DO685" s="94"/>
      <c r="DP685" s="94"/>
      <c r="DQ685" s="94"/>
    </row>
    <row r="686" spans="1:121" ht="15" customHeight="1" outlineLevel="3" x14ac:dyDescent="0.3">
      <c r="A686" s="100"/>
      <c r="B686" s="100"/>
      <c r="C686" s="99">
        <v>4</v>
      </c>
      <c r="D686" s="98" t="s">
        <v>571</v>
      </c>
      <c r="H686" s="77" t="s">
        <v>532</v>
      </c>
      <c r="O686" s="94" t="s">
        <v>506</v>
      </c>
      <c r="Q686" s="97"/>
      <c r="R686" s="97"/>
      <c r="AB686" s="72">
        <v>1</v>
      </c>
      <c r="AE686" s="96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94"/>
      <c r="BZ686" s="94"/>
      <c r="CA686" s="94"/>
      <c r="CB686" s="94"/>
      <c r="CC686" s="94"/>
      <c r="CD686" s="94"/>
      <c r="CE686" s="94"/>
      <c r="CF686" s="94"/>
      <c r="CG686" s="94"/>
      <c r="CH686" s="94"/>
      <c r="CI686" s="94" t="str">
        <f>" " &amp; TEXT(AF686,"#0.00%") &amp; " " &amp; "Check Line Marking" &amp; " " &amp; IF(Q686="","",TEXT(Q686,"M/D-")) &amp; IF(R686="","",TEXT(R686,"M/D")) &amp; " "</f>
        <v xml:space="preserve"> 0.00% Check Line Marking  </v>
      </c>
      <c r="CJ686" s="94"/>
      <c r="CK686" s="94"/>
      <c r="CL686" s="94"/>
      <c r="CM686" s="94"/>
      <c r="CN686" s="94"/>
      <c r="CO686" s="94"/>
      <c r="CP686" s="94"/>
      <c r="CQ686" s="94"/>
      <c r="CR686" s="94"/>
      <c r="CS686" s="94"/>
      <c r="CT686" s="94"/>
      <c r="CU686" s="94"/>
      <c r="CV686" s="94"/>
      <c r="CW686" s="94"/>
      <c r="CX686" s="94"/>
      <c r="CY686" s="94"/>
      <c r="CZ686" s="94"/>
      <c r="DA686" s="94"/>
      <c r="DB686" s="94"/>
      <c r="DC686" s="94"/>
      <c r="DD686" s="94"/>
      <c r="DE686" s="94"/>
      <c r="DF686" s="94"/>
      <c r="DG686" s="94"/>
      <c r="DH686" s="94"/>
      <c r="DI686" s="94"/>
      <c r="DJ686" s="94"/>
      <c r="DK686" s="94"/>
      <c r="DL686" s="94"/>
      <c r="DM686" s="94"/>
      <c r="DN686" s="94"/>
      <c r="DO686" s="94"/>
      <c r="DP686" s="94"/>
      <c r="DQ686" s="94"/>
    </row>
    <row r="687" spans="1:121" ht="15" customHeight="1" outlineLevel="3" x14ac:dyDescent="0.3">
      <c r="A687" s="100"/>
      <c r="B687" s="100"/>
      <c r="C687" s="99">
        <v>4</v>
      </c>
      <c r="D687" s="98" t="s">
        <v>570</v>
      </c>
      <c r="H687" s="77" t="s">
        <v>530</v>
      </c>
      <c r="O687" s="94" t="s">
        <v>506</v>
      </c>
      <c r="Q687" s="97"/>
      <c r="R687" s="97"/>
      <c r="AB687" s="72">
        <v>1</v>
      </c>
      <c r="AE687" s="96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94"/>
      <c r="BZ687" s="94"/>
      <c r="CA687" s="94"/>
      <c r="CB687" s="94"/>
      <c r="CC687" s="94"/>
      <c r="CD687" s="94"/>
      <c r="CE687" s="94"/>
      <c r="CF687" s="94"/>
      <c r="CG687" s="94"/>
      <c r="CH687" s="94"/>
      <c r="CI687" s="94" t="str">
        <f>"  " &amp; TEXT(AF687,"#0.00%") &amp; " "</f>
        <v xml:space="preserve">  0.00% </v>
      </c>
      <c r="CJ687" s="94"/>
      <c r="CK687" s="94"/>
      <c r="CL687" s="94"/>
      <c r="CM687" s="94"/>
      <c r="CN687" s="94"/>
      <c r="CO687" s="94" t="str">
        <f>"      " &amp; "Move In" &amp; " " &amp; IF(Q687="","",TEXT(Q687,"M/D-")) &amp; IF(R687="","",TEXT(R687,"M/D")) &amp; " "</f>
        <v xml:space="preserve">      Move In  </v>
      </c>
      <c r="CP687" s="94"/>
      <c r="CQ687" s="94"/>
      <c r="CR687" s="94"/>
      <c r="CS687" s="94"/>
      <c r="CT687" s="94"/>
      <c r="CU687" s="94"/>
      <c r="CV687" s="94"/>
      <c r="CW687" s="94"/>
      <c r="CX687" s="94"/>
      <c r="CY687" s="94"/>
      <c r="CZ687" s="94"/>
      <c r="DA687" s="94"/>
      <c r="DB687" s="94"/>
      <c r="DC687" s="94"/>
      <c r="DD687" s="94"/>
      <c r="DE687" s="94"/>
      <c r="DF687" s="94"/>
      <c r="DG687" s="94"/>
      <c r="DH687" s="94"/>
      <c r="DI687" s="94"/>
      <c r="DJ687" s="94"/>
      <c r="DK687" s="94"/>
      <c r="DL687" s="94"/>
      <c r="DM687" s="94"/>
      <c r="DN687" s="94"/>
      <c r="DO687" s="94"/>
      <c r="DP687" s="94"/>
      <c r="DQ687" s="94"/>
    </row>
    <row r="688" spans="1:121" ht="15" customHeight="1" outlineLevel="3" x14ac:dyDescent="0.3">
      <c r="A688" s="100"/>
      <c r="B688" s="100"/>
      <c r="C688" s="99">
        <v>4</v>
      </c>
      <c r="D688" s="98" t="s">
        <v>569</v>
      </c>
      <c r="H688" s="77" t="s">
        <v>528</v>
      </c>
      <c r="O688" s="94" t="s">
        <v>506</v>
      </c>
      <c r="Q688" s="97"/>
      <c r="R688" s="97"/>
      <c r="AB688" s="72">
        <v>1</v>
      </c>
      <c r="AE688" s="96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94"/>
      <c r="BZ688" s="94"/>
      <c r="CA688" s="94"/>
      <c r="CB688" s="94"/>
      <c r="CC688" s="94"/>
      <c r="CD688" s="94"/>
      <c r="CE688" s="94"/>
      <c r="CF688" s="94"/>
      <c r="CG688" s="94"/>
      <c r="CH688" s="94"/>
      <c r="CI688" s="94"/>
      <c r="CJ688" s="94"/>
      <c r="CK688" s="94"/>
      <c r="CL688" s="94"/>
      <c r="CM688" s="94"/>
      <c r="CN688" s="94"/>
      <c r="CO688" s="94" t="str">
        <f>"     " &amp; TEXT(AF688,"#0.00%") &amp; " " &amp; "Check Track Number" &amp; " " &amp; IF(Q688="","",TEXT(Q688,"M/D-")) &amp; IF(R688="","",TEXT(R688,"M/D")) &amp; " "</f>
        <v xml:space="preserve">     0.00% Check Track Number  </v>
      </c>
      <c r="CP688" s="94"/>
      <c r="CQ688" s="94"/>
      <c r="CR688" s="94"/>
      <c r="CS688" s="94"/>
      <c r="CT688" s="94"/>
      <c r="CU688" s="94"/>
      <c r="CV688" s="94"/>
      <c r="CW688" s="94"/>
      <c r="CX688" s="94"/>
      <c r="CY688" s="94"/>
      <c r="CZ688" s="94"/>
      <c r="DA688" s="94"/>
      <c r="DB688" s="94"/>
      <c r="DC688" s="94"/>
      <c r="DD688" s="94"/>
      <c r="DE688" s="94"/>
      <c r="DF688" s="94"/>
      <c r="DG688" s="94"/>
      <c r="DH688" s="94"/>
      <c r="DI688" s="94"/>
      <c r="DJ688" s="94"/>
      <c r="DK688" s="94"/>
      <c r="DL688" s="94"/>
      <c r="DM688" s="94"/>
      <c r="DN688" s="94"/>
      <c r="DO688" s="94"/>
      <c r="DP688" s="94"/>
      <c r="DQ688" s="94"/>
    </row>
    <row r="689" spans="1:121" ht="15" customHeight="1" outlineLevel="3" x14ac:dyDescent="0.3">
      <c r="A689" s="100"/>
      <c r="B689" s="100"/>
      <c r="C689" s="99">
        <v>4</v>
      </c>
      <c r="D689" s="98" t="s">
        <v>568</v>
      </c>
      <c r="H689" s="77" t="s">
        <v>567</v>
      </c>
      <c r="O689" s="94" t="s">
        <v>506</v>
      </c>
      <c r="Q689" s="97"/>
      <c r="R689" s="97"/>
      <c r="AB689" s="72">
        <v>1</v>
      </c>
      <c r="AE689" s="96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94"/>
      <c r="BZ689" s="94"/>
      <c r="CA689" s="94"/>
      <c r="CB689" s="94"/>
      <c r="CC689" s="94"/>
      <c r="CD689" s="94"/>
      <c r="CE689" s="94"/>
      <c r="CF689" s="94"/>
      <c r="CG689" s="94"/>
      <c r="CH689" s="94"/>
      <c r="CI689" s="94"/>
      <c r="CJ689" s="94"/>
      <c r="CK689" s="94"/>
      <c r="CL689" s="94"/>
      <c r="CM689" s="94"/>
      <c r="CN689" s="94"/>
      <c r="CO689" s="94"/>
      <c r="CP689" s="94" t="str">
        <f>"     " &amp; TEXT(AF689,"#0.00%") &amp; " "</f>
        <v xml:space="preserve">     0.00% </v>
      </c>
      <c r="CQ689" s="94"/>
      <c r="CR689" s="94"/>
      <c r="CS689" s="94"/>
      <c r="CT689" s="94"/>
      <c r="CU689" s="94" t="str">
        <f>"   " &amp; "Install CV (folding CV)" &amp; " " &amp; IF(Q689="","",TEXT(Q689,"M/D-")) &amp; IF(R689="","",TEXT(R689,"M/D")) &amp; " "</f>
        <v xml:space="preserve">   Install CV (folding CV)  </v>
      </c>
      <c r="CV689" s="94"/>
      <c r="CW689" s="94"/>
      <c r="CX689" s="94"/>
      <c r="CY689" s="94"/>
      <c r="CZ689" s="94"/>
      <c r="DA689" s="94"/>
      <c r="DB689" s="94"/>
      <c r="DC689" s="94"/>
      <c r="DD689" s="94"/>
      <c r="DE689" s="94"/>
      <c r="DF689" s="94"/>
      <c r="DG689" s="94"/>
      <c r="DH689" s="94"/>
      <c r="DI689" s="94"/>
      <c r="DJ689" s="94"/>
      <c r="DK689" s="94"/>
      <c r="DL689" s="94"/>
      <c r="DM689" s="94"/>
      <c r="DN689" s="94"/>
      <c r="DO689" s="94"/>
      <c r="DP689" s="94"/>
      <c r="DQ689" s="94"/>
    </row>
    <row r="690" spans="1:121" ht="15" customHeight="1" outlineLevel="3" x14ac:dyDescent="0.3">
      <c r="A690" s="100"/>
      <c r="B690" s="100"/>
      <c r="C690" s="99">
        <v>4</v>
      </c>
      <c r="D690" s="98" t="s">
        <v>566</v>
      </c>
      <c r="H690" s="77" t="s">
        <v>511</v>
      </c>
      <c r="O690" s="94" t="s">
        <v>506</v>
      </c>
      <c r="Q690" s="97"/>
      <c r="R690" s="97"/>
      <c r="AB690" s="72">
        <v>1</v>
      </c>
      <c r="AE690" s="96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94"/>
      <c r="BZ690" s="94"/>
      <c r="CA690" s="94"/>
      <c r="CB690" s="94"/>
      <c r="CC690" s="94"/>
      <c r="CD690" s="94"/>
      <c r="CE690" s="94"/>
      <c r="CF690" s="94"/>
      <c r="CG690" s="94"/>
      <c r="CH690" s="94"/>
      <c r="CI690" s="94"/>
      <c r="CJ690" s="94"/>
      <c r="CK690" s="94"/>
      <c r="CL690" s="94"/>
      <c r="CM690" s="94"/>
      <c r="CN690" s="94"/>
      <c r="CO690" s="94"/>
      <c r="CP690" s="94"/>
      <c r="CQ690" s="94"/>
      <c r="CR690" s="94"/>
      <c r="CS690" s="94"/>
      <c r="CT690" s="94"/>
      <c r="CU690" s="94" t="str">
        <f>"  " &amp; TEXT(AF690,"#0.00%") &amp; " "</f>
        <v xml:space="preserve">  0.00% </v>
      </c>
      <c r="CV690" s="94"/>
      <c r="CW690" s="94"/>
      <c r="CX690" s="94"/>
      <c r="CY690" s="94" t="str">
        <f>"   " &amp; "Check C/V Level  Center Line" &amp; " " &amp; IF(Q690="","",TEXT(Q690,"M/D-")) &amp; IF(R690="","",TEXT(R690,"M/D")) &amp; " "</f>
        <v xml:space="preserve">   Check C/V Level  Center Line  </v>
      </c>
      <c r="CZ690" s="94"/>
      <c r="DA690" s="94"/>
      <c r="DB690" s="94"/>
      <c r="DC690" s="94"/>
      <c r="DD690" s="94"/>
      <c r="DE690" s="94"/>
      <c r="DF690" s="94"/>
      <c r="DG690" s="94"/>
      <c r="DH690" s="94"/>
      <c r="DI690" s="94"/>
      <c r="DJ690" s="94"/>
      <c r="DK690" s="94"/>
      <c r="DL690" s="94"/>
      <c r="DM690" s="94"/>
      <c r="DN690" s="94"/>
      <c r="DO690" s="94"/>
      <c r="DP690" s="94"/>
      <c r="DQ690" s="94"/>
    </row>
    <row r="691" spans="1:121" ht="15" customHeight="1" outlineLevel="3" x14ac:dyDescent="0.3">
      <c r="A691" s="100"/>
      <c r="B691" s="100"/>
      <c r="C691" s="99">
        <v>4</v>
      </c>
      <c r="D691" s="98" t="s">
        <v>565</v>
      </c>
      <c r="H691" s="77" t="s">
        <v>509</v>
      </c>
      <c r="O691" s="94" t="s">
        <v>506</v>
      </c>
      <c r="Q691" s="97"/>
      <c r="R691" s="97"/>
      <c r="AB691" s="72">
        <v>1</v>
      </c>
      <c r="AE691" s="96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94"/>
      <c r="BZ691" s="94"/>
      <c r="CA691" s="94"/>
      <c r="CB691" s="94"/>
      <c r="CC691" s="94"/>
      <c r="CD691" s="94"/>
      <c r="CE691" s="94"/>
      <c r="CF691" s="94"/>
      <c r="CG691" s="94"/>
      <c r="CH691" s="94"/>
      <c r="CI691" s="94"/>
      <c r="CJ691" s="94"/>
      <c r="CK691" s="94"/>
      <c r="CL691" s="94"/>
      <c r="CM691" s="94"/>
      <c r="CN691" s="94"/>
      <c r="CO691" s="94"/>
      <c r="CP691" s="94"/>
      <c r="CQ691" s="94"/>
      <c r="CR691" s="94"/>
      <c r="CS691" s="94"/>
      <c r="CT691" s="94"/>
      <c r="CU691" s="94"/>
      <c r="CV691" s="94"/>
      <c r="CW691" s="94"/>
      <c r="CX691" s="94"/>
      <c r="CY691" s="94" t="str">
        <f>"  " &amp; TEXT(AF691,"#0.00%") &amp; " " &amp; "C/V Anchor" &amp; " " &amp; IF(Q691="","",TEXT(Q691,"M/D-")) &amp; IF(R691="","",TEXT(R691,"M/D")) &amp; " "</f>
        <v xml:space="preserve">  0.00% C/V Anchor  </v>
      </c>
      <c r="CZ691" s="94"/>
      <c r="DA691" s="94"/>
      <c r="DB691" s="94"/>
      <c r="DC691" s="94"/>
      <c r="DD691" s="94"/>
      <c r="DE691" s="94"/>
      <c r="DF691" s="94"/>
      <c r="DG691" s="94"/>
      <c r="DH691" s="94"/>
      <c r="DI691" s="94"/>
      <c r="DJ691" s="94"/>
      <c r="DK691" s="94"/>
      <c r="DL691" s="94"/>
      <c r="DM691" s="94"/>
      <c r="DN691" s="94"/>
      <c r="DO691" s="94"/>
      <c r="DP691" s="94"/>
      <c r="DQ691" s="94"/>
    </row>
    <row r="692" spans="1:121" ht="15" customHeight="1" outlineLevel="3" x14ac:dyDescent="0.3">
      <c r="A692" s="100"/>
      <c r="B692" s="100"/>
      <c r="C692" s="99">
        <v>4</v>
      </c>
      <c r="D692" s="98" t="s">
        <v>564</v>
      </c>
      <c r="H692" s="77" t="s">
        <v>507</v>
      </c>
      <c r="O692" s="94" t="s">
        <v>506</v>
      </c>
      <c r="Q692" s="97"/>
      <c r="R692" s="97"/>
      <c r="AB692" s="72">
        <v>1</v>
      </c>
      <c r="AE692" s="96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94"/>
      <c r="BZ692" s="94"/>
      <c r="CA692" s="94"/>
      <c r="CB692" s="94"/>
      <c r="CC692" s="94"/>
      <c r="CD692" s="94"/>
      <c r="CE692" s="94"/>
      <c r="CF692" s="94"/>
      <c r="CG692" s="94"/>
      <c r="CH692" s="94"/>
      <c r="CI692" s="94"/>
      <c r="CJ692" s="94"/>
      <c r="CK692" s="94"/>
      <c r="CL692" s="94"/>
      <c r="CM692" s="94"/>
      <c r="CN692" s="94"/>
      <c r="CO692" s="94"/>
      <c r="CP692" s="94"/>
      <c r="CQ692" s="94"/>
      <c r="CR692" s="94"/>
      <c r="CS692" s="94"/>
      <c r="CT692" s="94"/>
      <c r="CU692" s="94"/>
      <c r="CV692" s="94"/>
      <c r="CW692" s="94"/>
      <c r="CX692" s="94"/>
      <c r="CY692" s="94"/>
      <c r="CZ692" s="94" t="str">
        <f>"" &amp; TEXT(AF692,"#0.00%") &amp; " "</f>
        <v xml:space="preserve">0.00% </v>
      </c>
      <c r="DA692" s="94"/>
      <c r="DB692" s="94"/>
      <c r="DC692" s="94"/>
      <c r="DD692" s="94"/>
      <c r="DE692" s="94" t="str">
        <f>"  " &amp; "Install Stair" &amp; " " &amp; IF(Q692="","",TEXT(Q692,"M/D-")) &amp; IF(R692="","",TEXT(R692,"M/D")) &amp; " "</f>
        <v xml:space="preserve">  Install Stair  </v>
      </c>
      <c r="DF692" s="94"/>
      <c r="DG692" s="94"/>
      <c r="DH692" s="94"/>
      <c r="DI692" s="94"/>
      <c r="DJ692" s="94"/>
      <c r="DK692" s="94"/>
      <c r="DL692" s="94"/>
      <c r="DM692" s="94"/>
      <c r="DN692" s="94"/>
      <c r="DO692" s="94"/>
      <c r="DP692" s="94"/>
      <c r="DQ692" s="94"/>
    </row>
    <row r="693" spans="1:121" ht="15" customHeight="1" outlineLevel="3" x14ac:dyDescent="0.3">
      <c r="A693" s="100"/>
      <c r="B693" s="100"/>
      <c r="C693" s="99">
        <v>4</v>
      </c>
      <c r="D693" s="98" t="s">
        <v>563</v>
      </c>
      <c r="H693" s="77" t="s">
        <v>521</v>
      </c>
      <c r="O693" s="94" t="s">
        <v>515</v>
      </c>
      <c r="Q693" s="97"/>
      <c r="R693" s="97"/>
      <c r="AB693" s="72">
        <v>1</v>
      </c>
      <c r="AE693" s="96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  <c r="BI693" s="102"/>
      <c r="BJ693" s="102"/>
      <c r="BK693" s="102"/>
      <c r="BL693" s="102"/>
      <c r="BM693" s="102"/>
      <c r="BN693" s="102"/>
      <c r="BO693" s="102"/>
      <c r="BP693" s="102"/>
      <c r="BQ693" s="102"/>
      <c r="BR693" s="102"/>
      <c r="BS693" s="102"/>
      <c r="BT693" s="102"/>
      <c r="BU693" s="102"/>
      <c r="BV693" s="102"/>
      <c r="BW693" s="102"/>
      <c r="BX693" s="102"/>
      <c r="BY693" s="94"/>
      <c r="BZ693" s="94"/>
      <c r="CA693" s="94"/>
      <c r="CB693" s="94"/>
      <c r="CC693" s="94"/>
      <c r="CD693" s="94"/>
      <c r="CE693" s="94"/>
      <c r="CF693" s="94"/>
      <c r="CG693" s="94"/>
      <c r="CH693" s="94"/>
      <c r="CI693" s="94"/>
      <c r="CJ693" s="94"/>
      <c r="CK693" s="94"/>
      <c r="CL693" s="94"/>
      <c r="CM693" s="94"/>
      <c r="CN693" s="94"/>
      <c r="CO693" s="94"/>
      <c r="CP693" s="94"/>
      <c r="CQ693" s="94"/>
      <c r="CR693" s="94"/>
      <c r="CS693" s="94"/>
      <c r="CT693" s="94"/>
      <c r="CU693" s="94"/>
      <c r="CV693" s="94"/>
      <c r="CW693" s="94"/>
      <c r="CX693" s="94"/>
      <c r="CY693" s="94"/>
      <c r="CZ693" s="94"/>
      <c r="DA693" s="94"/>
      <c r="DB693" s="94"/>
      <c r="DC693" s="94"/>
      <c r="DD693" s="94"/>
      <c r="DE693" s="94" t="str">
        <f>" " &amp; TEXT(AF693,"#0.00%") &amp; " " &amp; "Install Deck(jump)" &amp; " " &amp; IF(Q693="","",TEXT(Q693,"M/D-")) &amp; IF(R693="","",TEXT(R693,"M/D")) &amp; " "</f>
        <v xml:space="preserve"> 0.00% Install Deck(jump)  </v>
      </c>
      <c r="DF693" s="94"/>
      <c r="DG693" s="94"/>
      <c r="DH693" s="94"/>
      <c r="DI693" s="94"/>
      <c r="DJ693" s="94"/>
      <c r="DK693" s="94"/>
      <c r="DL693" s="94"/>
      <c r="DM693" s="94"/>
      <c r="DN693" s="94"/>
      <c r="DO693" s="94"/>
      <c r="DP693" s="94"/>
      <c r="DQ693" s="94"/>
    </row>
    <row r="694" spans="1:121" ht="15" customHeight="1" outlineLevel="3" x14ac:dyDescent="0.3">
      <c r="A694" s="100"/>
      <c r="B694" s="100"/>
      <c r="C694" s="99">
        <v>4</v>
      </c>
      <c r="D694" s="98" t="s">
        <v>562</v>
      </c>
      <c r="H694" s="77" t="s">
        <v>519</v>
      </c>
      <c r="O694" s="94" t="s">
        <v>518</v>
      </c>
      <c r="Q694" s="97"/>
      <c r="R694" s="97"/>
      <c r="AB694" s="72">
        <v>1</v>
      </c>
      <c r="AE694" s="96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  <c r="BI694" s="102"/>
      <c r="BJ694" s="102"/>
      <c r="BK694" s="102"/>
      <c r="BL694" s="102"/>
      <c r="BM694" s="102"/>
      <c r="BN694" s="102"/>
      <c r="BO694" s="102"/>
      <c r="BP694" s="102"/>
      <c r="BQ694" s="102"/>
      <c r="BR694" s="102"/>
      <c r="BS694" s="102"/>
      <c r="BT694" s="102"/>
      <c r="BU694" s="102"/>
      <c r="BV694" s="102"/>
      <c r="BW694" s="102"/>
      <c r="BX694" s="102"/>
      <c r="BY694" s="94"/>
      <c r="BZ694" s="94"/>
      <c r="CA694" s="94"/>
      <c r="CB694" s="94"/>
      <c r="CC694" s="94"/>
      <c r="CD694" s="94"/>
      <c r="CE694" s="94"/>
      <c r="CF694" s="94"/>
      <c r="CG694" s="94"/>
      <c r="CH694" s="94"/>
      <c r="CI694" s="94"/>
      <c r="CJ694" s="94"/>
      <c r="CK694" s="94"/>
      <c r="CL694" s="94"/>
      <c r="CM694" s="94"/>
      <c r="CN694" s="94"/>
      <c r="CO694" s="94"/>
      <c r="CP694" s="94"/>
      <c r="CQ694" s="94"/>
      <c r="CR694" s="94"/>
      <c r="CS694" s="94"/>
      <c r="CT694" s="94"/>
      <c r="CU694" s="94"/>
      <c r="CV694" s="94"/>
      <c r="CW694" s="94"/>
      <c r="CX694" s="94"/>
      <c r="CY694" s="94"/>
      <c r="CZ694" s="94"/>
      <c r="DA694" s="94"/>
      <c r="DB694" s="94"/>
      <c r="DC694" s="94"/>
      <c r="DD694" s="94"/>
      <c r="DE694" s="94" t="str">
        <f>"  " &amp; TEXT(AF694,"#0.00%") &amp; " " &amp; "Lifter Erection &amp; Alignment" &amp; " " &amp; IF(Q694="","",TEXT(Q694,"M/D-")) &amp; IF(R694="","",TEXT(R694,"M/D")) &amp; " "</f>
        <v xml:space="preserve">  0.00% Lifter Erection &amp; Alignment  </v>
      </c>
      <c r="DF694" s="94"/>
      <c r="DG694" s="94"/>
      <c r="DH694" s="94"/>
      <c r="DI694" s="94"/>
      <c r="DJ694" s="94"/>
      <c r="DK694" s="94"/>
      <c r="DL694" s="94"/>
      <c r="DM694" s="94"/>
      <c r="DN694" s="94"/>
      <c r="DO694" s="94"/>
      <c r="DP694" s="94"/>
      <c r="DQ694" s="94"/>
    </row>
    <row r="695" spans="1:121" ht="15" customHeight="1" outlineLevel="3" x14ac:dyDescent="0.3">
      <c r="A695" s="100"/>
      <c r="B695" s="100"/>
      <c r="C695" s="99">
        <v>4</v>
      </c>
      <c r="D695" s="98" t="s">
        <v>561</v>
      </c>
      <c r="H695" s="77" t="s">
        <v>516</v>
      </c>
      <c r="O695" s="94" t="s">
        <v>515</v>
      </c>
      <c r="Q695" s="97"/>
      <c r="R695" s="97"/>
      <c r="AB695" s="72">
        <v>1</v>
      </c>
      <c r="AE695" s="96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94"/>
      <c r="BZ695" s="94"/>
      <c r="CA695" s="94"/>
      <c r="CB695" s="94"/>
      <c r="CC695" s="94"/>
      <c r="CD695" s="94"/>
      <c r="CE695" s="94"/>
      <c r="CF695" s="94"/>
      <c r="CG695" s="94"/>
      <c r="CH695" s="94"/>
      <c r="CI695" s="94"/>
      <c r="CJ695" s="94"/>
      <c r="CK695" s="94"/>
      <c r="CL695" s="94"/>
      <c r="CM695" s="94"/>
      <c r="CN695" s="94"/>
      <c r="CO695" s="94"/>
      <c r="CP695" s="94"/>
      <c r="CQ695" s="94"/>
      <c r="CR695" s="94"/>
      <c r="CS695" s="94"/>
      <c r="CT695" s="94"/>
      <c r="CU695" s="94"/>
      <c r="CV695" s="94"/>
      <c r="CW695" s="94"/>
      <c r="CX695" s="94"/>
      <c r="CY695" s="94"/>
      <c r="CZ695" s="94"/>
      <c r="DA695" s="94"/>
      <c r="DB695" s="94"/>
      <c r="DC695" s="94"/>
      <c r="DD695" s="94"/>
      <c r="DE695" s="94" t="str">
        <f>"   " &amp; TEXT(AF695,"#0.00%") &amp; " " &amp; "Check Deck Level" &amp; " " &amp; IF(Q695="","",TEXT(Q695,"M/D-")) &amp; IF(R695="","",TEXT(R695,"M/D")) &amp; " "</f>
        <v xml:space="preserve">   0.00% Check Deck Level  </v>
      </c>
      <c r="DF695" s="94"/>
      <c r="DG695" s="94"/>
      <c r="DH695" s="94"/>
      <c r="DI695" s="94"/>
      <c r="DJ695" s="94"/>
      <c r="DK695" s="94"/>
      <c r="DL695" s="94"/>
      <c r="DM695" s="94"/>
      <c r="DN695" s="94"/>
      <c r="DO695" s="94"/>
      <c r="DP695" s="94"/>
      <c r="DQ695" s="94"/>
    </row>
    <row r="696" spans="1:121" ht="15" customHeight="1" outlineLevel="3" x14ac:dyDescent="0.3">
      <c r="A696" s="100"/>
      <c r="B696" s="100"/>
      <c r="C696" s="99">
        <v>4</v>
      </c>
      <c r="D696" s="98" t="s">
        <v>560</v>
      </c>
      <c r="H696" s="77" t="s">
        <v>513</v>
      </c>
      <c r="O696" s="94" t="s">
        <v>506</v>
      </c>
      <c r="Q696" s="97"/>
      <c r="R696" s="97"/>
      <c r="AB696" s="72">
        <v>1</v>
      </c>
      <c r="AE696" s="96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94"/>
      <c r="BZ696" s="94"/>
      <c r="CA696" s="94"/>
      <c r="CB696" s="94"/>
      <c r="CC696" s="94"/>
      <c r="CD696" s="94"/>
      <c r="CE696" s="94"/>
      <c r="CF696" s="94"/>
      <c r="CG696" s="94"/>
      <c r="CH696" s="94"/>
      <c r="CI696" s="94"/>
      <c r="CJ696" s="94"/>
      <c r="CK696" s="94"/>
      <c r="CL696" s="94"/>
      <c r="CM696" s="94"/>
      <c r="CN696" s="94"/>
      <c r="CO696" s="94"/>
      <c r="CP696" s="94"/>
      <c r="CQ696" s="94"/>
      <c r="CR696" s="94"/>
      <c r="CS696" s="94"/>
      <c r="CT696" s="94"/>
      <c r="CU696" s="94"/>
      <c r="CV696" s="94"/>
      <c r="CW696" s="94"/>
      <c r="CX696" s="94"/>
      <c r="CY696" s="94"/>
      <c r="CZ696" s="94"/>
      <c r="DA696" s="94"/>
      <c r="DB696" s="94"/>
      <c r="DC696" s="94"/>
      <c r="DD696" s="94"/>
      <c r="DE696" s="94" t="str">
        <f>"    " &amp; TEXT(AF696,"#0.00%") &amp; " " &amp; "Install CV (IR OCV, NG sorter)" &amp; " " &amp; IF(Q696="","",TEXT(Q696,"M/D-")) &amp; IF(R696="","",TEXT(R696,"M/D")) &amp; " "</f>
        <v xml:space="preserve">    0.00% Install CV (IR OCV, NG sorter)  </v>
      </c>
      <c r="DF696" s="94"/>
      <c r="DG696" s="94"/>
      <c r="DH696" s="94"/>
      <c r="DI696" s="94"/>
      <c r="DJ696" s="94"/>
      <c r="DK696" s="94"/>
      <c r="DL696" s="94"/>
      <c r="DM696" s="94"/>
      <c r="DN696" s="94"/>
      <c r="DO696" s="94"/>
      <c r="DP696" s="94"/>
      <c r="DQ696" s="94"/>
    </row>
    <row r="697" spans="1:121" ht="15" customHeight="1" outlineLevel="3" x14ac:dyDescent="0.3">
      <c r="A697" s="100"/>
      <c r="B697" s="100"/>
      <c r="C697" s="99">
        <v>4</v>
      </c>
      <c r="D697" s="98" t="s">
        <v>559</v>
      </c>
      <c r="H697" s="77" t="s">
        <v>511</v>
      </c>
      <c r="O697" s="94" t="s">
        <v>506</v>
      </c>
      <c r="Q697" s="97"/>
      <c r="R697" s="97"/>
      <c r="AB697" s="72">
        <v>1</v>
      </c>
      <c r="AE697" s="96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94"/>
      <c r="BZ697" s="94"/>
      <c r="CA697" s="94"/>
      <c r="CB697" s="94"/>
      <c r="CC697" s="94"/>
      <c r="CD697" s="94"/>
      <c r="CE697" s="94"/>
      <c r="CF697" s="94"/>
      <c r="CG697" s="94"/>
      <c r="CH697" s="94"/>
      <c r="CI697" s="94"/>
      <c r="CJ697" s="94"/>
      <c r="CK697" s="94"/>
      <c r="CL697" s="94"/>
      <c r="CM697" s="94"/>
      <c r="CN697" s="94"/>
      <c r="CO697" s="94"/>
      <c r="CP697" s="94"/>
      <c r="CQ697" s="94"/>
      <c r="CR697" s="94"/>
      <c r="CS697" s="94"/>
      <c r="CT697" s="94"/>
      <c r="CU697" s="94"/>
      <c r="CV697" s="94"/>
      <c r="CW697" s="94"/>
      <c r="CX697" s="94"/>
      <c r="CY697" s="94"/>
      <c r="CZ697" s="94"/>
      <c r="DA697" s="94"/>
      <c r="DB697" s="94"/>
      <c r="DC697" s="94"/>
      <c r="DD697" s="94"/>
      <c r="DE697" s="94"/>
      <c r="DF697" s="94" t="str">
        <f>"    " &amp; TEXT(AF697,"#0.00%") &amp; " " &amp; "Check C/V Level  Center Line" &amp; " " &amp; IF(Q697="","",TEXT(Q697,"M/D-")) &amp; IF(R697="","",TEXT(R697,"M/D")) &amp; " "</f>
        <v xml:space="preserve">    0.00% Check C/V Level  Center Line  </v>
      </c>
      <c r="DG697" s="94"/>
      <c r="DH697" s="94"/>
      <c r="DI697" s="94"/>
      <c r="DJ697" s="94"/>
      <c r="DK697" s="94"/>
      <c r="DL697" s="94"/>
      <c r="DM697" s="94"/>
      <c r="DN697" s="94"/>
      <c r="DO697" s="94"/>
      <c r="DP697" s="94"/>
      <c r="DQ697" s="94"/>
    </row>
    <row r="698" spans="1:121" ht="15" customHeight="1" outlineLevel="3" x14ac:dyDescent="0.3">
      <c r="A698" s="100"/>
      <c r="B698" s="100"/>
      <c r="C698" s="99">
        <v>4</v>
      </c>
      <c r="D698" s="98" t="s">
        <v>558</v>
      </c>
      <c r="H698" s="77" t="s">
        <v>509</v>
      </c>
      <c r="O698" s="94" t="s">
        <v>506</v>
      </c>
      <c r="Q698" s="97"/>
      <c r="R698" s="97"/>
      <c r="AB698" s="72">
        <v>1</v>
      </c>
      <c r="AE698" s="96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94"/>
      <c r="BZ698" s="94"/>
      <c r="CA698" s="94"/>
      <c r="CB698" s="94"/>
      <c r="CC698" s="94"/>
      <c r="CD698" s="94"/>
      <c r="CE698" s="94"/>
      <c r="CF698" s="94"/>
      <c r="CG698" s="94"/>
      <c r="CH698" s="94"/>
      <c r="CI698" s="94"/>
      <c r="CJ698" s="94"/>
      <c r="CK698" s="94"/>
      <c r="CL698" s="94"/>
      <c r="CM698" s="94"/>
      <c r="CN698" s="94"/>
      <c r="CO698" s="94"/>
      <c r="CP698" s="94"/>
      <c r="CQ698" s="94"/>
      <c r="CR698" s="94"/>
      <c r="CS698" s="94"/>
      <c r="CT698" s="94"/>
      <c r="CU698" s="94"/>
      <c r="CV698" s="94"/>
      <c r="CW698" s="94"/>
      <c r="CX698" s="94"/>
      <c r="CY698" s="94"/>
      <c r="CZ698" s="94"/>
      <c r="DA698" s="94"/>
      <c r="DB698" s="94"/>
      <c r="DC698" s="94"/>
      <c r="DD698" s="94"/>
      <c r="DE698" s="94"/>
      <c r="DF698" s="94"/>
      <c r="DG698" s="94" t="str">
        <f>"" &amp; TEXT(AF698,"#0.00%") &amp; " " &amp; "C/V Anchor" &amp; " " &amp; IF(Q698="","",TEXT(Q698,"M/D-")) &amp; IF(R698="","",TEXT(R698,"M/D")) &amp; " "</f>
        <v xml:space="preserve">0.00% C/V Anchor  </v>
      </c>
      <c r="DH698" s="94"/>
      <c r="DI698" s="94"/>
      <c r="DJ698" s="94"/>
      <c r="DK698" s="94"/>
      <c r="DL698" s="94"/>
      <c r="DM698" s="94"/>
      <c r="DN698" s="94"/>
      <c r="DO698" s="94"/>
      <c r="DP698" s="94"/>
      <c r="DQ698" s="94"/>
    </row>
    <row r="699" spans="1:121" ht="15" customHeight="1" outlineLevel="3" x14ac:dyDescent="0.3">
      <c r="A699" s="100"/>
      <c r="B699" s="100"/>
      <c r="C699" s="99">
        <v>4</v>
      </c>
      <c r="D699" s="98" t="s">
        <v>557</v>
      </c>
      <c r="H699" s="77" t="s">
        <v>507</v>
      </c>
      <c r="O699" s="94" t="s">
        <v>506</v>
      </c>
      <c r="Q699" s="97"/>
      <c r="R699" s="97"/>
      <c r="AB699" s="72">
        <v>1</v>
      </c>
      <c r="AE699" s="96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94"/>
      <c r="BZ699" s="94"/>
      <c r="CA699" s="94"/>
      <c r="CB699" s="94"/>
      <c r="CC699" s="94"/>
      <c r="CD699" s="94"/>
      <c r="CE699" s="94"/>
      <c r="CF699" s="94"/>
      <c r="CG699" s="94"/>
      <c r="CH699" s="94"/>
      <c r="CI699" s="94"/>
      <c r="CJ699" s="94"/>
      <c r="CK699" s="94"/>
      <c r="CL699" s="94"/>
      <c r="CM699" s="94"/>
      <c r="CN699" s="94"/>
      <c r="CO699" s="94"/>
      <c r="CP699" s="94"/>
      <c r="CQ699" s="94"/>
      <c r="CR699" s="94"/>
      <c r="CS699" s="94"/>
      <c r="CT699" s="94"/>
      <c r="CU699" s="94"/>
      <c r="CV699" s="94"/>
      <c r="CW699" s="94"/>
      <c r="CX699" s="94"/>
      <c r="CY699" s="94"/>
      <c r="CZ699" s="94"/>
      <c r="DA699" s="94"/>
      <c r="DB699" s="94"/>
      <c r="DC699" s="94"/>
      <c r="DD699" s="94"/>
      <c r="DE699" s="94"/>
      <c r="DF699" s="94"/>
      <c r="DG699" s="94" t="str">
        <f>"   " &amp; TEXT(AF699,"#0.00%") &amp; " " &amp; "Install Stair" &amp; " " &amp; IF(Q699="","",TEXT(Q699,"M/D-")) &amp; IF(R699="","",TEXT(R699,"M/D")) &amp; " "</f>
        <v xml:space="preserve">   0.00% Install Stair  </v>
      </c>
      <c r="DH699" s="94"/>
      <c r="DI699" s="94"/>
      <c r="DJ699" s="94"/>
      <c r="DK699" s="94"/>
      <c r="DL699" s="94"/>
      <c r="DM699" s="94"/>
      <c r="DN699" s="94"/>
      <c r="DO699" s="94"/>
      <c r="DP699" s="94"/>
      <c r="DQ699" s="94"/>
    </row>
    <row r="700" spans="1:121" ht="15" customHeight="1" outlineLevel="2" x14ac:dyDescent="0.3">
      <c r="A700" s="100"/>
      <c r="B700" s="100" t="s">
        <v>298</v>
      </c>
      <c r="C700" s="99">
        <v>3</v>
      </c>
      <c r="D700" s="98" t="s">
        <v>556</v>
      </c>
      <c r="G700" s="77" t="s">
        <v>332</v>
      </c>
      <c r="O700" s="94" t="s">
        <v>331</v>
      </c>
      <c r="Q700" s="97"/>
      <c r="R700" s="97"/>
      <c r="AE700" s="96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94"/>
      <c r="BZ700" s="94"/>
      <c r="CA700" s="94"/>
      <c r="CB700" s="94"/>
      <c r="CC700" s="94"/>
      <c r="CD700" s="94"/>
      <c r="CE700" s="94"/>
      <c r="CF700" s="94"/>
      <c r="CG700" s="94"/>
      <c r="CH700" s="94"/>
      <c r="CI700" s="94" t="str">
        <f>"" &amp; TEXT(AF700,"#0.00%") &amp; " "</f>
        <v xml:space="preserve">0.00% </v>
      </c>
      <c r="CJ700" s="94"/>
      <c r="CK700" s="94"/>
      <c r="CL700" s="94"/>
      <c r="CM700" s="94"/>
      <c r="CN700" s="94" t="str">
        <f>"      " &amp; "2F Conveyor DGS front ※Front" &amp; " " &amp; IF(Q700="","",TEXT(Q700,"M/D-")) &amp; IF(R700="","",TEXT(R700,"M/D")) &amp; " "</f>
        <v xml:space="preserve">      2F Conveyor DGS front ※Front  </v>
      </c>
      <c r="CO700" s="94"/>
      <c r="CP700" s="94"/>
      <c r="CQ700" s="94"/>
      <c r="CR700" s="94"/>
      <c r="CS700" s="94"/>
      <c r="CT700" s="94"/>
      <c r="CU700" s="94"/>
      <c r="CV700" s="94"/>
      <c r="CW700" s="94"/>
      <c r="CX700" s="94"/>
      <c r="CY700" s="94"/>
      <c r="CZ700" s="94"/>
      <c r="DA700" s="94"/>
      <c r="DB700" s="94"/>
      <c r="DC700" s="94"/>
      <c r="DD700" s="94"/>
      <c r="DE700" s="94"/>
      <c r="DF700" s="94"/>
      <c r="DG700" s="94"/>
      <c r="DH700" s="94"/>
      <c r="DI700" s="94"/>
      <c r="DJ700" s="94"/>
      <c r="DK700" s="94"/>
      <c r="DL700" s="94"/>
      <c r="DM700" s="94"/>
      <c r="DN700" s="94"/>
      <c r="DO700" s="94"/>
      <c r="DP700" s="94"/>
      <c r="DQ700" s="94"/>
    </row>
    <row r="701" spans="1:121" ht="15" customHeight="1" outlineLevel="3" x14ac:dyDescent="0.3">
      <c r="A701" s="100"/>
      <c r="B701" s="100"/>
      <c r="C701" s="99">
        <v>4</v>
      </c>
      <c r="D701" s="98" t="s">
        <v>555</v>
      </c>
      <c r="H701" s="77" t="s">
        <v>534</v>
      </c>
      <c r="O701" s="94" t="s">
        <v>506</v>
      </c>
      <c r="Q701" s="97"/>
      <c r="R701" s="97"/>
      <c r="AB701" s="72">
        <v>1</v>
      </c>
      <c r="AE701" s="96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94"/>
      <c r="BZ701" s="94"/>
      <c r="CA701" s="94"/>
      <c r="CB701" s="94"/>
      <c r="CC701" s="94"/>
      <c r="CD701" s="94"/>
      <c r="CE701" s="94"/>
      <c r="CF701" s="94"/>
      <c r="CG701" s="94"/>
      <c r="CH701" s="94"/>
      <c r="CI701" s="94" t="str">
        <f>"" &amp; TEXT(AF701,"#0.00%") &amp; " " &amp; "Line Marking" &amp; " " &amp; IF(Q701="","",TEXT(Q701,"M/D-")) &amp; IF(R701="","",TEXT(R701,"M/D")) &amp; " "</f>
        <v xml:space="preserve">0.00% Line Marking  </v>
      </c>
      <c r="CJ701" s="94"/>
      <c r="CK701" s="94"/>
      <c r="CL701" s="94"/>
      <c r="CM701" s="94"/>
      <c r="CN701" s="94"/>
      <c r="CO701" s="94"/>
      <c r="CP701" s="94"/>
      <c r="CQ701" s="94"/>
      <c r="CR701" s="94"/>
      <c r="CS701" s="94"/>
      <c r="CT701" s="94"/>
      <c r="CU701" s="94"/>
      <c r="CV701" s="94"/>
      <c r="CW701" s="94"/>
      <c r="CX701" s="94"/>
      <c r="CY701" s="94"/>
      <c r="CZ701" s="94"/>
      <c r="DA701" s="94"/>
      <c r="DB701" s="94"/>
      <c r="DC701" s="94"/>
      <c r="DD701" s="94"/>
      <c r="DE701" s="94"/>
      <c r="DF701" s="94"/>
      <c r="DG701" s="94"/>
      <c r="DH701" s="94"/>
      <c r="DI701" s="94"/>
      <c r="DJ701" s="94"/>
      <c r="DK701" s="94"/>
      <c r="DL701" s="94"/>
      <c r="DM701" s="94"/>
      <c r="DN701" s="94"/>
      <c r="DO701" s="94"/>
      <c r="DP701" s="94"/>
      <c r="DQ701" s="94"/>
    </row>
    <row r="702" spans="1:121" ht="15" customHeight="1" outlineLevel="3" x14ac:dyDescent="0.3">
      <c r="A702" s="100" t="s">
        <v>554</v>
      </c>
      <c r="B702" s="100"/>
      <c r="C702" s="99">
        <v>4</v>
      </c>
      <c r="D702" s="98" t="s">
        <v>553</v>
      </c>
      <c r="H702" s="77" t="s">
        <v>532</v>
      </c>
      <c r="O702" s="94" t="s">
        <v>506</v>
      </c>
      <c r="Q702" s="97"/>
      <c r="R702" s="97"/>
      <c r="AB702" s="72">
        <v>1</v>
      </c>
      <c r="AE702" s="96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94"/>
      <c r="BZ702" s="94"/>
      <c r="CA702" s="94"/>
      <c r="CB702" s="94"/>
      <c r="CC702" s="94"/>
      <c r="CD702" s="94"/>
      <c r="CE702" s="94"/>
      <c r="CF702" s="94"/>
      <c r="CG702" s="94"/>
      <c r="CH702" s="94"/>
      <c r="CI702" s="94" t="str">
        <f>" " &amp; TEXT(AF702,"#0.00%") &amp; " " &amp; "Check Line Marking" &amp; " " &amp; IF(Q702="","",TEXT(Q702,"M/D-")) &amp; IF(R702="","",TEXT(R702,"M/D")) &amp; " "</f>
        <v xml:space="preserve"> 0.00% Check Line Marking  </v>
      </c>
      <c r="CJ702" s="94"/>
      <c r="CK702" s="94"/>
      <c r="CL702" s="94"/>
      <c r="CM702" s="94"/>
      <c r="CN702" s="94"/>
      <c r="CO702" s="94"/>
      <c r="CP702" s="94"/>
      <c r="CQ702" s="94"/>
      <c r="CR702" s="94"/>
      <c r="CS702" s="94"/>
      <c r="CT702" s="94"/>
      <c r="CU702" s="94"/>
      <c r="CV702" s="94"/>
      <c r="CW702" s="94"/>
      <c r="CX702" s="94"/>
      <c r="CY702" s="94"/>
      <c r="CZ702" s="94"/>
      <c r="DA702" s="94"/>
      <c r="DB702" s="94"/>
      <c r="DC702" s="94"/>
      <c r="DD702" s="94"/>
      <c r="DE702" s="94"/>
      <c r="DF702" s="94"/>
      <c r="DG702" s="94"/>
      <c r="DH702" s="94"/>
      <c r="DI702" s="94"/>
      <c r="DJ702" s="94"/>
      <c r="DK702" s="94"/>
      <c r="DL702" s="94"/>
      <c r="DM702" s="94"/>
      <c r="DN702" s="94"/>
      <c r="DO702" s="94"/>
      <c r="DP702" s="94"/>
      <c r="DQ702" s="94"/>
    </row>
    <row r="703" spans="1:121" ht="15" customHeight="1" outlineLevel="3" x14ac:dyDescent="0.3">
      <c r="A703" s="100"/>
      <c r="B703" s="100"/>
      <c r="C703" s="99">
        <v>4</v>
      </c>
      <c r="D703" s="98" t="s">
        <v>552</v>
      </c>
      <c r="H703" s="77" t="s">
        <v>530</v>
      </c>
      <c r="O703" s="94" t="s">
        <v>506</v>
      </c>
      <c r="Q703" s="97"/>
      <c r="R703" s="97"/>
      <c r="AB703" s="72">
        <v>1</v>
      </c>
      <c r="AE703" s="96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94"/>
      <c r="BZ703" s="94"/>
      <c r="CA703" s="94"/>
      <c r="CB703" s="94"/>
      <c r="CC703" s="94"/>
      <c r="CD703" s="94"/>
      <c r="CE703" s="94"/>
      <c r="CF703" s="94"/>
      <c r="CG703" s="94"/>
      <c r="CH703" s="94"/>
      <c r="CI703" s="94" t="str">
        <f>"  " &amp; TEXT(AF703,"#0.00%") &amp; " " &amp; "Move In" &amp; " " &amp; IF(Q703="","",TEXT(Q703,"M/D-")) &amp; IF(R703="","",TEXT(R703,"M/D")) &amp; " "</f>
        <v xml:space="preserve">  0.00% Move In  </v>
      </c>
      <c r="CJ703" s="94"/>
      <c r="CK703" s="94"/>
      <c r="CL703" s="94"/>
      <c r="CM703" s="94"/>
      <c r="CN703" s="94"/>
      <c r="CO703" s="94"/>
      <c r="CP703" s="94"/>
      <c r="CQ703" s="94"/>
      <c r="CR703" s="94"/>
      <c r="CS703" s="94"/>
      <c r="CT703" s="94"/>
      <c r="CU703" s="94"/>
      <c r="CV703" s="94"/>
      <c r="CW703" s="94"/>
      <c r="CX703" s="94"/>
      <c r="CY703" s="94"/>
      <c r="CZ703" s="94"/>
      <c r="DA703" s="94"/>
      <c r="DB703" s="94"/>
      <c r="DC703" s="94"/>
      <c r="DD703" s="94"/>
      <c r="DE703" s="94"/>
      <c r="DF703" s="94"/>
      <c r="DG703" s="94"/>
      <c r="DH703" s="94"/>
      <c r="DI703" s="94"/>
      <c r="DJ703" s="94"/>
      <c r="DK703" s="94"/>
      <c r="DL703" s="94"/>
      <c r="DM703" s="94"/>
      <c r="DN703" s="94"/>
      <c r="DO703" s="94"/>
      <c r="DP703" s="94"/>
      <c r="DQ703" s="94"/>
    </row>
    <row r="704" spans="1:121" ht="15" customHeight="1" outlineLevel="3" x14ac:dyDescent="0.3">
      <c r="A704" s="100"/>
      <c r="B704" s="100"/>
      <c r="C704" s="99">
        <v>4</v>
      </c>
      <c r="D704" s="98" t="s">
        <v>551</v>
      </c>
      <c r="H704" s="77" t="s">
        <v>550</v>
      </c>
      <c r="O704" s="94" t="s">
        <v>515</v>
      </c>
      <c r="Q704" s="97"/>
      <c r="R704" s="97"/>
      <c r="AB704" s="72">
        <v>1</v>
      </c>
      <c r="AE704" s="96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  <c r="BC704" s="102"/>
      <c r="BD704" s="102"/>
      <c r="BE704" s="102"/>
      <c r="BF704" s="102"/>
      <c r="BG704" s="102"/>
      <c r="BH704" s="102"/>
      <c r="BI704" s="102"/>
      <c r="BJ704" s="102"/>
      <c r="BK704" s="102"/>
      <c r="BL704" s="102"/>
      <c r="BM704" s="102"/>
      <c r="BN704" s="102"/>
      <c r="BO704" s="102"/>
      <c r="BP704" s="102"/>
      <c r="BQ704" s="102"/>
      <c r="BR704" s="102"/>
      <c r="BS704" s="102"/>
      <c r="BT704" s="102"/>
      <c r="BU704" s="102"/>
      <c r="BV704" s="102"/>
      <c r="BW704" s="102"/>
      <c r="BX704" s="102"/>
      <c r="BY704" s="94"/>
      <c r="BZ704" s="94"/>
      <c r="CA704" s="94"/>
      <c r="CB704" s="94"/>
      <c r="CC704" s="94"/>
      <c r="CD704" s="94"/>
      <c r="CE704" s="94"/>
      <c r="CF704" s="94"/>
      <c r="CG704" s="94"/>
      <c r="CH704" s="94"/>
      <c r="CI704" s="94"/>
      <c r="CJ704" s="94" t="str">
        <f>"    " &amp; TEXT(AF704,"#0.00%") &amp; " " &amp; "Install Anchor" &amp; " " &amp; IF(Q704="","",TEXT(Q704,"M/D-")) &amp; IF(R704="","",TEXT(R704,"M/D")) &amp; " "</f>
        <v xml:space="preserve">    0.00% Install Anchor  </v>
      </c>
      <c r="CK704" s="94"/>
      <c r="CL704" s="94"/>
      <c r="CM704" s="94"/>
      <c r="CN704" s="94"/>
      <c r="CO704" s="94"/>
      <c r="CP704" s="94"/>
      <c r="CQ704" s="94"/>
      <c r="CR704" s="94"/>
      <c r="CS704" s="94"/>
      <c r="CT704" s="94"/>
      <c r="CU704" s="94"/>
      <c r="CV704" s="94"/>
      <c r="CW704" s="94"/>
      <c r="CX704" s="94"/>
      <c r="CY704" s="94"/>
      <c r="CZ704" s="94"/>
      <c r="DA704" s="94"/>
      <c r="DB704" s="94"/>
      <c r="DC704" s="94"/>
      <c r="DD704" s="94"/>
      <c r="DE704" s="94"/>
      <c r="DF704" s="94"/>
      <c r="DG704" s="94"/>
      <c r="DH704" s="94"/>
      <c r="DI704" s="94"/>
      <c r="DJ704" s="94"/>
      <c r="DK704" s="94"/>
      <c r="DL704" s="94"/>
      <c r="DM704" s="94"/>
      <c r="DN704" s="94"/>
      <c r="DO704" s="94"/>
      <c r="DP704" s="94"/>
      <c r="DQ704" s="94"/>
    </row>
    <row r="705" spans="1:121" ht="15" customHeight="1" outlineLevel="3" x14ac:dyDescent="0.3">
      <c r="A705" s="100"/>
      <c r="B705" s="100"/>
      <c r="C705" s="99">
        <v>4</v>
      </c>
      <c r="D705" s="98" t="s">
        <v>549</v>
      </c>
      <c r="H705" s="77" t="s">
        <v>548</v>
      </c>
      <c r="O705" s="94" t="s">
        <v>515</v>
      </c>
      <c r="Q705" s="97"/>
      <c r="R705" s="97"/>
      <c r="AB705" s="72">
        <v>1</v>
      </c>
      <c r="AE705" s="96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2"/>
      <c r="BD705" s="102"/>
      <c r="BE705" s="102"/>
      <c r="BF705" s="102"/>
      <c r="BG705" s="102"/>
      <c r="BH705" s="102"/>
      <c r="BI705" s="102"/>
      <c r="BJ705" s="102"/>
      <c r="BK705" s="102"/>
      <c r="BL705" s="102"/>
      <c r="BM705" s="102"/>
      <c r="BN705" s="102"/>
      <c r="BO705" s="102"/>
      <c r="BP705" s="102"/>
      <c r="BQ705" s="102"/>
      <c r="BR705" s="102"/>
      <c r="BS705" s="102"/>
      <c r="BT705" s="102"/>
      <c r="BU705" s="102"/>
      <c r="BV705" s="102"/>
      <c r="BW705" s="102"/>
      <c r="BX705" s="102"/>
      <c r="BY705" s="94"/>
      <c r="BZ705" s="94"/>
      <c r="CA705" s="94"/>
      <c r="CB705" s="94"/>
      <c r="CC705" s="94"/>
      <c r="CD705" s="94"/>
      <c r="CE705" s="94"/>
      <c r="CF705" s="94"/>
      <c r="CG705" s="94"/>
      <c r="CH705" s="94"/>
      <c r="CI705" s="94"/>
      <c r="CJ705" s="94" t="str">
        <f>"      " &amp; TEXT(AF705,"#0.00%") &amp; " " &amp; "Install Deck Post" &amp; " " &amp; IF(Q705="","",TEXT(Q705,"M/D-")) &amp; IF(R705="","",TEXT(R705,"M/D")) &amp; " "</f>
        <v xml:space="preserve">      0.00% Install Deck Post  </v>
      </c>
      <c r="CK705" s="94"/>
      <c r="CL705" s="94"/>
      <c r="CM705" s="94"/>
      <c r="CN705" s="94"/>
      <c r="CO705" s="94"/>
      <c r="CP705" s="94"/>
      <c r="CQ705" s="94"/>
      <c r="CR705" s="94"/>
      <c r="CS705" s="94"/>
      <c r="CT705" s="94"/>
      <c r="CU705" s="94"/>
      <c r="CV705" s="94"/>
      <c r="CW705" s="94"/>
      <c r="CX705" s="94"/>
      <c r="CY705" s="94"/>
      <c r="CZ705" s="94"/>
      <c r="DA705" s="94"/>
      <c r="DB705" s="94"/>
      <c r="DC705" s="94"/>
      <c r="DD705" s="94"/>
      <c r="DE705" s="94"/>
      <c r="DF705" s="94"/>
      <c r="DG705" s="94"/>
      <c r="DH705" s="94"/>
      <c r="DI705" s="94"/>
      <c r="DJ705" s="94"/>
      <c r="DK705" s="94"/>
      <c r="DL705" s="94"/>
      <c r="DM705" s="94"/>
      <c r="DN705" s="94"/>
      <c r="DO705" s="94"/>
      <c r="DP705" s="94"/>
      <c r="DQ705" s="94"/>
    </row>
    <row r="706" spans="1:121" ht="15" customHeight="1" outlineLevel="3" x14ac:dyDescent="0.3">
      <c r="A706" s="100"/>
      <c r="B706" s="100"/>
      <c r="C706" s="99">
        <v>4</v>
      </c>
      <c r="D706" s="98" t="s">
        <v>547</v>
      </c>
      <c r="H706" s="77" t="s">
        <v>546</v>
      </c>
      <c r="O706" s="94" t="s">
        <v>515</v>
      </c>
      <c r="Q706" s="97"/>
      <c r="R706" s="97"/>
      <c r="AB706" s="72">
        <v>1</v>
      </c>
      <c r="AE706" s="96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  <c r="BC706" s="102"/>
      <c r="BD706" s="102"/>
      <c r="BE706" s="102"/>
      <c r="BF706" s="102"/>
      <c r="BG706" s="102"/>
      <c r="BH706" s="102"/>
      <c r="BI706" s="102"/>
      <c r="BJ706" s="102"/>
      <c r="BK706" s="102"/>
      <c r="BL706" s="102"/>
      <c r="BM706" s="102"/>
      <c r="BN706" s="102"/>
      <c r="BO706" s="102"/>
      <c r="BP706" s="102"/>
      <c r="BQ706" s="102"/>
      <c r="BR706" s="102"/>
      <c r="BS706" s="102"/>
      <c r="BT706" s="102"/>
      <c r="BU706" s="102"/>
      <c r="BV706" s="102"/>
      <c r="BW706" s="102"/>
      <c r="BX706" s="102"/>
      <c r="BY706" s="94"/>
      <c r="BZ706" s="94"/>
      <c r="CA706" s="94"/>
      <c r="CB706" s="94"/>
      <c r="CC706" s="94"/>
      <c r="CD706" s="94"/>
      <c r="CE706" s="94"/>
      <c r="CF706" s="94"/>
      <c r="CG706" s="94"/>
      <c r="CH706" s="94"/>
      <c r="CI706" s="94"/>
      <c r="CJ706" s="94"/>
      <c r="CK706" s="94" t="str">
        <f>" " &amp; TEXT(AF706,"#0.00%") &amp; " " &amp; "Install Deck Frame&amp;Hand Rail" &amp; " " &amp; IF(Q706="","",TEXT(Q706,"M/D-")) &amp; IF(R706="","",TEXT(R706,"M/D")) &amp; " "</f>
        <v xml:space="preserve"> 0.00% Install Deck Frame&amp;Hand Rail  </v>
      </c>
      <c r="CL706" s="94"/>
      <c r="CM706" s="94"/>
      <c r="CN706" s="94"/>
      <c r="CO706" s="94"/>
      <c r="CP706" s="94"/>
      <c r="CQ706" s="94"/>
      <c r="CR706" s="94"/>
      <c r="CS706" s="94"/>
      <c r="CT706" s="94"/>
      <c r="CU706" s="94"/>
      <c r="CV706" s="94"/>
      <c r="CW706" s="94"/>
      <c r="CX706" s="94"/>
      <c r="CY706" s="94"/>
      <c r="CZ706" s="94"/>
      <c r="DA706" s="94"/>
      <c r="DB706" s="94"/>
      <c r="DC706" s="94"/>
      <c r="DD706" s="94"/>
      <c r="DE706" s="94"/>
      <c r="DF706" s="94"/>
      <c r="DG706" s="94"/>
      <c r="DH706" s="94"/>
      <c r="DI706" s="94"/>
      <c r="DJ706" s="94"/>
      <c r="DK706" s="94"/>
      <c r="DL706" s="94"/>
      <c r="DM706" s="94"/>
      <c r="DN706" s="94"/>
      <c r="DO706" s="94"/>
      <c r="DP706" s="94"/>
      <c r="DQ706" s="94"/>
    </row>
    <row r="707" spans="1:121" ht="15" customHeight="1" outlineLevel="3" x14ac:dyDescent="0.3">
      <c r="A707" s="100"/>
      <c r="B707" s="100"/>
      <c r="C707" s="99">
        <v>4</v>
      </c>
      <c r="D707" s="98" t="s">
        <v>545</v>
      </c>
      <c r="H707" s="77" t="s">
        <v>544</v>
      </c>
      <c r="O707" s="94" t="s">
        <v>518</v>
      </c>
      <c r="Q707" s="97"/>
      <c r="R707" s="97"/>
      <c r="AB707" s="72">
        <v>1</v>
      </c>
      <c r="AE707" s="96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  <c r="BC707" s="102"/>
      <c r="BD707" s="102"/>
      <c r="BE707" s="102"/>
      <c r="BF707" s="102"/>
      <c r="BG707" s="102"/>
      <c r="BH707" s="102"/>
      <c r="BI707" s="102"/>
      <c r="BJ707" s="102"/>
      <c r="BK707" s="102"/>
      <c r="BL707" s="102"/>
      <c r="BM707" s="102"/>
      <c r="BN707" s="102"/>
      <c r="BO707" s="102"/>
      <c r="BP707" s="102"/>
      <c r="BQ707" s="102"/>
      <c r="BR707" s="102"/>
      <c r="BS707" s="102"/>
      <c r="BT707" s="102"/>
      <c r="BU707" s="102"/>
      <c r="BV707" s="102"/>
      <c r="BW707" s="102"/>
      <c r="BX707" s="102"/>
      <c r="BY707" s="94"/>
      <c r="BZ707" s="94"/>
      <c r="CA707" s="94"/>
      <c r="CB707" s="94"/>
      <c r="CC707" s="94"/>
      <c r="CD707" s="94"/>
      <c r="CE707" s="94"/>
      <c r="CF707" s="94"/>
      <c r="CG707" s="94"/>
      <c r="CH707" s="94"/>
      <c r="CI707" s="94"/>
      <c r="CJ707" s="94"/>
      <c r="CK707" s="94" t="str">
        <f>"      " &amp; TEXT(AF707,"#0.00%") &amp; " " &amp; "Install Lifter" &amp; " " &amp; IF(Q707="","",TEXT(Q707,"M/D-")) &amp; IF(R707="","",TEXT(R707,"M/D")) &amp; " "</f>
        <v xml:space="preserve">      0.00% Install Lifter  </v>
      </c>
      <c r="CL707" s="94"/>
      <c r="CM707" s="94"/>
      <c r="CN707" s="94"/>
      <c r="CO707" s="94"/>
      <c r="CP707" s="94"/>
      <c r="CQ707" s="94"/>
      <c r="CR707" s="94"/>
      <c r="CS707" s="94"/>
      <c r="CT707" s="94"/>
      <c r="CU707" s="94"/>
      <c r="CV707" s="94"/>
      <c r="CW707" s="94"/>
      <c r="CX707" s="94"/>
      <c r="CY707" s="94"/>
      <c r="CZ707" s="94"/>
      <c r="DA707" s="94"/>
      <c r="DB707" s="94"/>
      <c r="DC707" s="94"/>
      <c r="DD707" s="94"/>
      <c r="DE707" s="94"/>
      <c r="DF707" s="94"/>
      <c r="DG707" s="94"/>
      <c r="DH707" s="94"/>
      <c r="DI707" s="94"/>
      <c r="DJ707" s="94"/>
      <c r="DK707" s="94"/>
      <c r="DL707" s="94"/>
      <c r="DM707" s="94"/>
      <c r="DN707" s="94"/>
      <c r="DO707" s="94"/>
      <c r="DP707" s="94"/>
      <c r="DQ707" s="94"/>
    </row>
    <row r="708" spans="1:121" ht="15" customHeight="1" outlineLevel="3" x14ac:dyDescent="0.3">
      <c r="A708" s="100"/>
      <c r="B708" s="100"/>
      <c r="C708" s="99">
        <v>4</v>
      </c>
      <c r="D708" s="98" t="s">
        <v>543</v>
      </c>
      <c r="H708" s="77" t="s">
        <v>516</v>
      </c>
      <c r="O708" s="94" t="s">
        <v>515</v>
      </c>
      <c r="Q708" s="97"/>
      <c r="R708" s="97"/>
      <c r="AB708" s="72">
        <v>1</v>
      </c>
      <c r="AE708" s="96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  <c r="BC708" s="102"/>
      <c r="BD708" s="102"/>
      <c r="BE708" s="102"/>
      <c r="BF708" s="102"/>
      <c r="BG708" s="102"/>
      <c r="BH708" s="102"/>
      <c r="BI708" s="102"/>
      <c r="BJ708" s="102"/>
      <c r="BK708" s="102"/>
      <c r="BL708" s="102"/>
      <c r="BM708" s="102"/>
      <c r="BN708" s="102"/>
      <c r="BO708" s="102"/>
      <c r="BP708" s="102"/>
      <c r="BQ708" s="102"/>
      <c r="BR708" s="102"/>
      <c r="BS708" s="102"/>
      <c r="BT708" s="102"/>
      <c r="BU708" s="102"/>
      <c r="BV708" s="102"/>
      <c r="BW708" s="102"/>
      <c r="BX708" s="102"/>
      <c r="BY708" s="94"/>
      <c r="BZ708" s="94"/>
      <c r="CA708" s="94"/>
      <c r="CB708" s="94"/>
      <c r="CC708" s="94"/>
      <c r="CD708" s="94"/>
      <c r="CE708" s="94"/>
      <c r="CF708" s="94"/>
      <c r="CG708" s="94"/>
      <c r="CH708" s="94"/>
      <c r="CI708" s="94"/>
      <c r="CJ708" s="94"/>
      <c r="CK708" s="94"/>
      <c r="CL708" s="94" t="str">
        <f>"    " &amp; TEXT(AF708,"#0.00%") &amp; " " &amp; "Check Deck Level" &amp; " " &amp; IF(Q708="","",TEXT(Q708,"M/D-")) &amp; IF(R708="","",TEXT(R708,"M/D")) &amp; " "</f>
        <v xml:space="preserve">    0.00% Check Deck Level  </v>
      </c>
      <c r="CM708" s="94"/>
      <c r="CN708" s="94"/>
      <c r="CO708" s="94"/>
      <c r="CP708" s="94"/>
      <c r="CQ708" s="94"/>
      <c r="CR708" s="94"/>
      <c r="CS708" s="94"/>
      <c r="CT708" s="94"/>
      <c r="CU708" s="94"/>
      <c r="CV708" s="94"/>
      <c r="CW708" s="94"/>
      <c r="CX708" s="94"/>
      <c r="CY708" s="94"/>
      <c r="CZ708" s="94"/>
      <c r="DA708" s="94"/>
      <c r="DB708" s="94"/>
      <c r="DC708" s="94"/>
      <c r="DD708" s="94"/>
      <c r="DE708" s="94"/>
      <c r="DF708" s="94"/>
      <c r="DG708" s="94"/>
      <c r="DH708" s="94"/>
      <c r="DI708" s="94"/>
      <c r="DJ708" s="94"/>
      <c r="DK708" s="94"/>
      <c r="DL708" s="94"/>
      <c r="DM708" s="94"/>
      <c r="DN708" s="94"/>
      <c r="DO708" s="94"/>
      <c r="DP708" s="94"/>
      <c r="DQ708" s="94"/>
    </row>
    <row r="709" spans="1:121" ht="15" customHeight="1" outlineLevel="3" x14ac:dyDescent="0.3">
      <c r="A709" s="100"/>
      <c r="B709" s="100"/>
      <c r="C709" s="99">
        <v>4</v>
      </c>
      <c r="D709" s="98" t="s">
        <v>542</v>
      </c>
      <c r="H709" s="77" t="s">
        <v>541</v>
      </c>
      <c r="O709" s="94" t="s">
        <v>506</v>
      </c>
      <c r="Q709" s="97"/>
      <c r="R709" s="97"/>
      <c r="AB709" s="72">
        <v>1</v>
      </c>
      <c r="AE709" s="96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  <c r="BI709" s="102"/>
      <c r="BJ709" s="102"/>
      <c r="BK709" s="102"/>
      <c r="BL709" s="102"/>
      <c r="BM709" s="102"/>
      <c r="BN709" s="102"/>
      <c r="BO709" s="102"/>
      <c r="BP709" s="102"/>
      <c r="BQ709" s="102"/>
      <c r="BR709" s="102"/>
      <c r="BS709" s="102"/>
      <c r="BT709" s="102"/>
      <c r="BU709" s="102"/>
      <c r="BV709" s="102"/>
      <c r="BW709" s="102"/>
      <c r="BX709" s="102"/>
      <c r="BY709" s="94"/>
      <c r="BZ709" s="94"/>
      <c r="CA709" s="94"/>
      <c r="CB709" s="94"/>
      <c r="CC709" s="94"/>
      <c r="CD709" s="94"/>
      <c r="CE709" s="94"/>
      <c r="CF709" s="94"/>
      <c r="CG709" s="94"/>
      <c r="CH709" s="94"/>
      <c r="CI709" s="94"/>
      <c r="CJ709" s="94"/>
      <c r="CK709" s="94"/>
      <c r="CL709" s="94" t="str">
        <f>"    " &amp; TEXT(AF709,"#0.00%") &amp; " " &amp; "Check Track NO." &amp; " " &amp; IF(Q709="","",TEXT(Q709,"M/D-")) &amp; IF(R709="","",TEXT(R709,"M/D")) &amp; " "</f>
        <v xml:space="preserve">    0.00% Check Track NO.  </v>
      </c>
      <c r="CM709" s="94"/>
      <c r="CN709" s="94"/>
      <c r="CO709" s="94"/>
      <c r="CP709" s="94"/>
      <c r="CQ709" s="94"/>
      <c r="CR709" s="94"/>
      <c r="CS709" s="94"/>
      <c r="CT709" s="94"/>
      <c r="CU709" s="94"/>
      <c r="CV709" s="94"/>
      <c r="CW709" s="94"/>
      <c r="CX709" s="94"/>
      <c r="CY709" s="94"/>
      <c r="CZ709" s="94"/>
      <c r="DA709" s="94"/>
      <c r="DB709" s="94"/>
      <c r="DC709" s="94"/>
      <c r="DD709" s="94"/>
      <c r="DE709" s="94"/>
      <c r="DF709" s="94"/>
      <c r="DG709" s="94"/>
      <c r="DH709" s="94"/>
      <c r="DI709" s="94"/>
      <c r="DJ709" s="94"/>
      <c r="DK709" s="94"/>
      <c r="DL709" s="94"/>
      <c r="DM709" s="94"/>
      <c r="DN709" s="94"/>
      <c r="DO709" s="94"/>
      <c r="DP709" s="94"/>
      <c r="DQ709" s="94"/>
    </row>
    <row r="710" spans="1:121" ht="15" customHeight="1" outlineLevel="3" x14ac:dyDescent="0.3">
      <c r="A710" s="100"/>
      <c r="B710" s="100"/>
      <c r="C710" s="99">
        <v>4</v>
      </c>
      <c r="D710" s="98" t="s">
        <v>540</v>
      </c>
      <c r="H710" s="77" t="s">
        <v>539</v>
      </c>
      <c r="O710" s="94" t="s">
        <v>506</v>
      </c>
      <c r="Q710" s="97"/>
      <c r="R710" s="97"/>
      <c r="AB710" s="72">
        <v>1</v>
      </c>
      <c r="AE710" s="96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  <c r="BC710" s="102"/>
      <c r="BD710" s="102"/>
      <c r="BE710" s="102"/>
      <c r="BF710" s="102"/>
      <c r="BG710" s="102"/>
      <c r="BH710" s="102"/>
      <c r="BI710" s="102"/>
      <c r="BJ710" s="102"/>
      <c r="BK710" s="102"/>
      <c r="BL710" s="102"/>
      <c r="BM710" s="102"/>
      <c r="BN710" s="102"/>
      <c r="BO710" s="102"/>
      <c r="BP710" s="102"/>
      <c r="BQ710" s="102"/>
      <c r="BR710" s="102"/>
      <c r="BS710" s="102"/>
      <c r="BT710" s="102"/>
      <c r="BU710" s="102"/>
      <c r="BV710" s="102"/>
      <c r="BW710" s="102"/>
      <c r="BX710" s="102"/>
      <c r="BY710" s="94"/>
      <c r="BZ710" s="94"/>
      <c r="CA710" s="94"/>
      <c r="CB710" s="94"/>
      <c r="CC710" s="94"/>
      <c r="CD710" s="94"/>
      <c r="CE710" s="94"/>
      <c r="CF710" s="94"/>
      <c r="CG710" s="94"/>
      <c r="CH710" s="94"/>
      <c r="CI710" s="94"/>
      <c r="CJ710" s="94"/>
      <c r="CK710" s="94"/>
      <c r="CL710" s="94" t="str">
        <f>"     " &amp; TEXT(AF710,"#0.00%") &amp; " " &amp; "Install C/V (DGS front)" &amp; " " &amp; IF(Q710="","",TEXT(Q710,"M/D-")) &amp; IF(R710="","",TEXT(R710,"M/D")) &amp; " "</f>
        <v xml:space="preserve">     0.00% Install C/V (DGS front)  </v>
      </c>
      <c r="CM710" s="94"/>
      <c r="CN710" s="94"/>
      <c r="CO710" s="94"/>
      <c r="CP710" s="94"/>
      <c r="CQ710" s="94"/>
      <c r="CR710" s="94"/>
      <c r="CS710" s="94"/>
      <c r="CT710" s="94"/>
      <c r="CU710" s="94"/>
      <c r="CV710" s="94"/>
      <c r="CW710" s="94"/>
      <c r="CX710" s="94"/>
      <c r="CY710" s="94"/>
      <c r="CZ710" s="94"/>
      <c r="DA710" s="94"/>
      <c r="DB710" s="94"/>
      <c r="DC710" s="94"/>
      <c r="DD710" s="94"/>
      <c r="DE710" s="94"/>
      <c r="DF710" s="94"/>
      <c r="DG710" s="94"/>
      <c r="DH710" s="94"/>
      <c r="DI710" s="94"/>
      <c r="DJ710" s="94"/>
      <c r="DK710" s="94"/>
      <c r="DL710" s="94"/>
      <c r="DM710" s="94"/>
      <c r="DN710" s="94"/>
      <c r="DO710" s="94"/>
      <c r="DP710" s="94"/>
      <c r="DQ710" s="94"/>
    </row>
    <row r="711" spans="1:121" ht="15" customHeight="1" outlineLevel="3" x14ac:dyDescent="0.3">
      <c r="A711" s="100"/>
      <c r="B711" s="100"/>
      <c r="C711" s="99">
        <v>4</v>
      </c>
      <c r="D711" s="98" t="s">
        <v>538</v>
      </c>
      <c r="H711" s="77" t="s">
        <v>511</v>
      </c>
      <c r="O711" s="94" t="s">
        <v>506</v>
      </c>
      <c r="Q711" s="97"/>
      <c r="R711" s="97"/>
      <c r="AB711" s="72">
        <v>1</v>
      </c>
      <c r="AE711" s="96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  <c r="BI711" s="102"/>
      <c r="BJ711" s="102"/>
      <c r="BK711" s="102"/>
      <c r="BL711" s="102"/>
      <c r="BM711" s="102"/>
      <c r="BN711" s="102"/>
      <c r="BO711" s="102"/>
      <c r="BP711" s="102"/>
      <c r="BQ711" s="102"/>
      <c r="BR711" s="102"/>
      <c r="BS711" s="102"/>
      <c r="BT711" s="102"/>
      <c r="BU711" s="102"/>
      <c r="BV711" s="102"/>
      <c r="BW711" s="102"/>
      <c r="BX711" s="102"/>
      <c r="BY711" s="94"/>
      <c r="BZ711" s="94"/>
      <c r="CA711" s="94"/>
      <c r="CB711" s="94"/>
      <c r="CC711" s="94"/>
      <c r="CD711" s="94"/>
      <c r="CE711" s="94"/>
      <c r="CF711" s="94"/>
      <c r="CG711" s="94"/>
      <c r="CH711" s="94"/>
      <c r="CI711" s="94"/>
      <c r="CJ711" s="94"/>
      <c r="CK711" s="94"/>
      <c r="CL711" s="94"/>
      <c r="CM711" s="94"/>
      <c r="CN711" s="94" t="str">
        <f>"" &amp; TEXT(AF711,"#0.00%") &amp; " " &amp; "Check C/V Level  Center Line" &amp; " " &amp; IF(Q711="","",TEXT(Q711,"M/D-")) &amp; IF(R711="","",TEXT(R711,"M/D")) &amp; " "</f>
        <v xml:space="preserve">0.00% Check C/V Level  Center Line  </v>
      </c>
      <c r="CO711" s="94"/>
      <c r="CP711" s="94"/>
      <c r="CQ711" s="94"/>
      <c r="CR711" s="94"/>
      <c r="CS711" s="94"/>
      <c r="CT711" s="94"/>
      <c r="CU711" s="94"/>
      <c r="CV711" s="94"/>
      <c r="CW711" s="94"/>
      <c r="CX711" s="94"/>
      <c r="CY711" s="94"/>
      <c r="CZ711" s="94"/>
      <c r="DA711" s="94"/>
      <c r="DB711" s="94"/>
      <c r="DC711" s="94"/>
      <c r="DD711" s="94"/>
      <c r="DE711" s="94"/>
      <c r="DF711" s="94"/>
      <c r="DG711" s="94"/>
      <c r="DH711" s="94"/>
      <c r="DI711" s="94"/>
      <c r="DJ711" s="94"/>
      <c r="DK711" s="94"/>
      <c r="DL711" s="94"/>
      <c r="DM711" s="94"/>
      <c r="DN711" s="94"/>
      <c r="DO711" s="94"/>
      <c r="DP711" s="94"/>
      <c r="DQ711" s="94"/>
    </row>
    <row r="712" spans="1:121" ht="15" customHeight="1" outlineLevel="3" x14ac:dyDescent="0.3">
      <c r="A712" s="100"/>
      <c r="B712" s="100"/>
      <c r="C712" s="99">
        <v>4</v>
      </c>
      <c r="D712" s="98" t="s">
        <v>537</v>
      </c>
      <c r="H712" s="77" t="s">
        <v>507</v>
      </c>
      <c r="O712" s="94" t="s">
        <v>506</v>
      </c>
      <c r="Q712" s="97"/>
      <c r="R712" s="97"/>
      <c r="AB712" s="72">
        <v>1</v>
      </c>
      <c r="AE712" s="96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  <c r="BC712" s="102"/>
      <c r="BD712" s="102"/>
      <c r="BE712" s="102"/>
      <c r="BF712" s="102"/>
      <c r="BG712" s="102"/>
      <c r="BH712" s="102"/>
      <c r="BI712" s="102"/>
      <c r="BJ712" s="102"/>
      <c r="BK712" s="102"/>
      <c r="BL712" s="102"/>
      <c r="BM712" s="102"/>
      <c r="BN712" s="102"/>
      <c r="BO712" s="102"/>
      <c r="BP712" s="102"/>
      <c r="BQ712" s="102"/>
      <c r="BR712" s="102"/>
      <c r="BS712" s="102"/>
      <c r="BT712" s="102"/>
      <c r="BU712" s="102"/>
      <c r="BV712" s="102"/>
      <c r="BW712" s="102"/>
      <c r="BX712" s="102"/>
      <c r="BY712" s="94"/>
      <c r="BZ712" s="94"/>
      <c r="CA712" s="94"/>
      <c r="CB712" s="94"/>
      <c r="CC712" s="94"/>
      <c r="CD712" s="94"/>
      <c r="CE712" s="94"/>
      <c r="CF712" s="94"/>
      <c r="CG712" s="94"/>
      <c r="CH712" s="94"/>
      <c r="CI712" s="94"/>
      <c r="CJ712" s="94"/>
      <c r="CK712" s="94"/>
      <c r="CL712" s="94"/>
      <c r="CM712" s="94"/>
      <c r="CN712" s="94" t="str">
        <f>"   " &amp; TEXT(AF712,"#0.00%") &amp; " " &amp; "Install Stair" &amp; " " &amp; IF(Q712="","",TEXT(Q712,"M/D-")) &amp; IF(R712="","",TEXT(R712,"M/D")) &amp; " "</f>
        <v xml:space="preserve">   0.00% Install Stair  </v>
      </c>
      <c r="CO712" s="94"/>
      <c r="CP712" s="94"/>
      <c r="CQ712" s="94"/>
      <c r="CR712" s="94"/>
      <c r="CS712" s="94"/>
      <c r="CT712" s="94"/>
      <c r="CU712" s="94"/>
      <c r="CV712" s="94"/>
      <c r="CW712" s="94"/>
      <c r="CX712" s="94"/>
      <c r="CY712" s="94"/>
      <c r="CZ712" s="94"/>
      <c r="DA712" s="94"/>
      <c r="DB712" s="94"/>
      <c r="DC712" s="94"/>
      <c r="DD712" s="94"/>
      <c r="DE712" s="94"/>
      <c r="DF712" s="94"/>
      <c r="DG712" s="94"/>
      <c r="DH712" s="94"/>
      <c r="DI712" s="94"/>
      <c r="DJ712" s="94"/>
      <c r="DK712" s="94"/>
      <c r="DL712" s="94"/>
      <c r="DM712" s="94"/>
      <c r="DN712" s="94"/>
      <c r="DO712" s="94"/>
      <c r="DP712" s="94"/>
      <c r="DQ712" s="94"/>
    </row>
    <row r="713" spans="1:121" ht="15" customHeight="1" outlineLevel="2" x14ac:dyDescent="0.3">
      <c r="A713" s="100"/>
      <c r="B713" s="100" t="s">
        <v>298</v>
      </c>
      <c r="C713" s="99">
        <v>3</v>
      </c>
      <c r="D713" s="98" t="s">
        <v>536</v>
      </c>
      <c r="G713" s="77" t="s">
        <v>320</v>
      </c>
      <c r="O713" s="94" t="s">
        <v>319</v>
      </c>
      <c r="Q713" s="97"/>
      <c r="R713" s="97"/>
      <c r="AE713" s="96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94"/>
      <c r="BZ713" s="94"/>
      <c r="CA713" s="94"/>
      <c r="CB713" s="94"/>
      <c r="CC713" s="94"/>
      <c r="CD713" s="94"/>
      <c r="CE713" s="94"/>
      <c r="CF713" s="94"/>
      <c r="CG713" s="94"/>
      <c r="CH713" s="94"/>
      <c r="CI713" s="94"/>
      <c r="CJ713" s="94"/>
      <c r="CK713" s="94" t="str">
        <f>"  " &amp; TEXT(AF713,"#0.00%") &amp; " "</f>
        <v xml:space="preserve">  0.00% </v>
      </c>
      <c r="CL713" s="94"/>
      <c r="CM713" s="94"/>
      <c r="CN713" s="94"/>
      <c r="CO713" s="94"/>
      <c r="CP713" s="94"/>
      <c r="CQ713" s="94"/>
      <c r="CR713" s="94"/>
      <c r="CS713" s="94"/>
      <c r="CT713" s="94"/>
      <c r="CU713" s="94"/>
      <c r="CV713" s="94"/>
      <c r="CW713" s="94" t="str">
        <f>"  " &amp; "2F Conveyor DGS back ※Back" &amp; " " &amp; IF(Q713="","",TEXT(Q713,"M/D-")) &amp; IF(R713="","",TEXT(R713,"M/D")) &amp; " "</f>
        <v xml:space="preserve">  2F Conveyor DGS back ※Back  </v>
      </c>
      <c r="CX713" s="94"/>
      <c r="CY713" s="94"/>
      <c r="CZ713" s="94"/>
      <c r="DA713" s="94"/>
      <c r="DB713" s="94"/>
      <c r="DC713" s="94"/>
      <c r="DD713" s="94"/>
      <c r="DE713" s="94"/>
      <c r="DF713" s="94"/>
      <c r="DG713" s="94"/>
      <c r="DH713" s="94"/>
      <c r="DI713" s="94"/>
      <c r="DJ713" s="94"/>
      <c r="DK713" s="94"/>
      <c r="DL713" s="94"/>
      <c r="DM713" s="94"/>
      <c r="DN713" s="94"/>
      <c r="DO713" s="94"/>
      <c r="DP713" s="94"/>
      <c r="DQ713" s="94"/>
    </row>
    <row r="714" spans="1:121" ht="15" customHeight="1" outlineLevel="3" x14ac:dyDescent="0.3">
      <c r="A714" s="100"/>
      <c r="B714" s="100"/>
      <c r="C714" s="99">
        <v>4</v>
      </c>
      <c r="D714" s="98" t="s">
        <v>535</v>
      </c>
      <c r="H714" s="77" t="s">
        <v>534</v>
      </c>
      <c r="O714" s="94" t="s">
        <v>506</v>
      </c>
      <c r="Q714" s="97"/>
      <c r="R714" s="97"/>
      <c r="AB714" s="72">
        <v>1</v>
      </c>
      <c r="AE714" s="96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  <c r="BC714" s="102"/>
      <c r="BD714" s="102"/>
      <c r="BE714" s="102"/>
      <c r="BF714" s="102"/>
      <c r="BG714" s="102"/>
      <c r="BH714" s="102"/>
      <c r="BI714" s="102"/>
      <c r="BJ714" s="102"/>
      <c r="BK714" s="102"/>
      <c r="BL714" s="102"/>
      <c r="BM714" s="102"/>
      <c r="BN714" s="102"/>
      <c r="BO714" s="102"/>
      <c r="BP714" s="102"/>
      <c r="BQ714" s="102"/>
      <c r="BR714" s="102"/>
      <c r="BS714" s="102"/>
      <c r="BT714" s="102"/>
      <c r="BU714" s="102"/>
      <c r="BV714" s="102"/>
      <c r="BW714" s="102"/>
      <c r="BX714" s="102"/>
      <c r="BY714" s="94"/>
      <c r="BZ714" s="94"/>
      <c r="CA714" s="94"/>
      <c r="CB714" s="94"/>
      <c r="CC714" s="94"/>
      <c r="CD714" s="94"/>
      <c r="CE714" s="94"/>
      <c r="CF714" s="94"/>
      <c r="CG714" s="94"/>
      <c r="CH714" s="94"/>
      <c r="CI714" s="94"/>
      <c r="CJ714" s="94"/>
      <c r="CK714" s="94" t="str">
        <f>"  " &amp; TEXT(AF714,"#0.00%") &amp; " " &amp; "Line Marking" &amp; " " &amp; IF(Q714="","",TEXT(Q714,"M/D-")) &amp; IF(R714="","",TEXT(R714,"M/D")) &amp; " "</f>
        <v xml:space="preserve">  0.00% Line Marking  </v>
      </c>
      <c r="CL714" s="94"/>
      <c r="CM714" s="94"/>
      <c r="CN714" s="94"/>
      <c r="CO714" s="94"/>
      <c r="CP714" s="94"/>
      <c r="CQ714" s="94"/>
      <c r="CR714" s="94"/>
      <c r="CS714" s="94"/>
      <c r="CT714" s="94"/>
      <c r="CU714" s="94"/>
      <c r="CV714" s="94"/>
      <c r="CW714" s="94"/>
      <c r="CX714" s="94"/>
      <c r="CY714" s="94"/>
      <c r="CZ714" s="94"/>
      <c r="DA714" s="94"/>
      <c r="DB714" s="94"/>
      <c r="DC714" s="94"/>
      <c r="DD714" s="94"/>
      <c r="DE714" s="94"/>
      <c r="DF714" s="94"/>
      <c r="DG714" s="94"/>
      <c r="DH714" s="94"/>
      <c r="DI714" s="94"/>
      <c r="DJ714" s="94"/>
      <c r="DK714" s="94"/>
      <c r="DL714" s="94"/>
      <c r="DM714" s="94"/>
      <c r="DN714" s="94"/>
      <c r="DO714" s="94"/>
      <c r="DP714" s="94"/>
      <c r="DQ714" s="94"/>
    </row>
    <row r="715" spans="1:121" ht="15" customHeight="1" outlineLevel="3" x14ac:dyDescent="0.3">
      <c r="A715" s="100"/>
      <c r="B715" s="100"/>
      <c r="C715" s="99">
        <v>4</v>
      </c>
      <c r="D715" s="98" t="s">
        <v>533</v>
      </c>
      <c r="H715" s="77" t="s">
        <v>532</v>
      </c>
      <c r="O715" s="94" t="s">
        <v>506</v>
      </c>
      <c r="Q715" s="97"/>
      <c r="R715" s="97"/>
      <c r="AB715" s="72">
        <v>1</v>
      </c>
      <c r="AE715" s="96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  <c r="BI715" s="102"/>
      <c r="BJ715" s="102"/>
      <c r="BK715" s="102"/>
      <c r="BL715" s="102"/>
      <c r="BM715" s="102"/>
      <c r="BN715" s="102"/>
      <c r="BO715" s="102"/>
      <c r="BP715" s="102"/>
      <c r="BQ715" s="102"/>
      <c r="BR715" s="102"/>
      <c r="BS715" s="102"/>
      <c r="BT715" s="102"/>
      <c r="BU715" s="102"/>
      <c r="BV715" s="102"/>
      <c r="BW715" s="102"/>
      <c r="BX715" s="102"/>
      <c r="BY715" s="94"/>
      <c r="BZ715" s="94"/>
      <c r="CA715" s="94"/>
      <c r="CB715" s="94"/>
      <c r="CC715" s="94"/>
      <c r="CD715" s="94"/>
      <c r="CE715" s="94"/>
      <c r="CF715" s="94"/>
      <c r="CG715" s="94"/>
      <c r="CH715" s="94"/>
      <c r="CI715" s="94"/>
      <c r="CJ715" s="94"/>
      <c r="CK715" s="94" t="str">
        <f>"    " &amp; TEXT(AF715,"#0.00%") &amp; " " &amp; "Check Line Marking" &amp; " " &amp; IF(Q715="","",TEXT(Q715,"M/D-")) &amp; IF(R715="","",TEXT(R715,"M/D")) &amp; " "</f>
        <v xml:space="preserve">    0.00% Check Line Marking  </v>
      </c>
      <c r="CL715" s="94"/>
      <c r="CM715" s="94"/>
      <c r="CN715" s="94"/>
      <c r="CO715" s="94"/>
      <c r="CP715" s="94"/>
      <c r="CQ715" s="94"/>
      <c r="CR715" s="94"/>
      <c r="CS715" s="94"/>
      <c r="CT715" s="94"/>
      <c r="CU715" s="94"/>
      <c r="CV715" s="94"/>
      <c r="CW715" s="94"/>
      <c r="CX715" s="94"/>
      <c r="CY715" s="94"/>
      <c r="CZ715" s="94"/>
      <c r="DA715" s="94"/>
      <c r="DB715" s="94"/>
      <c r="DC715" s="94"/>
      <c r="DD715" s="94"/>
      <c r="DE715" s="94"/>
      <c r="DF715" s="94"/>
      <c r="DG715" s="94"/>
      <c r="DH715" s="94"/>
      <c r="DI715" s="94"/>
      <c r="DJ715" s="94"/>
      <c r="DK715" s="94"/>
      <c r="DL715" s="94"/>
      <c r="DM715" s="94"/>
      <c r="DN715" s="94"/>
      <c r="DO715" s="94"/>
      <c r="DP715" s="94"/>
      <c r="DQ715" s="94"/>
    </row>
    <row r="716" spans="1:121" ht="15" customHeight="1" outlineLevel="3" x14ac:dyDescent="0.3">
      <c r="A716" s="100"/>
      <c r="B716" s="100"/>
      <c r="C716" s="99">
        <v>4</v>
      </c>
      <c r="D716" s="98" t="s">
        <v>531</v>
      </c>
      <c r="H716" s="77" t="s">
        <v>530</v>
      </c>
      <c r="O716" s="94" t="s">
        <v>506</v>
      </c>
      <c r="Q716" s="97"/>
      <c r="R716" s="97"/>
      <c r="AB716" s="72">
        <v>1</v>
      </c>
      <c r="AE716" s="96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  <c r="BC716" s="102"/>
      <c r="BD716" s="102"/>
      <c r="BE716" s="102"/>
      <c r="BF716" s="102"/>
      <c r="BG716" s="102"/>
      <c r="BH716" s="102"/>
      <c r="BI716" s="102"/>
      <c r="BJ716" s="102"/>
      <c r="BK716" s="102"/>
      <c r="BL716" s="102"/>
      <c r="BM716" s="102"/>
      <c r="BN716" s="102"/>
      <c r="BO716" s="102"/>
      <c r="BP716" s="102"/>
      <c r="BQ716" s="102"/>
      <c r="BR716" s="102"/>
      <c r="BS716" s="102"/>
      <c r="BT716" s="102"/>
      <c r="BU716" s="102"/>
      <c r="BV716" s="102"/>
      <c r="BW716" s="102"/>
      <c r="BX716" s="102"/>
      <c r="BY716" s="94"/>
      <c r="BZ716" s="94"/>
      <c r="CA716" s="94"/>
      <c r="CB716" s="94"/>
      <c r="CC716" s="94"/>
      <c r="CD716" s="94"/>
      <c r="CE716" s="94"/>
      <c r="CF716" s="94"/>
      <c r="CG716" s="94"/>
      <c r="CH716" s="94"/>
      <c r="CI716" s="94"/>
      <c r="CJ716" s="94"/>
      <c r="CK716" s="94" t="str">
        <f>"     " &amp; TEXT(AF716,"#0.00%") &amp; " " &amp; "Move In" &amp; " " &amp; IF(Q716="","",TEXT(Q716,"M/D-")) &amp; IF(R716="","",TEXT(R716,"M/D")) &amp; " "</f>
        <v xml:space="preserve">     0.00% Move In  </v>
      </c>
      <c r="CL716" s="94"/>
      <c r="CM716" s="94"/>
      <c r="CN716" s="94"/>
      <c r="CO716" s="94"/>
      <c r="CP716" s="94"/>
      <c r="CQ716" s="94"/>
      <c r="CR716" s="94"/>
      <c r="CS716" s="94"/>
      <c r="CT716" s="94"/>
      <c r="CU716" s="94"/>
      <c r="CV716" s="94"/>
      <c r="CW716" s="94"/>
      <c r="CX716" s="94"/>
      <c r="CY716" s="94"/>
      <c r="CZ716" s="94"/>
      <c r="DA716" s="94"/>
      <c r="DB716" s="94"/>
      <c r="DC716" s="94"/>
      <c r="DD716" s="94"/>
      <c r="DE716" s="94"/>
      <c r="DF716" s="94"/>
      <c r="DG716" s="94"/>
      <c r="DH716" s="94"/>
      <c r="DI716" s="94"/>
      <c r="DJ716" s="94"/>
      <c r="DK716" s="94"/>
      <c r="DL716" s="94"/>
      <c r="DM716" s="94"/>
      <c r="DN716" s="94"/>
      <c r="DO716" s="94"/>
      <c r="DP716" s="94"/>
      <c r="DQ716" s="94"/>
    </row>
    <row r="717" spans="1:121" ht="15" customHeight="1" outlineLevel="3" x14ac:dyDescent="0.3">
      <c r="A717" s="100"/>
      <c r="B717" s="100"/>
      <c r="C717" s="99">
        <v>4</v>
      </c>
      <c r="D717" s="98" t="s">
        <v>529</v>
      </c>
      <c r="H717" s="77" t="s">
        <v>528</v>
      </c>
      <c r="O717" s="94" t="s">
        <v>506</v>
      </c>
      <c r="Q717" s="97"/>
      <c r="R717" s="97"/>
      <c r="AB717" s="72">
        <v>1</v>
      </c>
      <c r="AE717" s="96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  <c r="BA717" s="102"/>
      <c r="BB717" s="102"/>
      <c r="BC717" s="102"/>
      <c r="BD717" s="102"/>
      <c r="BE717" s="102"/>
      <c r="BF717" s="102"/>
      <c r="BG717" s="102"/>
      <c r="BH717" s="102"/>
      <c r="BI717" s="102"/>
      <c r="BJ717" s="102"/>
      <c r="BK717" s="102"/>
      <c r="BL717" s="102"/>
      <c r="BM717" s="102"/>
      <c r="BN717" s="102"/>
      <c r="BO717" s="102"/>
      <c r="BP717" s="102"/>
      <c r="BQ717" s="102"/>
      <c r="BR717" s="102"/>
      <c r="BS717" s="102"/>
      <c r="BT717" s="102"/>
      <c r="BU717" s="102"/>
      <c r="BV717" s="102"/>
      <c r="BW717" s="102"/>
      <c r="BX717" s="102"/>
      <c r="BY717" s="94"/>
      <c r="BZ717" s="94"/>
      <c r="CA717" s="94"/>
      <c r="CB717" s="94"/>
      <c r="CC717" s="94"/>
      <c r="CD717" s="94"/>
      <c r="CE717" s="94"/>
      <c r="CF717" s="94"/>
      <c r="CG717" s="94"/>
      <c r="CH717" s="94"/>
      <c r="CI717" s="94"/>
      <c r="CJ717" s="94"/>
      <c r="CK717" s="94" t="str">
        <f>"     " &amp; TEXT(AF717,"#0.00%") &amp; " " &amp; "Check Track Number" &amp; " " &amp; IF(Q717="","",TEXT(Q717,"M/D-")) &amp; IF(R717="","",TEXT(R717,"M/D")) &amp; " "</f>
        <v xml:space="preserve">     0.00% Check Track Number  </v>
      </c>
      <c r="CL717" s="94"/>
      <c r="CM717" s="94"/>
      <c r="CN717" s="94"/>
      <c r="CO717" s="94"/>
      <c r="CP717" s="94"/>
      <c r="CQ717" s="94"/>
      <c r="CR717" s="94"/>
      <c r="CS717" s="94"/>
      <c r="CT717" s="94"/>
      <c r="CU717" s="94"/>
      <c r="CV717" s="94"/>
      <c r="CW717" s="94"/>
      <c r="CX717" s="94"/>
      <c r="CY717" s="94"/>
      <c r="CZ717" s="94"/>
      <c r="DA717" s="94"/>
      <c r="DB717" s="94"/>
      <c r="DC717" s="94"/>
      <c r="DD717" s="94"/>
      <c r="DE717" s="94"/>
      <c r="DF717" s="94"/>
      <c r="DG717" s="94"/>
      <c r="DH717" s="94"/>
      <c r="DI717" s="94"/>
      <c r="DJ717" s="94"/>
      <c r="DK717" s="94"/>
      <c r="DL717" s="94"/>
      <c r="DM717" s="94"/>
      <c r="DN717" s="94"/>
      <c r="DO717" s="94"/>
      <c r="DP717" s="94"/>
      <c r="DQ717" s="94"/>
    </row>
    <row r="718" spans="1:121" ht="15" customHeight="1" outlineLevel="3" x14ac:dyDescent="0.3">
      <c r="A718" s="100"/>
      <c r="B718" s="100"/>
      <c r="C718" s="99">
        <v>4</v>
      </c>
      <c r="D718" s="98" t="s">
        <v>527</v>
      </c>
      <c r="H718" s="77" t="s">
        <v>526</v>
      </c>
      <c r="O718" s="94" t="s">
        <v>506</v>
      </c>
      <c r="Q718" s="97"/>
      <c r="R718" s="97"/>
      <c r="AB718" s="72">
        <v>1</v>
      </c>
      <c r="AE718" s="96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  <c r="BC718" s="102"/>
      <c r="BD718" s="102"/>
      <c r="BE718" s="102"/>
      <c r="BF718" s="102"/>
      <c r="BG718" s="102"/>
      <c r="BH718" s="102"/>
      <c r="BI718" s="102"/>
      <c r="BJ718" s="102"/>
      <c r="BK718" s="102"/>
      <c r="BL718" s="102"/>
      <c r="BM718" s="102"/>
      <c r="BN718" s="102"/>
      <c r="BO718" s="102"/>
      <c r="BP718" s="102"/>
      <c r="BQ718" s="102"/>
      <c r="BR718" s="102"/>
      <c r="BS718" s="102"/>
      <c r="BT718" s="102"/>
      <c r="BU718" s="102"/>
      <c r="BV718" s="102"/>
      <c r="BW718" s="102"/>
      <c r="BX718" s="102"/>
      <c r="BY718" s="94"/>
      <c r="BZ718" s="94"/>
      <c r="CA718" s="94"/>
      <c r="CB718" s="94"/>
      <c r="CC718" s="94"/>
      <c r="CD718" s="94"/>
      <c r="CE718" s="94"/>
      <c r="CF718" s="94"/>
      <c r="CG718" s="94"/>
      <c r="CH718" s="94"/>
      <c r="CI718" s="94"/>
      <c r="CJ718" s="94"/>
      <c r="CK718" s="94" t="str">
        <f>"     " &amp; TEXT(AF718,"#0.00%") &amp; " " &amp; "Install CV (DGS back CV)" &amp; " " &amp; IF(Q718="","",TEXT(Q718,"M/D-")) &amp; IF(R718="","",TEXT(R718,"M/D")) &amp; " "</f>
        <v xml:space="preserve">     0.00% Install CV (DGS back CV)  </v>
      </c>
      <c r="CL718" s="94"/>
      <c r="CM718" s="94"/>
      <c r="CN718" s="94"/>
      <c r="CO718" s="94"/>
      <c r="CP718" s="94"/>
      <c r="CQ718" s="94"/>
      <c r="CR718" s="94"/>
      <c r="CS718" s="94"/>
      <c r="CT718" s="94"/>
      <c r="CU718" s="94"/>
      <c r="CV718" s="94"/>
      <c r="CW718" s="94"/>
      <c r="CX718" s="94"/>
      <c r="CY718" s="94"/>
      <c r="CZ718" s="94"/>
      <c r="DA718" s="94"/>
      <c r="DB718" s="94"/>
      <c r="DC718" s="94"/>
      <c r="DD718" s="94"/>
      <c r="DE718" s="94"/>
      <c r="DF718" s="94"/>
      <c r="DG718" s="94"/>
      <c r="DH718" s="94"/>
      <c r="DI718" s="94"/>
      <c r="DJ718" s="94"/>
      <c r="DK718" s="94"/>
      <c r="DL718" s="94"/>
      <c r="DM718" s="94"/>
      <c r="DN718" s="94"/>
      <c r="DO718" s="94"/>
      <c r="DP718" s="94"/>
      <c r="DQ718" s="94"/>
    </row>
    <row r="719" spans="1:121" ht="15" customHeight="1" outlineLevel="3" x14ac:dyDescent="0.3">
      <c r="A719" s="100"/>
      <c r="B719" s="100"/>
      <c r="C719" s="99">
        <v>4</v>
      </c>
      <c r="D719" s="98" t="s">
        <v>525</v>
      </c>
      <c r="H719" s="77" t="s">
        <v>511</v>
      </c>
      <c r="J719" s="94"/>
      <c r="O719" s="94" t="s">
        <v>506</v>
      </c>
      <c r="Q719" s="97"/>
      <c r="R719" s="97"/>
      <c r="AB719" s="72">
        <v>1</v>
      </c>
      <c r="AE719" s="96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  <c r="BA719" s="102"/>
      <c r="BB719" s="102"/>
      <c r="BC719" s="102"/>
      <c r="BD719" s="102"/>
      <c r="BE719" s="102"/>
      <c r="BF719" s="102"/>
      <c r="BG719" s="102"/>
      <c r="BH719" s="102"/>
      <c r="BI719" s="102"/>
      <c r="BJ719" s="102"/>
      <c r="BK719" s="102"/>
      <c r="BL719" s="102"/>
      <c r="BM719" s="102"/>
      <c r="BN719" s="102"/>
      <c r="BO719" s="102"/>
      <c r="BP719" s="102"/>
      <c r="BQ719" s="102"/>
      <c r="BR719" s="102"/>
      <c r="BS719" s="102"/>
      <c r="BT719" s="102"/>
      <c r="BU719" s="102"/>
      <c r="BV719" s="102"/>
      <c r="BW719" s="102"/>
      <c r="BX719" s="102"/>
      <c r="BY719" s="94"/>
      <c r="BZ719" s="94"/>
      <c r="CA719" s="94"/>
      <c r="CB719" s="94"/>
      <c r="CC719" s="94"/>
      <c r="CD719" s="94"/>
      <c r="CE719" s="94"/>
      <c r="CF719" s="94"/>
      <c r="CG719" s="94"/>
      <c r="CH719" s="94"/>
      <c r="CI719" s="94"/>
      <c r="CJ719" s="94"/>
      <c r="CK719" s="94" t="str">
        <f>"     " &amp; TEXT(AF719,"#0.00%") &amp; " " &amp; "Check C/V Level  Center Line" &amp; " " &amp; IF(Q719="","",TEXT(Q719,"M/D-")) &amp; IF(R719="","",TEXT(R719,"M/D")) &amp; " "</f>
        <v xml:space="preserve">     0.00% Check C/V Level  Center Line  </v>
      </c>
      <c r="CL719" s="94"/>
      <c r="CM719" s="94"/>
      <c r="CN719" s="94"/>
      <c r="CO719" s="94"/>
      <c r="CP719" s="94"/>
      <c r="CQ719" s="94"/>
      <c r="CR719" s="94"/>
      <c r="CS719" s="94"/>
      <c r="CT719" s="94"/>
      <c r="CU719" s="94"/>
      <c r="CV719" s="94"/>
      <c r="CW719" s="94"/>
      <c r="CX719" s="94"/>
      <c r="CY719" s="94"/>
      <c r="CZ719" s="94"/>
      <c r="DA719" s="94"/>
      <c r="DB719" s="94"/>
      <c r="DC719" s="94"/>
      <c r="DD719" s="94"/>
      <c r="DE719" s="94"/>
      <c r="DF719" s="94"/>
      <c r="DG719" s="94"/>
      <c r="DH719" s="94"/>
      <c r="DI719" s="94"/>
      <c r="DJ719" s="94"/>
      <c r="DK719" s="94"/>
      <c r="DL719" s="94"/>
      <c r="DM719" s="94"/>
      <c r="DN719" s="94"/>
      <c r="DO719" s="94"/>
      <c r="DP719" s="94"/>
      <c r="DQ719" s="94"/>
    </row>
    <row r="720" spans="1:121" ht="15" customHeight="1" outlineLevel="3" x14ac:dyDescent="0.3">
      <c r="A720" s="100"/>
      <c r="B720" s="100"/>
      <c r="C720" s="99">
        <v>4</v>
      </c>
      <c r="D720" s="98" t="s">
        <v>524</v>
      </c>
      <c r="H720" s="77" t="s">
        <v>509</v>
      </c>
      <c r="O720" s="94" t="s">
        <v>506</v>
      </c>
      <c r="Q720" s="97"/>
      <c r="R720" s="97"/>
      <c r="AB720" s="72">
        <v>1</v>
      </c>
      <c r="AE720" s="96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  <c r="BA720" s="102"/>
      <c r="BB720" s="102"/>
      <c r="BC720" s="102"/>
      <c r="BD720" s="102"/>
      <c r="BE720" s="102"/>
      <c r="BF720" s="102"/>
      <c r="BG720" s="102"/>
      <c r="BH720" s="102"/>
      <c r="BI720" s="102"/>
      <c r="BJ720" s="102"/>
      <c r="BK720" s="102"/>
      <c r="BL720" s="102"/>
      <c r="BM720" s="102"/>
      <c r="BN720" s="102"/>
      <c r="BO720" s="102"/>
      <c r="BP720" s="102"/>
      <c r="BQ720" s="102"/>
      <c r="BR720" s="102"/>
      <c r="BS720" s="102"/>
      <c r="BT720" s="102"/>
      <c r="BU720" s="102"/>
      <c r="BV720" s="102"/>
      <c r="BW720" s="102"/>
      <c r="BX720" s="102"/>
      <c r="BY720" s="94"/>
      <c r="BZ720" s="94"/>
      <c r="CA720" s="94"/>
      <c r="CB720" s="94"/>
      <c r="CC720" s="94"/>
      <c r="CD720" s="94"/>
      <c r="CE720" s="94"/>
      <c r="CF720" s="94"/>
      <c r="CG720" s="94"/>
      <c r="CH720" s="94"/>
      <c r="CI720" s="94"/>
      <c r="CJ720" s="94"/>
      <c r="CK720" s="94"/>
      <c r="CL720" s="94"/>
      <c r="CM720" s="94" t="str">
        <f>"   " &amp; TEXT(AF720,"#0.00%") &amp; " " &amp; "C/V Anchor" &amp; " " &amp; IF(Q720="","",TEXT(Q720,"M/D-")) &amp; IF(R720="","",TEXT(R720,"M/D")) &amp; " "</f>
        <v xml:space="preserve">   0.00% C/V Anchor  </v>
      </c>
      <c r="CN720" s="94"/>
      <c r="CO720" s="94"/>
      <c r="CP720" s="94"/>
      <c r="CQ720" s="94"/>
      <c r="CR720" s="94"/>
      <c r="CS720" s="94"/>
      <c r="CT720" s="94"/>
      <c r="CU720" s="94"/>
      <c r="CV720" s="94"/>
      <c r="CW720" s="94"/>
      <c r="CX720" s="94"/>
      <c r="CY720" s="94"/>
      <c r="CZ720" s="94"/>
      <c r="DA720" s="94"/>
      <c r="DB720" s="94"/>
      <c r="DC720" s="94"/>
      <c r="DD720" s="94"/>
      <c r="DE720" s="94"/>
      <c r="DF720" s="94"/>
      <c r="DG720" s="94"/>
      <c r="DH720" s="94"/>
      <c r="DI720" s="94"/>
      <c r="DJ720" s="94"/>
      <c r="DK720" s="94"/>
      <c r="DL720" s="94"/>
      <c r="DM720" s="94"/>
      <c r="DN720" s="94"/>
      <c r="DO720" s="94"/>
      <c r="DP720" s="94"/>
      <c r="DQ720" s="94"/>
    </row>
    <row r="721" spans="1:121" ht="15" customHeight="1" outlineLevel="3" x14ac:dyDescent="0.3">
      <c r="A721" s="100"/>
      <c r="B721" s="100"/>
      <c r="C721" s="99">
        <v>4</v>
      </c>
      <c r="D721" s="98" t="s">
        <v>523</v>
      </c>
      <c r="H721" s="77" t="s">
        <v>507</v>
      </c>
      <c r="O721" s="94" t="s">
        <v>506</v>
      </c>
      <c r="Q721" s="97"/>
      <c r="R721" s="97"/>
      <c r="AB721" s="72">
        <v>1</v>
      </c>
      <c r="AE721" s="96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  <c r="BA721" s="102"/>
      <c r="BB721" s="102"/>
      <c r="BC721" s="102"/>
      <c r="BD721" s="102"/>
      <c r="BE721" s="102"/>
      <c r="BF721" s="102"/>
      <c r="BG721" s="102"/>
      <c r="BH721" s="102"/>
      <c r="BI721" s="102"/>
      <c r="BJ721" s="102"/>
      <c r="BK721" s="102"/>
      <c r="BL721" s="102"/>
      <c r="BM721" s="102"/>
      <c r="BN721" s="102"/>
      <c r="BO721" s="102"/>
      <c r="BP721" s="102"/>
      <c r="BQ721" s="102"/>
      <c r="BR721" s="102"/>
      <c r="BS721" s="102"/>
      <c r="BT721" s="102"/>
      <c r="BU721" s="102"/>
      <c r="BV721" s="102"/>
      <c r="BW721" s="102"/>
      <c r="BX721" s="102"/>
      <c r="BY721" s="94"/>
      <c r="BZ721" s="94"/>
      <c r="CA721" s="94"/>
      <c r="CB721" s="94"/>
      <c r="CC721" s="94"/>
      <c r="CD721" s="94"/>
      <c r="CE721" s="94"/>
      <c r="CF721" s="94"/>
      <c r="CG721" s="94"/>
      <c r="CH721" s="94"/>
      <c r="CI721" s="94"/>
      <c r="CJ721" s="94"/>
      <c r="CK721" s="94"/>
      <c r="CL721" s="94"/>
      <c r="CM721" s="94"/>
      <c r="CN721" s="94" t="str">
        <f>" " &amp; TEXT(AF721,"#0.00%") &amp; " " &amp; "Install Stair" &amp; " " &amp; IF(Q721="","",TEXT(Q721,"M/D-")) &amp; IF(R721="","",TEXT(R721,"M/D")) &amp; " "</f>
        <v xml:space="preserve"> 0.00% Install Stair  </v>
      </c>
      <c r="CO721" s="94"/>
      <c r="CP721" s="94"/>
      <c r="CQ721" s="94"/>
      <c r="CR721" s="94"/>
      <c r="CS721" s="94"/>
      <c r="CT721" s="94"/>
      <c r="CU721" s="94"/>
      <c r="CV721" s="94"/>
      <c r="CW721" s="94"/>
      <c r="CX721" s="94"/>
      <c r="CY721" s="94"/>
      <c r="CZ721" s="94"/>
      <c r="DA721" s="94"/>
      <c r="DB721" s="94"/>
      <c r="DC721" s="94"/>
      <c r="DD721" s="94"/>
      <c r="DE721" s="94"/>
      <c r="DF721" s="94"/>
      <c r="DG721" s="94"/>
      <c r="DH721" s="94"/>
      <c r="DI721" s="94"/>
      <c r="DJ721" s="94"/>
      <c r="DK721" s="94"/>
      <c r="DL721" s="94"/>
      <c r="DM721" s="94"/>
      <c r="DN721" s="94"/>
      <c r="DO721" s="94"/>
      <c r="DP721" s="94"/>
      <c r="DQ721" s="94"/>
    </row>
    <row r="722" spans="1:121" ht="15" customHeight="1" outlineLevel="3" x14ac:dyDescent="0.3">
      <c r="A722" s="100"/>
      <c r="B722" s="100"/>
      <c r="C722" s="99">
        <v>4</v>
      </c>
      <c r="D722" s="98" t="s">
        <v>522</v>
      </c>
      <c r="H722" s="77" t="s">
        <v>521</v>
      </c>
      <c r="O722" s="94" t="s">
        <v>515</v>
      </c>
      <c r="Q722" s="97"/>
      <c r="R722" s="97"/>
      <c r="AB722" s="72">
        <v>1</v>
      </c>
      <c r="AE722" s="96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  <c r="BI722" s="102"/>
      <c r="BJ722" s="102"/>
      <c r="BK722" s="102"/>
      <c r="BL722" s="102"/>
      <c r="BM722" s="102"/>
      <c r="BN722" s="102"/>
      <c r="BO722" s="102"/>
      <c r="BP722" s="102"/>
      <c r="BQ722" s="102"/>
      <c r="BR722" s="102"/>
      <c r="BS722" s="102"/>
      <c r="BT722" s="102"/>
      <c r="BU722" s="102"/>
      <c r="BV722" s="102"/>
      <c r="BW722" s="102"/>
      <c r="BX722" s="102"/>
      <c r="BY722" s="94"/>
      <c r="BZ722" s="94"/>
      <c r="CA722" s="94"/>
      <c r="CB722" s="94"/>
      <c r="CC722" s="94"/>
      <c r="CD722" s="94"/>
      <c r="CE722" s="94"/>
      <c r="CF722" s="94"/>
      <c r="CG722" s="94"/>
      <c r="CH722" s="94"/>
      <c r="CI722" s="94"/>
      <c r="CJ722" s="94"/>
      <c r="CK722" s="94"/>
      <c r="CL722" s="94"/>
      <c r="CM722" s="94"/>
      <c r="CN722" s="94"/>
      <c r="CO722" s="94" t="str">
        <f>"      " &amp; TEXT(AF722,"#0.00%") &amp; " " &amp; "Install Deck(jump)" &amp; " " &amp; IF(Q722="","",TEXT(Q722,"M/D-")) &amp; IF(R722="","",TEXT(R722,"M/D")) &amp; " "</f>
        <v xml:space="preserve">      0.00% Install Deck(jump)  </v>
      </c>
      <c r="CP722" s="94"/>
      <c r="CQ722" s="94"/>
      <c r="CR722" s="94"/>
      <c r="CS722" s="94"/>
      <c r="CT722" s="94"/>
      <c r="CU722" s="94"/>
      <c r="CV722" s="94"/>
      <c r="CW722" s="94"/>
      <c r="CX722" s="94"/>
      <c r="CY722" s="94"/>
      <c r="CZ722" s="94"/>
      <c r="DA722" s="94"/>
      <c r="DB722" s="94"/>
      <c r="DC722" s="94"/>
      <c r="DD722" s="94"/>
      <c r="DE722" s="94"/>
      <c r="DF722" s="94"/>
      <c r="DG722" s="94"/>
      <c r="DH722" s="94"/>
      <c r="DI722" s="94"/>
      <c r="DJ722" s="94"/>
      <c r="DK722" s="94"/>
      <c r="DL722" s="94"/>
      <c r="DM722" s="94"/>
      <c r="DN722" s="94"/>
      <c r="DO722" s="94"/>
      <c r="DP722" s="94"/>
      <c r="DQ722" s="94"/>
    </row>
    <row r="723" spans="1:121" ht="15" customHeight="1" outlineLevel="3" x14ac:dyDescent="0.3">
      <c r="A723" s="100"/>
      <c r="B723" s="100"/>
      <c r="C723" s="99">
        <v>4</v>
      </c>
      <c r="D723" s="98" t="s">
        <v>520</v>
      </c>
      <c r="H723" s="77" t="s">
        <v>519</v>
      </c>
      <c r="O723" s="94" t="s">
        <v>518</v>
      </c>
      <c r="Q723" s="97"/>
      <c r="R723" s="97"/>
      <c r="AB723" s="72">
        <v>1</v>
      </c>
      <c r="AE723" s="96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  <c r="BI723" s="102"/>
      <c r="BJ723" s="102"/>
      <c r="BK723" s="102"/>
      <c r="BL723" s="102"/>
      <c r="BM723" s="102"/>
      <c r="BN723" s="102"/>
      <c r="BO723" s="102"/>
      <c r="BP723" s="102"/>
      <c r="BQ723" s="102"/>
      <c r="BR723" s="102"/>
      <c r="BS723" s="102"/>
      <c r="BT723" s="102"/>
      <c r="BU723" s="102"/>
      <c r="BV723" s="102"/>
      <c r="BW723" s="102"/>
      <c r="BX723" s="102"/>
      <c r="BY723" s="94"/>
      <c r="BZ723" s="94"/>
      <c r="CA723" s="94"/>
      <c r="CB723" s="94"/>
      <c r="CC723" s="94"/>
      <c r="CD723" s="94"/>
      <c r="CE723" s="94"/>
      <c r="CF723" s="94"/>
      <c r="CG723" s="94"/>
      <c r="CH723" s="94"/>
      <c r="CI723" s="94"/>
      <c r="CJ723" s="94"/>
      <c r="CK723" s="94"/>
      <c r="CL723" s="94"/>
      <c r="CM723" s="94"/>
      <c r="CN723" s="94"/>
      <c r="CO723" s="94"/>
      <c r="CP723" s="94" t="str">
        <f>"" &amp; TEXT(AF723,"#0.00%") &amp; " " &amp; "Lifter Erection &amp; Alignment" &amp; " " &amp; IF(Q723="","",TEXT(Q723,"M/D-")) &amp; IF(R723="","",TEXT(R723,"M/D")) &amp; " "</f>
        <v xml:space="preserve">0.00% Lifter Erection &amp; Alignment  </v>
      </c>
      <c r="CQ723" s="94"/>
      <c r="CR723" s="94"/>
      <c r="CS723" s="94"/>
      <c r="CT723" s="94"/>
      <c r="CU723" s="94"/>
      <c r="CV723" s="94"/>
      <c r="CW723" s="94"/>
      <c r="CX723" s="94"/>
      <c r="CY723" s="94"/>
      <c r="CZ723" s="94"/>
      <c r="DA723" s="94"/>
      <c r="DB723" s="94"/>
      <c r="DC723" s="94"/>
      <c r="DD723" s="94"/>
      <c r="DE723" s="94"/>
      <c r="DF723" s="94"/>
      <c r="DG723" s="94"/>
      <c r="DH723" s="94"/>
      <c r="DI723" s="94"/>
      <c r="DJ723" s="94"/>
      <c r="DK723" s="94"/>
      <c r="DL723" s="94"/>
      <c r="DM723" s="94"/>
      <c r="DN723" s="94"/>
      <c r="DO723" s="94"/>
      <c r="DP723" s="94"/>
      <c r="DQ723" s="94"/>
    </row>
    <row r="724" spans="1:121" ht="15" customHeight="1" outlineLevel="3" x14ac:dyDescent="0.3">
      <c r="A724" s="100"/>
      <c r="B724" s="100"/>
      <c r="C724" s="99">
        <v>4</v>
      </c>
      <c r="D724" s="98" t="s">
        <v>517</v>
      </c>
      <c r="H724" s="77" t="s">
        <v>516</v>
      </c>
      <c r="O724" s="94" t="s">
        <v>515</v>
      </c>
      <c r="Q724" s="97"/>
      <c r="R724" s="97"/>
      <c r="AB724" s="72">
        <v>1</v>
      </c>
      <c r="AE724" s="96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  <c r="BI724" s="102"/>
      <c r="BJ724" s="102"/>
      <c r="BK724" s="102"/>
      <c r="BL724" s="102"/>
      <c r="BM724" s="102"/>
      <c r="BN724" s="102"/>
      <c r="BO724" s="102"/>
      <c r="BP724" s="102"/>
      <c r="BQ724" s="102"/>
      <c r="BR724" s="102"/>
      <c r="BS724" s="102"/>
      <c r="BT724" s="102"/>
      <c r="BU724" s="102"/>
      <c r="BV724" s="102"/>
      <c r="BW724" s="102"/>
      <c r="BX724" s="102"/>
      <c r="BY724" s="94"/>
      <c r="BZ724" s="94"/>
      <c r="CA724" s="94"/>
      <c r="CB724" s="94"/>
      <c r="CC724" s="94"/>
      <c r="CD724" s="94"/>
      <c r="CE724" s="94"/>
      <c r="CF724" s="94"/>
      <c r="CG724" s="94"/>
      <c r="CH724" s="94"/>
      <c r="CI724" s="94"/>
      <c r="CJ724" s="94"/>
      <c r="CK724" s="94"/>
      <c r="CL724" s="94"/>
      <c r="CM724" s="94"/>
      <c r="CN724" s="94"/>
      <c r="CO724" s="94"/>
      <c r="CP724" s="94" t="str">
        <f>"" &amp; TEXT(AF724,"#0.00%") &amp; " " &amp; "Check Deck Level" &amp; " " &amp; IF(Q724="","",TEXT(Q724,"M/D-")) &amp; IF(R724="","",TEXT(R724,"M/D")) &amp; " "</f>
        <v xml:space="preserve">0.00% Check Deck Level  </v>
      </c>
      <c r="CQ724" s="94"/>
      <c r="CR724" s="94"/>
      <c r="CS724" s="94"/>
      <c r="CT724" s="94"/>
      <c r="CU724" s="94"/>
      <c r="CV724" s="94"/>
      <c r="CW724" s="94"/>
      <c r="CX724" s="94"/>
      <c r="CY724" s="94"/>
      <c r="CZ724" s="94"/>
      <c r="DA724" s="94"/>
      <c r="DB724" s="94"/>
      <c r="DC724" s="94"/>
      <c r="DD724" s="94"/>
      <c r="DE724" s="94"/>
      <c r="DF724" s="94"/>
      <c r="DG724" s="94"/>
      <c r="DH724" s="94"/>
      <c r="DI724" s="94"/>
      <c r="DJ724" s="94"/>
      <c r="DK724" s="94"/>
      <c r="DL724" s="94"/>
      <c r="DM724" s="94"/>
      <c r="DN724" s="94"/>
      <c r="DO724" s="94"/>
      <c r="DP724" s="94"/>
      <c r="DQ724" s="94"/>
    </row>
    <row r="725" spans="1:121" ht="15" customHeight="1" outlineLevel="3" x14ac:dyDescent="0.3">
      <c r="A725" s="100"/>
      <c r="B725" s="100"/>
      <c r="C725" s="99">
        <v>4</v>
      </c>
      <c r="D725" s="98" t="s">
        <v>514</v>
      </c>
      <c r="H725" s="77" t="s">
        <v>513</v>
      </c>
      <c r="O725" s="94" t="s">
        <v>506</v>
      </c>
      <c r="Q725" s="97"/>
      <c r="R725" s="97"/>
      <c r="AB725" s="72">
        <v>1</v>
      </c>
      <c r="AE725" s="96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  <c r="BA725" s="102"/>
      <c r="BB725" s="102"/>
      <c r="BC725" s="102"/>
      <c r="BD725" s="102"/>
      <c r="BE725" s="102"/>
      <c r="BF725" s="102"/>
      <c r="BG725" s="102"/>
      <c r="BH725" s="102"/>
      <c r="BI725" s="102"/>
      <c r="BJ725" s="102"/>
      <c r="BK725" s="102"/>
      <c r="BL725" s="102"/>
      <c r="BM725" s="102"/>
      <c r="BN725" s="102"/>
      <c r="BO725" s="102"/>
      <c r="BP725" s="102"/>
      <c r="BQ725" s="102"/>
      <c r="BR725" s="102"/>
      <c r="BS725" s="102"/>
      <c r="BT725" s="102"/>
      <c r="BU725" s="102"/>
      <c r="BV725" s="102"/>
      <c r="BW725" s="102"/>
      <c r="BX725" s="102"/>
      <c r="BY725" s="94"/>
      <c r="BZ725" s="94"/>
      <c r="CA725" s="94"/>
      <c r="CB725" s="94"/>
      <c r="CC725" s="94"/>
      <c r="CD725" s="94"/>
      <c r="CE725" s="94"/>
      <c r="CF725" s="94"/>
      <c r="CG725" s="94"/>
      <c r="CH725" s="94"/>
      <c r="CI725" s="94"/>
      <c r="CJ725" s="94"/>
      <c r="CK725" s="94"/>
      <c r="CL725" s="94"/>
      <c r="CM725" s="94"/>
      <c r="CN725" s="94"/>
      <c r="CO725" s="94"/>
      <c r="CP725" s="94" t="str">
        <f>"" &amp; TEXT(AF725,"#0.00%") &amp; " " &amp; "Install CV (IR OCV, NG sorter)" &amp; " " &amp; IF(Q725="","",TEXT(Q725,"M/D-")) &amp; IF(R725="","",TEXT(R725,"M/D")) &amp; " "</f>
        <v xml:space="preserve">0.00% Install CV (IR OCV, NG sorter)  </v>
      </c>
      <c r="CQ725" s="94"/>
      <c r="CR725" s="94"/>
      <c r="CS725" s="94"/>
      <c r="CT725" s="94"/>
      <c r="CU725" s="94"/>
      <c r="CV725" s="94"/>
      <c r="CW725" s="94"/>
      <c r="CX725" s="94"/>
      <c r="CY725" s="94"/>
      <c r="CZ725" s="94"/>
      <c r="DA725" s="94"/>
      <c r="DB725" s="94"/>
      <c r="DC725" s="94"/>
      <c r="DD725" s="94"/>
      <c r="DE725" s="94"/>
      <c r="DF725" s="94"/>
      <c r="DG725" s="94"/>
      <c r="DH725" s="94"/>
      <c r="DI725" s="94"/>
      <c r="DJ725" s="94"/>
      <c r="DK725" s="94"/>
      <c r="DL725" s="94"/>
      <c r="DM725" s="94"/>
      <c r="DN725" s="94"/>
      <c r="DO725" s="94"/>
      <c r="DP725" s="94"/>
      <c r="DQ725" s="94"/>
    </row>
    <row r="726" spans="1:121" ht="15" customHeight="1" outlineLevel="3" x14ac:dyDescent="0.3">
      <c r="A726" s="100"/>
      <c r="B726" s="100"/>
      <c r="C726" s="99">
        <v>4</v>
      </c>
      <c r="D726" s="98" t="s">
        <v>512</v>
      </c>
      <c r="H726" s="77" t="s">
        <v>511</v>
      </c>
      <c r="O726" s="94" t="s">
        <v>506</v>
      </c>
      <c r="Q726" s="97"/>
      <c r="R726" s="97"/>
      <c r="AB726" s="72">
        <v>1</v>
      </c>
      <c r="AE726" s="96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  <c r="BA726" s="102"/>
      <c r="BB726" s="102"/>
      <c r="BC726" s="102"/>
      <c r="BD726" s="102"/>
      <c r="BE726" s="102"/>
      <c r="BF726" s="102"/>
      <c r="BG726" s="102"/>
      <c r="BH726" s="102"/>
      <c r="BI726" s="102"/>
      <c r="BJ726" s="102"/>
      <c r="BK726" s="102"/>
      <c r="BL726" s="102"/>
      <c r="BM726" s="102"/>
      <c r="BN726" s="102"/>
      <c r="BO726" s="102"/>
      <c r="BP726" s="102"/>
      <c r="BQ726" s="102"/>
      <c r="BR726" s="102"/>
      <c r="BS726" s="102"/>
      <c r="BT726" s="102"/>
      <c r="BU726" s="102"/>
      <c r="BV726" s="102"/>
      <c r="BW726" s="102"/>
      <c r="BX726" s="102"/>
      <c r="BY726" s="94"/>
      <c r="BZ726" s="94"/>
      <c r="CA726" s="94"/>
      <c r="CB726" s="94"/>
      <c r="CC726" s="94"/>
      <c r="CD726" s="94"/>
      <c r="CE726" s="94"/>
      <c r="CF726" s="94"/>
      <c r="CG726" s="94"/>
      <c r="CH726" s="94"/>
      <c r="CI726" s="94"/>
      <c r="CJ726" s="94"/>
      <c r="CK726" s="94"/>
      <c r="CL726" s="94"/>
      <c r="CM726" s="94"/>
      <c r="CN726" s="94"/>
      <c r="CO726" s="94"/>
      <c r="CP726" s="94" t="str">
        <f>"   " &amp; TEXT(AF726,"#0.00%") &amp; " " &amp; "Check C/V Level  Center Line" &amp; " " &amp; IF(Q726="","",TEXT(Q726,"M/D-")) &amp; IF(R726="","",TEXT(R726,"M/D")) &amp; " "</f>
        <v xml:space="preserve">   0.00% Check C/V Level  Center Line  </v>
      </c>
      <c r="CQ726" s="94"/>
      <c r="CR726" s="94"/>
      <c r="CS726" s="94"/>
      <c r="CT726" s="94"/>
      <c r="CU726" s="94"/>
      <c r="CV726" s="94"/>
      <c r="CW726" s="94"/>
      <c r="CX726" s="94"/>
      <c r="CY726" s="94"/>
      <c r="CZ726" s="94"/>
      <c r="DA726" s="94"/>
      <c r="DB726" s="94"/>
      <c r="DC726" s="94"/>
      <c r="DD726" s="94"/>
      <c r="DE726" s="94"/>
      <c r="DF726" s="94"/>
      <c r="DG726" s="94"/>
      <c r="DH726" s="94"/>
      <c r="DI726" s="94"/>
      <c r="DJ726" s="94"/>
      <c r="DK726" s="94"/>
      <c r="DL726" s="94"/>
      <c r="DM726" s="94"/>
      <c r="DN726" s="94"/>
      <c r="DO726" s="94"/>
      <c r="DP726" s="94"/>
      <c r="DQ726" s="94"/>
    </row>
    <row r="727" spans="1:121" ht="15" customHeight="1" outlineLevel="3" x14ac:dyDescent="0.3">
      <c r="A727" s="100"/>
      <c r="B727" s="100"/>
      <c r="C727" s="99">
        <v>4</v>
      </c>
      <c r="D727" s="98" t="s">
        <v>510</v>
      </c>
      <c r="H727" s="77" t="s">
        <v>509</v>
      </c>
      <c r="O727" s="94" t="s">
        <v>506</v>
      </c>
      <c r="Q727" s="97"/>
      <c r="R727" s="97"/>
      <c r="AB727" s="72">
        <v>1</v>
      </c>
      <c r="AE727" s="96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2"/>
      <c r="BB727" s="102"/>
      <c r="BC727" s="102"/>
      <c r="BD727" s="102"/>
      <c r="BE727" s="102"/>
      <c r="BF727" s="102"/>
      <c r="BG727" s="102"/>
      <c r="BH727" s="102"/>
      <c r="BI727" s="102"/>
      <c r="BJ727" s="102"/>
      <c r="BK727" s="102"/>
      <c r="BL727" s="102"/>
      <c r="BM727" s="102"/>
      <c r="BN727" s="102"/>
      <c r="BO727" s="102"/>
      <c r="BP727" s="102"/>
      <c r="BQ727" s="102"/>
      <c r="BR727" s="102"/>
      <c r="BS727" s="102"/>
      <c r="BT727" s="102"/>
      <c r="BU727" s="102"/>
      <c r="BV727" s="102"/>
      <c r="BW727" s="102"/>
      <c r="BX727" s="102"/>
      <c r="BY727" s="94"/>
      <c r="BZ727" s="94"/>
      <c r="CA727" s="94"/>
      <c r="CB727" s="94"/>
      <c r="CC727" s="94"/>
      <c r="CD727" s="94"/>
      <c r="CE727" s="94"/>
      <c r="CF727" s="94"/>
      <c r="CG727" s="94"/>
      <c r="CH727" s="94"/>
      <c r="CI727" s="94"/>
      <c r="CJ727" s="94"/>
      <c r="CK727" s="94"/>
      <c r="CL727" s="94"/>
      <c r="CM727" s="94"/>
      <c r="CN727" s="94"/>
      <c r="CO727" s="94"/>
      <c r="CP727" s="94" t="str">
        <f>"  " &amp; TEXT(AF727,"#0.00%") &amp; " " &amp; "C/V Anchor" &amp; " " &amp; IF(Q727="","",TEXT(Q727,"M/D-")) &amp; IF(R727="","",TEXT(R727,"M/D")) &amp; " "</f>
        <v xml:space="preserve">  0.00% C/V Anchor  </v>
      </c>
      <c r="CQ727" s="94"/>
      <c r="CR727" s="94"/>
      <c r="CS727" s="94"/>
      <c r="CT727" s="94"/>
      <c r="CU727" s="94"/>
      <c r="CV727" s="94"/>
      <c r="CW727" s="94"/>
      <c r="CX727" s="94"/>
      <c r="CY727" s="94"/>
      <c r="CZ727" s="94"/>
      <c r="DA727" s="94"/>
      <c r="DB727" s="94"/>
      <c r="DC727" s="94"/>
      <c r="DD727" s="94"/>
      <c r="DE727" s="94"/>
      <c r="DF727" s="94"/>
      <c r="DG727" s="94"/>
      <c r="DH727" s="94"/>
      <c r="DI727" s="94"/>
      <c r="DJ727" s="94"/>
      <c r="DK727" s="94"/>
      <c r="DL727" s="94"/>
      <c r="DM727" s="94"/>
      <c r="DN727" s="94"/>
      <c r="DO727" s="94"/>
      <c r="DP727" s="94"/>
      <c r="DQ727" s="94"/>
    </row>
    <row r="728" spans="1:121" ht="15" customHeight="1" outlineLevel="3" x14ac:dyDescent="0.3">
      <c r="A728" s="100"/>
      <c r="B728" s="100"/>
      <c r="C728" s="99">
        <v>4</v>
      </c>
      <c r="D728" s="98" t="s">
        <v>508</v>
      </c>
      <c r="H728" s="77" t="s">
        <v>507</v>
      </c>
      <c r="O728" s="94" t="s">
        <v>506</v>
      </c>
      <c r="Q728" s="97"/>
      <c r="R728" s="97"/>
      <c r="AB728" s="72">
        <v>1</v>
      </c>
      <c r="AE728" s="96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  <c r="BC728" s="102"/>
      <c r="BD728" s="102"/>
      <c r="BE728" s="102"/>
      <c r="BF728" s="102"/>
      <c r="BG728" s="102"/>
      <c r="BH728" s="102"/>
      <c r="BI728" s="102"/>
      <c r="BJ728" s="102"/>
      <c r="BK728" s="102"/>
      <c r="BL728" s="102"/>
      <c r="BM728" s="102"/>
      <c r="BN728" s="102"/>
      <c r="BO728" s="102"/>
      <c r="BP728" s="102"/>
      <c r="BQ728" s="102"/>
      <c r="BR728" s="102"/>
      <c r="BS728" s="102"/>
      <c r="BT728" s="102"/>
      <c r="BU728" s="102"/>
      <c r="BV728" s="102"/>
      <c r="BW728" s="102"/>
      <c r="BX728" s="102"/>
      <c r="BY728" s="94"/>
      <c r="BZ728" s="94"/>
      <c r="CA728" s="94"/>
      <c r="CB728" s="94"/>
      <c r="CC728" s="94"/>
      <c r="CD728" s="94"/>
      <c r="CE728" s="94"/>
      <c r="CF728" s="94"/>
      <c r="CG728" s="94"/>
      <c r="CH728" s="94"/>
      <c r="CI728" s="94"/>
      <c r="CJ728" s="94"/>
      <c r="CK728" s="94"/>
      <c r="CL728" s="94"/>
      <c r="CM728" s="94"/>
      <c r="CN728" s="94"/>
      <c r="CO728" s="94"/>
      <c r="CP728" s="94" t="str">
        <f>" " &amp; TEXT(AF728,"#0.00%") &amp; " "</f>
        <v xml:space="preserve"> 0.00% </v>
      </c>
      <c r="CQ728" s="94"/>
      <c r="CR728" s="94"/>
      <c r="CS728" s="94"/>
      <c r="CT728" s="94"/>
      <c r="CU728" s="94"/>
      <c r="CV728" s="94"/>
      <c r="CW728" s="94" t="str">
        <f>"  " &amp; "Install Stair" &amp; " " &amp; IF(Q728="","",TEXT(Q728,"M/D-")) &amp; IF(R728="","",TEXT(R728,"M/D")) &amp; " "</f>
        <v xml:space="preserve">  Install Stair  </v>
      </c>
      <c r="CX728" s="94"/>
      <c r="CY728" s="94"/>
      <c r="CZ728" s="94"/>
      <c r="DA728" s="94"/>
      <c r="DB728" s="94"/>
      <c r="DC728" s="94"/>
      <c r="DD728" s="94"/>
      <c r="DE728" s="94"/>
      <c r="DF728" s="94"/>
      <c r="DG728" s="94"/>
      <c r="DH728" s="94"/>
      <c r="DI728" s="94"/>
      <c r="DJ728" s="94"/>
      <c r="DK728" s="94"/>
      <c r="DL728" s="94"/>
      <c r="DM728" s="94"/>
      <c r="DN728" s="94"/>
      <c r="DO728" s="94"/>
      <c r="DP728" s="94"/>
      <c r="DQ728" s="94"/>
    </row>
    <row r="729" spans="1:121" ht="15" customHeight="1" x14ac:dyDescent="0.3">
      <c r="A729" s="100"/>
      <c r="B729" s="100" t="s">
        <v>298</v>
      </c>
      <c r="C729" s="99">
        <v>1</v>
      </c>
      <c r="D729" s="98" t="s">
        <v>505</v>
      </c>
      <c r="E729" s="77" t="s">
        <v>504</v>
      </c>
      <c r="O729" s="77" t="s">
        <v>504</v>
      </c>
      <c r="Q729" s="97"/>
      <c r="R729" s="97"/>
      <c r="AE729" s="96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94" t="str">
        <f>"    " &amp; TEXT(AF729,"#0.00%") &amp; " "</f>
        <v xml:space="preserve">    0.00% </v>
      </c>
      <c r="BZ729" s="94"/>
      <c r="CA729" s="94"/>
      <c r="CB729" s="94"/>
      <c r="CC729" s="94"/>
      <c r="CD729" s="94"/>
      <c r="CE729" s="94"/>
      <c r="CF729" s="94"/>
      <c r="CG729" s="94"/>
      <c r="CH729" s="94"/>
      <c r="CI729" s="94"/>
      <c r="CJ729" s="94"/>
      <c r="CK729" s="94"/>
      <c r="CL729" s="94"/>
      <c r="CM729" s="94"/>
      <c r="CN729" s="94"/>
      <c r="CO729" s="94"/>
      <c r="CP729" s="94"/>
      <c r="CQ729" s="94"/>
      <c r="CR729" s="94"/>
      <c r="CS729" s="94"/>
      <c r="CT729" s="94"/>
      <c r="CU729" s="94" t="str">
        <f>"      " &amp; "Hook UP" &amp; " " &amp; IF(Q729="","",TEXT(Q729,"M/D-")) &amp; IF(R729="","",TEXT(R729,"M/D")) &amp; " "</f>
        <v xml:space="preserve">      Hook UP  </v>
      </c>
      <c r="CV729" s="94"/>
      <c r="CW729" s="94"/>
      <c r="CX729" s="94"/>
      <c r="CY729" s="94"/>
      <c r="CZ729" s="94"/>
      <c r="DA729" s="94"/>
      <c r="DB729" s="94"/>
      <c r="DC729" s="94"/>
      <c r="DD729" s="94"/>
      <c r="DE729" s="94"/>
      <c r="DF729" s="94"/>
      <c r="DG729" s="94"/>
      <c r="DH729" s="94"/>
      <c r="DI729" s="94"/>
      <c r="DJ729" s="94"/>
      <c r="DK729" s="94"/>
      <c r="DL729" s="94"/>
      <c r="DM729" s="94"/>
      <c r="DN729" s="94"/>
      <c r="DO729" s="94"/>
      <c r="DP729" s="94"/>
      <c r="DQ729" s="94"/>
    </row>
    <row r="730" spans="1:121" ht="15" customHeight="1" outlineLevel="1" x14ac:dyDescent="0.3">
      <c r="A730" s="100"/>
      <c r="B730" s="100" t="s">
        <v>298</v>
      </c>
      <c r="C730" s="99">
        <v>2</v>
      </c>
      <c r="D730" s="98" t="s">
        <v>503</v>
      </c>
      <c r="F730" s="77" t="s">
        <v>502</v>
      </c>
      <c r="O730" s="77" t="s">
        <v>502</v>
      </c>
      <c r="Q730" s="97"/>
      <c r="R730" s="97"/>
      <c r="AE730" s="96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94" t="str">
        <f>"    " &amp; TEXT(AF730,"#0.00%") &amp; " "</f>
        <v xml:space="preserve">    0.00% </v>
      </c>
      <c r="BZ730" s="94"/>
      <c r="CA730" s="94"/>
      <c r="CB730" s="94"/>
      <c r="CC730" s="94"/>
      <c r="CD730" s="94"/>
      <c r="CE730" s="94"/>
      <c r="CF730" s="94"/>
      <c r="CG730" s="94"/>
      <c r="CH730" s="94"/>
      <c r="CI730" s="94"/>
      <c r="CJ730" s="94"/>
      <c r="CK730" s="94"/>
      <c r="CL730" s="94"/>
      <c r="CM730" s="94"/>
      <c r="CN730" s="94"/>
      <c r="CO730" s="94"/>
      <c r="CP730" s="94"/>
      <c r="CQ730" s="94"/>
      <c r="CR730" s="94"/>
      <c r="CS730" s="94"/>
      <c r="CT730" s="94"/>
      <c r="CU730" s="94" t="str">
        <f>"      " &amp; "Cathode" &amp; " " &amp; IF(Q730="","",TEXT(Q730,"M/D-")) &amp; IF(R730="","",TEXT(R730,"M/D")) &amp; " "</f>
        <v xml:space="preserve">      Cathode  </v>
      </c>
      <c r="CV730" s="94"/>
      <c r="CW730" s="94"/>
      <c r="CX730" s="94"/>
      <c r="CY730" s="94"/>
      <c r="CZ730" s="94"/>
      <c r="DA730" s="94"/>
      <c r="DB730" s="94"/>
      <c r="DC730" s="94"/>
      <c r="DD730" s="94"/>
      <c r="DE730" s="94"/>
      <c r="DF730" s="94"/>
      <c r="DG730" s="94"/>
      <c r="DH730" s="94"/>
      <c r="DI730" s="94"/>
      <c r="DJ730" s="94"/>
      <c r="DK730" s="94"/>
      <c r="DL730" s="94"/>
      <c r="DM730" s="94"/>
      <c r="DN730" s="94"/>
      <c r="DO730" s="94"/>
      <c r="DP730" s="94"/>
      <c r="DQ730" s="94"/>
    </row>
    <row r="731" spans="1:121" ht="15" customHeight="1" outlineLevel="2" x14ac:dyDescent="0.3">
      <c r="A731" s="100"/>
      <c r="B731" s="100" t="s">
        <v>298</v>
      </c>
      <c r="C731" s="99">
        <v>3</v>
      </c>
      <c r="D731" s="98" t="s">
        <v>501</v>
      </c>
      <c r="G731" s="77" t="s">
        <v>500</v>
      </c>
      <c r="O731" s="77" t="s">
        <v>499</v>
      </c>
      <c r="P731" s="105"/>
      <c r="Q731" s="104"/>
      <c r="R731" s="104"/>
      <c r="AE731" s="96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94"/>
      <c r="BZ731" s="94"/>
      <c r="CA731" s="94"/>
      <c r="CB731" s="94"/>
      <c r="CC731" s="94"/>
      <c r="CD731" s="94"/>
      <c r="CE731" s="94"/>
      <c r="CF731" s="94"/>
      <c r="CG731" s="94"/>
      <c r="CH731" s="94"/>
      <c r="CI731" s="94"/>
      <c r="CJ731" s="94" t="str">
        <f>"     " &amp; TEXT(AF731,"#0.00%") &amp; " " &amp; "PPC Room" &amp; " " &amp; IF(Q731="","",TEXT(Q731,"M/D-")) &amp; IF(R731="","",TEXT(R731,"M/D")) &amp; " "</f>
        <v xml:space="preserve">     0.00% PPC Room  </v>
      </c>
      <c r="CK731" s="94"/>
      <c r="CL731" s="94"/>
      <c r="CM731" s="94"/>
      <c r="CN731" s="94"/>
      <c r="CO731" s="94"/>
      <c r="CP731" s="94"/>
      <c r="CQ731" s="94"/>
      <c r="CR731" s="94"/>
      <c r="CS731" s="94"/>
      <c r="CT731" s="94"/>
      <c r="CU731" s="94"/>
      <c r="CV731" s="94"/>
      <c r="CW731" s="94"/>
      <c r="CX731" s="94"/>
      <c r="CY731" s="94"/>
      <c r="CZ731" s="94"/>
      <c r="DA731" s="94"/>
      <c r="DB731" s="94"/>
      <c r="DC731" s="94"/>
      <c r="DD731" s="94"/>
      <c r="DE731" s="94"/>
      <c r="DF731" s="94"/>
      <c r="DG731" s="94"/>
      <c r="DH731" s="94"/>
      <c r="DI731" s="94"/>
      <c r="DJ731" s="94"/>
      <c r="DK731" s="94"/>
      <c r="DL731" s="94"/>
      <c r="DM731" s="94"/>
      <c r="DN731" s="94"/>
      <c r="DO731" s="94"/>
      <c r="DP731" s="94"/>
      <c r="DQ731" s="94"/>
    </row>
    <row r="732" spans="1:121" ht="15" customHeight="1" outlineLevel="3" x14ac:dyDescent="0.3">
      <c r="A732" s="100"/>
      <c r="B732" s="100"/>
      <c r="C732" s="99">
        <v>4</v>
      </c>
      <c r="D732" s="98" t="s">
        <v>498</v>
      </c>
      <c r="H732" s="77" t="s">
        <v>497</v>
      </c>
      <c r="O732" s="77"/>
      <c r="P732" s="105"/>
      <c r="Q732" s="97"/>
      <c r="R732" s="97"/>
      <c r="AB732" s="72">
        <v>1</v>
      </c>
      <c r="AE732" s="96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  <c r="BC732" s="102"/>
      <c r="BD732" s="102"/>
      <c r="BE732" s="102"/>
      <c r="BF732" s="102"/>
      <c r="BG732" s="102"/>
      <c r="BH732" s="102"/>
      <c r="BI732" s="102"/>
      <c r="BJ732" s="102"/>
      <c r="BK732" s="102"/>
      <c r="BL732" s="102"/>
      <c r="BM732" s="102"/>
      <c r="BN732" s="102"/>
      <c r="BO732" s="102"/>
      <c r="BP732" s="102"/>
      <c r="BQ732" s="102"/>
      <c r="BR732" s="102"/>
      <c r="BS732" s="102"/>
      <c r="BT732" s="102"/>
      <c r="BU732" s="102"/>
      <c r="BV732" s="102"/>
      <c r="BW732" s="102"/>
      <c r="BX732" s="102"/>
      <c r="BY732" s="94"/>
      <c r="BZ732" s="94"/>
      <c r="CA732" s="94"/>
      <c r="CB732" s="94"/>
      <c r="CC732" s="94"/>
      <c r="CD732" s="94"/>
      <c r="CE732" s="94"/>
      <c r="CF732" s="94"/>
      <c r="CG732" s="94"/>
      <c r="CH732" s="94"/>
      <c r="CI732" s="94"/>
      <c r="CJ732" s="94" t="str">
        <f>"     " &amp; TEXT(AF732,"#0.00%") &amp; " " &amp; " PPC Room-1, Deck" &amp; " " &amp; IF(Q732="","",TEXT(Q732,"M/D-")) &amp; IF(R732="","",TEXT(R732,"M/D")) &amp; " "</f>
        <v xml:space="preserve">     0.00%  PPC Room-1, Deck  </v>
      </c>
      <c r="CK732" s="94"/>
      <c r="CL732" s="94"/>
      <c r="CM732" s="94"/>
      <c r="CN732" s="94"/>
      <c r="CO732" s="94"/>
      <c r="CP732" s="94"/>
      <c r="CQ732" s="94"/>
      <c r="CR732" s="94"/>
      <c r="CS732" s="94"/>
      <c r="CT732" s="94"/>
      <c r="CU732" s="94"/>
      <c r="CV732" s="94"/>
      <c r="CW732" s="94"/>
      <c r="CX732" s="94"/>
      <c r="CY732" s="94"/>
      <c r="CZ732" s="94"/>
      <c r="DA732" s="94"/>
      <c r="DB732" s="94"/>
      <c r="DC732" s="94"/>
      <c r="DD732" s="94"/>
      <c r="DE732" s="94"/>
      <c r="DF732" s="94"/>
      <c r="DG732" s="94"/>
      <c r="DH732" s="94"/>
      <c r="DI732" s="94"/>
      <c r="DJ732" s="94"/>
      <c r="DK732" s="94"/>
      <c r="DL732" s="94"/>
      <c r="DM732" s="94"/>
      <c r="DN732" s="94"/>
      <c r="DO732" s="94"/>
      <c r="DP732" s="94"/>
      <c r="DQ732" s="94"/>
    </row>
    <row r="733" spans="1:121" ht="15" customHeight="1" outlineLevel="3" x14ac:dyDescent="0.3">
      <c r="A733" s="100"/>
      <c r="B733" s="100"/>
      <c r="C733" s="99">
        <v>4</v>
      </c>
      <c r="D733" s="98" t="s">
        <v>496</v>
      </c>
      <c r="H733" s="77" t="s">
        <v>495</v>
      </c>
      <c r="O733" s="77"/>
      <c r="P733" s="105"/>
      <c r="Q733" s="97"/>
      <c r="R733" s="97"/>
      <c r="AB733" s="72">
        <v>1</v>
      </c>
      <c r="AE733" s="96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  <c r="BC733" s="102"/>
      <c r="BD733" s="102"/>
      <c r="BE733" s="102"/>
      <c r="BF733" s="102"/>
      <c r="BG733" s="102"/>
      <c r="BH733" s="102"/>
      <c r="BI733" s="102"/>
      <c r="BJ733" s="102"/>
      <c r="BK733" s="102"/>
      <c r="BL733" s="102"/>
      <c r="BM733" s="102"/>
      <c r="BN733" s="102"/>
      <c r="BO733" s="102"/>
      <c r="BP733" s="102"/>
      <c r="BQ733" s="102"/>
      <c r="BR733" s="102"/>
      <c r="BS733" s="102"/>
      <c r="BT733" s="102"/>
      <c r="BU733" s="102"/>
      <c r="BV733" s="102"/>
      <c r="BW733" s="102"/>
      <c r="BX733" s="102"/>
      <c r="BY733" s="94"/>
      <c r="BZ733" s="94"/>
      <c r="CA733" s="94"/>
      <c r="CB733" s="94"/>
      <c r="CC733" s="94"/>
      <c r="CD733" s="94"/>
      <c r="CE733" s="94"/>
      <c r="CF733" s="94"/>
      <c r="CG733" s="94"/>
      <c r="CH733" s="94"/>
      <c r="CI733" s="94"/>
      <c r="CJ733" s="94" t="str">
        <f>"     " &amp; TEXT(AF733,"#0.00%") &amp; " " &amp; " PPC Room-1, TRANSFER+C/V" &amp; " " &amp; IF(Q733="","",TEXT(Q733,"M/D-")) &amp; IF(R733="","",TEXT(R733,"M/D")) &amp; " "</f>
        <v xml:space="preserve">     0.00%  PPC Room-1, TRANSFER+C/V  </v>
      </c>
      <c r="CK733" s="94"/>
      <c r="CL733" s="94"/>
      <c r="CM733" s="94"/>
      <c r="CN733" s="94"/>
      <c r="CO733" s="94"/>
      <c r="CP733" s="94"/>
      <c r="CQ733" s="94"/>
      <c r="CR733" s="94"/>
      <c r="CS733" s="94"/>
      <c r="CT733" s="94"/>
      <c r="CU733" s="94"/>
      <c r="CV733" s="94"/>
      <c r="CW733" s="94"/>
      <c r="CX733" s="94"/>
      <c r="CY733" s="94"/>
      <c r="CZ733" s="94"/>
      <c r="DA733" s="94"/>
      <c r="DB733" s="94"/>
      <c r="DC733" s="94"/>
      <c r="DD733" s="94"/>
      <c r="DE733" s="94"/>
      <c r="DF733" s="94"/>
      <c r="DG733" s="94"/>
      <c r="DH733" s="94"/>
      <c r="DI733" s="94"/>
      <c r="DJ733" s="94"/>
      <c r="DK733" s="94"/>
      <c r="DL733" s="94"/>
      <c r="DM733" s="94"/>
      <c r="DN733" s="94"/>
      <c r="DO733" s="94"/>
      <c r="DP733" s="94"/>
      <c r="DQ733" s="94"/>
    </row>
    <row r="734" spans="1:121" ht="15" customHeight="1" outlineLevel="3" x14ac:dyDescent="0.3">
      <c r="A734" s="100"/>
      <c r="B734" s="100"/>
      <c r="C734" s="99">
        <v>4</v>
      </c>
      <c r="D734" s="98" t="s">
        <v>494</v>
      </c>
      <c r="H734" s="77" t="s">
        <v>493</v>
      </c>
      <c r="O734" s="77"/>
      <c r="P734" s="105"/>
      <c r="Q734" s="97"/>
      <c r="R734" s="97"/>
      <c r="AB734" s="72">
        <v>1</v>
      </c>
      <c r="AE734" s="96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  <c r="BC734" s="102"/>
      <c r="BD734" s="102"/>
      <c r="BE734" s="102"/>
      <c r="BF734" s="102"/>
      <c r="BG734" s="102"/>
      <c r="BH734" s="102"/>
      <c r="BI734" s="102"/>
      <c r="BJ734" s="102"/>
      <c r="BK734" s="102"/>
      <c r="BL734" s="102"/>
      <c r="BM734" s="102"/>
      <c r="BN734" s="102"/>
      <c r="BO734" s="102"/>
      <c r="BP734" s="102"/>
      <c r="BQ734" s="102"/>
      <c r="BR734" s="102"/>
      <c r="BS734" s="102"/>
      <c r="BT734" s="102"/>
      <c r="BU734" s="102"/>
      <c r="BV734" s="102"/>
      <c r="BW734" s="102"/>
      <c r="BX734" s="102"/>
      <c r="BY734" s="94"/>
      <c r="BZ734" s="94"/>
      <c r="CA734" s="94"/>
      <c r="CB734" s="94"/>
      <c r="CC734" s="94"/>
      <c r="CD734" s="94"/>
      <c r="CE734" s="94"/>
      <c r="CF734" s="94"/>
      <c r="CG734" s="94"/>
      <c r="CH734" s="94"/>
      <c r="CI734" s="94"/>
      <c r="CJ734" s="94" t="str">
        <f>"     " &amp; TEXT(AF734,"#0.00%") &amp; " " &amp; " PPC Room-1, LIFTER" &amp; " " &amp; IF(Q734="","",TEXT(Q734,"M/D-")) &amp; IF(R734="","",TEXT(R734,"M/D")) &amp; " "</f>
        <v xml:space="preserve">     0.00%  PPC Room-1, LIFTER  </v>
      </c>
      <c r="CK734" s="94"/>
      <c r="CL734" s="94"/>
      <c r="CM734" s="94"/>
      <c r="CN734" s="94"/>
      <c r="CO734" s="94"/>
      <c r="CP734" s="94"/>
      <c r="CQ734" s="94"/>
      <c r="CR734" s="94"/>
      <c r="CS734" s="94"/>
      <c r="CT734" s="94"/>
      <c r="CU734" s="94"/>
      <c r="CV734" s="94"/>
      <c r="CW734" s="94"/>
      <c r="CX734" s="94"/>
      <c r="CY734" s="94"/>
      <c r="CZ734" s="94"/>
      <c r="DA734" s="94"/>
      <c r="DB734" s="94"/>
      <c r="DC734" s="94"/>
      <c r="DD734" s="94"/>
      <c r="DE734" s="94"/>
      <c r="DF734" s="94"/>
      <c r="DG734" s="94"/>
      <c r="DH734" s="94"/>
      <c r="DI734" s="94"/>
      <c r="DJ734" s="94"/>
      <c r="DK734" s="94"/>
      <c r="DL734" s="94"/>
      <c r="DM734" s="94"/>
      <c r="DN734" s="94"/>
      <c r="DO734" s="94"/>
      <c r="DP734" s="94"/>
      <c r="DQ734" s="94"/>
    </row>
    <row r="735" spans="1:121" ht="15" customHeight="1" outlineLevel="3" x14ac:dyDescent="0.3">
      <c r="A735" s="100"/>
      <c r="B735" s="100"/>
      <c r="C735" s="99">
        <v>4</v>
      </c>
      <c r="D735" s="98" t="s">
        <v>492</v>
      </c>
      <c r="H735" s="77" t="s">
        <v>491</v>
      </c>
      <c r="O735" s="77"/>
      <c r="P735" s="105"/>
      <c r="Q735" s="97"/>
      <c r="R735" s="97"/>
      <c r="AB735" s="72">
        <v>1</v>
      </c>
      <c r="AE735" s="96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  <c r="BI735" s="102"/>
      <c r="BJ735" s="102"/>
      <c r="BK735" s="102"/>
      <c r="BL735" s="102"/>
      <c r="BM735" s="102"/>
      <c r="BN735" s="102"/>
      <c r="BO735" s="102"/>
      <c r="BP735" s="102"/>
      <c r="BQ735" s="102"/>
      <c r="BR735" s="102"/>
      <c r="BS735" s="102"/>
      <c r="BT735" s="102"/>
      <c r="BU735" s="102"/>
      <c r="BV735" s="102"/>
      <c r="BW735" s="102"/>
      <c r="BX735" s="102"/>
      <c r="BY735" s="94"/>
      <c r="BZ735" s="94"/>
      <c r="CA735" s="94"/>
      <c r="CB735" s="94"/>
      <c r="CC735" s="94"/>
      <c r="CD735" s="94"/>
      <c r="CE735" s="94"/>
      <c r="CF735" s="94"/>
      <c r="CG735" s="94"/>
      <c r="CH735" s="94"/>
      <c r="CI735" s="94"/>
      <c r="CJ735" s="94" t="str">
        <f>"     " &amp; TEXT(AF735,"#0.00%") &amp; " " &amp; " PPC Room-1, MSC(3대)" &amp; " " &amp; IF(Q735="","",TEXT(Q735,"M/D-")) &amp; IF(R735="","",TEXT(R735,"M/D")) &amp; " "</f>
        <v xml:space="preserve">     0.00%  PPC Room-1, MSC(3대)  </v>
      </c>
      <c r="CK735" s="94"/>
      <c r="CL735" s="94"/>
      <c r="CM735" s="94"/>
      <c r="CN735" s="94"/>
      <c r="CO735" s="94"/>
      <c r="CP735" s="94"/>
      <c r="CQ735" s="94"/>
      <c r="CR735" s="94"/>
      <c r="CS735" s="94"/>
      <c r="CT735" s="94"/>
      <c r="CU735" s="94"/>
      <c r="CV735" s="94"/>
      <c r="CW735" s="94"/>
      <c r="CX735" s="94"/>
      <c r="CY735" s="94"/>
      <c r="CZ735" s="94"/>
      <c r="DA735" s="94"/>
      <c r="DB735" s="94"/>
      <c r="DC735" s="94"/>
      <c r="DD735" s="94"/>
      <c r="DE735" s="94"/>
      <c r="DF735" s="94"/>
      <c r="DG735" s="94"/>
      <c r="DH735" s="94"/>
      <c r="DI735" s="94"/>
      <c r="DJ735" s="94"/>
      <c r="DK735" s="94"/>
      <c r="DL735" s="94"/>
      <c r="DM735" s="94"/>
      <c r="DN735" s="94"/>
      <c r="DO735" s="94"/>
      <c r="DP735" s="94"/>
      <c r="DQ735" s="94"/>
    </row>
    <row r="736" spans="1:121" ht="15" customHeight="1" outlineLevel="3" x14ac:dyDescent="0.3">
      <c r="A736" s="100"/>
      <c r="B736" s="100"/>
      <c r="C736" s="99">
        <v>4</v>
      </c>
      <c r="D736" s="98" t="s">
        <v>490</v>
      </c>
      <c r="H736" s="77" t="s">
        <v>489</v>
      </c>
      <c r="O736" s="77"/>
      <c r="P736" s="105"/>
      <c r="Q736" s="97"/>
      <c r="R736" s="97"/>
      <c r="AB736" s="72">
        <v>1</v>
      </c>
      <c r="AE736" s="96"/>
      <c r="AF736" s="102"/>
      <c r="AG736" s="102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  <c r="AS736" s="102"/>
      <c r="AT736" s="102"/>
      <c r="AU736" s="102"/>
      <c r="AV736" s="102"/>
      <c r="AW736" s="102"/>
      <c r="AX736" s="102"/>
      <c r="AY736" s="102"/>
      <c r="AZ736" s="102"/>
      <c r="BA736" s="102"/>
      <c r="BB736" s="102"/>
      <c r="BC736" s="102"/>
      <c r="BD736" s="102"/>
      <c r="BE736" s="102"/>
      <c r="BF736" s="102"/>
      <c r="BG736" s="102"/>
      <c r="BH736" s="102"/>
      <c r="BI736" s="102"/>
      <c r="BJ736" s="102"/>
      <c r="BK736" s="102"/>
      <c r="BL736" s="102"/>
      <c r="BM736" s="102"/>
      <c r="BN736" s="102"/>
      <c r="BO736" s="102"/>
      <c r="BP736" s="102"/>
      <c r="BQ736" s="102"/>
      <c r="BR736" s="102"/>
      <c r="BS736" s="102"/>
      <c r="BT736" s="102"/>
      <c r="BU736" s="102"/>
      <c r="BV736" s="102"/>
      <c r="BW736" s="102"/>
      <c r="BX736" s="102"/>
      <c r="BY736" s="94"/>
      <c r="BZ736" s="94"/>
      <c r="CA736" s="94"/>
      <c r="CB736" s="94"/>
      <c r="CC736" s="94"/>
      <c r="CD736" s="94"/>
      <c r="CE736" s="94"/>
      <c r="CF736" s="94"/>
      <c r="CG736" s="94"/>
      <c r="CH736" s="94"/>
      <c r="CI736" s="94"/>
      <c r="CJ736" s="94" t="str">
        <f>"     " &amp; TEXT(AF736,"#0.00%") &amp; " " &amp; " PPC Room-1, MSC(5대)" &amp; " " &amp; IF(Q736="","",TEXT(Q736,"M/D-")) &amp; IF(R736="","",TEXT(R736,"M/D")) &amp; " "</f>
        <v xml:space="preserve">     0.00%  PPC Room-1, MSC(5대)  </v>
      </c>
      <c r="CK736" s="94"/>
      <c r="CL736" s="94"/>
      <c r="CM736" s="94"/>
      <c r="CN736" s="94"/>
      <c r="CO736" s="94"/>
      <c r="CP736" s="94"/>
      <c r="CQ736" s="94"/>
      <c r="CR736" s="94"/>
      <c r="CS736" s="94"/>
      <c r="CT736" s="94"/>
      <c r="CU736" s="94"/>
      <c r="CV736" s="94"/>
      <c r="CW736" s="94"/>
      <c r="CX736" s="94"/>
      <c r="CY736" s="94"/>
      <c r="CZ736" s="94"/>
      <c r="DA736" s="94"/>
      <c r="DB736" s="94"/>
      <c r="DC736" s="94"/>
      <c r="DD736" s="94"/>
      <c r="DE736" s="94"/>
      <c r="DF736" s="94"/>
      <c r="DG736" s="94"/>
      <c r="DH736" s="94"/>
      <c r="DI736" s="94"/>
      <c r="DJ736" s="94"/>
      <c r="DK736" s="94"/>
      <c r="DL736" s="94"/>
      <c r="DM736" s="94"/>
      <c r="DN736" s="94"/>
      <c r="DO736" s="94"/>
      <c r="DP736" s="94"/>
      <c r="DQ736" s="94"/>
    </row>
    <row r="737" spans="1:121" ht="15" customHeight="1" outlineLevel="3" x14ac:dyDescent="0.3">
      <c r="A737" s="100"/>
      <c r="B737" s="100"/>
      <c r="C737" s="99">
        <v>4</v>
      </c>
      <c r="D737" s="98" t="s">
        <v>488</v>
      </c>
      <c r="H737" s="77" t="s">
        <v>317</v>
      </c>
      <c r="O737" s="77"/>
      <c r="P737" s="105"/>
      <c r="Q737" s="97"/>
      <c r="R737" s="97"/>
      <c r="AB737" s="72">
        <v>1</v>
      </c>
      <c r="AE737" s="96"/>
      <c r="AF737" s="102"/>
      <c r="AG737" s="102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  <c r="BI737" s="102"/>
      <c r="BJ737" s="102"/>
      <c r="BK737" s="102"/>
      <c r="BL737" s="102"/>
      <c r="BM737" s="102"/>
      <c r="BN737" s="102"/>
      <c r="BO737" s="102"/>
      <c r="BP737" s="102"/>
      <c r="BQ737" s="102"/>
      <c r="BR737" s="102"/>
      <c r="BS737" s="102"/>
      <c r="BT737" s="102"/>
      <c r="BU737" s="102"/>
      <c r="BV737" s="102"/>
      <c r="BW737" s="102"/>
      <c r="BX737" s="102"/>
      <c r="BY737" s="94"/>
      <c r="BZ737" s="94"/>
      <c r="CA737" s="94"/>
      <c r="CB737" s="94"/>
      <c r="CC737" s="94"/>
      <c r="CD737" s="94"/>
      <c r="CE737" s="94"/>
      <c r="CF737" s="94"/>
      <c r="CG737" s="94"/>
      <c r="CH737" s="94"/>
      <c r="CI737" s="94"/>
      <c r="CJ737" s="94" t="str">
        <f>"     " &amp; TEXT(AF737,"#0.00%") &amp; " " &amp; "Panel Alignment and fixation" &amp; " " &amp; IF(Q737="","",TEXT(Q737,"M/D-")) &amp; IF(R737="","",TEXT(R737,"M/D")) &amp; " "</f>
        <v xml:space="preserve">     0.00% Panel Alignment and fixation  </v>
      </c>
      <c r="CK737" s="94"/>
      <c r="CL737" s="94"/>
      <c r="CM737" s="94"/>
      <c r="CN737" s="94"/>
      <c r="CO737" s="94"/>
      <c r="CP737" s="94"/>
      <c r="CQ737" s="94"/>
      <c r="CR737" s="94"/>
      <c r="CS737" s="94"/>
      <c r="CT737" s="94"/>
      <c r="CU737" s="94"/>
      <c r="CV737" s="94"/>
      <c r="CW737" s="94"/>
      <c r="CX737" s="94"/>
      <c r="CY737" s="94"/>
      <c r="CZ737" s="94"/>
      <c r="DA737" s="94"/>
      <c r="DB737" s="94"/>
      <c r="DC737" s="94"/>
      <c r="DD737" s="94"/>
      <c r="DE737" s="94"/>
      <c r="DF737" s="94"/>
      <c r="DG737" s="94"/>
      <c r="DH737" s="94"/>
      <c r="DI737" s="94"/>
      <c r="DJ737" s="94"/>
      <c r="DK737" s="94"/>
      <c r="DL737" s="94"/>
      <c r="DM737" s="94"/>
      <c r="DN737" s="94"/>
      <c r="DO737" s="94"/>
      <c r="DP737" s="94"/>
      <c r="DQ737" s="94"/>
    </row>
    <row r="738" spans="1:121" ht="15" customHeight="1" outlineLevel="3" x14ac:dyDescent="0.3">
      <c r="A738" s="100"/>
      <c r="B738" s="100"/>
      <c r="C738" s="99">
        <v>4</v>
      </c>
      <c r="D738" s="98" t="s">
        <v>487</v>
      </c>
      <c r="H738" s="77" t="s">
        <v>315</v>
      </c>
      <c r="O738" s="77"/>
      <c r="P738" s="105"/>
      <c r="Q738" s="97"/>
      <c r="R738" s="97"/>
      <c r="AB738" s="72">
        <v>1</v>
      </c>
      <c r="AE738" s="96"/>
      <c r="AF738" s="102"/>
      <c r="AG738" s="102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  <c r="BC738" s="102"/>
      <c r="BD738" s="102"/>
      <c r="BE738" s="102"/>
      <c r="BF738" s="102"/>
      <c r="BG738" s="102"/>
      <c r="BH738" s="102"/>
      <c r="BI738" s="102"/>
      <c r="BJ738" s="102"/>
      <c r="BK738" s="102"/>
      <c r="BL738" s="102"/>
      <c r="BM738" s="102"/>
      <c r="BN738" s="102"/>
      <c r="BO738" s="102"/>
      <c r="BP738" s="102"/>
      <c r="BQ738" s="102"/>
      <c r="BR738" s="102"/>
      <c r="BS738" s="102"/>
      <c r="BT738" s="102"/>
      <c r="BU738" s="102"/>
      <c r="BV738" s="102"/>
      <c r="BW738" s="102"/>
      <c r="BX738" s="102"/>
      <c r="BY738" s="94"/>
      <c r="BZ738" s="94"/>
      <c r="CA738" s="94"/>
      <c r="CB738" s="94"/>
      <c r="CC738" s="94"/>
      <c r="CD738" s="94"/>
      <c r="CE738" s="94"/>
      <c r="CF738" s="94"/>
      <c r="CG738" s="94"/>
      <c r="CH738" s="94"/>
      <c r="CI738" s="94"/>
      <c r="CJ738" s="94" t="str">
        <f>"     " &amp; TEXT(AF738,"#0.00%") &amp; " " &amp; "Door S/W SOP LCP positioning in alignment" &amp; " " &amp; IF(Q738="","",TEXT(Q738,"M/D-")) &amp; IF(R738="","",TEXT(R738,"M/D")) &amp; " "</f>
        <v xml:space="preserve">     0.00% Door S/W SOP LCP positioning in alignment  </v>
      </c>
      <c r="CK738" s="94"/>
      <c r="CL738" s="94"/>
      <c r="CM738" s="94"/>
      <c r="CN738" s="94"/>
      <c r="CO738" s="94"/>
      <c r="CP738" s="94"/>
      <c r="CQ738" s="94"/>
      <c r="CR738" s="94"/>
      <c r="CS738" s="94"/>
      <c r="CT738" s="94"/>
      <c r="CU738" s="94"/>
      <c r="CV738" s="94"/>
      <c r="CW738" s="94"/>
      <c r="CX738" s="94"/>
      <c r="CY738" s="94"/>
      <c r="CZ738" s="94"/>
      <c r="DA738" s="94"/>
      <c r="DB738" s="94"/>
      <c r="DC738" s="94"/>
      <c r="DD738" s="94"/>
      <c r="DE738" s="94"/>
      <c r="DF738" s="94"/>
      <c r="DG738" s="94"/>
      <c r="DH738" s="94"/>
      <c r="DI738" s="94"/>
      <c r="DJ738" s="94"/>
      <c r="DK738" s="94"/>
      <c r="DL738" s="94"/>
      <c r="DM738" s="94"/>
      <c r="DN738" s="94"/>
      <c r="DO738" s="94"/>
      <c r="DP738" s="94"/>
      <c r="DQ738" s="94"/>
    </row>
    <row r="739" spans="1:121" ht="15" customHeight="1" outlineLevel="3" x14ac:dyDescent="0.3">
      <c r="A739" s="100"/>
      <c r="B739" s="100"/>
      <c r="C739" s="99">
        <v>4</v>
      </c>
      <c r="D739" s="98" t="s">
        <v>486</v>
      </c>
      <c r="H739" s="77" t="s">
        <v>313</v>
      </c>
      <c r="O739" s="77"/>
      <c r="P739" s="105"/>
      <c r="Q739" s="97"/>
      <c r="R739" s="97"/>
      <c r="AB739" s="72">
        <v>1</v>
      </c>
      <c r="AE739" s="96"/>
      <c r="AF739" s="102"/>
      <c r="AG739" s="102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  <c r="BI739" s="102"/>
      <c r="BJ739" s="102"/>
      <c r="BK739" s="102"/>
      <c r="BL739" s="102"/>
      <c r="BM739" s="102"/>
      <c r="BN739" s="102"/>
      <c r="BO739" s="102"/>
      <c r="BP739" s="102"/>
      <c r="BQ739" s="102"/>
      <c r="BR739" s="102"/>
      <c r="BS739" s="102"/>
      <c r="BT739" s="102"/>
      <c r="BU739" s="102"/>
      <c r="BV739" s="102"/>
      <c r="BW739" s="102"/>
      <c r="BX739" s="102"/>
      <c r="BY739" s="94"/>
      <c r="BZ739" s="94"/>
      <c r="CA739" s="94"/>
      <c r="CB739" s="94"/>
      <c r="CC739" s="94"/>
      <c r="CD739" s="94"/>
      <c r="CE739" s="94"/>
      <c r="CF739" s="94"/>
      <c r="CG739" s="94"/>
      <c r="CH739" s="94"/>
      <c r="CI739" s="94"/>
      <c r="CJ739" s="94" t="str">
        <f>"     " &amp; TEXT(AF739,"#0.00%") &amp; " " &amp; "Install Duct" &amp; " " &amp; IF(Q739="","",TEXT(Q739,"M/D-")) &amp; IF(R739="","",TEXT(R739,"M/D")) &amp; " "</f>
        <v xml:space="preserve">     0.00% Install Duct  </v>
      </c>
      <c r="CK739" s="94"/>
      <c r="CL739" s="94"/>
      <c r="CM739" s="94"/>
      <c r="CN739" s="94"/>
      <c r="CO739" s="94"/>
      <c r="CP739" s="94"/>
      <c r="CQ739" s="94"/>
      <c r="CR739" s="94"/>
      <c r="CS739" s="94"/>
      <c r="CT739" s="94"/>
      <c r="CU739" s="94"/>
      <c r="CV739" s="94"/>
      <c r="CW739" s="94"/>
      <c r="CX739" s="94"/>
      <c r="CY739" s="94"/>
      <c r="CZ739" s="94"/>
      <c r="DA739" s="94"/>
      <c r="DB739" s="94"/>
      <c r="DC739" s="94"/>
      <c r="DD739" s="94"/>
      <c r="DE739" s="94"/>
      <c r="DF739" s="94"/>
      <c r="DG739" s="94"/>
      <c r="DH739" s="94"/>
      <c r="DI739" s="94"/>
      <c r="DJ739" s="94"/>
      <c r="DK739" s="94"/>
      <c r="DL739" s="94"/>
      <c r="DM739" s="94"/>
      <c r="DN739" s="94"/>
      <c r="DO739" s="94"/>
      <c r="DP739" s="94"/>
      <c r="DQ739" s="94"/>
    </row>
    <row r="740" spans="1:121" ht="15" customHeight="1" outlineLevel="3" x14ac:dyDescent="0.3">
      <c r="A740" s="100"/>
      <c r="B740" s="100"/>
      <c r="C740" s="99">
        <v>4</v>
      </c>
      <c r="D740" s="98" t="s">
        <v>485</v>
      </c>
      <c r="H740" s="77" t="s">
        <v>311</v>
      </c>
      <c r="O740" s="77"/>
      <c r="P740" s="105"/>
      <c r="Q740" s="97"/>
      <c r="R740" s="97"/>
      <c r="AB740" s="72">
        <v>1</v>
      </c>
      <c r="AE740" s="96"/>
      <c r="AF740" s="102"/>
      <c r="AG740" s="102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  <c r="AV740" s="102"/>
      <c r="AW740" s="102"/>
      <c r="AX740" s="102"/>
      <c r="AY740" s="102"/>
      <c r="AZ740" s="102"/>
      <c r="BA740" s="102"/>
      <c r="BB740" s="102"/>
      <c r="BC740" s="102"/>
      <c r="BD740" s="102"/>
      <c r="BE740" s="102"/>
      <c r="BF740" s="102"/>
      <c r="BG740" s="102"/>
      <c r="BH740" s="102"/>
      <c r="BI740" s="102"/>
      <c r="BJ740" s="102"/>
      <c r="BK740" s="102"/>
      <c r="BL740" s="102"/>
      <c r="BM740" s="102"/>
      <c r="BN740" s="102"/>
      <c r="BO740" s="102"/>
      <c r="BP740" s="102"/>
      <c r="BQ740" s="102"/>
      <c r="BR740" s="102"/>
      <c r="BS740" s="102"/>
      <c r="BT740" s="102"/>
      <c r="BU740" s="102"/>
      <c r="BV740" s="102"/>
      <c r="BW740" s="102"/>
      <c r="BX740" s="102"/>
      <c r="BY740" s="94"/>
      <c r="BZ740" s="94"/>
      <c r="CA740" s="94"/>
      <c r="CB740" s="94"/>
      <c r="CC740" s="94"/>
      <c r="CD740" s="94"/>
      <c r="CE740" s="94"/>
      <c r="CF740" s="94"/>
      <c r="CG740" s="94"/>
      <c r="CH740" s="94"/>
      <c r="CI740" s="94"/>
      <c r="CJ740" s="94" t="str">
        <f>"     " &amp; TEXT(AF740,"#0.00%") &amp; " " &amp; "Installation Lifter cable" &amp; " " &amp; IF(Q740="","",TEXT(Q740,"M/D-")) &amp; IF(R740="","",TEXT(R740,"M/D")) &amp; " "</f>
        <v xml:space="preserve">     0.00% Installation Lifter cable  </v>
      </c>
      <c r="CK740" s="94"/>
      <c r="CL740" s="94"/>
      <c r="CM740" s="94"/>
      <c r="CN740" s="94"/>
      <c r="CO740" s="94"/>
      <c r="CP740" s="94"/>
      <c r="CQ740" s="94"/>
      <c r="CR740" s="94"/>
      <c r="CS740" s="94"/>
      <c r="CT740" s="94"/>
      <c r="CU740" s="94"/>
      <c r="CV740" s="94"/>
      <c r="CW740" s="94"/>
      <c r="CX740" s="94"/>
      <c r="CY740" s="94"/>
      <c r="CZ740" s="94"/>
      <c r="DA740" s="94"/>
      <c r="DB740" s="94"/>
      <c r="DC740" s="94"/>
      <c r="DD740" s="94"/>
      <c r="DE740" s="94"/>
      <c r="DF740" s="94"/>
      <c r="DG740" s="94"/>
      <c r="DH740" s="94"/>
      <c r="DI740" s="94"/>
      <c r="DJ740" s="94"/>
      <c r="DK740" s="94"/>
      <c r="DL740" s="94"/>
      <c r="DM740" s="94"/>
      <c r="DN740" s="94"/>
      <c r="DO740" s="94"/>
      <c r="DP740" s="94"/>
      <c r="DQ740" s="94"/>
    </row>
    <row r="741" spans="1:121" ht="15" customHeight="1" outlineLevel="3" x14ac:dyDescent="0.3">
      <c r="A741" s="100"/>
      <c r="B741" s="100"/>
      <c r="C741" s="99">
        <v>4</v>
      </c>
      <c r="D741" s="98" t="s">
        <v>484</v>
      </c>
      <c r="H741" s="77" t="s">
        <v>309</v>
      </c>
      <c r="O741" s="77"/>
      <c r="P741" s="105"/>
      <c r="Q741" s="97"/>
      <c r="R741" s="97"/>
      <c r="AB741" s="72">
        <v>1</v>
      </c>
      <c r="AE741" s="96"/>
      <c r="AF741" s="102"/>
      <c r="AG741" s="102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  <c r="BI741" s="102"/>
      <c r="BJ741" s="102"/>
      <c r="BK741" s="102"/>
      <c r="BL741" s="102"/>
      <c r="BM741" s="102"/>
      <c r="BN741" s="102"/>
      <c r="BO741" s="102"/>
      <c r="BP741" s="102"/>
      <c r="BQ741" s="102"/>
      <c r="BR741" s="102"/>
      <c r="BS741" s="102"/>
      <c r="BT741" s="102"/>
      <c r="BU741" s="102"/>
      <c r="BV741" s="102"/>
      <c r="BW741" s="102"/>
      <c r="BX741" s="102"/>
      <c r="BY741" s="94"/>
      <c r="BZ741" s="94"/>
      <c r="CA741" s="94"/>
      <c r="CB741" s="94"/>
      <c r="CC741" s="94"/>
      <c r="CD741" s="94"/>
      <c r="CE741" s="94"/>
      <c r="CF741" s="94"/>
      <c r="CG741" s="94"/>
      <c r="CH741" s="94"/>
      <c r="CI741" s="94"/>
      <c r="CJ741" s="94" t="str">
        <f>"     " &amp; TEXT(AF741,"#0.00%") &amp; " " &amp; "Installation Power moller cable" &amp; " " &amp; IF(Q741="","",TEXT(Q741,"M/D-")) &amp; IF(R741="","",TEXT(R741,"M/D")) &amp; " "</f>
        <v xml:space="preserve">     0.00% Installation Power moller cable  </v>
      </c>
      <c r="CK741" s="94"/>
      <c r="CL741" s="94"/>
      <c r="CM741" s="94"/>
      <c r="CN741" s="94"/>
      <c r="CO741" s="94"/>
      <c r="CP741" s="94"/>
      <c r="CQ741" s="94"/>
      <c r="CR741" s="94"/>
      <c r="CS741" s="94"/>
      <c r="CT741" s="94"/>
      <c r="CU741" s="94"/>
      <c r="CV741" s="94"/>
      <c r="CW741" s="94"/>
      <c r="CX741" s="94"/>
      <c r="CY741" s="94"/>
      <c r="CZ741" s="94"/>
      <c r="DA741" s="94"/>
      <c r="DB741" s="94"/>
      <c r="DC741" s="94"/>
      <c r="DD741" s="94"/>
      <c r="DE741" s="94"/>
      <c r="DF741" s="94"/>
      <c r="DG741" s="94"/>
      <c r="DH741" s="94"/>
      <c r="DI741" s="94"/>
      <c r="DJ741" s="94"/>
      <c r="DK741" s="94"/>
      <c r="DL741" s="94"/>
      <c r="DM741" s="94"/>
      <c r="DN741" s="94"/>
      <c r="DO741" s="94"/>
      <c r="DP741" s="94"/>
      <c r="DQ741" s="94"/>
    </row>
    <row r="742" spans="1:121" ht="15" customHeight="1" outlineLevel="3" x14ac:dyDescent="0.3">
      <c r="A742" s="100"/>
      <c r="B742" s="100"/>
      <c r="C742" s="99">
        <v>4</v>
      </c>
      <c r="D742" s="98" t="s">
        <v>483</v>
      </c>
      <c r="H742" s="77" t="s">
        <v>307</v>
      </c>
      <c r="O742" s="77"/>
      <c r="P742" s="105"/>
      <c r="Q742" s="97"/>
      <c r="R742" s="97"/>
      <c r="AB742" s="72">
        <v>1</v>
      </c>
      <c r="AE742" s="96"/>
      <c r="AF742" s="102"/>
      <c r="AG742" s="102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  <c r="BC742" s="102"/>
      <c r="BD742" s="102"/>
      <c r="BE742" s="102"/>
      <c r="BF742" s="102"/>
      <c r="BG742" s="102"/>
      <c r="BH742" s="102"/>
      <c r="BI742" s="102"/>
      <c r="BJ742" s="102"/>
      <c r="BK742" s="102"/>
      <c r="BL742" s="102"/>
      <c r="BM742" s="102"/>
      <c r="BN742" s="102"/>
      <c r="BO742" s="102"/>
      <c r="BP742" s="102"/>
      <c r="BQ742" s="102"/>
      <c r="BR742" s="102"/>
      <c r="BS742" s="102"/>
      <c r="BT742" s="102"/>
      <c r="BU742" s="102"/>
      <c r="BV742" s="102"/>
      <c r="BW742" s="102"/>
      <c r="BX742" s="102"/>
      <c r="BY742" s="94"/>
      <c r="BZ742" s="94"/>
      <c r="CA742" s="94"/>
      <c r="CB742" s="94"/>
      <c r="CC742" s="94"/>
      <c r="CD742" s="94"/>
      <c r="CE742" s="94"/>
      <c r="CF742" s="94"/>
      <c r="CG742" s="94"/>
      <c r="CH742" s="94"/>
      <c r="CI742" s="94"/>
      <c r="CJ742" s="94" t="str">
        <f>"     " &amp; TEXT(AF742,"#0.00%") &amp; " " &amp; "Installation Lifter Light Curtain cable" &amp; " " &amp; IF(Q742="","",TEXT(Q742,"M/D-")) &amp; IF(R742="","",TEXT(R742,"M/D")) &amp; " "</f>
        <v xml:space="preserve">     0.00% Installation Lifter Light Curtain cable  </v>
      </c>
      <c r="CK742" s="94"/>
      <c r="CL742" s="94"/>
      <c r="CM742" s="94"/>
      <c r="CN742" s="94"/>
      <c r="CO742" s="94"/>
      <c r="CP742" s="94"/>
      <c r="CQ742" s="94"/>
      <c r="CR742" s="94"/>
      <c r="CS742" s="94"/>
      <c r="CT742" s="94"/>
      <c r="CU742" s="94"/>
      <c r="CV742" s="94"/>
      <c r="CW742" s="94"/>
      <c r="CX742" s="94"/>
      <c r="CY742" s="94"/>
      <c r="CZ742" s="94"/>
      <c r="DA742" s="94"/>
      <c r="DB742" s="94"/>
      <c r="DC742" s="94"/>
      <c r="DD742" s="94"/>
      <c r="DE742" s="94"/>
      <c r="DF742" s="94"/>
      <c r="DG742" s="94"/>
      <c r="DH742" s="94"/>
      <c r="DI742" s="94"/>
      <c r="DJ742" s="94"/>
      <c r="DK742" s="94"/>
      <c r="DL742" s="94"/>
      <c r="DM742" s="94"/>
      <c r="DN742" s="94"/>
      <c r="DO742" s="94"/>
      <c r="DP742" s="94"/>
      <c r="DQ742" s="94"/>
    </row>
    <row r="743" spans="1:121" ht="15" customHeight="1" outlineLevel="3" x14ac:dyDescent="0.3">
      <c r="A743" s="100"/>
      <c r="B743" s="100"/>
      <c r="C743" s="99">
        <v>4</v>
      </c>
      <c r="D743" s="98" t="s">
        <v>482</v>
      </c>
      <c r="H743" s="77" t="s">
        <v>481</v>
      </c>
      <c r="O743" s="77"/>
      <c r="P743" s="105"/>
      <c r="Q743" s="97"/>
      <c r="R743" s="97"/>
      <c r="AB743" s="72">
        <v>1</v>
      </c>
      <c r="AE743" s="96"/>
      <c r="AF743" s="102"/>
      <c r="AG743" s="102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  <c r="BC743" s="102"/>
      <c r="BD743" s="102"/>
      <c r="BE743" s="102"/>
      <c r="BF743" s="102"/>
      <c r="BG743" s="102"/>
      <c r="BH743" s="102"/>
      <c r="BI743" s="102"/>
      <c r="BJ743" s="102"/>
      <c r="BK743" s="102"/>
      <c r="BL743" s="102"/>
      <c r="BM743" s="102"/>
      <c r="BN743" s="102"/>
      <c r="BO743" s="102"/>
      <c r="BP743" s="102"/>
      <c r="BQ743" s="102"/>
      <c r="BR743" s="102"/>
      <c r="BS743" s="102"/>
      <c r="BT743" s="102"/>
      <c r="BU743" s="102"/>
      <c r="BV743" s="102"/>
      <c r="BW743" s="102"/>
      <c r="BX743" s="102"/>
      <c r="BY743" s="94"/>
      <c r="BZ743" s="94"/>
      <c r="CA743" s="94"/>
      <c r="CB743" s="94"/>
      <c r="CC743" s="94"/>
      <c r="CD743" s="94"/>
      <c r="CE743" s="94"/>
      <c r="CF743" s="94"/>
      <c r="CG743" s="94"/>
      <c r="CH743" s="94"/>
      <c r="CI743" s="94"/>
      <c r="CJ743" s="94" t="str">
        <f>"     " &amp; TEXT(AF743,"#0.00%") &amp; " " &amp; "installation DP Mg 24VDC Cable" &amp; " " &amp; IF(Q743="","",TEXT(Q743,"M/D-")) &amp; IF(R743="","",TEXT(R743,"M/D")) &amp; " "</f>
        <v xml:space="preserve">     0.00% installation DP Mg 24VDC Cable  </v>
      </c>
      <c r="CK743" s="94"/>
      <c r="CL743" s="94"/>
      <c r="CM743" s="94"/>
      <c r="CN743" s="94"/>
      <c r="CO743" s="94"/>
      <c r="CP743" s="94"/>
      <c r="CQ743" s="94"/>
      <c r="CR743" s="94"/>
      <c r="CS743" s="94"/>
      <c r="CT743" s="94"/>
      <c r="CU743" s="94"/>
      <c r="CV743" s="94"/>
      <c r="CW743" s="94"/>
      <c r="CX743" s="94"/>
      <c r="CY743" s="94"/>
      <c r="CZ743" s="94"/>
      <c r="DA743" s="94"/>
      <c r="DB743" s="94"/>
      <c r="DC743" s="94"/>
      <c r="DD743" s="94"/>
      <c r="DE743" s="94"/>
      <c r="DF743" s="94"/>
      <c r="DG743" s="94"/>
      <c r="DH743" s="94"/>
      <c r="DI743" s="94"/>
      <c r="DJ743" s="94"/>
      <c r="DK743" s="94"/>
      <c r="DL743" s="94"/>
      <c r="DM743" s="94"/>
      <c r="DN743" s="94"/>
      <c r="DO743" s="94"/>
      <c r="DP743" s="94"/>
      <c r="DQ743" s="94"/>
    </row>
    <row r="744" spans="1:121" ht="15" customHeight="1" outlineLevel="3" x14ac:dyDescent="0.3">
      <c r="A744" s="100"/>
      <c r="B744" s="100"/>
      <c r="C744" s="99">
        <v>4</v>
      </c>
      <c r="D744" s="98" t="s">
        <v>480</v>
      </c>
      <c r="H744" s="77" t="s">
        <v>479</v>
      </c>
      <c r="O744" s="77"/>
      <c r="P744" s="105"/>
      <c r="Q744" s="97"/>
      <c r="R744" s="97"/>
      <c r="AB744" s="72">
        <v>1</v>
      </c>
      <c r="AE744" s="96"/>
      <c r="AF744" s="102"/>
      <c r="AG744" s="102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  <c r="BC744" s="102"/>
      <c r="BD744" s="102"/>
      <c r="BE744" s="102"/>
      <c r="BF744" s="102"/>
      <c r="BG744" s="102"/>
      <c r="BH744" s="102"/>
      <c r="BI744" s="102"/>
      <c r="BJ744" s="102"/>
      <c r="BK744" s="102"/>
      <c r="BL744" s="102"/>
      <c r="BM744" s="102"/>
      <c r="BN744" s="102"/>
      <c r="BO744" s="102"/>
      <c r="BP744" s="102"/>
      <c r="BQ744" s="102"/>
      <c r="BR744" s="102"/>
      <c r="BS744" s="102"/>
      <c r="BT744" s="102"/>
      <c r="BU744" s="102"/>
      <c r="BV744" s="102"/>
      <c r="BW744" s="102"/>
      <c r="BX744" s="102"/>
      <c r="BY744" s="94"/>
      <c r="BZ744" s="94"/>
      <c r="CA744" s="94"/>
      <c r="CB744" s="94"/>
      <c r="CC744" s="94"/>
      <c r="CD744" s="94"/>
      <c r="CE744" s="94"/>
      <c r="CF744" s="94"/>
      <c r="CG744" s="94"/>
      <c r="CH744" s="94"/>
      <c r="CI744" s="94"/>
      <c r="CJ744" s="94" t="str">
        <f>"     " &amp; TEXT(AF744,"#0.00%") &amp; " " &amp; "Installation Servo Cable " &amp; " " &amp; IF(Q744="","",TEXT(Q744,"M/D-")) &amp; IF(R744="","",TEXT(R744,"M/D")) &amp; " "</f>
        <v xml:space="preserve">     0.00% Installation Servo Cable   </v>
      </c>
      <c r="CK744" s="94"/>
      <c r="CL744" s="94"/>
      <c r="CM744" s="94"/>
      <c r="CN744" s="94"/>
      <c r="CO744" s="94"/>
      <c r="CP744" s="94"/>
      <c r="CQ744" s="94"/>
      <c r="CR744" s="94"/>
      <c r="CS744" s="94"/>
      <c r="CT744" s="94"/>
      <c r="CU744" s="94"/>
      <c r="CV744" s="94"/>
      <c r="CW744" s="94"/>
      <c r="CX744" s="94"/>
      <c r="CY744" s="94"/>
      <c r="CZ744" s="94"/>
      <c r="DA744" s="94"/>
      <c r="DB744" s="94"/>
      <c r="DC744" s="94"/>
      <c r="DD744" s="94"/>
      <c r="DE744" s="94"/>
      <c r="DF744" s="94"/>
      <c r="DG744" s="94"/>
      <c r="DH744" s="94"/>
      <c r="DI744" s="94"/>
      <c r="DJ744" s="94"/>
      <c r="DK744" s="94"/>
      <c r="DL744" s="94"/>
      <c r="DM744" s="94"/>
      <c r="DN744" s="94"/>
      <c r="DO744" s="94"/>
      <c r="DP744" s="94"/>
      <c r="DQ744" s="94"/>
    </row>
    <row r="745" spans="1:121" ht="15" customHeight="1" outlineLevel="3" x14ac:dyDescent="0.3">
      <c r="A745" s="100"/>
      <c r="B745" s="100"/>
      <c r="C745" s="99">
        <v>4</v>
      </c>
      <c r="D745" s="98" t="s">
        <v>478</v>
      </c>
      <c r="H745" s="77" t="s">
        <v>380</v>
      </c>
      <c r="O745" s="77"/>
      <c r="P745" s="105"/>
      <c r="Q745" s="97"/>
      <c r="R745" s="97"/>
      <c r="AB745" s="72">
        <v>1</v>
      </c>
      <c r="AE745" s="96"/>
      <c r="AF745" s="102"/>
      <c r="AG745" s="102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  <c r="BC745" s="102"/>
      <c r="BD745" s="102"/>
      <c r="BE745" s="102"/>
      <c r="BF745" s="102"/>
      <c r="BG745" s="102"/>
      <c r="BH745" s="102"/>
      <c r="BI745" s="102"/>
      <c r="BJ745" s="102"/>
      <c r="BK745" s="102"/>
      <c r="BL745" s="102"/>
      <c r="BM745" s="102"/>
      <c r="BN745" s="102"/>
      <c r="BO745" s="102"/>
      <c r="BP745" s="102"/>
      <c r="BQ745" s="102"/>
      <c r="BR745" s="102"/>
      <c r="BS745" s="102"/>
      <c r="BT745" s="102"/>
      <c r="BU745" s="102"/>
      <c r="BV745" s="102"/>
      <c r="BW745" s="102"/>
      <c r="BX745" s="102"/>
      <c r="BY745" s="94"/>
      <c r="BZ745" s="94"/>
      <c r="CA745" s="94"/>
      <c r="CB745" s="94"/>
      <c r="CC745" s="94"/>
      <c r="CD745" s="94"/>
      <c r="CE745" s="94"/>
      <c r="CF745" s="94"/>
      <c r="CG745" s="94"/>
      <c r="CH745" s="94"/>
      <c r="CI745" s="94"/>
      <c r="CJ745" s="94" t="str">
        <f>"     " &amp; TEXT(AF745,"#0.00%") &amp; " " &amp; "Cable installation work related to fire suppression tank" &amp; " " &amp; IF(Q745="","",TEXT(Q745,"M/D-")) &amp; IF(R745="","",TEXT(R745,"M/D")) &amp; " "</f>
        <v xml:space="preserve">     0.00% Cable installation work related to fire suppression tank  </v>
      </c>
      <c r="CK745" s="94"/>
      <c r="CL745" s="94"/>
      <c r="CM745" s="94"/>
      <c r="CN745" s="94"/>
      <c r="CO745" s="94"/>
      <c r="CP745" s="94"/>
      <c r="CQ745" s="94"/>
      <c r="CR745" s="94"/>
      <c r="CS745" s="94"/>
      <c r="CT745" s="94"/>
      <c r="CU745" s="94"/>
      <c r="CV745" s="94"/>
      <c r="CW745" s="94"/>
      <c r="CX745" s="94"/>
      <c r="CY745" s="94"/>
      <c r="CZ745" s="94"/>
      <c r="DA745" s="94"/>
      <c r="DB745" s="94"/>
      <c r="DC745" s="94"/>
      <c r="DD745" s="94"/>
      <c r="DE745" s="94"/>
      <c r="DF745" s="94"/>
      <c r="DG745" s="94"/>
      <c r="DH745" s="94"/>
      <c r="DI745" s="94"/>
      <c r="DJ745" s="94"/>
      <c r="DK745" s="94"/>
      <c r="DL745" s="94"/>
      <c r="DM745" s="94"/>
      <c r="DN745" s="94"/>
      <c r="DO745" s="94"/>
      <c r="DP745" s="94"/>
      <c r="DQ745" s="94"/>
    </row>
    <row r="746" spans="1:121" ht="15" customHeight="1" outlineLevel="3" x14ac:dyDescent="0.3">
      <c r="A746" s="100"/>
      <c r="B746" s="100"/>
      <c r="C746" s="99">
        <v>4</v>
      </c>
      <c r="D746" s="98" t="s">
        <v>477</v>
      </c>
      <c r="H746" s="77" t="s">
        <v>378</v>
      </c>
      <c r="O746" s="77"/>
      <c r="P746" s="105"/>
      <c r="Q746" s="97"/>
      <c r="R746" s="97"/>
      <c r="AB746" s="72">
        <v>1</v>
      </c>
      <c r="AE746" s="96"/>
      <c r="AF746" s="102"/>
      <c r="AG746" s="102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  <c r="AV746" s="102"/>
      <c r="AW746" s="102"/>
      <c r="AX746" s="102"/>
      <c r="AY746" s="102"/>
      <c r="AZ746" s="102"/>
      <c r="BA746" s="102"/>
      <c r="BB746" s="102"/>
      <c r="BC746" s="102"/>
      <c r="BD746" s="102"/>
      <c r="BE746" s="102"/>
      <c r="BF746" s="102"/>
      <c r="BG746" s="102"/>
      <c r="BH746" s="102"/>
      <c r="BI746" s="102"/>
      <c r="BJ746" s="102"/>
      <c r="BK746" s="102"/>
      <c r="BL746" s="102"/>
      <c r="BM746" s="102"/>
      <c r="BN746" s="102"/>
      <c r="BO746" s="102"/>
      <c r="BP746" s="102"/>
      <c r="BQ746" s="102"/>
      <c r="BR746" s="102"/>
      <c r="BS746" s="102"/>
      <c r="BT746" s="102"/>
      <c r="BU746" s="102"/>
      <c r="BV746" s="102"/>
      <c r="BW746" s="102"/>
      <c r="BX746" s="102"/>
      <c r="BY746" s="94"/>
      <c r="BZ746" s="94"/>
      <c r="CA746" s="94"/>
      <c r="CB746" s="94"/>
      <c r="CC746" s="94"/>
      <c r="CD746" s="94"/>
      <c r="CE746" s="94"/>
      <c r="CF746" s="94"/>
      <c r="CG746" s="94"/>
      <c r="CH746" s="94"/>
      <c r="CI746" s="94"/>
      <c r="CJ746" s="94" t="str">
        <f>"     " &amp; TEXT(AF746,"#0.00%") &amp; " " &amp; "Door S/W SOP LCP cable Installation" &amp; " " &amp; IF(Q746="","",TEXT(Q746,"M/D-")) &amp; IF(R746="","",TEXT(R746,"M/D")) &amp; " "</f>
        <v xml:space="preserve">     0.00% Door S/W SOP LCP cable Installation  </v>
      </c>
      <c r="CK746" s="94"/>
      <c r="CL746" s="94"/>
      <c r="CM746" s="94"/>
      <c r="CN746" s="94"/>
      <c r="CO746" s="94"/>
      <c r="CP746" s="94"/>
      <c r="CQ746" s="94"/>
      <c r="CR746" s="94"/>
      <c r="CS746" s="94"/>
      <c r="CT746" s="94"/>
      <c r="CU746" s="94"/>
      <c r="CV746" s="94"/>
      <c r="CW746" s="94"/>
      <c r="CX746" s="94"/>
      <c r="CY746" s="94"/>
      <c r="CZ746" s="94"/>
      <c r="DA746" s="94"/>
      <c r="DB746" s="94"/>
      <c r="DC746" s="94"/>
      <c r="DD746" s="94"/>
      <c r="DE746" s="94"/>
      <c r="DF746" s="94"/>
      <c r="DG746" s="94"/>
      <c r="DH746" s="94"/>
      <c r="DI746" s="94"/>
      <c r="DJ746" s="94"/>
      <c r="DK746" s="94"/>
      <c r="DL746" s="94"/>
      <c r="DM746" s="94"/>
      <c r="DN746" s="94"/>
      <c r="DO746" s="94"/>
      <c r="DP746" s="94"/>
      <c r="DQ746" s="94"/>
    </row>
    <row r="747" spans="1:121" ht="15" customHeight="1" outlineLevel="3" x14ac:dyDescent="0.3">
      <c r="A747" s="100"/>
      <c r="B747" s="100"/>
      <c r="C747" s="99">
        <v>4</v>
      </c>
      <c r="D747" s="98" t="s">
        <v>476</v>
      </c>
      <c r="H747" s="77" t="s">
        <v>303</v>
      </c>
      <c r="O747" s="77"/>
      <c r="P747" s="105"/>
      <c r="Q747" s="97"/>
      <c r="R747" s="97"/>
      <c r="AB747" s="72">
        <v>1</v>
      </c>
      <c r="AE747" s="96"/>
      <c r="AF747" s="102"/>
      <c r="AG747" s="102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  <c r="BC747" s="102"/>
      <c r="BD747" s="102"/>
      <c r="BE747" s="102"/>
      <c r="BF747" s="102"/>
      <c r="BG747" s="102"/>
      <c r="BH747" s="102"/>
      <c r="BI747" s="102"/>
      <c r="BJ747" s="102"/>
      <c r="BK747" s="102"/>
      <c r="BL747" s="102"/>
      <c r="BM747" s="102"/>
      <c r="BN747" s="102"/>
      <c r="BO747" s="102"/>
      <c r="BP747" s="102"/>
      <c r="BQ747" s="102"/>
      <c r="BR747" s="102"/>
      <c r="BS747" s="102"/>
      <c r="BT747" s="102"/>
      <c r="BU747" s="102"/>
      <c r="BV747" s="102"/>
      <c r="BW747" s="102"/>
      <c r="BX747" s="102"/>
      <c r="BY747" s="94"/>
      <c r="BZ747" s="94"/>
      <c r="CA747" s="94"/>
      <c r="CB747" s="94"/>
      <c r="CC747" s="94"/>
      <c r="CD747" s="94"/>
      <c r="CE747" s="94"/>
      <c r="CF747" s="94"/>
      <c r="CG747" s="94"/>
      <c r="CH747" s="94"/>
      <c r="CI747" s="94"/>
      <c r="CJ747" s="94" t="str">
        <f>"     " &amp; TEXT(AF747,"#0.00%") &amp; " " &amp; "Installation Panel Inside Cable " &amp; " " &amp; IF(Q747="","",TEXT(Q747,"M/D-")) &amp; IF(R747="","",TEXT(R747,"M/D")) &amp; " "</f>
        <v xml:space="preserve">     0.00% Installation Panel Inside Cable   </v>
      </c>
      <c r="CK747" s="94"/>
      <c r="CL747" s="94"/>
      <c r="CM747" s="94"/>
      <c r="CN747" s="94"/>
      <c r="CO747" s="94"/>
      <c r="CP747" s="94"/>
      <c r="CQ747" s="94"/>
      <c r="CR747" s="94"/>
      <c r="CS747" s="94"/>
      <c r="CT747" s="94"/>
      <c r="CU747" s="94"/>
      <c r="CV747" s="94"/>
      <c r="CW747" s="94"/>
      <c r="CX747" s="94"/>
      <c r="CY747" s="94"/>
      <c r="CZ747" s="94"/>
      <c r="DA747" s="94"/>
      <c r="DB747" s="94"/>
      <c r="DC747" s="94"/>
      <c r="DD747" s="94"/>
      <c r="DE747" s="94"/>
      <c r="DF747" s="94"/>
      <c r="DG747" s="94"/>
      <c r="DH747" s="94"/>
      <c r="DI747" s="94"/>
      <c r="DJ747" s="94"/>
      <c r="DK747" s="94"/>
      <c r="DL747" s="94"/>
      <c r="DM747" s="94"/>
      <c r="DN747" s="94"/>
      <c r="DO747" s="94"/>
      <c r="DP747" s="94"/>
      <c r="DQ747" s="94"/>
    </row>
    <row r="748" spans="1:121" ht="15" customHeight="1" outlineLevel="3" x14ac:dyDescent="0.3">
      <c r="A748" s="100"/>
      <c r="B748" s="100"/>
      <c r="C748" s="99">
        <v>4</v>
      </c>
      <c r="D748" s="98" t="s">
        <v>475</v>
      </c>
      <c r="H748" s="77" t="s">
        <v>301</v>
      </c>
      <c r="O748" s="77"/>
      <c r="P748" s="105"/>
      <c r="Q748" s="97"/>
      <c r="R748" s="97"/>
      <c r="AB748" s="72">
        <v>1</v>
      </c>
      <c r="AE748" s="96"/>
      <c r="AF748" s="102"/>
      <c r="AG748" s="102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  <c r="BI748" s="102"/>
      <c r="BJ748" s="102"/>
      <c r="BK748" s="102"/>
      <c r="BL748" s="102"/>
      <c r="BM748" s="102"/>
      <c r="BN748" s="102"/>
      <c r="BO748" s="102"/>
      <c r="BP748" s="102"/>
      <c r="BQ748" s="102"/>
      <c r="BR748" s="102"/>
      <c r="BS748" s="102"/>
      <c r="BT748" s="102"/>
      <c r="BU748" s="102"/>
      <c r="BV748" s="102"/>
      <c r="BW748" s="102"/>
      <c r="BX748" s="102"/>
      <c r="BY748" s="94"/>
      <c r="BZ748" s="94"/>
      <c r="CA748" s="94"/>
      <c r="CB748" s="94"/>
      <c r="CC748" s="94"/>
      <c r="CD748" s="94"/>
      <c r="CE748" s="94"/>
      <c r="CF748" s="94"/>
      <c r="CG748" s="94"/>
      <c r="CH748" s="94"/>
      <c r="CI748" s="94"/>
      <c r="CJ748" s="94" t="str">
        <f>"     " &amp; TEXT(AF748,"#0.00%") &amp; " " &amp; "Installation LED LAMP" &amp; " " &amp; IF(Q748="","",TEXT(Q748,"M/D-")) &amp; IF(R748="","",TEXT(R748,"M/D")) &amp; " "</f>
        <v xml:space="preserve">     0.00% Installation LED LAMP  </v>
      </c>
      <c r="CK748" s="94"/>
      <c r="CL748" s="94"/>
      <c r="CM748" s="94"/>
      <c r="CN748" s="94"/>
      <c r="CO748" s="94"/>
      <c r="CP748" s="94"/>
      <c r="CQ748" s="94"/>
      <c r="CR748" s="94"/>
      <c r="CS748" s="94"/>
      <c r="CT748" s="94"/>
      <c r="CU748" s="94"/>
      <c r="CV748" s="94"/>
      <c r="CW748" s="94"/>
      <c r="CX748" s="94"/>
      <c r="CY748" s="94"/>
      <c r="CZ748" s="94"/>
      <c r="DA748" s="94"/>
      <c r="DB748" s="94"/>
      <c r="DC748" s="94"/>
      <c r="DD748" s="94"/>
      <c r="DE748" s="94"/>
      <c r="DF748" s="94"/>
      <c r="DG748" s="94"/>
      <c r="DH748" s="94"/>
      <c r="DI748" s="94"/>
      <c r="DJ748" s="94"/>
      <c r="DK748" s="94"/>
      <c r="DL748" s="94"/>
      <c r="DM748" s="94"/>
      <c r="DN748" s="94"/>
      <c r="DO748" s="94"/>
      <c r="DP748" s="94"/>
      <c r="DQ748" s="94"/>
    </row>
    <row r="749" spans="1:121" ht="15" customHeight="1" outlineLevel="3" x14ac:dyDescent="0.3">
      <c r="A749" s="100"/>
      <c r="B749" s="100"/>
      <c r="C749" s="99">
        <v>4</v>
      </c>
      <c r="D749" s="98" t="s">
        <v>474</v>
      </c>
      <c r="H749" s="77" t="s">
        <v>374</v>
      </c>
      <c r="O749" s="77"/>
      <c r="P749" s="105"/>
      <c r="Q749" s="97"/>
      <c r="R749" s="97"/>
      <c r="AB749" s="72">
        <v>1</v>
      </c>
      <c r="AE749" s="96"/>
      <c r="AF749" s="102"/>
      <c r="AG749" s="102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  <c r="BC749" s="102"/>
      <c r="BD749" s="102"/>
      <c r="BE749" s="102"/>
      <c r="BF749" s="102"/>
      <c r="BG749" s="102"/>
      <c r="BH749" s="102"/>
      <c r="BI749" s="102"/>
      <c r="BJ749" s="102"/>
      <c r="BK749" s="102"/>
      <c r="BL749" s="102"/>
      <c r="BM749" s="102"/>
      <c r="BN749" s="102"/>
      <c r="BO749" s="102"/>
      <c r="BP749" s="102"/>
      <c r="BQ749" s="102"/>
      <c r="BR749" s="102"/>
      <c r="BS749" s="102"/>
      <c r="BT749" s="102"/>
      <c r="BU749" s="102"/>
      <c r="BV749" s="102"/>
      <c r="BW749" s="102"/>
      <c r="BX749" s="102"/>
      <c r="BY749" s="94"/>
      <c r="BZ749" s="94"/>
      <c r="CA749" s="94"/>
      <c r="CB749" s="94"/>
      <c r="CC749" s="94"/>
      <c r="CD749" s="94"/>
      <c r="CE749" s="94"/>
      <c r="CF749" s="94"/>
      <c r="CG749" s="94"/>
      <c r="CH749" s="94"/>
      <c r="CI749" s="94"/>
      <c r="CJ749" s="94" t="str">
        <f>"     " &amp; TEXT(AF749,"#0.00%") &amp; " " &amp; "Installation Collector Arm" &amp; " " &amp; IF(Q749="","",TEXT(Q749,"M/D-")) &amp; IF(R749="","",TEXT(R749,"M/D")) &amp; " "</f>
        <v xml:space="preserve">     0.00% Installation Collector Arm  </v>
      </c>
      <c r="CK749" s="94"/>
      <c r="CL749" s="94"/>
      <c r="CM749" s="94"/>
      <c r="CN749" s="94"/>
      <c r="CO749" s="94"/>
      <c r="CP749" s="94"/>
      <c r="CQ749" s="94"/>
      <c r="CR749" s="94"/>
      <c r="CS749" s="94"/>
      <c r="CT749" s="94"/>
      <c r="CU749" s="94"/>
      <c r="CV749" s="94"/>
      <c r="CW749" s="94"/>
      <c r="CX749" s="94"/>
      <c r="CY749" s="94"/>
      <c r="CZ749" s="94"/>
      <c r="DA749" s="94"/>
      <c r="DB749" s="94"/>
      <c r="DC749" s="94"/>
      <c r="DD749" s="94"/>
      <c r="DE749" s="94"/>
      <c r="DF749" s="94"/>
      <c r="DG749" s="94"/>
      <c r="DH749" s="94"/>
      <c r="DI749" s="94"/>
      <c r="DJ749" s="94"/>
      <c r="DK749" s="94"/>
      <c r="DL749" s="94"/>
      <c r="DM749" s="94"/>
      <c r="DN749" s="94"/>
      <c r="DO749" s="94"/>
      <c r="DP749" s="94"/>
      <c r="DQ749" s="94"/>
    </row>
    <row r="750" spans="1:121" ht="15" customHeight="1" outlineLevel="3" x14ac:dyDescent="0.3">
      <c r="A750" s="100"/>
      <c r="B750" s="100"/>
      <c r="C750" s="99">
        <v>4</v>
      </c>
      <c r="D750" s="98" t="s">
        <v>473</v>
      </c>
      <c r="H750" s="77" t="s">
        <v>372</v>
      </c>
      <c r="O750" s="77"/>
      <c r="P750" s="105"/>
      <c r="Q750" s="97"/>
      <c r="R750" s="97"/>
      <c r="AB750" s="72">
        <v>1</v>
      </c>
      <c r="AE750" s="96"/>
      <c r="AF750" s="102"/>
      <c r="AG750" s="102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  <c r="BC750" s="102"/>
      <c r="BD750" s="102"/>
      <c r="BE750" s="102"/>
      <c r="BF750" s="102"/>
      <c r="BG750" s="102"/>
      <c r="BH750" s="102"/>
      <c r="BI750" s="102"/>
      <c r="BJ750" s="102"/>
      <c r="BK750" s="102"/>
      <c r="BL750" s="102"/>
      <c r="BM750" s="102"/>
      <c r="BN750" s="102"/>
      <c r="BO750" s="102"/>
      <c r="BP750" s="102"/>
      <c r="BQ750" s="102"/>
      <c r="BR750" s="102"/>
      <c r="BS750" s="102"/>
      <c r="BT750" s="102"/>
      <c r="BU750" s="102"/>
      <c r="BV750" s="102"/>
      <c r="BW750" s="102"/>
      <c r="BX750" s="102"/>
      <c r="BY750" s="94"/>
      <c r="BZ750" s="94"/>
      <c r="CA750" s="94"/>
      <c r="CB750" s="94"/>
      <c r="CC750" s="94"/>
      <c r="CD750" s="94"/>
      <c r="CE750" s="94"/>
      <c r="CF750" s="94"/>
      <c r="CG750" s="94"/>
      <c r="CH750" s="94"/>
      <c r="CI750" s="94"/>
      <c r="CJ750" s="94" t="str">
        <f>"     " &amp; TEXT(AF750,"#0.00%") &amp; " " &amp; "Attach Tape(Driving BCR)" &amp; " " &amp; IF(Q750="","",TEXT(Q750,"M/D-")) &amp; IF(R750="","",TEXT(R750,"M/D")) &amp; " "</f>
        <v xml:space="preserve">     0.00% Attach Tape(Driving BCR)  </v>
      </c>
      <c r="CK750" s="94"/>
      <c r="CL750" s="94"/>
      <c r="CM750" s="94"/>
      <c r="CN750" s="94"/>
      <c r="CO750" s="94"/>
      <c r="CP750" s="94"/>
      <c r="CQ750" s="94"/>
      <c r="CR750" s="94"/>
      <c r="CS750" s="94"/>
      <c r="CT750" s="94"/>
      <c r="CU750" s="94"/>
      <c r="CV750" s="94"/>
      <c r="CW750" s="94"/>
      <c r="CX750" s="94"/>
      <c r="CY750" s="94"/>
      <c r="CZ750" s="94"/>
      <c r="DA750" s="94"/>
      <c r="DB750" s="94"/>
      <c r="DC750" s="94"/>
      <c r="DD750" s="94"/>
      <c r="DE750" s="94"/>
      <c r="DF750" s="94"/>
      <c r="DG750" s="94"/>
      <c r="DH750" s="94"/>
      <c r="DI750" s="94"/>
      <c r="DJ750" s="94"/>
      <c r="DK750" s="94"/>
      <c r="DL750" s="94"/>
      <c r="DM750" s="94"/>
      <c r="DN750" s="94"/>
      <c r="DO750" s="94"/>
      <c r="DP750" s="94"/>
      <c r="DQ750" s="94"/>
    </row>
    <row r="751" spans="1:121" ht="15" customHeight="1" outlineLevel="3" x14ac:dyDescent="0.3">
      <c r="A751" s="100"/>
      <c r="B751" s="100"/>
      <c r="C751" s="99">
        <v>4</v>
      </c>
      <c r="D751" s="98" t="s">
        <v>472</v>
      </c>
      <c r="H751" s="77" t="s">
        <v>370</v>
      </c>
      <c r="O751" s="77"/>
      <c r="P751" s="105"/>
      <c r="Q751" s="97"/>
      <c r="R751" s="97"/>
      <c r="AB751" s="72">
        <v>1</v>
      </c>
      <c r="AE751" s="96"/>
      <c r="AF751" s="102"/>
      <c r="AG751" s="102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  <c r="BI751" s="102"/>
      <c r="BJ751" s="102"/>
      <c r="BK751" s="102"/>
      <c r="BL751" s="102"/>
      <c r="BM751" s="102"/>
      <c r="BN751" s="102"/>
      <c r="BO751" s="102"/>
      <c r="BP751" s="102"/>
      <c r="BQ751" s="102"/>
      <c r="BR751" s="102"/>
      <c r="BS751" s="102"/>
      <c r="BT751" s="102"/>
      <c r="BU751" s="102"/>
      <c r="BV751" s="102"/>
      <c r="BW751" s="102"/>
      <c r="BX751" s="102"/>
      <c r="BY751" s="94"/>
      <c r="BZ751" s="94"/>
      <c r="CA751" s="94"/>
      <c r="CB751" s="94"/>
      <c r="CC751" s="94"/>
      <c r="CD751" s="94"/>
      <c r="CE751" s="94"/>
      <c r="CF751" s="94"/>
      <c r="CG751" s="94"/>
      <c r="CH751" s="94"/>
      <c r="CI751" s="94"/>
      <c r="CJ751" s="94" t="str">
        <f>"     " &amp; TEXT(AF751,"#0.00%") &amp; " " &amp; "Installation Motor Cable" &amp; " " &amp; IF(Q751="","",TEXT(Q751,"M/D-")) &amp; IF(R751="","",TEXT(R751,"M/D")) &amp; " "</f>
        <v xml:space="preserve">     0.00% Installation Motor Cable  </v>
      </c>
      <c r="CK751" s="94"/>
      <c r="CL751" s="94"/>
      <c r="CM751" s="94"/>
      <c r="CN751" s="94"/>
      <c r="CO751" s="94"/>
      <c r="CP751" s="94"/>
      <c r="CQ751" s="94"/>
      <c r="CR751" s="94"/>
      <c r="CS751" s="94"/>
      <c r="CT751" s="94"/>
      <c r="CU751" s="94"/>
      <c r="CV751" s="94"/>
      <c r="CW751" s="94"/>
      <c r="CX751" s="94"/>
      <c r="CY751" s="94"/>
      <c r="CZ751" s="94"/>
      <c r="DA751" s="94"/>
      <c r="DB751" s="94"/>
      <c r="DC751" s="94"/>
      <c r="DD751" s="94"/>
      <c r="DE751" s="94"/>
      <c r="DF751" s="94"/>
      <c r="DG751" s="94"/>
      <c r="DH751" s="94"/>
      <c r="DI751" s="94"/>
      <c r="DJ751" s="94"/>
      <c r="DK751" s="94"/>
      <c r="DL751" s="94"/>
      <c r="DM751" s="94"/>
      <c r="DN751" s="94"/>
      <c r="DO751" s="94"/>
      <c r="DP751" s="94"/>
      <c r="DQ751" s="94"/>
    </row>
    <row r="752" spans="1:121" ht="15" customHeight="1" outlineLevel="2" x14ac:dyDescent="0.3">
      <c r="A752" s="100"/>
      <c r="B752" s="100" t="s">
        <v>298</v>
      </c>
      <c r="C752" s="99">
        <v>3</v>
      </c>
      <c r="D752" s="98" t="s">
        <v>471</v>
      </c>
      <c r="G752" s="77" t="s">
        <v>470</v>
      </c>
      <c r="O752" s="77" t="s">
        <v>469</v>
      </c>
      <c r="P752" s="105"/>
      <c r="Q752" s="104"/>
      <c r="R752" s="104"/>
      <c r="AE752" s="96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94"/>
      <c r="BZ752" s="94"/>
      <c r="CA752" s="94"/>
      <c r="CB752" s="94"/>
      <c r="CC752" s="94"/>
      <c r="CD752" s="94"/>
      <c r="CE752" s="94"/>
      <c r="CF752" s="94"/>
      <c r="CG752" s="94"/>
      <c r="CH752" s="94"/>
      <c r="CI752" s="94"/>
      <c r="CJ752" s="94" t="str">
        <f t="shared" ref="CJ752:CJ766" si="1">"     " &amp; TEXT(AF752,"#0.00%") &amp; " "</f>
        <v xml:space="preserve">     0.00% </v>
      </c>
      <c r="CK752" s="94"/>
      <c r="CL752" s="94"/>
      <c r="CM752" s="94"/>
      <c r="CN752" s="94"/>
      <c r="CO752" s="94"/>
      <c r="CP752" s="94"/>
      <c r="CQ752" s="94"/>
      <c r="CR752" s="94"/>
      <c r="CS752" s="94"/>
      <c r="CT752" s="94"/>
      <c r="CU752" s="94" t="str">
        <f>"      " &amp; "Charger Room" &amp; " " &amp; IF(Q752="","",TEXT(Q752,"M/D-")) &amp; IF(R752="","",TEXT(R752,"M/D")) &amp; " "</f>
        <v xml:space="preserve">      Charger Room  </v>
      </c>
      <c r="CV752" s="94"/>
      <c r="CW752" s="94"/>
      <c r="CX752" s="94"/>
      <c r="CY752" s="94"/>
      <c r="CZ752" s="94"/>
      <c r="DA752" s="94"/>
      <c r="DB752" s="94"/>
      <c r="DC752" s="94"/>
      <c r="DD752" s="94"/>
      <c r="DE752" s="94"/>
      <c r="DF752" s="94"/>
      <c r="DG752" s="94"/>
      <c r="DH752" s="94"/>
      <c r="DI752" s="94"/>
      <c r="DJ752" s="94"/>
      <c r="DK752" s="94"/>
      <c r="DL752" s="94"/>
      <c r="DM752" s="94"/>
      <c r="DN752" s="94"/>
      <c r="DO752" s="94"/>
      <c r="DP752" s="94"/>
      <c r="DQ752" s="94"/>
    </row>
    <row r="753" spans="1:121" ht="15" customHeight="1" outlineLevel="3" x14ac:dyDescent="0.3">
      <c r="A753" s="100"/>
      <c r="B753" s="100"/>
      <c r="C753" s="99">
        <v>4</v>
      </c>
      <c r="D753" s="98" t="s">
        <v>468</v>
      </c>
      <c r="H753" s="77" t="s">
        <v>317</v>
      </c>
      <c r="O753" s="77"/>
      <c r="P753" s="105"/>
      <c r="Q753" s="97"/>
      <c r="R753" s="97"/>
      <c r="AB753" s="72">
        <v>1</v>
      </c>
      <c r="AE753" s="96"/>
      <c r="AF753" s="102"/>
      <c r="AG753" s="102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  <c r="BI753" s="102"/>
      <c r="BJ753" s="102"/>
      <c r="BK753" s="102"/>
      <c r="BL753" s="102"/>
      <c r="BM753" s="102"/>
      <c r="BN753" s="102"/>
      <c r="BO753" s="102"/>
      <c r="BP753" s="102"/>
      <c r="BQ753" s="102"/>
      <c r="BR753" s="102"/>
      <c r="BS753" s="102"/>
      <c r="BT753" s="102"/>
      <c r="BU753" s="102"/>
      <c r="BV753" s="102"/>
      <c r="BW753" s="102"/>
      <c r="BX753" s="102"/>
      <c r="BY753" s="94"/>
      <c r="BZ753" s="94"/>
      <c r="CA753" s="94"/>
      <c r="CB753" s="94"/>
      <c r="CC753" s="94"/>
      <c r="CD753" s="94"/>
      <c r="CE753" s="94"/>
      <c r="CF753" s="94"/>
      <c r="CG753" s="94"/>
      <c r="CH753" s="94"/>
      <c r="CI753" s="94"/>
      <c r="CJ753" s="94" t="str">
        <f t="shared" si="1"/>
        <v xml:space="preserve">     0.00% </v>
      </c>
      <c r="CK753" s="94"/>
      <c r="CL753" s="94"/>
      <c r="CM753" s="94"/>
      <c r="CN753" s="94"/>
      <c r="CO753" s="94"/>
      <c r="CP753" s="94"/>
      <c r="CQ753" s="94"/>
      <c r="CR753" s="94"/>
      <c r="CS753" s="94"/>
      <c r="CT753" s="94"/>
      <c r="CU753" s="94" t="str">
        <f>"      " &amp; "Panel Alignment and fixation" &amp; " " &amp; IF(Q753="","",TEXT(Q753,"M/D-")) &amp; IF(R753="","",TEXT(R753,"M/D")) &amp; " "</f>
        <v xml:space="preserve">      Panel Alignment and fixation  </v>
      </c>
      <c r="CV753" s="94"/>
      <c r="CW753" s="94"/>
      <c r="CX753" s="94"/>
      <c r="CY753" s="94"/>
      <c r="CZ753" s="94"/>
      <c r="DA753" s="94"/>
      <c r="DB753" s="94"/>
      <c r="DC753" s="94"/>
      <c r="DD753" s="94"/>
      <c r="DE753" s="94"/>
      <c r="DF753" s="94"/>
      <c r="DG753" s="94"/>
      <c r="DH753" s="94"/>
      <c r="DI753" s="94"/>
      <c r="DJ753" s="94"/>
      <c r="DK753" s="94"/>
      <c r="DL753" s="94"/>
      <c r="DM753" s="94"/>
      <c r="DN753" s="94"/>
      <c r="DO753" s="94"/>
      <c r="DP753" s="94"/>
      <c r="DQ753" s="94"/>
    </row>
    <row r="754" spans="1:121" ht="15" customHeight="1" outlineLevel="3" x14ac:dyDescent="0.3">
      <c r="A754" s="100"/>
      <c r="B754" s="100"/>
      <c r="C754" s="99">
        <v>4</v>
      </c>
      <c r="D754" s="98" t="s">
        <v>467</v>
      </c>
      <c r="H754" s="77" t="s">
        <v>315</v>
      </c>
      <c r="O754" s="77"/>
      <c r="P754" s="105"/>
      <c r="Q754" s="97"/>
      <c r="R754" s="97"/>
      <c r="AB754" s="72">
        <v>1</v>
      </c>
      <c r="AE754" s="96"/>
      <c r="AF754" s="102"/>
      <c r="AG754" s="102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  <c r="BC754" s="102"/>
      <c r="BD754" s="102"/>
      <c r="BE754" s="102"/>
      <c r="BF754" s="102"/>
      <c r="BG754" s="102"/>
      <c r="BH754" s="102"/>
      <c r="BI754" s="102"/>
      <c r="BJ754" s="102"/>
      <c r="BK754" s="102"/>
      <c r="BL754" s="102"/>
      <c r="BM754" s="102"/>
      <c r="BN754" s="102"/>
      <c r="BO754" s="102"/>
      <c r="BP754" s="102"/>
      <c r="BQ754" s="102"/>
      <c r="BR754" s="102"/>
      <c r="BS754" s="102"/>
      <c r="BT754" s="102"/>
      <c r="BU754" s="102"/>
      <c r="BV754" s="102"/>
      <c r="BW754" s="102"/>
      <c r="BX754" s="102"/>
      <c r="BY754" s="94"/>
      <c r="BZ754" s="94"/>
      <c r="CA754" s="94"/>
      <c r="CB754" s="94"/>
      <c r="CC754" s="94"/>
      <c r="CD754" s="94"/>
      <c r="CE754" s="94"/>
      <c r="CF754" s="94"/>
      <c r="CG754" s="94"/>
      <c r="CH754" s="94"/>
      <c r="CI754" s="94"/>
      <c r="CJ754" s="94" t="str">
        <f t="shared" si="1"/>
        <v xml:space="preserve">     0.00% </v>
      </c>
      <c r="CK754" s="94"/>
      <c r="CL754" s="94"/>
      <c r="CM754" s="94"/>
      <c r="CN754" s="94"/>
      <c r="CO754" s="94"/>
      <c r="CP754" s="94"/>
      <c r="CQ754" s="94"/>
      <c r="CR754" s="94"/>
      <c r="CS754" s="94"/>
      <c r="CT754" s="94"/>
      <c r="CU754" s="94" t="str">
        <f>"      " &amp; "Door S/W SOP LCP positioning in alignment" &amp; " " &amp; IF(Q754="","",TEXT(Q754,"M/D-")) &amp; IF(R754="","",TEXT(R754,"M/D")) &amp; " "</f>
        <v xml:space="preserve">      Door S/W SOP LCP positioning in alignment  </v>
      </c>
      <c r="CV754" s="94"/>
      <c r="CW754" s="94"/>
      <c r="CX754" s="94"/>
      <c r="CY754" s="94"/>
      <c r="CZ754" s="94"/>
      <c r="DA754" s="94"/>
      <c r="DB754" s="94"/>
      <c r="DC754" s="94"/>
      <c r="DD754" s="94"/>
      <c r="DE754" s="94"/>
      <c r="DF754" s="94"/>
      <c r="DG754" s="94"/>
      <c r="DH754" s="94"/>
      <c r="DI754" s="94"/>
      <c r="DJ754" s="94"/>
      <c r="DK754" s="94"/>
      <c r="DL754" s="94"/>
      <c r="DM754" s="94"/>
      <c r="DN754" s="94"/>
      <c r="DO754" s="94"/>
      <c r="DP754" s="94"/>
      <c r="DQ754" s="94"/>
    </row>
    <row r="755" spans="1:121" ht="15" customHeight="1" outlineLevel="3" x14ac:dyDescent="0.3">
      <c r="A755" s="100"/>
      <c r="B755" s="100"/>
      <c r="C755" s="99">
        <v>4</v>
      </c>
      <c r="D755" s="98" t="s">
        <v>466</v>
      </c>
      <c r="H755" s="77" t="s">
        <v>313</v>
      </c>
      <c r="O755" s="77"/>
      <c r="P755" s="105"/>
      <c r="Q755" s="97"/>
      <c r="R755" s="97"/>
      <c r="AB755" s="72">
        <v>1</v>
      </c>
      <c r="AE755" s="96"/>
      <c r="AF755" s="102"/>
      <c r="AG755" s="102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  <c r="AV755" s="102"/>
      <c r="AW755" s="102"/>
      <c r="AX755" s="102"/>
      <c r="AY755" s="102"/>
      <c r="AZ755" s="102"/>
      <c r="BA755" s="102"/>
      <c r="BB755" s="102"/>
      <c r="BC755" s="102"/>
      <c r="BD755" s="102"/>
      <c r="BE755" s="102"/>
      <c r="BF755" s="102"/>
      <c r="BG755" s="102"/>
      <c r="BH755" s="102"/>
      <c r="BI755" s="102"/>
      <c r="BJ755" s="102"/>
      <c r="BK755" s="102"/>
      <c r="BL755" s="102"/>
      <c r="BM755" s="102"/>
      <c r="BN755" s="102"/>
      <c r="BO755" s="102"/>
      <c r="BP755" s="102"/>
      <c r="BQ755" s="102"/>
      <c r="BR755" s="102"/>
      <c r="BS755" s="102"/>
      <c r="BT755" s="102"/>
      <c r="BU755" s="102"/>
      <c r="BV755" s="102"/>
      <c r="BW755" s="102"/>
      <c r="BX755" s="102"/>
      <c r="BY755" s="94"/>
      <c r="BZ755" s="94"/>
      <c r="CA755" s="94"/>
      <c r="CB755" s="94"/>
      <c r="CC755" s="94"/>
      <c r="CD755" s="94"/>
      <c r="CE755" s="94"/>
      <c r="CF755" s="94"/>
      <c r="CG755" s="94"/>
      <c r="CH755" s="94"/>
      <c r="CI755" s="94"/>
      <c r="CJ755" s="94" t="str">
        <f t="shared" si="1"/>
        <v xml:space="preserve">     0.00% </v>
      </c>
      <c r="CK755" s="94"/>
      <c r="CL755" s="94"/>
      <c r="CM755" s="94"/>
      <c r="CN755" s="94"/>
      <c r="CO755" s="94"/>
      <c r="CP755" s="94"/>
      <c r="CQ755" s="94"/>
      <c r="CR755" s="94"/>
      <c r="CS755" s="94"/>
      <c r="CT755" s="94"/>
      <c r="CU755" s="94" t="str">
        <f>"      " &amp; "Install Duct" &amp; " " &amp; IF(Q755="","",TEXT(Q755,"M/D-")) &amp; IF(R755="","",TEXT(R755,"M/D")) &amp; " "</f>
        <v xml:space="preserve">      Install Duct  </v>
      </c>
      <c r="CV755" s="94"/>
      <c r="CW755" s="94"/>
      <c r="CX755" s="94"/>
      <c r="CY755" s="94"/>
      <c r="CZ755" s="94"/>
      <c r="DA755" s="94"/>
      <c r="DB755" s="94"/>
      <c r="DC755" s="94"/>
      <c r="DD755" s="94"/>
      <c r="DE755" s="94"/>
      <c r="DF755" s="94"/>
      <c r="DG755" s="94"/>
      <c r="DH755" s="94"/>
      <c r="DI755" s="94"/>
      <c r="DJ755" s="94"/>
      <c r="DK755" s="94"/>
      <c r="DL755" s="94"/>
      <c r="DM755" s="94"/>
      <c r="DN755" s="94"/>
      <c r="DO755" s="94"/>
      <c r="DP755" s="94"/>
      <c r="DQ755" s="94"/>
    </row>
    <row r="756" spans="1:121" ht="15" customHeight="1" outlineLevel="3" x14ac:dyDescent="0.3">
      <c r="A756" s="100"/>
      <c r="B756" s="100"/>
      <c r="C756" s="99">
        <v>4</v>
      </c>
      <c r="D756" s="98" t="s">
        <v>465</v>
      </c>
      <c r="H756" s="77" t="s">
        <v>311</v>
      </c>
      <c r="O756" s="77"/>
      <c r="P756" s="105"/>
      <c r="Q756" s="97"/>
      <c r="R756" s="97"/>
      <c r="AB756" s="72">
        <v>1</v>
      </c>
      <c r="AE756" s="96"/>
      <c r="AF756" s="102"/>
      <c r="AG756" s="102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  <c r="AV756" s="102"/>
      <c r="AW756" s="102"/>
      <c r="AX756" s="102"/>
      <c r="AY756" s="102"/>
      <c r="AZ756" s="102"/>
      <c r="BA756" s="102"/>
      <c r="BB756" s="102"/>
      <c r="BC756" s="102"/>
      <c r="BD756" s="102"/>
      <c r="BE756" s="102"/>
      <c r="BF756" s="102"/>
      <c r="BG756" s="102"/>
      <c r="BH756" s="102"/>
      <c r="BI756" s="102"/>
      <c r="BJ756" s="102"/>
      <c r="BK756" s="102"/>
      <c r="BL756" s="102"/>
      <c r="BM756" s="102"/>
      <c r="BN756" s="102"/>
      <c r="BO756" s="102"/>
      <c r="BP756" s="102"/>
      <c r="BQ756" s="102"/>
      <c r="BR756" s="102"/>
      <c r="BS756" s="102"/>
      <c r="BT756" s="102"/>
      <c r="BU756" s="102"/>
      <c r="BV756" s="102"/>
      <c r="BW756" s="102"/>
      <c r="BX756" s="102"/>
      <c r="BY756" s="94"/>
      <c r="BZ756" s="94"/>
      <c r="CA756" s="94"/>
      <c r="CB756" s="94"/>
      <c r="CC756" s="94"/>
      <c r="CD756" s="94"/>
      <c r="CE756" s="94"/>
      <c r="CF756" s="94"/>
      <c r="CG756" s="94"/>
      <c r="CH756" s="94"/>
      <c r="CI756" s="94"/>
      <c r="CJ756" s="94" t="str">
        <f t="shared" si="1"/>
        <v xml:space="preserve">     0.00% </v>
      </c>
      <c r="CK756" s="94"/>
      <c r="CL756" s="94"/>
      <c r="CM756" s="94"/>
      <c r="CN756" s="94"/>
      <c r="CO756" s="94"/>
      <c r="CP756" s="94"/>
      <c r="CQ756" s="94"/>
      <c r="CR756" s="94"/>
      <c r="CS756" s="94"/>
      <c r="CT756" s="94"/>
      <c r="CU756" s="94" t="str">
        <f>"      " &amp; "Installation Lifter cable" &amp; " " &amp; IF(Q756="","",TEXT(Q756,"M/D-")) &amp; IF(R756="","",TEXT(R756,"M/D")) &amp; " "</f>
        <v xml:space="preserve">      Installation Lifter cable  </v>
      </c>
      <c r="CV756" s="94"/>
      <c r="CW756" s="94"/>
      <c r="CX756" s="94"/>
      <c r="CY756" s="94"/>
      <c r="CZ756" s="94"/>
      <c r="DA756" s="94"/>
      <c r="DB756" s="94"/>
      <c r="DC756" s="94"/>
      <c r="DD756" s="94"/>
      <c r="DE756" s="94"/>
      <c r="DF756" s="94"/>
      <c r="DG756" s="94"/>
      <c r="DH756" s="94"/>
      <c r="DI756" s="94"/>
      <c r="DJ756" s="94"/>
      <c r="DK756" s="94"/>
      <c r="DL756" s="94"/>
      <c r="DM756" s="94"/>
      <c r="DN756" s="94"/>
      <c r="DO756" s="94"/>
      <c r="DP756" s="94"/>
      <c r="DQ756" s="94"/>
    </row>
    <row r="757" spans="1:121" ht="15" customHeight="1" outlineLevel="3" x14ac:dyDescent="0.3">
      <c r="A757" s="100"/>
      <c r="B757" s="100"/>
      <c r="C757" s="99">
        <v>4</v>
      </c>
      <c r="D757" s="98" t="s">
        <v>464</v>
      </c>
      <c r="H757" s="77" t="s">
        <v>309</v>
      </c>
      <c r="O757" s="77"/>
      <c r="P757" s="105"/>
      <c r="Q757" s="97"/>
      <c r="R757" s="97"/>
      <c r="AB757" s="72">
        <v>1</v>
      </c>
      <c r="AE757" s="96"/>
      <c r="AF757" s="102"/>
      <c r="AG757" s="102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  <c r="BC757" s="102"/>
      <c r="BD757" s="102"/>
      <c r="BE757" s="102"/>
      <c r="BF757" s="102"/>
      <c r="BG757" s="102"/>
      <c r="BH757" s="102"/>
      <c r="BI757" s="102"/>
      <c r="BJ757" s="102"/>
      <c r="BK757" s="102"/>
      <c r="BL757" s="102"/>
      <c r="BM757" s="102"/>
      <c r="BN757" s="102"/>
      <c r="BO757" s="102"/>
      <c r="BP757" s="102"/>
      <c r="BQ757" s="102"/>
      <c r="BR757" s="102"/>
      <c r="BS757" s="102"/>
      <c r="BT757" s="102"/>
      <c r="BU757" s="102"/>
      <c r="BV757" s="102"/>
      <c r="BW757" s="102"/>
      <c r="BX757" s="102"/>
      <c r="BY757" s="94"/>
      <c r="BZ757" s="94"/>
      <c r="CA757" s="94"/>
      <c r="CB757" s="94"/>
      <c r="CC757" s="94"/>
      <c r="CD757" s="94"/>
      <c r="CE757" s="94"/>
      <c r="CF757" s="94"/>
      <c r="CG757" s="94"/>
      <c r="CH757" s="94"/>
      <c r="CI757" s="94"/>
      <c r="CJ757" s="94" t="str">
        <f t="shared" si="1"/>
        <v xml:space="preserve">     0.00% </v>
      </c>
      <c r="CK757" s="94"/>
      <c r="CL757" s="94"/>
      <c r="CM757" s="94"/>
      <c r="CN757" s="94"/>
      <c r="CO757" s="94"/>
      <c r="CP757" s="94"/>
      <c r="CQ757" s="94"/>
      <c r="CR757" s="94"/>
      <c r="CS757" s="94"/>
      <c r="CT757" s="94"/>
      <c r="CU757" s="94" t="str">
        <f>"      " &amp; "Installation Power moller cable" &amp; " " &amp; IF(Q757="","",TEXT(Q757,"M/D-")) &amp; IF(R757="","",TEXT(R757,"M/D")) &amp; " "</f>
        <v xml:space="preserve">      Installation Power moller cable  </v>
      </c>
      <c r="CV757" s="94"/>
      <c r="CW757" s="94"/>
      <c r="CX757" s="94"/>
      <c r="CY757" s="94"/>
      <c r="CZ757" s="94"/>
      <c r="DA757" s="94"/>
      <c r="DB757" s="94"/>
      <c r="DC757" s="94"/>
      <c r="DD757" s="94"/>
      <c r="DE757" s="94"/>
      <c r="DF757" s="94"/>
      <c r="DG757" s="94"/>
      <c r="DH757" s="94"/>
      <c r="DI757" s="94"/>
      <c r="DJ757" s="94"/>
      <c r="DK757" s="94"/>
      <c r="DL757" s="94"/>
      <c r="DM757" s="94"/>
      <c r="DN757" s="94"/>
      <c r="DO757" s="94"/>
      <c r="DP757" s="94"/>
      <c r="DQ757" s="94"/>
    </row>
    <row r="758" spans="1:121" ht="15" customHeight="1" outlineLevel="3" x14ac:dyDescent="0.3">
      <c r="A758" s="100"/>
      <c r="B758" s="100"/>
      <c r="C758" s="99">
        <v>4</v>
      </c>
      <c r="D758" s="98" t="s">
        <v>463</v>
      </c>
      <c r="H758" s="77" t="s">
        <v>307</v>
      </c>
      <c r="O758" s="77"/>
      <c r="P758" s="105"/>
      <c r="Q758" s="97"/>
      <c r="R758" s="97"/>
      <c r="AB758" s="72">
        <v>1</v>
      </c>
      <c r="AE758" s="96"/>
      <c r="AF758" s="102"/>
      <c r="AG758" s="102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  <c r="BC758" s="102"/>
      <c r="BD758" s="102"/>
      <c r="BE758" s="102"/>
      <c r="BF758" s="102"/>
      <c r="BG758" s="102"/>
      <c r="BH758" s="102"/>
      <c r="BI758" s="102"/>
      <c r="BJ758" s="102"/>
      <c r="BK758" s="102"/>
      <c r="BL758" s="102"/>
      <c r="BM758" s="102"/>
      <c r="BN758" s="102"/>
      <c r="BO758" s="102"/>
      <c r="BP758" s="102"/>
      <c r="BQ758" s="102"/>
      <c r="BR758" s="102"/>
      <c r="BS758" s="102"/>
      <c r="BT758" s="102"/>
      <c r="BU758" s="102"/>
      <c r="BV758" s="102"/>
      <c r="BW758" s="102"/>
      <c r="BX758" s="102"/>
      <c r="BY758" s="94"/>
      <c r="BZ758" s="94"/>
      <c r="CA758" s="94"/>
      <c r="CB758" s="94"/>
      <c r="CC758" s="94"/>
      <c r="CD758" s="94"/>
      <c r="CE758" s="94"/>
      <c r="CF758" s="94"/>
      <c r="CG758" s="94"/>
      <c r="CH758" s="94"/>
      <c r="CI758" s="94"/>
      <c r="CJ758" s="94" t="str">
        <f t="shared" si="1"/>
        <v xml:space="preserve">     0.00% </v>
      </c>
      <c r="CK758" s="94"/>
      <c r="CL758" s="94"/>
      <c r="CM758" s="94"/>
      <c r="CN758" s="94"/>
      <c r="CO758" s="94"/>
      <c r="CP758" s="94"/>
      <c r="CQ758" s="94"/>
      <c r="CR758" s="94"/>
      <c r="CS758" s="94"/>
      <c r="CT758" s="94"/>
      <c r="CU758" s="94" t="str">
        <f>"      " &amp; "Installation Lifter Light Curtain cable" &amp; " " &amp; IF(Q758="","",TEXT(Q758,"M/D-")) &amp; IF(R758="","",TEXT(R758,"M/D")) &amp; " "</f>
        <v xml:space="preserve">      Installation Lifter Light Curtain cable  </v>
      </c>
      <c r="CV758" s="94"/>
      <c r="CW758" s="94"/>
      <c r="CX758" s="94"/>
      <c r="CY758" s="94"/>
      <c r="CZ758" s="94"/>
      <c r="DA758" s="94"/>
      <c r="DB758" s="94"/>
      <c r="DC758" s="94"/>
      <c r="DD758" s="94"/>
      <c r="DE758" s="94"/>
      <c r="DF758" s="94"/>
      <c r="DG758" s="94"/>
      <c r="DH758" s="94"/>
      <c r="DI758" s="94"/>
      <c r="DJ758" s="94"/>
      <c r="DK758" s="94"/>
      <c r="DL758" s="94"/>
      <c r="DM758" s="94"/>
      <c r="DN758" s="94"/>
      <c r="DO758" s="94"/>
      <c r="DP758" s="94"/>
      <c r="DQ758" s="94"/>
    </row>
    <row r="759" spans="1:121" ht="15" customHeight="1" outlineLevel="3" x14ac:dyDescent="0.3">
      <c r="A759" s="100"/>
      <c r="B759" s="100"/>
      <c r="C759" s="99">
        <v>4</v>
      </c>
      <c r="D759" s="98" t="s">
        <v>462</v>
      </c>
      <c r="H759" s="77" t="s">
        <v>461</v>
      </c>
      <c r="O759" s="77"/>
      <c r="P759" s="105"/>
      <c r="Q759" s="97"/>
      <c r="R759" s="97"/>
      <c r="AB759" s="72">
        <v>1</v>
      </c>
      <c r="AE759" s="96"/>
      <c r="AF759" s="102"/>
      <c r="AG759" s="102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  <c r="BC759" s="102"/>
      <c r="BD759" s="102"/>
      <c r="BE759" s="102"/>
      <c r="BF759" s="102"/>
      <c r="BG759" s="102"/>
      <c r="BH759" s="102"/>
      <c r="BI759" s="102"/>
      <c r="BJ759" s="102"/>
      <c r="BK759" s="102"/>
      <c r="BL759" s="102"/>
      <c r="BM759" s="102"/>
      <c r="BN759" s="102"/>
      <c r="BO759" s="102"/>
      <c r="BP759" s="102"/>
      <c r="BQ759" s="102"/>
      <c r="BR759" s="102"/>
      <c r="BS759" s="102"/>
      <c r="BT759" s="102"/>
      <c r="BU759" s="102"/>
      <c r="BV759" s="102"/>
      <c r="BW759" s="102"/>
      <c r="BX759" s="102"/>
      <c r="BY759" s="94"/>
      <c r="BZ759" s="94"/>
      <c r="CA759" s="94"/>
      <c r="CB759" s="94"/>
      <c r="CC759" s="94"/>
      <c r="CD759" s="94"/>
      <c r="CE759" s="94"/>
      <c r="CF759" s="94"/>
      <c r="CG759" s="94"/>
      <c r="CH759" s="94"/>
      <c r="CI759" s="94"/>
      <c r="CJ759" s="94" t="str">
        <f t="shared" si="1"/>
        <v xml:space="preserve">     0.00% </v>
      </c>
      <c r="CK759" s="94"/>
      <c r="CL759" s="94"/>
      <c r="CM759" s="94"/>
      <c r="CN759" s="94"/>
      <c r="CO759" s="94"/>
      <c r="CP759" s="94"/>
      <c r="CQ759" s="94"/>
      <c r="CR759" s="94"/>
      <c r="CS759" s="94"/>
      <c r="CT759" s="94"/>
      <c r="CU759" s="94" t="str">
        <f>"      " &amp; "Turn Table 24VDC Cable installation" &amp; " " &amp; IF(Q759="","",TEXT(Q759,"M/D-")) &amp; IF(R759="","",TEXT(R759,"M/D")) &amp; " "</f>
        <v xml:space="preserve">      Turn Table 24VDC Cable installation  </v>
      </c>
      <c r="CV759" s="94"/>
      <c r="CW759" s="94"/>
      <c r="CX759" s="94"/>
      <c r="CY759" s="94"/>
      <c r="CZ759" s="94"/>
      <c r="DA759" s="94"/>
      <c r="DB759" s="94"/>
      <c r="DC759" s="94"/>
      <c r="DD759" s="94"/>
      <c r="DE759" s="94"/>
      <c r="DF759" s="94"/>
      <c r="DG759" s="94"/>
      <c r="DH759" s="94"/>
      <c r="DI759" s="94"/>
      <c r="DJ759" s="94"/>
      <c r="DK759" s="94"/>
      <c r="DL759" s="94"/>
      <c r="DM759" s="94"/>
      <c r="DN759" s="94"/>
      <c r="DO759" s="94"/>
      <c r="DP759" s="94"/>
      <c r="DQ759" s="94"/>
    </row>
    <row r="760" spans="1:121" ht="15" customHeight="1" outlineLevel="3" x14ac:dyDescent="0.3">
      <c r="A760" s="100"/>
      <c r="B760" s="100"/>
      <c r="C760" s="99">
        <v>4</v>
      </c>
      <c r="D760" s="98" t="s">
        <v>460</v>
      </c>
      <c r="H760" s="77" t="s">
        <v>380</v>
      </c>
      <c r="O760" s="77"/>
      <c r="P760" s="105"/>
      <c r="Q760" s="97"/>
      <c r="R760" s="97"/>
      <c r="AB760" s="72">
        <v>1</v>
      </c>
      <c r="AE760" s="96"/>
      <c r="AF760" s="102"/>
      <c r="AG760" s="102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  <c r="AV760" s="102"/>
      <c r="AW760" s="102"/>
      <c r="AX760" s="102"/>
      <c r="AY760" s="102"/>
      <c r="AZ760" s="102"/>
      <c r="BA760" s="102"/>
      <c r="BB760" s="102"/>
      <c r="BC760" s="102"/>
      <c r="BD760" s="102"/>
      <c r="BE760" s="102"/>
      <c r="BF760" s="102"/>
      <c r="BG760" s="102"/>
      <c r="BH760" s="102"/>
      <c r="BI760" s="102"/>
      <c r="BJ760" s="102"/>
      <c r="BK760" s="102"/>
      <c r="BL760" s="102"/>
      <c r="BM760" s="102"/>
      <c r="BN760" s="102"/>
      <c r="BO760" s="102"/>
      <c r="BP760" s="102"/>
      <c r="BQ760" s="102"/>
      <c r="BR760" s="102"/>
      <c r="BS760" s="102"/>
      <c r="BT760" s="102"/>
      <c r="BU760" s="102"/>
      <c r="BV760" s="102"/>
      <c r="BW760" s="102"/>
      <c r="BX760" s="102"/>
      <c r="BY760" s="94"/>
      <c r="BZ760" s="94"/>
      <c r="CA760" s="94"/>
      <c r="CB760" s="94"/>
      <c r="CC760" s="94"/>
      <c r="CD760" s="94"/>
      <c r="CE760" s="94"/>
      <c r="CF760" s="94"/>
      <c r="CG760" s="94"/>
      <c r="CH760" s="94"/>
      <c r="CI760" s="94"/>
      <c r="CJ760" s="94" t="str">
        <f t="shared" si="1"/>
        <v xml:space="preserve">     0.00% </v>
      </c>
      <c r="CK760" s="94"/>
      <c r="CL760" s="94"/>
      <c r="CM760" s="94"/>
      <c r="CN760" s="94"/>
      <c r="CO760" s="94"/>
      <c r="CP760" s="94"/>
      <c r="CQ760" s="94"/>
      <c r="CR760" s="94"/>
      <c r="CS760" s="94"/>
      <c r="CT760" s="94"/>
      <c r="CU760" s="94" t="str">
        <f>"      " &amp; "Cable installation work related to fire suppression tank" &amp; " " &amp; IF(Q760="","",TEXT(Q760,"M/D-")) &amp; IF(R760="","",TEXT(R760,"M/D")) &amp; " "</f>
        <v xml:space="preserve">      Cable installation work related to fire suppression tank  </v>
      </c>
      <c r="CV760" s="94"/>
      <c r="CW760" s="94"/>
      <c r="CX760" s="94"/>
      <c r="CY760" s="94"/>
      <c r="CZ760" s="94"/>
      <c r="DA760" s="94"/>
      <c r="DB760" s="94"/>
      <c r="DC760" s="94"/>
      <c r="DD760" s="94"/>
      <c r="DE760" s="94"/>
      <c r="DF760" s="94"/>
      <c r="DG760" s="94"/>
      <c r="DH760" s="94"/>
      <c r="DI760" s="94"/>
      <c r="DJ760" s="94"/>
      <c r="DK760" s="94"/>
      <c r="DL760" s="94"/>
      <c r="DM760" s="94"/>
      <c r="DN760" s="94"/>
      <c r="DO760" s="94"/>
      <c r="DP760" s="94"/>
      <c r="DQ760" s="94"/>
    </row>
    <row r="761" spans="1:121" ht="15" customHeight="1" outlineLevel="3" x14ac:dyDescent="0.3">
      <c r="A761" s="100"/>
      <c r="B761" s="100"/>
      <c r="C761" s="99">
        <v>4</v>
      </c>
      <c r="D761" s="98" t="s">
        <v>459</v>
      </c>
      <c r="H761" s="77" t="s">
        <v>378</v>
      </c>
      <c r="O761" s="77"/>
      <c r="P761" s="105"/>
      <c r="Q761" s="97"/>
      <c r="R761" s="97"/>
      <c r="AB761" s="72">
        <v>1</v>
      </c>
      <c r="AE761" s="96"/>
      <c r="AF761" s="102"/>
      <c r="AG761" s="102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  <c r="AV761" s="102"/>
      <c r="AW761" s="102"/>
      <c r="AX761" s="102"/>
      <c r="AY761" s="102"/>
      <c r="AZ761" s="102"/>
      <c r="BA761" s="102"/>
      <c r="BB761" s="102"/>
      <c r="BC761" s="102"/>
      <c r="BD761" s="102"/>
      <c r="BE761" s="102"/>
      <c r="BF761" s="102"/>
      <c r="BG761" s="102"/>
      <c r="BH761" s="102"/>
      <c r="BI761" s="102"/>
      <c r="BJ761" s="102"/>
      <c r="BK761" s="102"/>
      <c r="BL761" s="102"/>
      <c r="BM761" s="102"/>
      <c r="BN761" s="102"/>
      <c r="BO761" s="102"/>
      <c r="BP761" s="102"/>
      <c r="BQ761" s="102"/>
      <c r="BR761" s="102"/>
      <c r="BS761" s="102"/>
      <c r="BT761" s="102"/>
      <c r="BU761" s="102"/>
      <c r="BV761" s="102"/>
      <c r="BW761" s="102"/>
      <c r="BX761" s="102"/>
      <c r="BY761" s="94"/>
      <c r="BZ761" s="94"/>
      <c r="CA761" s="94"/>
      <c r="CB761" s="94"/>
      <c r="CC761" s="94"/>
      <c r="CD761" s="94"/>
      <c r="CE761" s="94"/>
      <c r="CF761" s="94"/>
      <c r="CG761" s="94"/>
      <c r="CH761" s="94"/>
      <c r="CI761" s="94"/>
      <c r="CJ761" s="94" t="str">
        <f t="shared" si="1"/>
        <v xml:space="preserve">     0.00% </v>
      </c>
      <c r="CK761" s="94"/>
      <c r="CL761" s="94"/>
      <c r="CM761" s="94"/>
      <c r="CN761" s="94"/>
      <c r="CO761" s="94"/>
      <c r="CP761" s="94"/>
      <c r="CQ761" s="94"/>
      <c r="CR761" s="94"/>
      <c r="CS761" s="94"/>
      <c r="CT761" s="94"/>
      <c r="CU761" s="94" t="str">
        <f>"      " &amp; "Door S/W SOP LCP cable Installation" &amp; " " &amp; IF(Q761="","",TEXT(Q761,"M/D-")) &amp; IF(R761="","",TEXT(R761,"M/D")) &amp; " "</f>
        <v xml:space="preserve">      Door S/W SOP LCP cable Installation  </v>
      </c>
      <c r="CV761" s="94"/>
      <c r="CW761" s="94"/>
      <c r="CX761" s="94"/>
      <c r="CY761" s="94"/>
      <c r="CZ761" s="94"/>
      <c r="DA761" s="94"/>
      <c r="DB761" s="94"/>
      <c r="DC761" s="94"/>
      <c r="DD761" s="94"/>
      <c r="DE761" s="94"/>
      <c r="DF761" s="94"/>
      <c r="DG761" s="94"/>
      <c r="DH761" s="94"/>
      <c r="DI761" s="94"/>
      <c r="DJ761" s="94"/>
      <c r="DK761" s="94"/>
      <c r="DL761" s="94"/>
      <c r="DM761" s="94"/>
      <c r="DN761" s="94"/>
      <c r="DO761" s="94"/>
      <c r="DP761" s="94"/>
      <c r="DQ761" s="94"/>
    </row>
    <row r="762" spans="1:121" ht="15" customHeight="1" outlineLevel="3" x14ac:dyDescent="0.3">
      <c r="A762" s="100"/>
      <c r="B762" s="100"/>
      <c r="C762" s="99">
        <v>4</v>
      </c>
      <c r="D762" s="98" t="s">
        <v>458</v>
      </c>
      <c r="H762" s="77" t="s">
        <v>303</v>
      </c>
      <c r="O762" s="77"/>
      <c r="P762" s="105"/>
      <c r="Q762" s="97"/>
      <c r="R762" s="97"/>
      <c r="AB762" s="72">
        <v>1</v>
      </c>
      <c r="AE762" s="96"/>
      <c r="AF762" s="102"/>
      <c r="AG762" s="102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  <c r="AV762" s="102"/>
      <c r="AW762" s="102"/>
      <c r="AX762" s="102"/>
      <c r="AY762" s="102"/>
      <c r="AZ762" s="102"/>
      <c r="BA762" s="102"/>
      <c r="BB762" s="102"/>
      <c r="BC762" s="102"/>
      <c r="BD762" s="102"/>
      <c r="BE762" s="102"/>
      <c r="BF762" s="102"/>
      <c r="BG762" s="102"/>
      <c r="BH762" s="102"/>
      <c r="BI762" s="102"/>
      <c r="BJ762" s="102"/>
      <c r="BK762" s="102"/>
      <c r="BL762" s="102"/>
      <c r="BM762" s="102"/>
      <c r="BN762" s="102"/>
      <c r="BO762" s="102"/>
      <c r="BP762" s="102"/>
      <c r="BQ762" s="102"/>
      <c r="BR762" s="102"/>
      <c r="BS762" s="102"/>
      <c r="BT762" s="102"/>
      <c r="BU762" s="102"/>
      <c r="BV762" s="102"/>
      <c r="BW762" s="102"/>
      <c r="BX762" s="102"/>
      <c r="BY762" s="94"/>
      <c r="BZ762" s="94"/>
      <c r="CA762" s="94"/>
      <c r="CB762" s="94"/>
      <c r="CC762" s="94"/>
      <c r="CD762" s="94"/>
      <c r="CE762" s="94"/>
      <c r="CF762" s="94"/>
      <c r="CG762" s="94"/>
      <c r="CH762" s="94"/>
      <c r="CI762" s="94"/>
      <c r="CJ762" s="94" t="str">
        <f t="shared" si="1"/>
        <v xml:space="preserve">     0.00% </v>
      </c>
      <c r="CK762" s="94"/>
      <c r="CL762" s="94"/>
      <c r="CM762" s="94"/>
      <c r="CN762" s="94"/>
      <c r="CO762" s="94"/>
      <c r="CP762" s="94"/>
      <c r="CQ762" s="94"/>
      <c r="CR762" s="94"/>
      <c r="CS762" s="94"/>
      <c r="CT762" s="94"/>
      <c r="CU762" s="94" t="str">
        <f>"      " &amp; "Installation Panel Inside Cable " &amp; " " &amp; IF(Q762="","",TEXT(Q762,"M/D-")) &amp; IF(R762="","",TEXT(R762,"M/D")) &amp; " "</f>
        <v xml:space="preserve">      Installation Panel Inside Cable   </v>
      </c>
      <c r="CV762" s="94"/>
      <c r="CW762" s="94"/>
      <c r="CX762" s="94"/>
      <c r="CY762" s="94"/>
      <c r="CZ762" s="94"/>
      <c r="DA762" s="94"/>
      <c r="DB762" s="94"/>
      <c r="DC762" s="94"/>
      <c r="DD762" s="94"/>
      <c r="DE762" s="94"/>
      <c r="DF762" s="94"/>
      <c r="DG762" s="94"/>
      <c r="DH762" s="94"/>
      <c r="DI762" s="94"/>
      <c r="DJ762" s="94"/>
      <c r="DK762" s="94"/>
      <c r="DL762" s="94"/>
      <c r="DM762" s="94"/>
      <c r="DN762" s="94"/>
      <c r="DO762" s="94"/>
      <c r="DP762" s="94"/>
      <c r="DQ762" s="94"/>
    </row>
    <row r="763" spans="1:121" ht="15" customHeight="1" outlineLevel="3" x14ac:dyDescent="0.3">
      <c r="A763" s="100"/>
      <c r="B763" s="100"/>
      <c r="C763" s="99">
        <v>4</v>
      </c>
      <c r="D763" s="98" t="s">
        <v>457</v>
      </c>
      <c r="H763" s="77" t="s">
        <v>301</v>
      </c>
      <c r="O763" s="77"/>
      <c r="P763" s="105"/>
      <c r="Q763" s="97"/>
      <c r="R763" s="97"/>
      <c r="AB763" s="72">
        <v>1</v>
      </c>
      <c r="AE763" s="96"/>
      <c r="AF763" s="102"/>
      <c r="AG763" s="102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  <c r="AV763" s="102"/>
      <c r="AW763" s="102"/>
      <c r="AX763" s="102"/>
      <c r="AY763" s="102"/>
      <c r="AZ763" s="102"/>
      <c r="BA763" s="102"/>
      <c r="BB763" s="102"/>
      <c r="BC763" s="102"/>
      <c r="BD763" s="102"/>
      <c r="BE763" s="102"/>
      <c r="BF763" s="102"/>
      <c r="BG763" s="102"/>
      <c r="BH763" s="102"/>
      <c r="BI763" s="102"/>
      <c r="BJ763" s="102"/>
      <c r="BK763" s="102"/>
      <c r="BL763" s="102"/>
      <c r="BM763" s="102"/>
      <c r="BN763" s="102"/>
      <c r="BO763" s="102"/>
      <c r="BP763" s="102"/>
      <c r="BQ763" s="102"/>
      <c r="BR763" s="102"/>
      <c r="BS763" s="102"/>
      <c r="BT763" s="102"/>
      <c r="BU763" s="102"/>
      <c r="BV763" s="102"/>
      <c r="BW763" s="102"/>
      <c r="BX763" s="102"/>
      <c r="BY763" s="94"/>
      <c r="BZ763" s="94"/>
      <c r="CA763" s="94"/>
      <c r="CB763" s="94"/>
      <c r="CC763" s="94"/>
      <c r="CD763" s="94"/>
      <c r="CE763" s="94"/>
      <c r="CF763" s="94"/>
      <c r="CG763" s="94"/>
      <c r="CH763" s="94"/>
      <c r="CI763" s="94"/>
      <c r="CJ763" s="94" t="str">
        <f t="shared" si="1"/>
        <v xml:space="preserve">     0.00% </v>
      </c>
      <c r="CK763" s="94"/>
      <c r="CL763" s="94"/>
      <c r="CM763" s="94"/>
      <c r="CN763" s="94"/>
      <c r="CO763" s="94"/>
      <c r="CP763" s="94"/>
      <c r="CQ763" s="94"/>
      <c r="CR763" s="94"/>
      <c r="CS763" s="94"/>
      <c r="CT763" s="94"/>
      <c r="CU763" s="94" t="str">
        <f>"      " &amp; "Installation LED LAMP" &amp; " " &amp; IF(Q763="","",TEXT(Q763,"M/D-")) &amp; IF(R763="","",TEXT(R763,"M/D")) &amp; " "</f>
        <v xml:space="preserve">      Installation LED LAMP  </v>
      </c>
      <c r="CV763" s="94"/>
      <c r="CW763" s="94"/>
      <c r="CX763" s="94"/>
      <c r="CY763" s="94"/>
      <c r="CZ763" s="94"/>
      <c r="DA763" s="94"/>
      <c r="DB763" s="94"/>
      <c r="DC763" s="94"/>
      <c r="DD763" s="94"/>
      <c r="DE763" s="94"/>
      <c r="DF763" s="94"/>
      <c r="DG763" s="94"/>
      <c r="DH763" s="94"/>
      <c r="DI763" s="94"/>
      <c r="DJ763" s="94"/>
      <c r="DK763" s="94"/>
      <c r="DL763" s="94"/>
      <c r="DM763" s="94"/>
      <c r="DN763" s="94"/>
      <c r="DO763" s="94"/>
      <c r="DP763" s="94"/>
      <c r="DQ763" s="94"/>
    </row>
    <row r="764" spans="1:121" ht="15" customHeight="1" outlineLevel="3" x14ac:dyDescent="0.3">
      <c r="A764" s="100"/>
      <c r="B764" s="100"/>
      <c r="C764" s="99">
        <v>4</v>
      </c>
      <c r="D764" s="98" t="s">
        <v>456</v>
      </c>
      <c r="H764" s="77" t="s">
        <v>374</v>
      </c>
      <c r="O764" s="77"/>
      <c r="P764" s="105"/>
      <c r="Q764" s="97"/>
      <c r="R764" s="97"/>
      <c r="AB764" s="72">
        <v>1</v>
      </c>
      <c r="AE764" s="96"/>
      <c r="AF764" s="102"/>
      <c r="AG764" s="102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  <c r="BC764" s="102"/>
      <c r="BD764" s="102"/>
      <c r="BE764" s="102"/>
      <c r="BF764" s="102"/>
      <c r="BG764" s="102"/>
      <c r="BH764" s="102"/>
      <c r="BI764" s="102"/>
      <c r="BJ764" s="102"/>
      <c r="BK764" s="102"/>
      <c r="BL764" s="102"/>
      <c r="BM764" s="102"/>
      <c r="BN764" s="102"/>
      <c r="BO764" s="102"/>
      <c r="BP764" s="102"/>
      <c r="BQ764" s="102"/>
      <c r="BR764" s="102"/>
      <c r="BS764" s="102"/>
      <c r="BT764" s="102"/>
      <c r="BU764" s="102"/>
      <c r="BV764" s="102"/>
      <c r="BW764" s="102"/>
      <c r="BX764" s="102"/>
      <c r="BY764" s="94"/>
      <c r="BZ764" s="94"/>
      <c r="CA764" s="94"/>
      <c r="CB764" s="94"/>
      <c r="CC764" s="94"/>
      <c r="CD764" s="94"/>
      <c r="CE764" s="94"/>
      <c r="CF764" s="94"/>
      <c r="CG764" s="94"/>
      <c r="CH764" s="94"/>
      <c r="CI764" s="94"/>
      <c r="CJ764" s="94" t="str">
        <f t="shared" si="1"/>
        <v xml:space="preserve">     0.00% </v>
      </c>
      <c r="CK764" s="94"/>
      <c r="CL764" s="94"/>
      <c r="CM764" s="94"/>
      <c r="CN764" s="94"/>
      <c r="CO764" s="94"/>
      <c r="CP764" s="94"/>
      <c r="CQ764" s="94"/>
      <c r="CR764" s="94"/>
      <c r="CS764" s="94"/>
      <c r="CT764" s="94"/>
      <c r="CU764" s="94" t="str">
        <f>"      " &amp; "Installation Collector Arm" &amp; " " &amp; IF(Q764="","",TEXT(Q764,"M/D-")) &amp; IF(R764="","",TEXT(R764,"M/D")) &amp; " "</f>
        <v xml:space="preserve">      Installation Collector Arm  </v>
      </c>
      <c r="CV764" s="94"/>
      <c r="CW764" s="94"/>
      <c r="CX764" s="94"/>
      <c r="CY764" s="94"/>
      <c r="CZ764" s="94"/>
      <c r="DA764" s="94"/>
      <c r="DB764" s="94"/>
      <c r="DC764" s="94"/>
      <c r="DD764" s="94"/>
      <c r="DE764" s="94"/>
      <c r="DF764" s="94"/>
      <c r="DG764" s="94"/>
      <c r="DH764" s="94"/>
      <c r="DI764" s="94"/>
      <c r="DJ764" s="94"/>
      <c r="DK764" s="94"/>
      <c r="DL764" s="94"/>
      <c r="DM764" s="94"/>
      <c r="DN764" s="94"/>
      <c r="DO764" s="94"/>
      <c r="DP764" s="94"/>
      <c r="DQ764" s="94"/>
    </row>
    <row r="765" spans="1:121" ht="15" customHeight="1" outlineLevel="3" x14ac:dyDescent="0.3">
      <c r="A765" s="100"/>
      <c r="B765" s="100"/>
      <c r="C765" s="99">
        <v>4</v>
      </c>
      <c r="D765" s="98" t="s">
        <v>455</v>
      </c>
      <c r="H765" s="77" t="s">
        <v>372</v>
      </c>
      <c r="O765" s="77"/>
      <c r="P765" s="105"/>
      <c r="Q765" s="97"/>
      <c r="R765" s="97"/>
      <c r="AB765" s="72">
        <v>1</v>
      </c>
      <c r="AE765" s="96"/>
      <c r="AF765" s="102"/>
      <c r="AG765" s="102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  <c r="BC765" s="102"/>
      <c r="BD765" s="102"/>
      <c r="BE765" s="102"/>
      <c r="BF765" s="102"/>
      <c r="BG765" s="102"/>
      <c r="BH765" s="102"/>
      <c r="BI765" s="102"/>
      <c r="BJ765" s="102"/>
      <c r="BK765" s="102"/>
      <c r="BL765" s="102"/>
      <c r="BM765" s="102"/>
      <c r="BN765" s="102"/>
      <c r="BO765" s="102"/>
      <c r="BP765" s="102"/>
      <c r="BQ765" s="102"/>
      <c r="BR765" s="102"/>
      <c r="BS765" s="102"/>
      <c r="BT765" s="102"/>
      <c r="BU765" s="102"/>
      <c r="BV765" s="102"/>
      <c r="BW765" s="102"/>
      <c r="BX765" s="102"/>
      <c r="BY765" s="94"/>
      <c r="BZ765" s="94"/>
      <c r="CA765" s="94"/>
      <c r="CB765" s="94"/>
      <c r="CC765" s="94"/>
      <c r="CD765" s="94"/>
      <c r="CE765" s="94"/>
      <c r="CF765" s="94"/>
      <c r="CG765" s="94"/>
      <c r="CH765" s="94"/>
      <c r="CI765" s="94"/>
      <c r="CJ765" s="94" t="str">
        <f t="shared" si="1"/>
        <v xml:space="preserve">     0.00% </v>
      </c>
      <c r="CK765" s="94"/>
      <c r="CL765" s="94"/>
      <c r="CM765" s="94"/>
      <c r="CN765" s="94"/>
      <c r="CO765" s="94"/>
      <c r="CP765" s="94"/>
      <c r="CQ765" s="94"/>
      <c r="CR765" s="94"/>
      <c r="CS765" s="94"/>
      <c r="CT765" s="94"/>
      <c r="CU765" s="94" t="str">
        <f>"      " &amp; "Attach Tape(Driving BCR)" &amp; " " &amp; IF(Q765="","",TEXT(Q765,"M/D-")) &amp; IF(R765="","",TEXT(R765,"M/D")) &amp; " "</f>
        <v xml:space="preserve">      Attach Tape(Driving BCR)  </v>
      </c>
      <c r="CV765" s="94"/>
      <c r="CW765" s="94"/>
      <c r="CX765" s="94"/>
      <c r="CY765" s="94"/>
      <c r="CZ765" s="94"/>
      <c r="DA765" s="94"/>
      <c r="DB765" s="94"/>
      <c r="DC765" s="94"/>
      <c r="DD765" s="94"/>
      <c r="DE765" s="94"/>
      <c r="DF765" s="94"/>
      <c r="DG765" s="94"/>
      <c r="DH765" s="94"/>
      <c r="DI765" s="94"/>
      <c r="DJ765" s="94"/>
      <c r="DK765" s="94"/>
      <c r="DL765" s="94"/>
      <c r="DM765" s="94"/>
      <c r="DN765" s="94"/>
      <c r="DO765" s="94"/>
      <c r="DP765" s="94"/>
      <c r="DQ765" s="94"/>
    </row>
    <row r="766" spans="1:121" ht="15" customHeight="1" outlineLevel="3" x14ac:dyDescent="0.3">
      <c r="A766" s="100"/>
      <c r="B766" s="100"/>
      <c r="C766" s="99">
        <v>4</v>
      </c>
      <c r="D766" s="98" t="s">
        <v>454</v>
      </c>
      <c r="H766" s="77" t="s">
        <v>370</v>
      </c>
      <c r="O766" s="77"/>
      <c r="P766" s="105"/>
      <c r="Q766" s="97"/>
      <c r="R766" s="97"/>
      <c r="AB766" s="72">
        <v>1</v>
      </c>
      <c r="AE766" s="96"/>
      <c r="AF766" s="102"/>
      <c r="AG766" s="102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  <c r="BC766" s="102"/>
      <c r="BD766" s="102"/>
      <c r="BE766" s="102"/>
      <c r="BF766" s="102"/>
      <c r="BG766" s="102"/>
      <c r="BH766" s="102"/>
      <c r="BI766" s="102"/>
      <c r="BJ766" s="102"/>
      <c r="BK766" s="102"/>
      <c r="BL766" s="102"/>
      <c r="BM766" s="102"/>
      <c r="BN766" s="102"/>
      <c r="BO766" s="102"/>
      <c r="BP766" s="102"/>
      <c r="BQ766" s="102"/>
      <c r="BR766" s="102"/>
      <c r="BS766" s="102"/>
      <c r="BT766" s="102"/>
      <c r="BU766" s="102"/>
      <c r="BV766" s="102"/>
      <c r="BW766" s="102"/>
      <c r="BX766" s="102"/>
      <c r="BY766" s="94"/>
      <c r="BZ766" s="94"/>
      <c r="CA766" s="94"/>
      <c r="CB766" s="94"/>
      <c r="CC766" s="94"/>
      <c r="CD766" s="94"/>
      <c r="CE766" s="94"/>
      <c r="CF766" s="94"/>
      <c r="CG766" s="94"/>
      <c r="CH766" s="94"/>
      <c r="CI766" s="94"/>
      <c r="CJ766" s="94" t="str">
        <f t="shared" si="1"/>
        <v xml:space="preserve">     0.00% </v>
      </c>
      <c r="CK766" s="94"/>
      <c r="CL766" s="94"/>
      <c r="CM766" s="94"/>
      <c r="CN766" s="94"/>
      <c r="CO766" s="94"/>
      <c r="CP766" s="94"/>
      <c r="CQ766" s="94"/>
      <c r="CR766" s="94"/>
      <c r="CS766" s="94"/>
      <c r="CT766" s="94"/>
      <c r="CU766" s="94" t="str">
        <f>"      " &amp; "Installation Motor Cable" &amp; " " &amp; IF(Q766="","",TEXT(Q766,"M/D-")) &amp; IF(R766="","",TEXT(R766,"M/D")) &amp; " "</f>
        <v xml:space="preserve">      Installation Motor Cable  </v>
      </c>
      <c r="CV766" s="94"/>
      <c r="CW766" s="94"/>
      <c r="CX766" s="94"/>
      <c r="CY766" s="94"/>
      <c r="CZ766" s="94"/>
      <c r="DA766" s="94"/>
      <c r="DB766" s="94"/>
      <c r="DC766" s="94"/>
      <c r="DD766" s="94"/>
      <c r="DE766" s="94"/>
      <c r="DF766" s="94"/>
      <c r="DG766" s="94"/>
      <c r="DH766" s="94"/>
      <c r="DI766" s="94"/>
      <c r="DJ766" s="94"/>
      <c r="DK766" s="94"/>
      <c r="DL766" s="94"/>
      <c r="DM766" s="94"/>
      <c r="DN766" s="94"/>
      <c r="DO766" s="94"/>
      <c r="DP766" s="94"/>
      <c r="DQ766" s="94"/>
    </row>
    <row r="767" spans="1:121" ht="15" customHeight="1" outlineLevel="2" x14ac:dyDescent="0.3">
      <c r="A767" s="100"/>
      <c r="B767" s="100" t="s">
        <v>298</v>
      </c>
      <c r="C767" s="99">
        <v>3</v>
      </c>
      <c r="D767" s="98" t="s">
        <v>453</v>
      </c>
      <c r="G767" s="77" t="s">
        <v>452</v>
      </c>
      <c r="O767" s="77" t="s">
        <v>451</v>
      </c>
      <c r="P767" s="105"/>
      <c r="Q767" s="104"/>
      <c r="R767" s="104"/>
      <c r="AE767" s="96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94"/>
      <c r="BZ767" s="94"/>
      <c r="CA767" s="94"/>
      <c r="CB767" s="94"/>
      <c r="CC767" s="94"/>
      <c r="CD767" s="94"/>
      <c r="CE767" s="94"/>
      <c r="CF767" s="94"/>
      <c r="CG767" s="94" t="str">
        <f>"   " &amp; TEXT(AF767,"#0.00%") &amp; " "</f>
        <v xml:space="preserve">   0.00% </v>
      </c>
      <c r="CH767" s="94"/>
      <c r="CI767" s="94"/>
      <c r="CJ767" s="94" t="str">
        <f>"   " &amp; "NT#1" &amp; " " &amp; IF(Q767="","",TEXT(Q767,"M/D-")) &amp; IF(R767="","",TEXT(R767,"M/D")) &amp; " "</f>
        <v xml:space="preserve">   NT#1  </v>
      </c>
      <c r="CK767" s="94"/>
      <c r="CL767" s="94"/>
      <c r="CM767" s="94"/>
      <c r="CN767" s="94"/>
      <c r="CO767" s="94"/>
      <c r="CP767" s="94"/>
      <c r="CQ767" s="94"/>
      <c r="CR767" s="94"/>
      <c r="CS767" s="94"/>
      <c r="CT767" s="94"/>
      <c r="CU767" s="94"/>
      <c r="CV767" s="94"/>
      <c r="CW767" s="94"/>
      <c r="CX767" s="94"/>
      <c r="CY767" s="94"/>
      <c r="CZ767" s="94"/>
      <c r="DA767" s="94"/>
      <c r="DB767" s="94"/>
      <c r="DC767" s="94"/>
      <c r="DD767" s="94"/>
      <c r="DE767" s="94"/>
      <c r="DF767" s="94"/>
      <c r="DG767" s="94"/>
      <c r="DH767" s="94"/>
      <c r="DI767" s="94"/>
      <c r="DJ767" s="94"/>
      <c r="DK767" s="94"/>
      <c r="DL767" s="94"/>
      <c r="DM767" s="94"/>
      <c r="DN767" s="94"/>
      <c r="DO767" s="94"/>
      <c r="DP767" s="94"/>
      <c r="DQ767" s="94"/>
    </row>
    <row r="768" spans="1:121" ht="15" customHeight="1" outlineLevel="3" x14ac:dyDescent="0.3">
      <c r="A768" s="100"/>
      <c r="B768" s="100"/>
      <c r="C768" s="99">
        <v>4</v>
      </c>
      <c r="D768" s="98" t="s">
        <v>450</v>
      </c>
      <c r="H768" s="77" t="s">
        <v>317</v>
      </c>
      <c r="O768" s="77"/>
      <c r="P768" s="105"/>
      <c r="Q768" s="97"/>
      <c r="R768" s="97"/>
      <c r="AB768" s="72">
        <v>1</v>
      </c>
      <c r="AE768" s="96"/>
      <c r="AF768" s="102"/>
      <c r="AG768" s="102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  <c r="BC768" s="102"/>
      <c r="BD768" s="102"/>
      <c r="BE768" s="102"/>
      <c r="BF768" s="102"/>
      <c r="BG768" s="102"/>
      <c r="BH768" s="102"/>
      <c r="BI768" s="102"/>
      <c r="BJ768" s="102"/>
      <c r="BK768" s="102"/>
      <c r="BL768" s="102"/>
      <c r="BM768" s="102"/>
      <c r="BN768" s="102"/>
      <c r="BO768" s="102"/>
      <c r="BP768" s="102"/>
      <c r="BQ768" s="102"/>
      <c r="BR768" s="102"/>
      <c r="BS768" s="102"/>
      <c r="BT768" s="102"/>
      <c r="BU768" s="102"/>
      <c r="BV768" s="102"/>
      <c r="BW768" s="102"/>
      <c r="BX768" s="102"/>
      <c r="BY768" s="94"/>
      <c r="BZ768" s="94"/>
      <c r="CA768" s="94"/>
      <c r="CB768" s="94"/>
      <c r="CC768" s="94"/>
      <c r="CD768" s="94"/>
      <c r="CE768" s="94"/>
      <c r="CF768" s="94"/>
      <c r="CG768" s="94" t="str">
        <f>"   " &amp; TEXT(AF768,"#0.00%") &amp; " " &amp; "Panel Alignment and fixation" &amp; " " &amp; IF(Q768="","",TEXT(Q768,"M/D-")) &amp; IF(R768="","",TEXT(R768,"M/D")) &amp; " "</f>
        <v xml:space="preserve">   0.00% Panel Alignment and fixation  </v>
      </c>
      <c r="CH768" s="94"/>
      <c r="CI768" s="94"/>
      <c r="CJ768" s="94"/>
      <c r="CK768" s="94"/>
      <c r="CL768" s="94"/>
      <c r="CM768" s="94"/>
      <c r="CN768" s="94"/>
      <c r="CO768" s="94"/>
      <c r="CP768" s="94"/>
      <c r="CQ768" s="94"/>
      <c r="CR768" s="94"/>
      <c r="CS768" s="94"/>
      <c r="CT768" s="94"/>
      <c r="CU768" s="94"/>
      <c r="CV768" s="94"/>
      <c r="CW768" s="94"/>
      <c r="CX768" s="94"/>
      <c r="CY768" s="94"/>
      <c r="CZ768" s="94"/>
      <c r="DA768" s="94"/>
      <c r="DB768" s="94"/>
      <c r="DC768" s="94"/>
      <c r="DD768" s="94"/>
      <c r="DE768" s="94"/>
      <c r="DF768" s="94"/>
      <c r="DG768" s="94"/>
      <c r="DH768" s="94"/>
      <c r="DI768" s="94"/>
      <c r="DJ768" s="94"/>
      <c r="DK768" s="94"/>
      <c r="DL768" s="94"/>
      <c r="DM768" s="94"/>
      <c r="DN768" s="94"/>
      <c r="DO768" s="94"/>
      <c r="DP768" s="94"/>
      <c r="DQ768" s="94"/>
    </row>
    <row r="769" spans="1:121" ht="15" customHeight="1" outlineLevel="3" x14ac:dyDescent="0.3">
      <c r="A769" s="100"/>
      <c r="B769" s="100"/>
      <c r="C769" s="99">
        <v>4</v>
      </c>
      <c r="D769" s="98" t="s">
        <v>449</v>
      </c>
      <c r="H769" s="77" t="s">
        <v>315</v>
      </c>
      <c r="O769" s="77"/>
      <c r="P769" s="105"/>
      <c r="Q769" s="97"/>
      <c r="R769" s="97"/>
      <c r="AB769" s="72">
        <v>1</v>
      </c>
      <c r="AE769" s="96"/>
      <c r="AF769" s="102"/>
      <c r="AG769" s="102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  <c r="BI769" s="102"/>
      <c r="BJ769" s="102"/>
      <c r="BK769" s="102"/>
      <c r="BL769" s="102"/>
      <c r="BM769" s="102"/>
      <c r="BN769" s="102"/>
      <c r="BO769" s="102"/>
      <c r="BP769" s="102"/>
      <c r="BQ769" s="102"/>
      <c r="BR769" s="102"/>
      <c r="BS769" s="102"/>
      <c r="BT769" s="102"/>
      <c r="BU769" s="102"/>
      <c r="BV769" s="102"/>
      <c r="BW769" s="102"/>
      <c r="BX769" s="102"/>
      <c r="BY769" s="94"/>
      <c r="BZ769" s="94"/>
      <c r="CA769" s="94"/>
      <c r="CB769" s="94"/>
      <c r="CC769" s="94"/>
      <c r="CD769" s="94"/>
      <c r="CE769" s="94"/>
      <c r="CF769" s="94"/>
      <c r="CG769" s="94" t="str">
        <f>"   " &amp; TEXT(AF769,"#0.00%") &amp; " " &amp; "Door S/W SOP LCP positioning in alignment" &amp; " " &amp; IF(Q769="","",TEXT(Q769,"M/D-")) &amp; IF(R769="","",TEXT(R769,"M/D")) &amp; " "</f>
        <v xml:space="preserve">   0.00% Door S/W SOP LCP positioning in alignment  </v>
      </c>
      <c r="CH769" s="94"/>
      <c r="CI769" s="94"/>
      <c r="CJ769" s="94"/>
      <c r="CK769" s="94"/>
      <c r="CL769" s="94"/>
      <c r="CM769" s="94"/>
      <c r="CN769" s="94"/>
      <c r="CO769" s="94"/>
      <c r="CP769" s="94"/>
      <c r="CQ769" s="94"/>
      <c r="CR769" s="94"/>
      <c r="CS769" s="94"/>
      <c r="CT769" s="94"/>
      <c r="CU769" s="94"/>
      <c r="CV769" s="94"/>
      <c r="CW769" s="94"/>
      <c r="CX769" s="94"/>
      <c r="CY769" s="94"/>
      <c r="CZ769" s="94"/>
      <c r="DA769" s="94"/>
      <c r="DB769" s="94"/>
      <c r="DC769" s="94"/>
      <c r="DD769" s="94"/>
      <c r="DE769" s="94"/>
      <c r="DF769" s="94"/>
      <c r="DG769" s="94"/>
      <c r="DH769" s="94"/>
      <c r="DI769" s="94"/>
      <c r="DJ769" s="94"/>
      <c r="DK769" s="94"/>
      <c r="DL769" s="94"/>
      <c r="DM769" s="94"/>
      <c r="DN769" s="94"/>
      <c r="DO769" s="94"/>
      <c r="DP769" s="94"/>
      <c r="DQ769" s="94"/>
    </row>
    <row r="770" spans="1:121" ht="15" customHeight="1" outlineLevel="3" x14ac:dyDescent="0.3">
      <c r="A770" s="100"/>
      <c r="B770" s="100"/>
      <c r="C770" s="99">
        <v>4</v>
      </c>
      <c r="D770" s="98" t="s">
        <v>448</v>
      </c>
      <c r="H770" s="77" t="s">
        <v>313</v>
      </c>
      <c r="O770" s="77"/>
      <c r="P770" s="105"/>
      <c r="Q770" s="97"/>
      <c r="R770" s="97"/>
      <c r="AB770" s="72">
        <v>1</v>
      </c>
      <c r="AE770" s="96"/>
      <c r="AF770" s="102"/>
      <c r="AG770" s="102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  <c r="BC770" s="102"/>
      <c r="BD770" s="102"/>
      <c r="BE770" s="102"/>
      <c r="BF770" s="102"/>
      <c r="BG770" s="102"/>
      <c r="BH770" s="102"/>
      <c r="BI770" s="102"/>
      <c r="BJ770" s="102"/>
      <c r="BK770" s="102"/>
      <c r="BL770" s="102"/>
      <c r="BM770" s="102"/>
      <c r="BN770" s="102"/>
      <c r="BO770" s="102"/>
      <c r="BP770" s="102"/>
      <c r="BQ770" s="102"/>
      <c r="BR770" s="102"/>
      <c r="BS770" s="102"/>
      <c r="BT770" s="102"/>
      <c r="BU770" s="102"/>
      <c r="BV770" s="102"/>
      <c r="BW770" s="102"/>
      <c r="BX770" s="102"/>
      <c r="BY770" s="94"/>
      <c r="BZ770" s="94"/>
      <c r="CA770" s="94"/>
      <c r="CB770" s="94"/>
      <c r="CC770" s="94"/>
      <c r="CD770" s="94"/>
      <c r="CE770" s="94"/>
      <c r="CF770" s="94"/>
      <c r="CG770" s="94" t="str">
        <f>"    " &amp; TEXT(AF770,"#0.00%") &amp; " " &amp; "Install Duct" &amp; " " &amp; IF(Q770="","",TEXT(Q770,"M/D-")) &amp; IF(R770="","",TEXT(R770,"M/D")) &amp; " "</f>
        <v xml:space="preserve">    0.00% Install Duct  </v>
      </c>
      <c r="CH770" s="94"/>
      <c r="CI770" s="94"/>
      <c r="CJ770" s="94"/>
      <c r="CK770" s="94"/>
      <c r="CL770" s="94"/>
      <c r="CM770" s="94"/>
      <c r="CN770" s="94"/>
      <c r="CO770" s="94"/>
      <c r="CP770" s="94"/>
      <c r="CQ770" s="94"/>
      <c r="CR770" s="94"/>
      <c r="CS770" s="94"/>
      <c r="CT770" s="94"/>
      <c r="CU770" s="94"/>
      <c r="CV770" s="94"/>
      <c r="CW770" s="94"/>
      <c r="CX770" s="94"/>
      <c r="CY770" s="94"/>
      <c r="CZ770" s="94"/>
      <c r="DA770" s="94"/>
      <c r="DB770" s="94"/>
      <c r="DC770" s="94"/>
      <c r="DD770" s="94"/>
      <c r="DE770" s="94"/>
      <c r="DF770" s="94"/>
      <c r="DG770" s="94"/>
      <c r="DH770" s="94"/>
      <c r="DI770" s="94"/>
      <c r="DJ770" s="94"/>
      <c r="DK770" s="94"/>
      <c r="DL770" s="94"/>
      <c r="DM770" s="94"/>
      <c r="DN770" s="94"/>
      <c r="DO770" s="94"/>
      <c r="DP770" s="94"/>
      <c r="DQ770" s="94"/>
    </row>
    <row r="771" spans="1:121" ht="15" customHeight="1" outlineLevel="3" x14ac:dyDescent="0.3">
      <c r="A771" s="100"/>
      <c r="B771" s="100"/>
      <c r="C771" s="99">
        <v>4</v>
      </c>
      <c r="D771" s="98" t="s">
        <v>447</v>
      </c>
      <c r="H771" s="77" t="s">
        <v>311</v>
      </c>
      <c r="O771" s="77"/>
      <c r="P771" s="105"/>
      <c r="Q771" s="97"/>
      <c r="R771" s="97"/>
      <c r="AB771" s="72">
        <v>1</v>
      </c>
      <c r="AE771" s="96"/>
      <c r="AF771" s="102"/>
      <c r="AG771" s="102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  <c r="BC771" s="102"/>
      <c r="BD771" s="102"/>
      <c r="BE771" s="102"/>
      <c r="BF771" s="102"/>
      <c r="BG771" s="102"/>
      <c r="BH771" s="102"/>
      <c r="BI771" s="102"/>
      <c r="BJ771" s="102"/>
      <c r="BK771" s="102"/>
      <c r="BL771" s="102"/>
      <c r="BM771" s="102"/>
      <c r="BN771" s="102"/>
      <c r="BO771" s="102"/>
      <c r="BP771" s="102"/>
      <c r="BQ771" s="102"/>
      <c r="BR771" s="102"/>
      <c r="BS771" s="102"/>
      <c r="BT771" s="102"/>
      <c r="BU771" s="102"/>
      <c r="BV771" s="102"/>
      <c r="BW771" s="102"/>
      <c r="BX771" s="102"/>
      <c r="BY771" s="94"/>
      <c r="BZ771" s="94"/>
      <c r="CA771" s="94"/>
      <c r="CB771" s="94"/>
      <c r="CC771" s="94"/>
      <c r="CD771" s="94"/>
      <c r="CE771" s="94"/>
      <c r="CF771" s="94"/>
      <c r="CG771" s="94"/>
      <c r="CH771" s="94" t="str">
        <f>"  " &amp; TEXT(AF771,"#0.00%") &amp; " " &amp; "Installation Lifter cable" &amp; " " &amp; IF(Q771="","",TEXT(Q771,"M/D-")) &amp; IF(R771="","",TEXT(R771,"M/D")) &amp; " "</f>
        <v xml:space="preserve">  0.00% Installation Lifter cable  </v>
      </c>
      <c r="CI771" s="94"/>
      <c r="CJ771" s="94"/>
      <c r="CK771" s="94"/>
      <c r="CL771" s="94"/>
      <c r="CM771" s="94"/>
      <c r="CN771" s="94"/>
      <c r="CO771" s="94"/>
      <c r="CP771" s="94"/>
      <c r="CQ771" s="94"/>
      <c r="CR771" s="94"/>
      <c r="CS771" s="94"/>
      <c r="CT771" s="94"/>
      <c r="CU771" s="94"/>
      <c r="CV771" s="94"/>
      <c r="CW771" s="94"/>
      <c r="CX771" s="94"/>
      <c r="CY771" s="94"/>
      <c r="CZ771" s="94"/>
      <c r="DA771" s="94"/>
      <c r="DB771" s="94"/>
      <c r="DC771" s="94"/>
      <c r="DD771" s="94"/>
      <c r="DE771" s="94"/>
      <c r="DF771" s="94"/>
      <c r="DG771" s="94"/>
      <c r="DH771" s="94"/>
      <c r="DI771" s="94"/>
      <c r="DJ771" s="94"/>
      <c r="DK771" s="94"/>
      <c r="DL771" s="94"/>
      <c r="DM771" s="94"/>
      <c r="DN771" s="94"/>
      <c r="DO771" s="94"/>
      <c r="DP771" s="94"/>
      <c r="DQ771" s="94"/>
    </row>
    <row r="772" spans="1:121" ht="15" customHeight="1" outlineLevel="3" x14ac:dyDescent="0.3">
      <c r="A772" s="100"/>
      <c r="B772" s="100"/>
      <c r="C772" s="99">
        <v>4</v>
      </c>
      <c r="D772" s="98" t="s">
        <v>446</v>
      </c>
      <c r="H772" s="77" t="s">
        <v>309</v>
      </c>
      <c r="O772" s="77"/>
      <c r="P772" s="105"/>
      <c r="Q772" s="97"/>
      <c r="R772" s="97"/>
      <c r="AB772" s="72">
        <v>1</v>
      </c>
      <c r="AE772" s="96"/>
      <c r="AF772" s="102"/>
      <c r="AG772" s="102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  <c r="AV772" s="102"/>
      <c r="AW772" s="102"/>
      <c r="AX772" s="102"/>
      <c r="AY772" s="102"/>
      <c r="AZ772" s="102"/>
      <c r="BA772" s="102"/>
      <c r="BB772" s="102"/>
      <c r="BC772" s="102"/>
      <c r="BD772" s="102"/>
      <c r="BE772" s="102"/>
      <c r="BF772" s="102"/>
      <c r="BG772" s="102"/>
      <c r="BH772" s="102"/>
      <c r="BI772" s="102"/>
      <c r="BJ772" s="102"/>
      <c r="BK772" s="102"/>
      <c r="BL772" s="102"/>
      <c r="BM772" s="102"/>
      <c r="BN772" s="102"/>
      <c r="BO772" s="102"/>
      <c r="BP772" s="102"/>
      <c r="BQ772" s="102"/>
      <c r="BR772" s="102"/>
      <c r="BS772" s="102"/>
      <c r="BT772" s="102"/>
      <c r="BU772" s="102"/>
      <c r="BV772" s="102"/>
      <c r="BW772" s="102"/>
      <c r="BX772" s="102"/>
      <c r="BY772" s="94"/>
      <c r="BZ772" s="94"/>
      <c r="CA772" s="94"/>
      <c r="CB772" s="94"/>
      <c r="CC772" s="94"/>
      <c r="CD772" s="94"/>
      <c r="CE772" s="94"/>
      <c r="CF772" s="94"/>
      <c r="CG772" s="94"/>
      <c r="CH772" s="94" t="str">
        <f>"  " &amp; TEXT(AF772,"#0.00%") &amp; " " &amp; "Installation Power moller cable" &amp; " " &amp; IF(Q772="","",TEXT(Q772,"M/D-")) &amp; IF(R772="","",TEXT(R772,"M/D")) &amp; " "</f>
        <v xml:space="preserve">  0.00% Installation Power moller cable  </v>
      </c>
      <c r="CI772" s="94"/>
      <c r="CJ772" s="94"/>
      <c r="CK772" s="94"/>
      <c r="CL772" s="94"/>
      <c r="CM772" s="94"/>
      <c r="CN772" s="94"/>
      <c r="CO772" s="94"/>
      <c r="CP772" s="94"/>
      <c r="CQ772" s="94"/>
      <c r="CR772" s="94"/>
      <c r="CS772" s="94"/>
      <c r="CT772" s="94"/>
      <c r="CU772" s="94"/>
      <c r="CV772" s="94"/>
      <c r="CW772" s="94"/>
      <c r="CX772" s="94"/>
      <c r="CY772" s="94"/>
      <c r="CZ772" s="94"/>
      <c r="DA772" s="94"/>
      <c r="DB772" s="94"/>
      <c r="DC772" s="94"/>
      <c r="DD772" s="94"/>
      <c r="DE772" s="94"/>
      <c r="DF772" s="94"/>
      <c r="DG772" s="94"/>
      <c r="DH772" s="94"/>
      <c r="DI772" s="94"/>
      <c r="DJ772" s="94"/>
      <c r="DK772" s="94"/>
      <c r="DL772" s="94"/>
      <c r="DM772" s="94"/>
      <c r="DN772" s="94"/>
      <c r="DO772" s="94"/>
      <c r="DP772" s="94"/>
      <c r="DQ772" s="94"/>
    </row>
    <row r="773" spans="1:121" ht="15" customHeight="1" outlineLevel="3" x14ac:dyDescent="0.3">
      <c r="A773" s="100"/>
      <c r="B773" s="100"/>
      <c r="C773" s="99">
        <v>4</v>
      </c>
      <c r="D773" s="98" t="s">
        <v>445</v>
      </c>
      <c r="H773" s="77" t="s">
        <v>307</v>
      </c>
      <c r="O773" s="77"/>
      <c r="P773" s="105"/>
      <c r="Q773" s="97"/>
      <c r="R773" s="97"/>
      <c r="AB773" s="72">
        <v>1</v>
      </c>
      <c r="AE773" s="96"/>
      <c r="AF773" s="102"/>
      <c r="AG773" s="102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  <c r="BC773" s="102"/>
      <c r="BD773" s="102"/>
      <c r="BE773" s="102"/>
      <c r="BF773" s="102"/>
      <c r="BG773" s="102"/>
      <c r="BH773" s="102"/>
      <c r="BI773" s="102"/>
      <c r="BJ773" s="102"/>
      <c r="BK773" s="102"/>
      <c r="BL773" s="102"/>
      <c r="BM773" s="102"/>
      <c r="BN773" s="102"/>
      <c r="BO773" s="102"/>
      <c r="BP773" s="102"/>
      <c r="BQ773" s="102"/>
      <c r="BR773" s="102"/>
      <c r="BS773" s="102"/>
      <c r="BT773" s="102"/>
      <c r="BU773" s="102"/>
      <c r="BV773" s="102"/>
      <c r="BW773" s="102"/>
      <c r="BX773" s="102"/>
      <c r="BY773" s="94"/>
      <c r="BZ773" s="94"/>
      <c r="CA773" s="94"/>
      <c r="CB773" s="94"/>
      <c r="CC773" s="94"/>
      <c r="CD773" s="94"/>
      <c r="CE773" s="94"/>
      <c r="CF773" s="94"/>
      <c r="CG773" s="94"/>
      <c r="CH773" s="94" t="str">
        <f>"  " &amp; TEXT(AF773,"#0.00%") &amp; " " &amp; "Installation Lifter Light Curtain cable" &amp; " " &amp; IF(Q773="","",TEXT(Q773,"M/D-")) &amp; IF(R773="","",TEXT(R773,"M/D")) &amp; " "</f>
        <v xml:space="preserve">  0.00% Installation Lifter Light Curtain cable  </v>
      </c>
      <c r="CI773" s="94"/>
      <c r="CJ773" s="94"/>
      <c r="CK773" s="94"/>
      <c r="CL773" s="94"/>
      <c r="CM773" s="94"/>
      <c r="CN773" s="94"/>
      <c r="CO773" s="94"/>
      <c r="CP773" s="94"/>
      <c r="CQ773" s="94"/>
      <c r="CR773" s="94"/>
      <c r="CS773" s="94"/>
      <c r="CT773" s="94"/>
      <c r="CU773" s="94"/>
      <c r="CV773" s="94"/>
      <c r="CW773" s="94"/>
      <c r="CX773" s="94"/>
      <c r="CY773" s="94"/>
      <c r="CZ773" s="94"/>
      <c r="DA773" s="94"/>
      <c r="DB773" s="94"/>
      <c r="DC773" s="94"/>
      <c r="DD773" s="94"/>
      <c r="DE773" s="94"/>
      <c r="DF773" s="94"/>
      <c r="DG773" s="94"/>
      <c r="DH773" s="94"/>
      <c r="DI773" s="94"/>
      <c r="DJ773" s="94"/>
      <c r="DK773" s="94"/>
      <c r="DL773" s="94"/>
      <c r="DM773" s="94"/>
      <c r="DN773" s="94"/>
      <c r="DO773" s="94"/>
      <c r="DP773" s="94"/>
      <c r="DQ773" s="94"/>
    </row>
    <row r="774" spans="1:121" ht="15" customHeight="1" outlineLevel="3" x14ac:dyDescent="0.3">
      <c r="A774" s="100"/>
      <c r="B774" s="100"/>
      <c r="C774" s="99">
        <v>4</v>
      </c>
      <c r="D774" s="98" t="s">
        <v>444</v>
      </c>
      <c r="H774" s="77" t="s">
        <v>380</v>
      </c>
      <c r="O774" s="77"/>
      <c r="P774" s="105"/>
      <c r="Q774" s="97"/>
      <c r="R774" s="97"/>
      <c r="AB774" s="72">
        <v>1</v>
      </c>
      <c r="AE774" s="96"/>
      <c r="AF774" s="102"/>
      <c r="AG774" s="102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  <c r="BI774" s="102"/>
      <c r="BJ774" s="102"/>
      <c r="BK774" s="102"/>
      <c r="BL774" s="102"/>
      <c r="BM774" s="102"/>
      <c r="BN774" s="102"/>
      <c r="BO774" s="102"/>
      <c r="BP774" s="102"/>
      <c r="BQ774" s="102"/>
      <c r="BR774" s="102"/>
      <c r="BS774" s="102"/>
      <c r="BT774" s="102"/>
      <c r="BU774" s="102"/>
      <c r="BV774" s="102"/>
      <c r="BW774" s="102"/>
      <c r="BX774" s="102"/>
      <c r="BY774" s="94"/>
      <c r="BZ774" s="94"/>
      <c r="CA774" s="94"/>
      <c r="CB774" s="94"/>
      <c r="CC774" s="94"/>
      <c r="CD774" s="94"/>
      <c r="CE774" s="94"/>
      <c r="CF774" s="94"/>
      <c r="CG774" s="94"/>
      <c r="CH774" s="94" t="str">
        <f>"     " &amp; TEXT(AF774,"#0.00%") &amp; " " &amp; "Cable installation work related to fire suppression tank" &amp; " " &amp; IF(Q774="","",TEXT(Q774,"M/D-")) &amp; IF(R774="","",TEXT(R774,"M/D")) &amp; " "</f>
        <v xml:space="preserve">     0.00% Cable installation work related to fire suppression tank  </v>
      </c>
      <c r="CI774" s="94"/>
      <c r="CJ774" s="94"/>
      <c r="CK774" s="94"/>
      <c r="CL774" s="94"/>
      <c r="CM774" s="94"/>
      <c r="CN774" s="94"/>
      <c r="CO774" s="94"/>
      <c r="CP774" s="94"/>
      <c r="CQ774" s="94"/>
      <c r="CR774" s="94"/>
      <c r="CS774" s="94"/>
      <c r="CT774" s="94"/>
      <c r="CU774" s="94"/>
      <c r="CV774" s="94"/>
      <c r="CW774" s="94"/>
      <c r="CX774" s="94"/>
      <c r="CY774" s="94"/>
      <c r="CZ774" s="94"/>
      <c r="DA774" s="94"/>
      <c r="DB774" s="94"/>
      <c r="DC774" s="94"/>
      <c r="DD774" s="94"/>
      <c r="DE774" s="94"/>
      <c r="DF774" s="94"/>
      <c r="DG774" s="94"/>
      <c r="DH774" s="94"/>
      <c r="DI774" s="94"/>
      <c r="DJ774" s="94"/>
      <c r="DK774" s="94"/>
      <c r="DL774" s="94"/>
      <c r="DM774" s="94"/>
      <c r="DN774" s="94"/>
      <c r="DO774" s="94"/>
      <c r="DP774" s="94"/>
      <c r="DQ774" s="94"/>
    </row>
    <row r="775" spans="1:121" ht="15" customHeight="1" outlineLevel="3" x14ac:dyDescent="0.3">
      <c r="A775" s="100"/>
      <c r="B775" s="100"/>
      <c r="C775" s="99">
        <v>4</v>
      </c>
      <c r="D775" s="98" t="s">
        <v>443</v>
      </c>
      <c r="H775" s="77" t="s">
        <v>378</v>
      </c>
      <c r="O775" s="77"/>
      <c r="P775" s="105"/>
      <c r="Q775" s="97"/>
      <c r="R775" s="97"/>
      <c r="AB775" s="72">
        <v>1</v>
      </c>
      <c r="AE775" s="96"/>
      <c r="AF775" s="102"/>
      <c r="AG775" s="102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  <c r="AV775" s="102"/>
      <c r="AW775" s="102"/>
      <c r="AX775" s="102"/>
      <c r="AY775" s="102"/>
      <c r="AZ775" s="102"/>
      <c r="BA775" s="102"/>
      <c r="BB775" s="102"/>
      <c r="BC775" s="102"/>
      <c r="BD775" s="102"/>
      <c r="BE775" s="102"/>
      <c r="BF775" s="102"/>
      <c r="BG775" s="102"/>
      <c r="BH775" s="102"/>
      <c r="BI775" s="102"/>
      <c r="BJ775" s="102"/>
      <c r="BK775" s="102"/>
      <c r="BL775" s="102"/>
      <c r="BM775" s="102"/>
      <c r="BN775" s="102"/>
      <c r="BO775" s="102"/>
      <c r="BP775" s="102"/>
      <c r="BQ775" s="102"/>
      <c r="BR775" s="102"/>
      <c r="BS775" s="102"/>
      <c r="BT775" s="102"/>
      <c r="BU775" s="102"/>
      <c r="BV775" s="102"/>
      <c r="BW775" s="102"/>
      <c r="BX775" s="102"/>
      <c r="BY775" s="94"/>
      <c r="BZ775" s="94"/>
      <c r="CA775" s="94"/>
      <c r="CB775" s="94"/>
      <c r="CC775" s="94"/>
      <c r="CD775" s="94"/>
      <c r="CE775" s="94"/>
      <c r="CF775" s="94"/>
      <c r="CG775" s="94"/>
      <c r="CH775" s="94" t="str">
        <f>"     " &amp; TEXT(AF775,"#0.00%") &amp; " " &amp; "Door S/W SOP LCP cable Installation" &amp; " " &amp; IF(Q775="","",TEXT(Q775,"M/D-")) &amp; IF(R775="","",TEXT(R775,"M/D")) &amp; " "</f>
        <v xml:space="preserve">     0.00% Door S/W SOP LCP cable Installation  </v>
      </c>
      <c r="CI775" s="94"/>
      <c r="CJ775" s="94"/>
      <c r="CK775" s="94"/>
      <c r="CL775" s="94"/>
      <c r="CM775" s="94"/>
      <c r="CN775" s="94"/>
      <c r="CO775" s="94"/>
      <c r="CP775" s="94"/>
      <c r="CQ775" s="94"/>
      <c r="CR775" s="94"/>
      <c r="CS775" s="94"/>
      <c r="CT775" s="94"/>
      <c r="CU775" s="94"/>
      <c r="CV775" s="94"/>
      <c r="CW775" s="94"/>
      <c r="CX775" s="94"/>
      <c r="CY775" s="94"/>
      <c r="CZ775" s="94"/>
      <c r="DA775" s="94"/>
      <c r="DB775" s="94"/>
      <c r="DC775" s="94"/>
      <c r="DD775" s="94"/>
      <c r="DE775" s="94"/>
      <c r="DF775" s="94"/>
      <c r="DG775" s="94"/>
      <c r="DH775" s="94"/>
      <c r="DI775" s="94"/>
      <c r="DJ775" s="94"/>
      <c r="DK775" s="94"/>
      <c r="DL775" s="94"/>
      <c r="DM775" s="94"/>
      <c r="DN775" s="94"/>
      <c r="DO775" s="94"/>
      <c r="DP775" s="94"/>
      <c r="DQ775" s="94"/>
    </row>
    <row r="776" spans="1:121" ht="15" customHeight="1" outlineLevel="3" x14ac:dyDescent="0.3">
      <c r="A776" s="100"/>
      <c r="B776" s="100"/>
      <c r="C776" s="99">
        <v>4</v>
      </c>
      <c r="D776" s="98" t="s">
        <v>442</v>
      </c>
      <c r="H776" s="77" t="s">
        <v>303</v>
      </c>
      <c r="O776" s="77"/>
      <c r="P776" s="105"/>
      <c r="Q776" s="97"/>
      <c r="R776" s="97"/>
      <c r="AB776" s="72">
        <v>1</v>
      </c>
      <c r="AE776" s="96"/>
      <c r="AF776" s="102"/>
      <c r="AG776" s="102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  <c r="BC776" s="102"/>
      <c r="BD776" s="102"/>
      <c r="BE776" s="102"/>
      <c r="BF776" s="102"/>
      <c r="BG776" s="102"/>
      <c r="BH776" s="102"/>
      <c r="BI776" s="102"/>
      <c r="BJ776" s="102"/>
      <c r="BK776" s="102"/>
      <c r="BL776" s="102"/>
      <c r="BM776" s="102"/>
      <c r="BN776" s="102"/>
      <c r="BO776" s="102"/>
      <c r="BP776" s="102"/>
      <c r="BQ776" s="102"/>
      <c r="BR776" s="102"/>
      <c r="BS776" s="102"/>
      <c r="BT776" s="102"/>
      <c r="BU776" s="102"/>
      <c r="BV776" s="102"/>
      <c r="BW776" s="102"/>
      <c r="BX776" s="102"/>
      <c r="BY776" s="94"/>
      <c r="BZ776" s="94"/>
      <c r="CA776" s="94"/>
      <c r="CB776" s="94"/>
      <c r="CC776" s="94"/>
      <c r="CD776" s="94"/>
      <c r="CE776" s="94"/>
      <c r="CF776" s="94"/>
      <c r="CG776" s="94"/>
      <c r="CH776" s="94"/>
      <c r="CI776" s="94" t="str">
        <f>" " &amp; TEXT(AF776,"#0.00%") &amp; " " &amp; "Installation Panel Inside Cable " &amp; " " &amp; IF(Q776="","",TEXT(Q776,"M/D-")) &amp; IF(R776="","",TEXT(R776,"M/D")) &amp; " "</f>
        <v xml:space="preserve"> 0.00% Installation Panel Inside Cable   </v>
      </c>
      <c r="CJ776" s="94"/>
      <c r="CK776" s="94"/>
      <c r="CL776" s="94"/>
      <c r="CM776" s="94"/>
      <c r="CN776" s="94"/>
      <c r="CO776" s="94"/>
      <c r="CP776" s="94"/>
      <c r="CQ776" s="94"/>
      <c r="CR776" s="94"/>
      <c r="CS776" s="94"/>
      <c r="CT776" s="94"/>
      <c r="CU776" s="94"/>
      <c r="CV776" s="94"/>
      <c r="CW776" s="94"/>
      <c r="CX776" s="94"/>
      <c r="CY776" s="94"/>
      <c r="CZ776" s="94"/>
      <c r="DA776" s="94"/>
      <c r="DB776" s="94"/>
      <c r="DC776" s="94"/>
      <c r="DD776" s="94"/>
      <c r="DE776" s="94"/>
      <c r="DF776" s="94"/>
      <c r="DG776" s="94"/>
      <c r="DH776" s="94"/>
      <c r="DI776" s="94"/>
      <c r="DJ776" s="94"/>
      <c r="DK776" s="94"/>
      <c r="DL776" s="94"/>
      <c r="DM776" s="94"/>
      <c r="DN776" s="94"/>
      <c r="DO776" s="94"/>
      <c r="DP776" s="94"/>
      <c r="DQ776" s="94"/>
    </row>
    <row r="777" spans="1:121" ht="15" customHeight="1" outlineLevel="3" x14ac:dyDescent="0.3">
      <c r="A777" s="100"/>
      <c r="B777" s="100"/>
      <c r="C777" s="99">
        <v>4</v>
      </c>
      <c r="D777" s="98" t="s">
        <v>441</v>
      </c>
      <c r="H777" s="77" t="s">
        <v>301</v>
      </c>
      <c r="O777" s="77"/>
      <c r="P777" s="105"/>
      <c r="Q777" s="97"/>
      <c r="R777" s="97"/>
      <c r="AB777" s="72">
        <v>1</v>
      </c>
      <c r="AE777" s="96"/>
      <c r="AF777" s="102"/>
      <c r="AG777" s="102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  <c r="AX777" s="102"/>
      <c r="AY777" s="102"/>
      <c r="AZ777" s="102"/>
      <c r="BA777" s="102"/>
      <c r="BB777" s="102"/>
      <c r="BC777" s="102"/>
      <c r="BD777" s="102"/>
      <c r="BE777" s="102"/>
      <c r="BF777" s="102"/>
      <c r="BG777" s="102"/>
      <c r="BH777" s="102"/>
      <c r="BI777" s="102"/>
      <c r="BJ777" s="102"/>
      <c r="BK777" s="102"/>
      <c r="BL777" s="102"/>
      <c r="BM777" s="102"/>
      <c r="BN777" s="102"/>
      <c r="BO777" s="102"/>
      <c r="BP777" s="102"/>
      <c r="BQ777" s="102"/>
      <c r="BR777" s="102"/>
      <c r="BS777" s="102"/>
      <c r="BT777" s="102"/>
      <c r="BU777" s="102"/>
      <c r="BV777" s="102"/>
      <c r="BW777" s="102"/>
      <c r="BX777" s="102"/>
      <c r="BY777" s="94"/>
      <c r="BZ777" s="94"/>
      <c r="CA777" s="94"/>
      <c r="CB777" s="94"/>
      <c r="CC777" s="94"/>
      <c r="CD777" s="94"/>
      <c r="CE777" s="94"/>
      <c r="CF777" s="94"/>
      <c r="CG777" s="94"/>
      <c r="CH777" s="94"/>
      <c r="CI777" s="94" t="str">
        <f>"      " &amp; TEXT(AF777,"#0.00%") &amp; " " &amp; "Installation LED LAMP" &amp; " " &amp; IF(Q777="","",TEXT(Q777,"M/D-")) &amp; IF(R777="","",TEXT(R777,"M/D")) &amp; " "</f>
        <v xml:space="preserve">      0.00% Installation LED LAMP  </v>
      </c>
      <c r="CJ777" s="94"/>
      <c r="CK777" s="94"/>
      <c r="CL777" s="94"/>
      <c r="CM777" s="94"/>
      <c r="CN777" s="94"/>
      <c r="CO777" s="94"/>
      <c r="CP777" s="94"/>
      <c r="CQ777" s="94"/>
      <c r="CR777" s="94"/>
      <c r="CS777" s="94"/>
      <c r="CT777" s="94"/>
      <c r="CU777" s="94"/>
      <c r="CV777" s="94"/>
      <c r="CW777" s="94"/>
      <c r="CX777" s="94"/>
      <c r="CY777" s="94"/>
      <c r="CZ777" s="94"/>
      <c r="DA777" s="94"/>
      <c r="DB777" s="94"/>
      <c r="DC777" s="94"/>
      <c r="DD777" s="94"/>
      <c r="DE777" s="94"/>
      <c r="DF777" s="94"/>
      <c r="DG777" s="94"/>
      <c r="DH777" s="94"/>
      <c r="DI777" s="94"/>
      <c r="DJ777" s="94"/>
      <c r="DK777" s="94"/>
      <c r="DL777" s="94"/>
      <c r="DM777" s="94"/>
      <c r="DN777" s="94"/>
      <c r="DO777" s="94"/>
      <c r="DP777" s="94"/>
      <c r="DQ777" s="94"/>
    </row>
    <row r="778" spans="1:121" ht="15" customHeight="1" outlineLevel="3" x14ac:dyDescent="0.3">
      <c r="A778" s="100"/>
      <c r="B778" s="100"/>
      <c r="C778" s="99">
        <v>4</v>
      </c>
      <c r="D778" s="98" t="s">
        <v>440</v>
      </c>
      <c r="H778" s="77" t="s">
        <v>374</v>
      </c>
      <c r="O778" s="77"/>
      <c r="P778" s="105"/>
      <c r="Q778" s="97"/>
      <c r="R778" s="97"/>
      <c r="AB778" s="72">
        <v>1</v>
      </c>
      <c r="AE778" s="96"/>
      <c r="AF778" s="102"/>
      <c r="AG778" s="102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  <c r="BC778" s="102"/>
      <c r="BD778" s="102"/>
      <c r="BE778" s="102"/>
      <c r="BF778" s="102"/>
      <c r="BG778" s="102"/>
      <c r="BH778" s="102"/>
      <c r="BI778" s="102"/>
      <c r="BJ778" s="102"/>
      <c r="BK778" s="102"/>
      <c r="BL778" s="102"/>
      <c r="BM778" s="102"/>
      <c r="BN778" s="102"/>
      <c r="BO778" s="102"/>
      <c r="BP778" s="102"/>
      <c r="BQ778" s="102"/>
      <c r="BR778" s="102"/>
      <c r="BS778" s="102"/>
      <c r="BT778" s="102"/>
      <c r="BU778" s="102"/>
      <c r="BV778" s="102"/>
      <c r="BW778" s="102"/>
      <c r="BX778" s="102"/>
      <c r="BY778" s="94"/>
      <c r="BZ778" s="94"/>
      <c r="CA778" s="94"/>
      <c r="CB778" s="94"/>
      <c r="CC778" s="94"/>
      <c r="CD778" s="94"/>
      <c r="CE778" s="94"/>
      <c r="CF778" s="94"/>
      <c r="CG778" s="94"/>
      <c r="CH778" s="94"/>
      <c r="CI778" s="94"/>
      <c r="CJ778" s="94" t="str">
        <f>"  " &amp; TEXT(AF778,"#0.00%") &amp; " " &amp; "Installation Collector Arm" &amp; " " &amp; IF(Q778="","",TEXT(Q778,"M/D-")) &amp; IF(R778="","",TEXT(R778,"M/D")) &amp; " "</f>
        <v xml:space="preserve">  0.00% Installation Collector Arm  </v>
      </c>
      <c r="CK778" s="94"/>
      <c r="CL778" s="94"/>
      <c r="CM778" s="94"/>
      <c r="CN778" s="94"/>
      <c r="CO778" s="94"/>
      <c r="CP778" s="94"/>
      <c r="CQ778" s="94"/>
      <c r="CR778" s="94"/>
      <c r="CS778" s="94"/>
      <c r="CT778" s="94"/>
      <c r="CU778" s="94"/>
      <c r="CV778" s="94"/>
      <c r="CW778" s="94"/>
      <c r="CX778" s="94"/>
      <c r="CY778" s="94"/>
      <c r="CZ778" s="94"/>
      <c r="DA778" s="94"/>
      <c r="DB778" s="94"/>
      <c r="DC778" s="94"/>
      <c r="DD778" s="94"/>
      <c r="DE778" s="94"/>
      <c r="DF778" s="94"/>
      <c r="DG778" s="94"/>
      <c r="DH778" s="94"/>
      <c r="DI778" s="94"/>
      <c r="DJ778" s="94"/>
      <c r="DK778" s="94"/>
      <c r="DL778" s="94"/>
      <c r="DM778" s="94"/>
      <c r="DN778" s="94"/>
      <c r="DO778" s="94"/>
      <c r="DP778" s="94"/>
      <c r="DQ778" s="94"/>
    </row>
    <row r="779" spans="1:121" ht="15" customHeight="1" outlineLevel="3" x14ac:dyDescent="0.3">
      <c r="A779" s="100"/>
      <c r="B779" s="100"/>
      <c r="C779" s="99">
        <v>4</v>
      </c>
      <c r="D779" s="98" t="s">
        <v>439</v>
      </c>
      <c r="H779" s="77" t="s">
        <v>372</v>
      </c>
      <c r="O779" s="77"/>
      <c r="P779" s="105"/>
      <c r="Q779" s="97"/>
      <c r="R779" s="97"/>
      <c r="AB779" s="72">
        <v>1</v>
      </c>
      <c r="AE779" s="96"/>
      <c r="AF779" s="102"/>
      <c r="AG779" s="102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  <c r="BC779" s="102"/>
      <c r="BD779" s="102"/>
      <c r="BE779" s="102"/>
      <c r="BF779" s="102"/>
      <c r="BG779" s="102"/>
      <c r="BH779" s="102"/>
      <c r="BI779" s="102"/>
      <c r="BJ779" s="102"/>
      <c r="BK779" s="102"/>
      <c r="BL779" s="102"/>
      <c r="BM779" s="102"/>
      <c r="BN779" s="102"/>
      <c r="BO779" s="102"/>
      <c r="BP779" s="102"/>
      <c r="BQ779" s="102"/>
      <c r="BR779" s="102"/>
      <c r="BS779" s="102"/>
      <c r="BT779" s="102"/>
      <c r="BU779" s="102"/>
      <c r="BV779" s="102"/>
      <c r="BW779" s="102"/>
      <c r="BX779" s="102"/>
      <c r="BY779" s="94"/>
      <c r="BZ779" s="94"/>
      <c r="CA779" s="94"/>
      <c r="CB779" s="94"/>
      <c r="CC779" s="94"/>
      <c r="CD779" s="94"/>
      <c r="CE779" s="94"/>
      <c r="CF779" s="94"/>
      <c r="CG779" s="94"/>
      <c r="CH779" s="94"/>
      <c r="CI779" s="94"/>
      <c r="CJ779" s="94" t="str">
        <f>"  " &amp; TEXT(AF779,"#0.00%") &amp; " " &amp; "Attach Tape(Driving BCR)" &amp; " " &amp; IF(Q779="","",TEXT(Q779,"M/D-")) &amp; IF(R779="","",TEXT(R779,"M/D")) &amp; " "</f>
        <v xml:space="preserve">  0.00% Attach Tape(Driving BCR)  </v>
      </c>
      <c r="CK779" s="94"/>
      <c r="CL779" s="94"/>
      <c r="CM779" s="94"/>
      <c r="CN779" s="94"/>
      <c r="CO779" s="94"/>
      <c r="CP779" s="94"/>
      <c r="CQ779" s="94"/>
      <c r="CR779" s="94"/>
      <c r="CS779" s="94"/>
      <c r="CT779" s="94"/>
      <c r="CU779" s="94"/>
      <c r="CV779" s="94"/>
      <c r="CW779" s="94"/>
      <c r="CX779" s="94"/>
      <c r="CY779" s="94"/>
      <c r="CZ779" s="94"/>
      <c r="DA779" s="94"/>
      <c r="DB779" s="94"/>
      <c r="DC779" s="94"/>
      <c r="DD779" s="94"/>
      <c r="DE779" s="94"/>
      <c r="DF779" s="94"/>
      <c r="DG779" s="94"/>
      <c r="DH779" s="94"/>
      <c r="DI779" s="94"/>
      <c r="DJ779" s="94"/>
      <c r="DK779" s="94"/>
      <c r="DL779" s="94"/>
      <c r="DM779" s="94"/>
      <c r="DN779" s="94"/>
      <c r="DO779" s="94"/>
      <c r="DP779" s="94"/>
      <c r="DQ779" s="94"/>
    </row>
    <row r="780" spans="1:121" ht="15" customHeight="1" outlineLevel="3" x14ac:dyDescent="0.3">
      <c r="A780" s="100"/>
      <c r="B780" s="100"/>
      <c r="C780" s="99">
        <v>4</v>
      </c>
      <c r="D780" s="98" t="s">
        <v>438</v>
      </c>
      <c r="H780" s="77" t="s">
        <v>370</v>
      </c>
      <c r="O780" s="77"/>
      <c r="P780" s="105"/>
      <c r="Q780" s="97"/>
      <c r="R780" s="97"/>
      <c r="AB780" s="72">
        <v>1</v>
      </c>
      <c r="AE780" s="96"/>
      <c r="AF780" s="102"/>
      <c r="AG780" s="102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  <c r="BI780" s="102"/>
      <c r="BJ780" s="102"/>
      <c r="BK780" s="102"/>
      <c r="BL780" s="102"/>
      <c r="BM780" s="102"/>
      <c r="BN780" s="102"/>
      <c r="BO780" s="102"/>
      <c r="BP780" s="102"/>
      <c r="BQ780" s="102"/>
      <c r="BR780" s="102"/>
      <c r="BS780" s="102"/>
      <c r="BT780" s="102"/>
      <c r="BU780" s="102"/>
      <c r="BV780" s="102"/>
      <c r="BW780" s="102"/>
      <c r="BX780" s="102"/>
      <c r="BY780" s="94"/>
      <c r="BZ780" s="94"/>
      <c r="CA780" s="94"/>
      <c r="CB780" s="94"/>
      <c r="CC780" s="94"/>
      <c r="CD780" s="94"/>
      <c r="CE780" s="94"/>
      <c r="CF780" s="94"/>
      <c r="CG780" s="94"/>
      <c r="CH780" s="94"/>
      <c r="CI780" s="94"/>
      <c r="CJ780" s="94" t="str">
        <f>"  " &amp; TEXT(AF780,"#0.00%") &amp; " " &amp; "Installation Motor Cable" &amp; " " &amp; IF(Q780="","",TEXT(Q780,"M/D-")) &amp; IF(R780="","",TEXT(R780,"M/D")) &amp; " "</f>
        <v xml:space="preserve">  0.00% Installation Motor Cable  </v>
      </c>
      <c r="CK780" s="94"/>
      <c r="CL780" s="94"/>
      <c r="CM780" s="94"/>
      <c r="CN780" s="94"/>
      <c r="CO780" s="94"/>
      <c r="CP780" s="94"/>
      <c r="CQ780" s="94"/>
      <c r="CR780" s="94"/>
      <c r="CS780" s="94"/>
      <c r="CT780" s="94"/>
      <c r="CU780" s="94"/>
      <c r="CV780" s="94"/>
      <c r="CW780" s="94"/>
      <c r="CX780" s="94"/>
      <c r="CY780" s="94"/>
      <c r="CZ780" s="94"/>
      <c r="DA780" s="94"/>
      <c r="DB780" s="94"/>
      <c r="DC780" s="94"/>
      <c r="DD780" s="94"/>
      <c r="DE780" s="94"/>
      <c r="DF780" s="94"/>
      <c r="DG780" s="94"/>
      <c r="DH780" s="94"/>
      <c r="DI780" s="94"/>
      <c r="DJ780" s="94"/>
      <c r="DK780" s="94"/>
      <c r="DL780" s="94"/>
      <c r="DM780" s="94"/>
      <c r="DN780" s="94"/>
      <c r="DO780" s="94"/>
      <c r="DP780" s="94"/>
      <c r="DQ780" s="94"/>
    </row>
    <row r="781" spans="1:121" ht="15" customHeight="1" outlineLevel="2" x14ac:dyDescent="0.3">
      <c r="A781" s="100"/>
      <c r="B781" s="100" t="s">
        <v>298</v>
      </c>
      <c r="C781" s="99">
        <v>3</v>
      </c>
      <c r="D781" s="98" t="s">
        <v>437</v>
      </c>
      <c r="G781" s="77" t="s">
        <v>436</v>
      </c>
      <c r="O781" s="77" t="s">
        <v>435</v>
      </c>
      <c r="Q781" s="104"/>
      <c r="R781" s="104"/>
      <c r="AE781" s="96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94"/>
      <c r="BZ781" s="94"/>
      <c r="CA781" s="94"/>
      <c r="CB781" s="94"/>
      <c r="CC781" s="94"/>
      <c r="CD781" s="94"/>
      <c r="CE781" s="94"/>
      <c r="CF781" s="94"/>
      <c r="CG781" s="94"/>
      <c r="CH781" s="94"/>
      <c r="CI781" s="94"/>
      <c r="CJ781" s="94" t="str">
        <f>"    " &amp; TEXT(AF781,"#0.00%") &amp; " " &amp; "NT#2,3" &amp; " " &amp; IF(Q781="","",TEXT(Q781,"M/D-")) &amp; IF(R781="","",TEXT(R781,"M/D")) &amp; " "</f>
        <v xml:space="preserve">    0.00% NT#2,3  </v>
      </c>
      <c r="CK781" s="94"/>
      <c r="CL781" s="94"/>
      <c r="CM781" s="94"/>
      <c r="CN781" s="94"/>
      <c r="CO781" s="94"/>
      <c r="CP781" s="94"/>
      <c r="CQ781" s="94"/>
      <c r="CR781" s="94"/>
      <c r="CS781" s="94"/>
      <c r="CT781" s="94"/>
      <c r="CU781" s="94"/>
      <c r="CV781" s="94"/>
      <c r="CW781" s="94"/>
      <c r="CX781" s="94"/>
      <c r="CY781" s="94"/>
      <c r="CZ781" s="94"/>
      <c r="DA781" s="94"/>
      <c r="DB781" s="94"/>
      <c r="DC781" s="94"/>
      <c r="DD781" s="94"/>
      <c r="DE781" s="94"/>
      <c r="DF781" s="94"/>
      <c r="DG781" s="94"/>
      <c r="DH781" s="94"/>
      <c r="DI781" s="94"/>
      <c r="DJ781" s="94"/>
      <c r="DK781" s="94"/>
      <c r="DL781" s="94"/>
      <c r="DM781" s="94"/>
      <c r="DN781" s="94"/>
      <c r="DO781" s="94"/>
      <c r="DP781" s="94"/>
      <c r="DQ781" s="94"/>
    </row>
    <row r="782" spans="1:121" ht="15" customHeight="1" outlineLevel="3" x14ac:dyDescent="0.3">
      <c r="A782" s="100"/>
      <c r="B782" s="100"/>
      <c r="C782" s="99">
        <v>4</v>
      </c>
      <c r="D782" s="98" t="s">
        <v>434</v>
      </c>
      <c r="G782" s="94"/>
      <c r="H782" s="77" t="s">
        <v>317</v>
      </c>
      <c r="O782" s="77"/>
      <c r="Q782" s="97"/>
      <c r="R782" s="97"/>
      <c r="AB782" s="72">
        <v>1</v>
      </c>
      <c r="AE782" s="96"/>
      <c r="AF782" s="102"/>
      <c r="AG782" s="102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  <c r="BI782" s="102"/>
      <c r="BJ782" s="102"/>
      <c r="BK782" s="102"/>
      <c r="BL782" s="102"/>
      <c r="BM782" s="102"/>
      <c r="BN782" s="102"/>
      <c r="BO782" s="102"/>
      <c r="BP782" s="102"/>
      <c r="BQ782" s="102"/>
      <c r="BR782" s="102"/>
      <c r="BS782" s="102"/>
      <c r="BT782" s="102"/>
      <c r="BU782" s="102"/>
      <c r="BV782" s="102"/>
      <c r="BW782" s="102"/>
      <c r="BX782" s="102"/>
      <c r="BY782" s="94"/>
      <c r="BZ782" s="94"/>
      <c r="CA782" s="94"/>
      <c r="CB782" s="94"/>
      <c r="CC782" s="94"/>
      <c r="CD782" s="94"/>
      <c r="CE782" s="94"/>
      <c r="CF782" s="94"/>
      <c r="CG782" s="94"/>
      <c r="CH782" s="94"/>
      <c r="CI782" s="94"/>
      <c r="CJ782" s="94" t="str">
        <f>"    " &amp; TEXT(AF782,"#0.00%") &amp; " " &amp; "Panel Alignment and fixation" &amp; " " &amp; IF(Q782="","",TEXT(Q782,"M/D-")) &amp; IF(R782="","",TEXT(R782,"M/D")) &amp; " "</f>
        <v xml:space="preserve">    0.00% Panel Alignment and fixation  </v>
      </c>
      <c r="CK782" s="94"/>
      <c r="CL782" s="94"/>
      <c r="CM782" s="94"/>
      <c r="CN782" s="94"/>
      <c r="CO782" s="94"/>
      <c r="CP782" s="94"/>
      <c r="CQ782" s="94"/>
      <c r="CR782" s="94"/>
      <c r="CS782" s="94"/>
      <c r="CT782" s="94"/>
      <c r="CU782" s="94"/>
      <c r="CV782" s="94"/>
      <c r="CW782" s="94"/>
      <c r="CX782" s="94"/>
      <c r="CY782" s="94"/>
      <c r="CZ782" s="94"/>
      <c r="DA782" s="94"/>
      <c r="DB782" s="94"/>
      <c r="DC782" s="94"/>
      <c r="DD782" s="94"/>
      <c r="DE782" s="94"/>
      <c r="DF782" s="94"/>
      <c r="DG782" s="94"/>
      <c r="DH782" s="94"/>
      <c r="DI782" s="94"/>
      <c r="DJ782" s="94"/>
      <c r="DK782" s="94"/>
      <c r="DL782" s="94"/>
      <c r="DM782" s="94"/>
      <c r="DN782" s="94"/>
      <c r="DO782" s="94"/>
      <c r="DP782" s="94"/>
      <c r="DQ782" s="94"/>
    </row>
    <row r="783" spans="1:121" ht="15" customHeight="1" outlineLevel="3" x14ac:dyDescent="0.3">
      <c r="A783" s="100"/>
      <c r="B783" s="100"/>
      <c r="C783" s="99">
        <v>4</v>
      </c>
      <c r="D783" s="98" t="s">
        <v>433</v>
      </c>
      <c r="G783" s="94"/>
      <c r="H783" s="77" t="s">
        <v>315</v>
      </c>
      <c r="O783" s="77"/>
      <c r="Q783" s="97"/>
      <c r="R783" s="97"/>
      <c r="AB783" s="72">
        <v>1</v>
      </c>
      <c r="AE783" s="96"/>
      <c r="AF783" s="102"/>
      <c r="AG783" s="102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  <c r="BC783" s="102"/>
      <c r="BD783" s="102"/>
      <c r="BE783" s="102"/>
      <c r="BF783" s="102"/>
      <c r="BG783" s="102"/>
      <c r="BH783" s="102"/>
      <c r="BI783" s="102"/>
      <c r="BJ783" s="102"/>
      <c r="BK783" s="102"/>
      <c r="BL783" s="102"/>
      <c r="BM783" s="102"/>
      <c r="BN783" s="102"/>
      <c r="BO783" s="102"/>
      <c r="BP783" s="102"/>
      <c r="BQ783" s="102"/>
      <c r="BR783" s="102"/>
      <c r="BS783" s="102"/>
      <c r="BT783" s="102"/>
      <c r="BU783" s="102"/>
      <c r="BV783" s="102"/>
      <c r="BW783" s="102"/>
      <c r="BX783" s="102"/>
      <c r="BY783" s="94"/>
      <c r="BZ783" s="94"/>
      <c r="CA783" s="94"/>
      <c r="CB783" s="94"/>
      <c r="CC783" s="94"/>
      <c r="CD783" s="94"/>
      <c r="CE783" s="94"/>
      <c r="CF783" s="94"/>
      <c r="CG783" s="94"/>
      <c r="CH783" s="94"/>
      <c r="CI783" s="94"/>
      <c r="CJ783" s="94" t="str">
        <f>"    " &amp; TEXT(AF783,"#0.00%") &amp; " " &amp; "Door S/W SOP LCP positioning in alignment" &amp; " " &amp; IF(Q783="","",TEXT(Q783,"M/D-")) &amp; IF(R783="","",TEXT(R783,"M/D")) &amp; " "</f>
        <v xml:space="preserve">    0.00% Door S/W SOP LCP positioning in alignment  </v>
      </c>
      <c r="CK783" s="94"/>
      <c r="CL783" s="94"/>
      <c r="CM783" s="94"/>
      <c r="CN783" s="94"/>
      <c r="CO783" s="94"/>
      <c r="CP783" s="94"/>
      <c r="CQ783" s="94"/>
      <c r="CR783" s="94"/>
      <c r="CS783" s="94"/>
      <c r="CT783" s="94"/>
      <c r="CU783" s="94"/>
      <c r="CV783" s="94"/>
      <c r="CW783" s="94"/>
      <c r="CX783" s="94"/>
      <c r="CY783" s="94"/>
      <c r="CZ783" s="94"/>
      <c r="DA783" s="94"/>
      <c r="DB783" s="94"/>
      <c r="DC783" s="94"/>
      <c r="DD783" s="94"/>
      <c r="DE783" s="94"/>
      <c r="DF783" s="94"/>
      <c r="DG783" s="94"/>
      <c r="DH783" s="94"/>
      <c r="DI783" s="94"/>
      <c r="DJ783" s="94"/>
      <c r="DK783" s="94"/>
      <c r="DL783" s="94"/>
      <c r="DM783" s="94"/>
      <c r="DN783" s="94"/>
      <c r="DO783" s="94"/>
      <c r="DP783" s="94"/>
      <c r="DQ783" s="94"/>
    </row>
    <row r="784" spans="1:121" ht="15" customHeight="1" outlineLevel="3" x14ac:dyDescent="0.3">
      <c r="A784" s="100"/>
      <c r="B784" s="100"/>
      <c r="C784" s="99">
        <v>4</v>
      </c>
      <c r="D784" s="98" t="s">
        <v>432</v>
      </c>
      <c r="G784" s="94"/>
      <c r="H784" s="77" t="s">
        <v>313</v>
      </c>
      <c r="O784" s="77"/>
      <c r="Q784" s="97"/>
      <c r="R784" s="97"/>
      <c r="AB784" s="72">
        <v>1</v>
      </c>
      <c r="AE784" s="96"/>
      <c r="AF784" s="102"/>
      <c r="AG784" s="102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  <c r="BC784" s="102"/>
      <c r="BD784" s="102"/>
      <c r="BE784" s="102"/>
      <c r="BF784" s="102"/>
      <c r="BG784" s="102"/>
      <c r="BH784" s="102"/>
      <c r="BI784" s="102"/>
      <c r="BJ784" s="102"/>
      <c r="BK784" s="102"/>
      <c r="BL784" s="102"/>
      <c r="BM784" s="102"/>
      <c r="BN784" s="102"/>
      <c r="BO784" s="102"/>
      <c r="BP784" s="102"/>
      <c r="BQ784" s="102"/>
      <c r="BR784" s="102"/>
      <c r="BS784" s="102"/>
      <c r="BT784" s="102"/>
      <c r="BU784" s="102"/>
      <c r="BV784" s="102"/>
      <c r="BW784" s="102"/>
      <c r="BX784" s="102"/>
      <c r="BY784" s="94"/>
      <c r="BZ784" s="94"/>
      <c r="CA784" s="94"/>
      <c r="CB784" s="94"/>
      <c r="CC784" s="94"/>
      <c r="CD784" s="94"/>
      <c r="CE784" s="94"/>
      <c r="CF784" s="94"/>
      <c r="CG784" s="94"/>
      <c r="CH784" s="94"/>
      <c r="CI784" s="94"/>
      <c r="CJ784" s="94" t="str">
        <f>"     " &amp; TEXT(AF784,"#0.00%") &amp; " " &amp; "Install Duct" &amp; " " &amp; IF(Q784="","",TEXT(Q784,"M/D-")) &amp; IF(R784="","",TEXT(R784,"M/D")) &amp; " "</f>
        <v xml:space="preserve">     0.00% Install Duct  </v>
      </c>
      <c r="CK784" s="94"/>
      <c r="CL784" s="94"/>
      <c r="CM784" s="94"/>
      <c r="CN784" s="94"/>
      <c r="CO784" s="94"/>
      <c r="CP784" s="94"/>
      <c r="CQ784" s="94"/>
      <c r="CR784" s="94"/>
      <c r="CS784" s="94"/>
      <c r="CT784" s="94"/>
      <c r="CU784" s="94"/>
      <c r="CV784" s="94"/>
      <c r="CW784" s="94"/>
      <c r="CX784" s="94"/>
      <c r="CY784" s="94"/>
      <c r="CZ784" s="94"/>
      <c r="DA784" s="94"/>
      <c r="DB784" s="94"/>
      <c r="DC784" s="94"/>
      <c r="DD784" s="94"/>
      <c r="DE784" s="94"/>
      <c r="DF784" s="94"/>
      <c r="DG784" s="94"/>
      <c r="DH784" s="94"/>
      <c r="DI784" s="94"/>
      <c r="DJ784" s="94"/>
      <c r="DK784" s="94"/>
      <c r="DL784" s="94"/>
      <c r="DM784" s="94"/>
      <c r="DN784" s="94"/>
      <c r="DO784" s="94"/>
      <c r="DP784" s="94"/>
      <c r="DQ784" s="94"/>
    </row>
    <row r="785" spans="1:121" ht="15" customHeight="1" outlineLevel="3" x14ac:dyDescent="0.3">
      <c r="A785" s="100"/>
      <c r="B785" s="100"/>
      <c r="C785" s="99">
        <v>4</v>
      </c>
      <c r="D785" s="98" t="s">
        <v>431</v>
      </c>
      <c r="G785" s="94"/>
      <c r="H785" s="77" t="s">
        <v>311</v>
      </c>
      <c r="O785" s="77"/>
      <c r="Q785" s="97"/>
      <c r="R785" s="97"/>
      <c r="AB785" s="72">
        <v>1</v>
      </c>
      <c r="AE785" s="96"/>
      <c r="AF785" s="102"/>
      <c r="AG785" s="102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  <c r="BC785" s="102"/>
      <c r="BD785" s="102"/>
      <c r="BE785" s="102"/>
      <c r="BF785" s="102"/>
      <c r="BG785" s="102"/>
      <c r="BH785" s="102"/>
      <c r="BI785" s="102"/>
      <c r="BJ785" s="102"/>
      <c r="BK785" s="102"/>
      <c r="BL785" s="102"/>
      <c r="BM785" s="102"/>
      <c r="BN785" s="102"/>
      <c r="BO785" s="102"/>
      <c r="BP785" s="102"/>
      <c r="BQ785" s="102"/>
      <c r="BR785" s="102"/>
      <c r="BS785" s="102"/>
      <c r="BT785" s="102"/>
      <c r="BU785" s="102"/>
      <c r="BV785" s="102"/>
      <c r="BW785" s="102"/>
      <c r="BX785" s="102"/>
      <c r="BY785" s="94"/>
      <c r="BZ785" s="94"/>
      <c r="CA785" s="94"/>
      <c r="CB785" s="94"/>
      <c r="CC785" s="94"/>
      <c r="CD785" s="94"/>
      <c r="CE785" s="94"/>
      <c r="CF785" s="94"/>
      <c r="CG785" s="94"/>
      <c r="CH785" s="94"/>
      <c r="CI785" s="94"/>
      <c r="CJ785" s="94"/>
      <c r="CK785" s="94" t="str">
        <f>"   " &amp; TEXT(AF785,"#0.00%") &amp; " " &amp; "Installation Lifter cable" &amp; " " &amp; IF(Q785="","",TEXT(Q785,"M/D-")) &amp; IF(R785="","",TEXT(R785,"M/D")) &amp; " "</f>
        <v xml:space="preserve">   0.00% Installation Lifter cable  </v>
      </c>
      <c r="CL785" s="94"/>
      <c r="CM785" s="94"/>
      <c r="CN785" s="94"/>
      <c r="CO785" s="94"/>
      <c r="CP785" s="94"/>
      <c r="CQ785" s="94"/>
      <c r="CR785" s="94"/>
      <c r="CS785" s="94"/>
      <c r="CT785" s="94"/>
      <c r="CU785" s="94"/>
      <c r="CV785" s="94"/>
      <c r="CW785" s="94"/>
      <c r="CX785" s="94"/>
      <c r="CY785" s="94"/>
      <c r="CZ785" s="94"/>
      <c r="DA785" s="94"/>
      <c r="DB785" s="94"/>
      <c r="DC785" s="94"/>
      <c r="DD785" s="94"/>
      <c r="DE785" s="94"/>
      <c r="DF785" s="94"/>
      <c r="DG785" s="94"/>
      <c r="DH785" s="94"/>
      <c r="DI785" s="94"/>
      <c r="DJ785" s="94"/>
      <c r="DK785" s="94"/>
      <c r="DL785" s="94"/>
      <c r="DM785" s="94"/>
      <c r="DN785" s="94"/>
      <c r="DO785" s="94"/>
      <c r="DP785" s="94"/>
      <c r="DQ785" s="94"/>
    </row>
    <row r="786" spans="1:121" ht="15" customHeight="1" outlineLevel="3" x14ac:dyDescent="0.3">
      <c r="A786" s="100"/>
      <c r="B786" s="100"/>
      <c r="C786" s="99">
        <v>4</v>
      </c>
      <c r="D786" s="98" t="s">
        <v>430</v>
      </c>
      <c r="G786" s="94"/>
      <c r="H786" s="77" t="s">
        <v>309</v>
      </c>
      <c r="O786" s="77"/>
      <c r="Q786" s="97"/>
      <c r="R786" s="97"/>
      <c r="AB786" s="72">
        <v>1</v>
      </c>
      <c r="AE786" s="96"/>
      <c r="AF786" s="102"/>
      <c r="AG786" s="102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  <c r="BC786" s="102"/>
      <c r="BD786" s="102"/>
      <c r="BE786" s="102"/>
      <c r="BF786" s="102"/>
      <c r="BG786" s="102"/>
      <c r="BH786" s="102"/>
      <c r="BI786" s="102"/>
      <c r="BJ786" s="102"/>
      <c r="BK786" s="102"/>
      <c r="BL786" s="102"/>
      <c r="BM786" s="102"/>
      <c r="BN786" s="102"/>
      <c r="BO786" s="102"/>
      <c r="BP786" s="102"/>
      <c r="BQ786" s="102"/>
      <c r="BR786" s="102"/>
      <c r="BS786" s="102"/>
      <c r="BT786" s="102"/>
      <c r="BU786" s="102"/>
      <c r="BV786" s="102"/>
      <c r="BW786" s="102"/>
      <c r="BX786" s="102"/>
      <c r="BY786" s="94"/>
      <c r="BZ786" s="94"/>
      <c r="CA786" s="94"/>
      <c r="CB786" s="94"/>
      <c r="CC786" s="94"/>
      <c r="CD786" s="94"/>
      <c r="CE786" s="94"/>
      <c r="CF786" s="94"/>
      <c r="CG786" s="94"/>
      <c r="CH786" s="94"/>
      <c r="CI786" s="94"/>
      <c r="CJ786" s="94"/>
      <c r="CK786" s="94" t="str">
        <f>"   " &amp; TEXT(AF786,"#0.00%") &amp; " " &amp; "Installation Power moller cable" &amp; " " &amp; IF(Q786="","",TEXT(Q786,"M/D-")) &amp; IF(R786="","",TEXT(R786,"M/D")) &amp; " "</f>
        <v xml:space="preserve">   0.00% Installation Power moller cable  </v>
      </c>
      <c r="CL786" s="94"/>
      <c r="CM786" s="94"/>
      <c r="CN786" s="94"/>
      <c r="CO786" s="94"/>
      <c r="CP786" s="94"/>
      <c r="CQ786" s="94"/>
      <c r="CR786" s="94"/>
      <c r="CS786" s="94"/>
      <c r="CT786" s="94"/>
      <c r="CU786" s="94"/>
      <c r="CV786" s="94"/>
      <c r="CW786" s="94"/>
      <c r="CX786" s="94"/>
      <c r="CY786" s="94"/>
      <c r="CZ786" s="94"/>
      <c r="DA786" s="94"/>
      <c r="DB786" s="94"/>
      <c r="DC786" s="94"/>
      <c r="DD786" s="94"/>
      <c r="DE786" s="94"/>
      <c r="DF786" s="94"/>
      <c r="DG786" s="94"/>
      <c r="DH786" s="94"/>
      <c r="DI786" s="94"/>
      <c r="DJ786" s="94"/>
      <c r="DK786" s="94"/>
      <c r="DL786" s="94"/>
      <c r="DM786" s="94"/>
      <c r="DN786" s="94"/>
      <c r="DO786" s="94"/>
      <c r="DP786" s="94"/>
      <c r="DQ786" s="94"/>
    </row>
    <row r="787" spans="1:121" ht="15" customHeight="1" outlineLevel="3" x14ac:dyDescent="0.3">
      <c r="A787" s="100"/>
      <c r="B787" s="100"/>
      <c r="C787" s="99">
        <v>4</v>
      </c>
      <c r="D787" s="98" t="s">
        <v>429</v>
      </c>
      <c r="G787" s="94"/>
      <c r="H787" s="77" t="s">
        <v>307</v>
      </c>
      <c r="O787" s="77"/>
      <c r="Q787" s="97"/>
      <c r="R787" s="97"/>
      <c r="AB787" s="72">
        <v>1</v>
      </c>
      <c r="AE787" s="96"/>
      <c r="AF787" s="102"/>
      <c r="AG787" s="102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  <c r="BC787" s="102"/>
      <c r="BD787" s="102"/>
      <c r="BE787" s="102"/>
      <c r="BF787" s="102"/>
      <c r="BG787" s="102"/>
      <c r="BH787" s="102"/>
      <c r="BI787" s="102"/>
      <c r="BJ787" s="102"/>
      <c r="BK787" s="102"/>
      <c r="BL787" s="102"/>
      <c r="BM787" s="102"/>
      <c r="BN787" s="102"/>
      <c r="BO787" s="102"/>
      <c r="BP787" s="102"/>
      <c r="BQ787" s="102"/>
      <c r="BR787" s="102"/>
      <c r="BS787" s="102"/>
      <c r="BT787" s="102"/>
      <c r="BU787" s="102"/>
      <c r="BV787" s="102"/>
      <c r="BW787" s="102"/>
      <c r="BX787" s="102"/>
      <c r="BY787" s="94"/>
      <c r="BZ787" s="94"/>
      <c r="CA787" s="94"/>
      <c r="CB787" s="94"/>
      <c r="CC787" s="94"/>
      <c r="CD787" s="94"/>
      <c r="CE787" s="94"/>
      <c r="CF787" s="94"/>
      <c r="CG787" s="94"/>
      <c r="CH787" s="94"/>
      <c r="CI787" s="94"/>
      <c r="CJ787" s="94"/>
      <c r="CK787" s="94" t="str">
        <f>"   " &amp; TEXT(AF787,"#0.00%") &amp; " " &amp; "Installation Lifter Light Curtain cable" &amp; " " &amp; IF(Q787="","",TEXT(Q787,"M/D-")) &amp; IF(R787="","",TEXT(R787,"M/D")) &amp; " "</f>
        <v xml:space="preserve">   0.00% Installation Lifter Light Curtain cable  </v>
      </c>
      <c r="CL787" s="94"/>
      <c r="CM787" s="94"/>
      <c r="CN787" s="94"/>
      <c r="CO787" s="94"/>
      <c r="CP787" s="94"/>
      <c r="CQ787" s="94"/>
      <c r="CR787" s="94"/>
      <c r="CS787" s="94"/>
      <c r="CT787" s="94"/>
      <c r="CU787" s="94"/>
      <c r="CV787" s="94"/>
      <c r="CW787" s="94"/>
      <c r="CX787" s="94"/>
      <c r="CY787" s="94"/>
      <c r="CZ787" s="94"/>
      <c r="DA787" s="94"/>
      <c r="DB787" s="94"/>
      <c r="DC787" s="94"/>
      <c r="DD787" s="94"/>
      <c r="DE787" s="94"/>
      <c r="DF787" s="94"/>
      <c r="DG787" s="94"/>
      <c r="DH787" s="94"/>
      <c r="DI787" s="94"/>
      <c r="DJ787" s="94"/>
      <c r="DK787" s="94"/>
      <c r="DL787" s="94"/>
      <c r="DM787" s="94"/>
      <c r="DN787" s="94"/>
      <c r="DO787" s="94"/>
      <c r="DP787" s="94"/>
      <c r="DQ787" s="94"/>
    </row>
    <row r="788" spans="1:121" ht="15" customHeight="1" outlineLevel="3" x14ac:dyDescent="0.3">
      <c r="A788" s="100"/>
      <c r="B788" s="100"/>
      <c r="C788" s="99">
        <v>4</v>
      </c>
      <c r="D788" s="98" t="s">
        <v>428</v>
      </c>
      <c r="G788" s="94"/>
      <c r="H788" s="77" t="s">
        <v>380</v>
      </c>
      <c r="O788" s="77"/>
      <c r="Q788" s="97"/>
      <c r="R788" s="97"/>
      <c r="AB788" s="72">
        <v>1</v>
      </c>
      <c r="AE788" s="96"/>
      <c r="AF788" s="102"/>
      <c r="AG788" s="102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  <c r="AV788" s="102"/>
      <c r="AW788" s="102"/>
      <c r="AX788" s="102"/>
      <c r="AY788" s="102"/>
      <c r="AZ788" s="102"/>
      <c r="BA788" s="102"/>
      <c r="BB788" s="102"/>
      <c r="BC788" s="102"/>
      <c r="BD788" s="102"/>
      <c r="BE788" s="102"/>
      <c r="BF788" s="102"/>
      <c r="BG788" s="102"/>
      <c r="BH788" s="102"/>
      <c r="BI788" s="102"/>
      <c r="BJ788" s="102"/>
      <c r="BK788" s="102"/>
      <c r="BL788" s="102"/>
      <c r="BM788" s="102"/>
      <c r="BN788" s="102"/>
      <c r="BO788" s="102"/>
      <c r="BP788" s="102"/>
      <c r="BQ788" s="102"/>
      <c r="BR788" s="102"/>
      <c r="BS788" s="102"/>
      <c r="BT788" s="102"/>
      <c r="BU788" s="102"/>
      <c r="BV788" s="102"/>
      <c r="BW788" s="102"/>
      <c r="BX788" s="102"/>
      <c r="BY788" s="94"/>
      <c r="BZ788" s="94"/>
      <c r="CA788" s="94"/>
      <c r="CB788" s="94"/>
      <c r="CC788" s="94"/>
      <c r="CD788" s="94"/>
      <c r="CE788" s="94"/>
      <c r="CF788" s="94"/>
      <c r="CG788" s="94"/>
      <c r="CH788" s="94"/>
      <c r="CI788" s="94"/>
      <c r="CJ788" s="94"/>
      <c r="CK788" s="94" t="str">
        <f>"      " &amp; TEXT(AF788,"#0.00%") &amp; " " &amp; "Cable installation work related to fire suppression tank" &amp; " " &amp; IF(Q788="","",TEXT(Q788,"M/D-")) &amp; IF(R788="","",TEXT(R788,"M/D")) &amp; " "</f>
        <v xml:space="preserve">      0.00% Cable installation work related to fire suppression tank  </v>
      </c>
      <c r="CL788" s="94"/>
      <c r="CM788" s="94"/>
      <c r="CN788" s="94"/>
      <c r="CO788" s="94"/>
      <c r="CP788" s="94"/>
      <c r="CQ788" s="94"/>
      <c r="CR788" s="94"/>
      <c r="CS788" s="94"/>
      <c r="CT788" s="94"/>
      <c r="CU788" s="94"/>
      <c r="CV788" s="94"/>
      <c r="CW788" s="94"/>
      <c r="CX788" s="94"/>
      <c r="CY788" s="94"/>
      <c r="CZ788" s="94"/>
      <c r="DA788" s="94"/>
      <c r="DB788" s="94"/>
      <c r="DC788" s="94"/>
      <c r="DD788" s="94"/>
      <c r="DE788" s="94"/>
      <c r="DF788" s="94"/>
      <c r="DG788" s="94"/>
      <c r="DH788" s="94"/>
      <c r="DI788" s="94"/>
      <c r="DJ788" s="94"/>
      <c r="DK788" s="94"/>
      <c r="DL788" s="94"/>
      <c r="DM788" s="94"/>
      <c r="DN788" s="94"/>
      <c r="DO788" s="94"/>
      <c r="DP788" s="94"/>
      <c r="DQ788" s="94"/>
    </row>
    <row r="789" spans="1:121" ht="15" customHeight="1" outlineLevel="3" x14ac:dyDescent="0.3">
      <c r="A789" s="100"/>
      <c r="B789" s="100"/>
      <c r="C789" s="99">
        <v>4</v>
      </c>
      <c r="D789" s="98" t="s">
        <v>427</v>
      </c>
      <c r="G789" s="94"/>
      <c r="H789" s="77" t="s">
        <v>378</v>
      </c>
      <c r="O789" s="77"/>
      <c r="Q789" s="97"/>
      <c r="R789" s="97"/>
      <c r="AB789" s="72">
        <v>1</v>
      </c>
      <c r="AE789" s="96"/>
      <c r="AF789" s="102"/>
      <c r="AG789" s="102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  <c r="AV789" s="102"/>
      <c r="AW789" s="102"/>
      <c r="AX789" s="102"/>
      <c r="AY789" s="102"/>
      <c r="AZ789" s="102"/>
      <c r="BA789" s="102"/>
      <c r="BB789" s="102"/>
      <c r="BC789" s="102"/>
      <c r="BD789" s="102"/>
      <c r="BE789" s="102"/>
      <c r="BF789" s="102"/>
      <c r="BG789" s="102"/>
      <c r="BH789" s="102"/>
      <c r="BI789" s="102"/>
      <c r="BJ789" s="102"/>
      <c r="BK789" s="102"/>
      <c r="BL789" s="102"/>
      <c r="BM789" s="102"/>
      <c r="BN789" s="102"/>
      <c r="BO789" s="102"/>
      <c r="BP789" s="102"/>
      <c r="BQ789" s="102"/>
      <c r="BR789" s="102"/>
      <c r="BS789" s="102"/>
      <c r="BT789" s="102"/>
      <c r="BU789" s="102"/>
      <c r="BV789" s="102"/>
      <c r="BW789" s="102"/>
      <c r="BX789" s="102"/>
      <c r="BY789" s="94"/>
      <c r="BZ789" s="94"/>
      <c r="CA789" s="94"/>
      <c r="CB789" s="94"/>
      <c r="CC789" s="94"/>
      <c r="CD789" s="94"/>
      <c r="CE789" s="94"/>
      <c r="CF789" s="94"/>
      <c r="CG789" s="94"/>
      <c r="CH789" s="94"/>
      <c r="CI789" s="94"/>
      <c r="CJ789" s="94"/>
      <c r="CK789" s="94" t="str">
        <f>"      " &amp; TEXT(AF789,"#0.00%") &amp; " " &amp; "Door S/W SOP LCP cable Installation" &amp; " " &amp; IF(Q789="","",TEXT(Q789,"M/D-")) &amp; IF(R789="","",TEXT(R789,"M/D")) &amp; " "</f>
        <v xml:space="preserve">      0.00% Door S/W SOP LCP cable Installation  </v>
      </c>
      <c r="CL789" s="94"/>
      <c r="CM789" s="94"/>
      <c r="CN789" s="94"/>
      <c r="CO789" s="94"/>
      <c r="CP789" s="94"/>
      <c r="CQ789" s="94"/>
      <c r="CR789" s="94"/>
      <c r="CS789" s="94"/>
      <c r="CT789" s="94"/>
      <c r="CU789" s="94"/>
      <c r="CV789" s="94"/>
      <c r="CW789" s="94"/>
      <c r="CX789" s="94"/>
      <c r="CY789" s="94"/>
      <c r="CZ789" s="94"/>
      <c r="DA789" s="94"/>
      <c r="DB789" s="94"/>
      <c r="DC789" s="94"/>
      <c r="DD789" s="94"/>
      <c r="DE789" s="94"/>
      <c r="DF789" s="94"/>
      <c r="DG789" s="94"/>
      <c r="DH789" s="94"/>
      <c r="DI789" s="94"/>
      <c r="DJ789" s="94"/>
      <c r="DK789" s="94"/>
      <c r="DL789" s="94"/>
      <c r="DM789" s="94"/>
      <c r="DN789" s="94"/>
      <c r="DO789" s="94"/>
      <c r="DP789" s="94"/>
      <c r="DQ789" s="94"/>
    </row>
    <row r="790" spans="1:121" ht="15" customHeight="1" outlineLevel="3" x14ac:dyDescent="0.3">
      <c r="A790" s="100"/>
      <c r="B790" s="100"/>
      <c r="C790" s="99">
        <v>4</v>
      </c>
      <c r="D790" s="98" t="s">
        <v>426</v>
      </c>
      <c r="G790" s="94"/>
      <c r="H790" s="77" t="s">
        <v>303</v>
      </c>
      <c r="O790" s="77"/>
      <c r="Q790" s="97"/>
      <c r="R790" s="97"/>
      <c r="AB790" s="72">
        <v>1</v>
      </c>
      <c r="AE790" s="96"/>
      <c r="AF790" s="102"/>
      <c r="AG790" s="102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  <c r="BC790" s="102"/>
      <c r="BD790" s="102"/>
      <c r="BE790" s="102"/>
      <c r="BF790" s="102"/>
      <c r="BG790" s="102"/>
      <c r="BH790" s="102"/>
      <c r="BI790" s="102"/>
      <c r="BJ790" s="102"/>
      <c r="BK790" s="102"/>
      <c r="BL790" s="102"/>
      <c r="BM790" s="102"/>
      <c r="BN790" s="102"/>
      <c r="BO790" s="102"/>
      <c r="BP790" s="102"/>
      <c r="BQ790" s="102"/>
      <c r="BR790" s="102"/>
      <c r="BS790" s="102"/>
      <c r="BT790" s="102"/>
      <c r="BU790" s="102"/>
      <c r="BV790" s="102"/>
      <c r="BW790" s="102"/>
      <c r="BX790" s="102"/>
      <c r="BY790" s="94"/>
      <c r="BZ790" s="94"/>
      <c r="CA790" s="94"/>
      <c r="CB790" s="94"/>
      <c r="CC790" s="94"/>
      <c r="CD790" s="94"/>
      <c r="CE790" s="94"/>
      <c r="CF790" s="94"/>
      <c r="CG790" s="94"/>
      <c r="CH790" s="94"/>
      <c r="CI790" s="94"/>
      <c r="CJ790" s="94"/>
      <c r="CK790" s="94"/>
      <c r="CL790" s="94" t="str">
        <f>"  " &amp; TEXT(AF790,"#0.00%") &amp; " " &amp; "Installation Panel Inside Cable " &amp; " " &amp; IF(Q790="","",TEXT(Q790,"M/D-")) &amp; IF(R790="","",TEXT(R790,"M/D")) &amp; " "</f>
        <v xml:space="preserve">  0.00% Installation Panel Inside Cable   </v>
      </c>
      <c r="CM790" s="94"/>
      <c r="CN790" s="94"/>
      <c r="CO790" s="94"/>
      <c r="CP790" s="94"/>
      <c r="CQ790" s="94"/>
      <c r="CR790" s="94"/>
      <c r="CS790" s="94"/>
      <c r="CT790" s="94"/>
      <c r="CU790" s="94"/>
      <c r="CV790" s="94"/>
      <c r="CW790" s="94"/>
      <c r="CX790" s="94"/>
      <c r="CY790" s="94"/>
      <c r="CZ790" s="94"/>
      <c r="DA790" s="94"/>
      <c r="DB790" s="94"/>
      <c r="DC790" s="94"/>
      <c r="DD790" s="94"/>
      <c r="DE790" s="94"/>
      <c r="DF790" s="94"/>
      <c r="DG790" s="94"/>
      <c r="DH790" s="94"/>
      <c r="DI790" s="94"/>
      <c r="DJ790" s="94"/>
      <c r="DK790" s="94"/>
      <c r="DL790" s="94"/>
      <c r="DM790" s="94"/>
      <c r="DN790" s="94"/>
      <c r="DO790" s="94"/>
      <c r="DP790" s="94"/>
      <c r="DQ790" s="94"/>
    </row>
    <row r="791" spans="1:121" ht="15" customHeight="1" outlineLevel="3" x14ac:dyDescent="0.3">
      <c r="A791" s="100"/>
      <c r="B791" s="100"/>
      <c r="C791" s="99">
        <v>4</v>
      </c>
      <c r="D791" s="98" t="s">
        <v>425</v>
      </c>
      <c r="G791" s="94"/>
      <c r="H791" s="77" t="s">
        <v>301</v>
      </c>
      <c r="O791" s="77"/>
      <c r="Q791" s="97"/>
      <c r="R791" s="97"/>
      <c r="AB791" s="72">
        <v>1</v>
      </c>
      <c r="AE791" s="96"/>
      <c r="AF791" s="102"/>
      <c r="AG791" s="102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  <c r="AV791" s="102"/>
      <c r="AW791" s="102"/>
      <c r="AX791" s="102"/>
      <c r="AY791" s="102"/>
      <c r="AZ791" s="102"/>
      <c r="BA791" s="102"/>
      <c r="BB791" s="102"/>
      <c r="BC791" s="102"/>
      <c r="BD791" s="102"/>
      <c r="BE791" s="102"/>
      <c r="BF791" s="102"/>
      <c r="BG791" s="102"/>
      <c r="BH791" s="102"/>
      <c r="BI791" s="102"/>
      <c r="BJ791" s="102"/>
      <c r="BK791" s="102"/>
      <c r="BL791" s="102"/>
      <c r="BM791" s="102"/>
      <c r="BN791" s="102"/>
      <c r="BO791" s="102"/>
      <c r="BP791" s="102"/>
      <c r="BQ791" s="102"/>
      <c r="BR791" s="102"/>
      <c r="BS791" s="102"/>
      <c r="BT791" s="102"/>
      <c r="BU791" s="102"/>
      <c r="BV791" s="102"/>
      <c r="BW791" s="102"/>
      <c r="BX791" s="102"/>
      <c r="BY791" s="94"/>
      <c r="BZ791" s="94"/>
      <c r="CA791" s="94"/>
      <c r="CB791" s="94"/>
      <c r="CC791" s="94"/>
      <c r="CD791" s="94"/>
      <c r="CE791" s="94"/>
      <c r="CF791" s="94"/>
      <c r="CG791" s="94"/>
      <c r="CH791" s="94"/>
      <c r="CI791" s="94"/>
      <c r="CJ791" s="94"/>
      <c r="CK791" s="94"/>
      <c r="CL791" s="94"/>
      <c r="CM791" s="94" t="str">
        <f>"" &amp; TEXT(AF791,"#0.00%") &amp; " " &amp; "Installation LED LAMP" &amp; " " &amp; IF(Q791="","",TEXT(Q791,"M/D-")) &amp; IF(R791="","",TEXT(R791,"M/D")) &amp; " "</f>
        <v xml:space="preserve">0.00% Installation LED LAMP  </v>
      </c>
      <c r="CN791" s="94"/>
      <c r="CO791" s="94"/>
      <c r="CP791" s="94"/>
      <c r="CQ791" s="94"/>
      <c r="CR791" s="94"/>
      <c r="CS791" s="94"/>
      <c r="CT791" s="94"/>
      <c r="CU791" s="94"/>
      <c r="CV791" s="94"/>
      <c r="CW791" s="94"/>
      <c r="CX791" s="94"/>
      <c r="CY791" s="94"/>
      <c r="CZ791" s="94"/>
      <c r="DA791" s="94"/>
      <c r="DB791" s="94"/>
      <c r="DC791" s="94"/>
      <c r="DD791" s="94"/>
      <c r="DE791" s="94"/>
      <c r="DF791" s="94"/>
      <c r="DG791" s="94"/>
      <c r="DH791" s="94"/>
      <c r="DI791" s="94"/>
      <c r="DJ791" s="94"/>
      <c r="DK791" s="94"/>
      <c r="DL791" s="94"/>
      <c r="DM791" s="94"/>
      <c r="DN791" s="94"/>
      <c r="DO791" s="94"/>
      <c r="DP791" s="94"/>
      <c r="DQ791" s="94"/>
    </row>
    <row r="792" spans="1:121" ht="15" customHeight="1" outlineLevel="3" x14ac:dyDescent="0.3">
      <c r="A792" s="100"/>
      <c r="B792" s="100"/>
      <c r="C792" s="99">
        <v>4</v>
      </c>
      <c r="D792" s="98" t="s">
        <v>424</v>
      </c>
      <c r="G792" s="94"/>
      <c r="H792" s="77" t="s">
        <v>374</v>
      </c>
      <c r="O792" s="77"/>
      <c r="Q792" s="97"/>
      <c r="R792" s="97"/>
      <c r="AB792" s="72">
        <v>1</v>
      </c>
      <c r="AE792" s="96"/>
      <c r="AF792" s="102"/>
      <c r="AG792" s="102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2"/>
      <c r="BA792" s="102"/>
      <c r="BB792" s="102"/>
      <c r="BC792" s="102"/>
      <c r="BD792" s="102"/>
      <c r="BE792" s="102"/>
      <c r="BF792" s="102"/>
      <c r="BG792" s="102"/>
      <c r="BH792" s="102"/>
      <c r="BI792" s="102"/>
      <c r="BJ792" s="102"/>
      <c r="BK792" s="102"/>
      <c r="BL792" s="102"/>
      <c r="BM792" s="102"/>
      <c r="BN792" s="102"/>
      <c r="BO792" s="102"/>
      <c r="BP792" s="102"/>
      <c r="BQ792" s="102"/>
      <c r="BR792" s="102"/>
      <c r="BS792" s="102"/>
      <c r="BT792" s="102"/>
      <c r="BU792" s="102"/>
      <c r="BV792" s="102"/>
      <c r="BW792" s="102"/>
      <c r="BX792" s="102"/>
      <c r="BY792" s="94"/>
      <c r="BZ792" s="94"/>
      <c r="CA792" s="94"/>
      <c r="CB792" s="94"/>
      <c r="CC792" s="94"/>
      <c r="CD792" s="94"/>
      <c r="CE792" s="94"/>
      <c r="CF792" s="94"/>
      <c r="CG792" s="94"/>
      <c r="CH792" s="94"/>
      <c r="CI792" s="94"/>
      <c r="CJ792" s="94"/>
      <c r="CK792" s="94"/>
      <c r="CL792" s="94"/>
      <c r="CM792" s="94" t="str">
        <f>"   " &amp; TEXT(AF792,"#0.00%") &amp; " " &amp; "Installation Collector Arm" &amp; " " &amp; IF(Q792="","",TEXT(Q792,"M/D-")) &amp; IF(R792="","",TEXT(R792,"M/D")) &amp; " "</f>
        <v xml:space="preserve">   0.00% Installation Collector Arm  </v>
      </c>
      <c r="CN792" s="94"/>
      <c r="CO792" s="94"/>
      <c r="CP792" s="94"/>
      <c r="CQ792" s="94"/>
      <c r="CR792" s="94"/>
      <c r="CS792" s="94"/>
      <c r="CT792" s="94"/>
      <c r="CU792" s="94"/>
      <c r="CV792" s="94"/>
      <c r="CW792" s="94"/>
      <c r="CX792" s="94"/>
      <c r="CY792" s="94"/>
      <c r="CZ792" s="94"/>
      <c r="DA792" s="94"/>
      <c r="DB792" s="94"/>
      <c r="DC792" s="94"/>
      <c r="DD792" s="94"/>
      <c r="DE792" s="94"/>
      <c r="DF792" s="94"/>
      <c r="DG792" s="94"/>
      <c r="DH792" s="94"/>
      <c r="DI792" s="94"/>
      <c r="DJ792" s="94"/>
      <c r="DK792" s="94"/>
      <c r="DL792" s="94"/>
      <c r="DM792" s="94"/>
      <c r="DN792" s="94"/>
      <c r="DO792" s="94"/>
      <c r="DP792" s="94"/>
      <c r="DQ792" s="94"/>
    </row>
    <row r="793" spans="1:121" ht="15" customHeight="1" outlineLevel="3" x14ac:dyDescent="0.3">
      <c r="A793" s="100"/>
      <c r="B793" s="100"/>
      <c r="C793" s="99">
        <v>4</v>
      </c>
      <c r="D793" s="98" t="s">
        <v>423</v>
      </c>
      <c r="G793" s="94"/>
      <c r="H793" s="77" t="s">
        <v>372</v>
      </c>
      <c r="O793" s="77"/>
      <c r="Q793" s="97"/>
      <c r="R793" s="97"/>
      <c r="AB793" s="72">
        <v>1</v>
      </c>
      <c r="AE793" s="96"/>
      <c r="AF793" s="102"/>
      <c r="AG793" s="102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  <c r="AV793" s="102"/>
      <c r="AW793" s="102"/>
      <c r="AX793" s="102"/>
      <c r="AY793" s="102"/>
      <c r="AZ793" s="102"/>
      <c r="BA793" s="102"/>
      <c r="BB793" s="102"/>
      <c r="BC793" s="102"/>
      <c r="BD793" s="102"/>
      <c r="BE793" s="102"/>
      <c r="BF793" s="102"/>
      <c r="BG793" s="102"/>
      <c r="BH793" s="102"/>
      <c r="BI793" s="102"/>
      <c r="BJ793" s="102"/>
      <c r="BK793" s="102"/>
      <c r="BL793" s="102"/>
      <c r="BM793" s="102"/>
      <c r="BN793" s="102"/>
      <c r="BO793" s="102"/>
      <c r="BP793" s="102"/>
      <c r="BQ793" s="102"/>
      <c r="BR793" s="102"/>
      <c r="BS793" s="102"/>
      <c r="BT793" s="102"/>
      <c r="BU793" s="102"/>
      <c r="BV793" s="102"/>
      <c r="BW793" s="102"/>
      <c r="BX793" s="102"/>
      <c r="BY793" s="94"/>
      <c r="BZ793" s="94"/>
      <c r="CA793" s="94"/>
      <c r="CB793" s="94"/>
      <c r="CC793" s="94"/>
      <c r="CD793" s="94"/>
      <c r="CE793" s="94"/>
      <c r="CF793" s="94"/>
      <c r="CG793" s="94"/>
      <c r="CH793" s="94"/>
      <c r="CI793" s="94"/>
      <c r="CJ793" s="94"/>
      <c r="CK793" s="94"/>
      <c r="CL793" s="94"/>
      <c r="CM793" s="94" t="str">
        <f>"   " &amp; TEXT(AF793,"#0.00%") &amp; " " &amp; "Attach Tape(Driving BCR)" &amp; " " &amp; IF(Q793="","",TEXT(Q793,"M/D-")) &amp; IF(R793="","",TEXT(R793,"M/D")) &amp; " "</f>
        <v xml:space="preserve">   0.00% Attach Tape(Driving BCR)  </v>
      </c>
      <c r="CN793" s="94"/>
      <c r="CO793" s="94"/>
      <c r="CP793" s="94"/>
      <c r="CQ793" s="94"/>
      <c r="CR793" s="94"/>
      <c r="CS793" s="94"/>
      <c r="CT793" s="94"/>
      <c r="CU793" s="94"/>
      <c r="CV793" s="94"/>
      <c r="CW793" s="94"/>
      <c r="CX793" s="94"/>
      <c r="CY793" s="94"/>
      <c r="CZ793" s="94"/>
      <c r="DA793" s="94"/>
      <c r="DB793" s="94"/>
      <c r="DC793" s="94"/>
      <c r="DD793" s="94"/>
      <c r="DE793" s="94"/>
      <c r="DF793" s="94"/>
      <c r="DG793" s="94"/>
      <c r="DH793" s="94"/>
      <c r="DI793" s="94"/>
      <c r="DJ793" s="94"/>
      <c r="DK793" s="94"/>
      <c r="DL793" s="94"/>
      <c r="DM793" s="94"/>
      <c r="DN793" s="94"/>
      <c r="DO793" s="94"/>
      <c r="DP793" s="94"/>
      <c r="DQ793" s="94"/>
    </row>
    <row r="794" spans="1:121" ht="15" customHeight="1" outlineLevel="3" x14ac:dyDescent="0.3">
      <c r="A794" s="100"/>
      <c r="B794" s="100"/>
      <c r="C794" s="99">
        <v>4</v>
      </c>
      <c r="D794" s="98" t="s">
        <v>422</v>
      </c>
      <c r="G794" s="94"/>
      <c r="H794" s="77" t="s">
        <v>370</v>
      </c>
      <c r="O794" s="77"/>
      <c r="Q794" s="97"/>
      <c r="R794" s="97"/>
      <c r="AB794" s="72">
        <v>1</v>
      </c>
      <c r="AE794" s="96"/>
      <c r="AF794" s="102"/>
      <c r="AG794" s="102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  <c r="AV794" s="102"/>
      <c r="AW794" s="102"/>
      <c r="AX794" s="102"/>
      <c r="AY794" s="102"/>
      <c r="AZ794" s="102"/>
      <c r="BA794" s="102"/>
      <c r="BB794" s="102"/>
      <c r="BC794" s="102"/>
      <c r="BD794" s="102"/>
      <c r="BE794" s="102"/>
      <c r="BF794" s="102"/>
      <c r="BG794" s="102"/>
      <c r="BH794" s="102"/>
      <c r="BI794" s="102"/>
      <c r="BJ794" s="102"/>
      <c r="BK794" s="102"/>
      <c r="BL794" s="102"/>
      <c r="BM794" s="102"/>
      <c r="BN794" s="102"/>
      <c r="BO794" s="102"/>
      <c r="BP794" s="102"/>
      <c r="BQ794" s="102"/>
      <c r="BR794" s="102"/>
      <c r="BS794" s="102"/>
      <c r="BT794" s="102"/>
      <c r="BU794" s="102"/>
      <c r="BV794" s="102"/>
      <c r="BW794" s="102"/>
      <c r="BX794" s="102"/>
      <c r="BY794" s="94"/>
      <c r="BZ794" s="94"/>
      <c r="CA794" s="94"/>
      <c r="CB794" s="94"/>
      <c r="CC794" s="94"/>
      <c r="CD794" s="94"/>
      <c r="CE794" s="94"/>
      <c r="CF794" s="94"/>
      <c r="CG794" s="94"/>
      <c r="CH794" s="94"/>
      <c r="CI794" s="94"/>
      <c r="CJ794" s="94"/>
      <c r="CK794" s="94"/>
      <c r="CL794" s="94"/>
      <c r="CM794" s="94" t="str">
        <f>"   " &amp; TEXT(AF794,"#0.00%") &amp; " " &amp; "Installation Motor Cable" &amp; " " &amp; IF(Q794="","",TEXT(Q794,"M/D-")) &amp; IF(R794="","",TEXT(R794,"M/D")) &amp; " "</f>
        <v xml:space="preserve">   0.00% Installation Motor Cable  </v>
      </c>
      <c r="CN794" s="94"/>
      <c r="CO794" s="94"/>
      <c r="CP794" s="94"/>
      <c r="CQ794" s="94"/>
      <c r="CR794" s="94"/>
      <c r="CS794" s="94"/>
      <c r="CT794" s="94"/>
      <c r="CU794" s="94"/>
      <c r="CV794" s="94"/>
      <c r="CW794" s="94"/>
      <c r="CX794" s="94"/>
      <c r="CY794" s="94"/>
      <c r="CZ794" s="94"/>
      <c r="DA794" s="94"/>
      <c r="DB794" s="94"/>
      <c r="DC794" s="94"/>
      <c r="DD794" s="94"/>
      <c r="DE794" s="94"/>
      <c r="DF794" s="94"/>
      <c r="DG794" s="94"/>
      <c r="DH794" s="94"/>
      <c r="DI794" s="94"/>
      <c r="DJ794" s="94"/>
      <c r="DK794" s="94"/>
      <c r="DL794" s="94"/>
      <c r="DM794" s="94"/>
      <c r="DN794" s="94"/>
      <c r="DO794" s="94"/>
      <c r="DP794" s="94"/>
      <c r="DQ794" s="94"/>
    </row>
    <row r="795" spans="1:121" ht="15" customHeight="1" outlineLevel="2" x14ac:dyDescent="0.3">
      <c r="A795" s="100"/>
      <c r="B795" s="100" t="s">
        <v>298</v>
      </c>
      <c r="C795" s="99">
        <v>3</v>
      </c>
      <c r="D795" s="98" t="s">
        <v>421</v>
      </c>
      <c r="F795" s="94"/>
      <c r="G795" s="77" t="s">
        <v>420</v>
      </c>
      <c r="O795" s="94" t="s">
        <v>419</v>
      </c>
      <c r="Q795" s="104"/>
      <c r="R795" s="104"/>
      <c r="AE795" s="96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94"/>
      <c r="BZ795" s="94"/>
      <c r="CA795" s="94"/>
      <c r="CB795" s="94"/>
      <c r="CC795" s="94"/>
      <c r="CD795" s="94"/>
      <c r="CE795" s="94"/>
      <c r="CF795" s="94"/>
      <c r="CG795" s="94" t="str">
        <f>"   " &amp; TEXT(AF795,"#0.00%") &amp; " "</f>
        <v xml:space="preserve">   0.00% </v>
      </c>
      <c r="CH795" s="94"/>
      <c r="CI795" s="94"/>
      <c r="CJ795" s="94" t="str">
        <f>"   " &amp; "Empty Tray" &amp; " " &amp; IF(Q795="","",TEXT(Q795,"M/D-")) &amp; IF(R795="","",TEXT(R795,"M/D")) &amp; " "</f>
        <v xml:space="preserve">   Empty Tray  </v>
      </c>
      <c r="CK795" s="94"/>
      <c r="CL795" s="94"/>
      <c r="CM795" s="94"/>
      <c r="CN795" s="94"/>
      <c r="CO795" s="94"/>
      <c r="CP795" s="94"/>
      <c r="CQ795" s="94"/>
      <c r="CR795" s="94"/>
      <c r="CS795" s="94"/>
      <c r="CT795" s="94"/>
      <c r="CU795" s="94"/>
      <c r="CV795" s="94"/>
      <c r="CW795" s="94"/>
      <c r="CX795" s="94"/>
      <c r="CY795" s="94"/>
      <c r="CZ795" s="94"/>
      <c r="DA795" s="94"/>
      <c r="DB795" s="94"/>
      <c r="DC795" s="94"/>
      <c r="DD795" s="94"/>
      <c r="DE795" s="94"/>
      <c r="DF795" s="94"/>
      <c r="DG795" s="94"/>
      <c r="DH795" s="94"/>
      <c r="DI795" s="94"/>
      <c r="DJ795" s="94"/>
      <c r="DK795" s="94"/>
      <c r="DL795" s="94"/>
      <c r="DM795" s="94"/>
      <c r="DN795" s="94"/>
      <c r="DO795" s="94"/>
      <c r="DP795" s="94"/>
      <c r="DQ795" s="94"/>
    </row>
    <row r="796" spans="1:121" ht="15" customHeight="1" outlineLevel="3" x14ac:dyDescent="0.3">
      <c r="A796" s="100"/>
      <c r="B796" s="100"/>
      <c r="C796" s="99">
        <v>4</v>
      </c>
      <c r="D796" s="98" t="s">
        <v>418</v>
      </c>
      <c r="F796" s="94"/>
      <c r="H796" s="77" t="s">
        <v>317</v>
      </c>
      <c r="O796" s="94"/>
      <c r="Q796" s="97"/>
      <c r="R796" s="97"/>
      <c r="AB796" s="72">
        <v>1</v>
      </c>
      <c r="AE796" s="96"/>
      <c r="AF796" s="102"/>
      <c r="AG796" s="102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  <c r="BC796" s="102"/>
      <c r="BD796" s="102"/>
      <c r="BE796" s="102"/>
      <c r="BF796" s="102"/>
      <c r="BG796" s="102"/>
      <c r="BH796" s="102"/>
      <c r="BI796" s="102"/>
      <c r="BJ796" s="102"/>
      <c r="BK796" s="102"/>
      <c r="BL796" s="102"/>
      <c r="BM796" s="102"/>
      <c r="BN796" s="102"/>
      <c r="BO796" s="102"/>
      <c r="BP796" s="102"/>
      <c r="BQ796" s="102"/>
      <c r="BR796" s="102"/>
      <c r="BS796" s="102"/>
      <c r="BT796" s="102"/>
      <c r="BU796" s="102"/>
      <c r="BV796" s="102"/>
      <c r="BW796" s="102"/>
      <c r="BX796" s="102"/>
      <c r="BY796" s="94"/>
      <c r="BZ796" s="94"/>
      <c r="CA796" s="94"/>
      <c r="CB796" s="94"/>
      <c r="CC796" s="94"/>
      <c r="CD796" s="94"/>
      <c r="CE796" s="94"/>
      <c r="CF796" s="94"/>
      <c r="CG796" s="94" t="str">
        <f>"   " &amp; TEXT(AF796,"#0.00%") &amp; " " &amp; "Panel Alignment and fixation" &amp; " " &amp; IF(Q796="","",TEXT(Q796,"M/D-")) &amp; IF(R796="","",TEXT(R796,"M/D")) &amp; " "</f>
        <v xml:space="preserve">   0.00% Panel Alignment and fixation  </v>
      </c>
      <c r="CH796" s="94"/>
      <c r="CI796" s="94"/>
      <c r="CJ796" s="94"/>
      <c r="CK796" s="94"/>
      <c r="CL796" s="94"/>
      <c r="CM796" s="94"/>
      <c r="CN796" s="94"/>
      <c r="CO796" s="94"/>
      <c r="CP796" s="94"/>
      <c r="CQ796" s="94"/>
      <c r="CR796" s="94"/>
      <c r="CS796" s="94"/>
      <c r="CT796" s="94"/>
      <c r="CU796" s="94"/>
      <c r="CV796" s="94"/>
      <c r="CW796" s="94"/>
      <c r="CX796" s="94"/>
      <c r="CY796" s="94"/>
      <c r="CZ796" s="94"/>
      <c r="DA796" s="94"/>
      <c r="DB796" s="94"/>
      <c r="DC796" s="94"/>
      <c r="DD796" s="94"/>
      <c r="DE796" s="94"/>
      <c r="DF796" s="94"/>
      <c r="DG796" s="94"/>
      <c r="DH796" s="94"/>
      <c r="DI796" s="94"/>
      <c r="DJ796" s="94"/>
      <c r="DK796" s="94"/>
      <c r="DL796" s="94"/>
      <c r="DM796" s="94"/>
      <c r="DN796" s="94"/>
      <c r="DO796" s="94"/>
      <c r="DP796" s="94"/>
      <c r="DQ796" s="94"/>
    </row>
    <row r="797" spans="1:121" ht="15" customHeight="1" outlineLevel="3" x14ac:dyDescent="0.3">
      <c r="A797" s="100"/>
      <c r="B797" s="100"/>
      <c r="C797" s="99">
        <v>4</v>
      </c>
      <c r="D797" s="98" t="s">
        <v>417</v>
      </c>
      <c r="F797" s="94"/>
      <c r="H797" s="77" t="s">
        <v>315</v>
      </c>
      <c r="O797" s="94"/>
      <c r="Q797" s="97"/>
      <c r="R797" s="97"/>
      <c r="AB797" s="72">
        <v>1</v>
      </c>
      <c r="AE797" s="96"/>
      <c r="AF797" s="102"/>
      <c r="AG797" s="102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  <c r="BB797" s="102"/>
      <c r="BC797" s="102"/>
      <c r="BD797" s="102"/>
      <c r="BE797" s="102"/>
      <c r="BF797" s="102"/>
      <c r="BG797" s="102"/>
      <c r="BH797" s="102"/>
      <c r="BI797" s="102"/>
      <c r="BJ797" s="102"/>
      <c r="BK797" s="102"/>
      <c r="BL797" s="102"/>
      <c r="BM797" s="102"/>
      <c r="BN797" s="102"/>
      <c r="BO797" s="102"/>
      <c r="BP797" s="102"/>
      <c r="BQ797" s="102"/>
      <c r="BR797" s="102"/>
      <c r="BS797" s="102"/>
      <c r="BT797" s="102"/>
      <c r="BU797" s="102"/>
      <c r="BV797" s="102"/>
      <c r="BW797" s="102"/>
      <c r="BX797" s="102"/>
      <c r="BY797" s="94"/>
      <c r="BZ797" s="94"/>
      <c r="CA797" s="94"/>
      <c r="CB797" s="94"/>
      <c r="CC797" s="94"/>
      <c r="CD797" s="94"/>
      <c r="CE797" s="94"/>
      <c r="CF797" s="94"/>
      <c r="CG797" s="94" t="str">
        <f>"   " &amp; TEXT(AF797,"#0.00%") &amp; " " &amp; "Door S/W SOP LCP positioning in alignment" &amp; " " &amp; IF(Q797="","",TEXT(Q797,"M/D-")) &amp; IF(R797="","",TEXT(R797,"M/D")) &amp; " "</f>
        <v xml:space="preserve">   0.00% Door S/W SOP LCP positioning in alignment  </v>
      </c>
      <c r="CH797" s="94"/>
      <c r="CI797" s="94"/>
      <c r="CJ797" s="94"/>
      <c r="CK797" s="94"/>
      <c r="CL797" s="94"/>
      <c r="CM797" s="94"/>
      <c r="CN797" s="94"/>
      <c r="CO797" s="94"/>
      <c r="CP797" s="94"/>
      <c r="CQ797" s="94"/>
      <c r="CR797" s="94"/>
      <c r="CS797" s="94"/>
      <c r="CT797" s="94"/>
      <c r="CU797" s="94"/>
      <c r="CV797" s="94"/>
      <c r="CW797" s="94"/>
      <c r="CX797" s="94"/>
      <c r="CY797" s="94"/>
      <c r="CZ797" s="94"/>
      <c r="DA797" s="94"/>
      <c r="DB797" s="94"/>
      <c r="DC797" s="94"/>
      <c r="DD797" s="94"/>
      <c r="DE797" s="94"/>
      <c r="DF797" s="94"/>
      <c r="DG797" s="94"/>
      <c r="DH797" s="94"/>
      <c r="DI797" s="94"/>
      <c r="DJ797" s="94"/>
      <c r="DK797" s="94"/>
      <c r="DL797" s="94"/>
      <c r="DM797" s="94"/>
      <c r="DN797" s="94"/>
      <c r="DO797" s="94"/>
      <c r="DP797" s="94"/>
      <c r="DQ797" s="94"/>
    </row>
    <row r="798" spans="1:121" ht="15" customHeight="1" outlineLevel="3" x14ac:dyDescent="0.3">
      <c r="A798" s="100"/>
      <c r="B798" s="100"/>
      <c r="C798" s="99">
        <v>4</v>
      </c>
      <c r="D798" s="98" t="s">
        <v>416</v>
      </c>
      <c r="F798" s="94"/>
      <c r="H798" s="77" t="s">
        <v>313</v>
      </c>
      <c r="O798" s="94"/>
      <c r="Q798" s="97"/>
      <c r="R798" s="97"/>
      <c r="AB798" s="72">
        <v>1</v>
      </c>
      <c r="AE798" s="96"/>
      <c r="AF798" s="102"/>
      <c r="AG798" s="102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  <c r="BB798" s="102"/>
      <c r="BC798" s="102"/>
      <c r="BD798" s="102"/>
      <c r="BE798" s="102"/>
      <c r="BF798" s="102"/>
      <c r="BG798" s="102"/>
      <c r="BH798" s="102"/>
      <c r="BI798" s="102"/>
      <c r="BJ798" s="102"/>
      <c r="BK798" s="102"/>
      <c r="BL798" s="102"/>
      <c r="BM798" s="102"/>
      <c r="BN798" s="102"/>
      <c r="BO798" s="102"/>
      <c r="BP798" s="102"/>
      <c r="BQ798" s="102"/>
      <c r="BR798" s="102"/>
      <c r="BS798" s="102"/>
      <c r="BT798" s="102"/>
      <c r="BU798" s="102"/>
      <c r="BV798" s="102"/>
      <c r="BW798" s="102"/>
      <c r="BX798" s="102"/>
      <c r="BY798" s="94"/>
      <c r="BZ798" s="94"/>
      <c r="CA798" s="94"/>
      <c r="CB798" s="94"/>
      <c r="CC798" s="94"/>
      <c r="CD798" s="94"/>
      <c r="CE798" s="94"/>
      <c r="CF798" s="94"/>
      <c r="CG798" s="94" t="str">
        <f>"    " &amp; TEXT(AF798,"#0.00%") &amp; " " &amp; "Install Duct" &amp; " " &amp; IF(Q798="","",TEXT(Q798,"M/D-")) &amp; IF(R798="","",TEXT(R798,"M/D")) &amp; " "</f>
        <v xml:space="preserve">    0.00% Install Duct  </v>
      </c>
      <c r="CH798" s="94"/>
      <c r="CI798" s="94"/>
      <c r="CJ798" s="94"/>
      <c r="CK798" s="94"/>
      <c r="CL798" s="94"/>
      <c r="CM798" s="94"/>
      <c r="CN798" s="94"/>
      <c r="CO798" s="94"/>
      <c r="CP798" s="94"/>
      <c r="CQ798" s="94"/>
      <c r="CR798" s="94"/>
      <c r="CS798" s="94"/>
      <c r="CT798" s="94"/>
      <c r="CU798" s="94"/>
      <c r="CV798" s="94"/>
      <c r="CW798" s="94"/>
      <c r="CX798" s="94"/>
      <c r="CY798" s="94"/>
      <c r="CZ798" s="94"/>
      <c r="DA798" s="94"/>
      <c r="DB798" s="94"/>
      <c r="DC798" s="94"/>
      <c r="DD798" s="94"/>
      <c r="DE798" s="94"/>
      <c r="DF798" s="94"/>
      <c r="DG798" s="94"/>
      <c r="DH798" s="94"/>
      <c r="DI798" s="94"/>
      <c r="DJ798" s="94"/>
      <c r="DK798" s="94"/>
      <c r="DL798" s="94"/>
      <c r="DM798" s="94"/>
      <c r="DN798" s="94"/>
      <c r="DO798" s="94"/>
      <c r="DP798" s="94"/>
      <c r="DQ798" s="94"/>
    </row>
    <row r="799" spans="1:121" ht="15" customHeight="1" outlineLevel="3" x14ac:dyDescent="0.3">
      <c r="A799" s="100"/>
      <c r="B799" s="100"/>
      <c r="C799" s="99">
        <v>4</v>
      </c>
      <c r="D799" s="98" t="s">
        <v>415</v>
      </c>
      <c r="F799" s="94"/>
      <c r="H799" s="77" t="s">
        <v>311</v>
      </c>
      <c r="O799" s="94"/>
      <c r="Q799" s="97"/>
      <c r="R799" s="97"/>
      <c r="AB799" s="72">
        <v>1</v>
      </c>
      <c r="AE799" s="96"/>
      <c r="AF799" s="102"/>
      <c r="AG799" s="102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  <c r="BB799" s="102"/>
      <c r="BC799" s="102"/>
      <c r="BD799" s="102"/>
      <c r="BE799" s="102"/>
      <c r="BF799" s="102"/>
      <c r="BG799" s="102"/>
      <c r="BH799" s="102"/>
      <c r="BI799" s="102"/>
      <c r="BJ799" s="102"/>
      <c r="BK799" s="102"/>
      <c r="BL799" s="102"/>
      <c r="BM799" s="102"/>
      <c r="BN799" s="102"/>
      <c r="BO799" s="102"/>
      <c r="BP799" s="102"/>
      <c r="BQ799" s="102"/>
      <c r="BR799" s="102"/>
      <c r="BS799" s="102"/>
      <c r="BT799" s="102"/>
      <c r="BU799" s="102"/>
      <c r="BV799" s="102"/>
      <c r="BW799" s="102"/>
      <c r="BX799" s="102"/>
      <c r="BY799" s="94"/>
      <c r="BZ799" s="94"/>
      <c r="CA799" s="94"/>
      <c r="CB799" s="94"/>
      <c r="CC799" s="94"/>
      <c r="CD799" s="94"/>
      <c r="CE799" s="94"/>
      <c r="CF799" s="94"/>
      <c r="CG799" s="94"/>
      <c r="CH799" s="94" t="str">
        <f>"  " &amp; TEXT(AF799,"#0.00%") &amp; " " &amp; "Installation Lifter cable" &amp; " " &amp; IF(Q799="","",TEXT(Q799,"M/D-")) &amp; IF(R799="","",TEXT(R799,"M/D")) &amp; " "</f>
        <v xml:space="preserve">  0.00% Installation Lifter cable  </v>
      </c>
      <c r="CI799" s="94"/>
      <c r="CJ799" s="94"/>
      <c r="CK799" s="94"/>
      <c r="CL799" s="94"/>
      <c r="CM799" s="94"/>
      <c r="CN799" s="94"/>
      <c r="CO799" s="94"/>
      <c r="CP799" s="94"/>
      <c r="CQ799" s="94"/>
      <c r="CR799" s="94"/>
      <c r="CS799" s="94"/>
      <c r="CT799" s="94"/>
      <c r="CU799" s="94"/>
      <c r="CV799" s="94"/>
      <c r="CW799" s="94"/>
      <c r="CX799" s="94"/>
      <c r="CY799" s="94"/>
      <c r="CZ799" s="94"/>
      <c r="DA799" s="94"/>
      <c r="DB799" s="94"/>
      <c r="DC799" s="94"/>
      <c r="DD799" s="94"/>
      <c r="DE799" s="94"/>
      <c r="DF799" s="94"/>
      <c r="DG799" s="94"/>
      <c r="DH799" s="94"/>
      <c r="DI799" s="94"/>
      <c r="DJ799" s="94"/>
      <c r="DK799" s="94"/>
      <c r="DL799" s="94"/>
      <c r="DM799" s="94"/>
      <c r="DN799" s="94"/>
      <c r="DO799" s="94"/>
      <c r="DP799" s="94"/>
      <c r="DQ799" s="94"/>
    </row>
    <row r="800" spans="1:121" ht="15" customHeight="1" outlineLevel="3" x14ac:dyDescent="0.3">
      <c r="A800" s="100"/>
      <c r="B800" s="100"/>
      <c r="C800" s="99">
        <v>4</v>
      </c>
      <c r="D800" s="98" t="s">
        <v>414</v>
      </c>
      <c r="F800" s="94"/>
      <c r="H800" s="77" t="s">
        <v>309</v>
      </c>
      <c r="O800" s="94"/>
      <c r="Q800" s="97"/>
      <c r="R800" s="97"/>
      <c r="AB800" s="72">
        <v>1</v>
      </c>
      <c r="AE800" s="96"/>
      <c r="AF800" s="102"/>
      <c r="AG800" s="102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  <c r="AV800" s="102"/>
      <c r="AW800" s="102"/>
      <c r="AX800" s="102"/>
      <c r="AY800" s="102"/>
      <c r="AZ800" s="102"/>
      <c r="BA800" s="102"/>
      <c r="BB800" s="102"/>
      <c r="BC800" s="102"/>
      <c r="BD800" s="102"/>
      <c r="BE800" s="102"/>
      <c r="BF800" s="102"/>
      <c r="BG800" s="102"/>
      <c r="BH800" s="102"/>
      <c r="BI800" s="102"/>
      <c r="BJ800" s="102"/>
      <c r="BK800" s="102"/>
      <c r="BL800" s="102"/>
      <c r="BM800" s="102"/>
      <c r="BN800" s="102"/>
      <c r="BO800" s="102"/>
      <c r="BP800" s="102"/>
      <c r="BQ800" s="102"/>
      <c r="BR800" s="102"/>
      <c r="BS800" s="102"/>
      <c r="BT800" s="102"/>
      <c r="BU800" s="102"/>
      <c r="BV800" s="102"/>
      <c r="BW800" s="102"/>
      <c r="BX800" s="102"/>
      <c r="BY800" s="94"/>
      <c r="BZ800" s="94"/>
      <c r="CA800" s="94"/>
      <c r="CB800" s="94"/>
      <c r="CC800" s="94"/>
      <c r="CD800" s="94"/>
      <c r="CE800" s="94"/>
      <c r="CF800" s="94"/>
      <c r="CG800" s="94"/>
      <c r="CH800" s="94" t="str">
        <f>"  " &amp; TEXT(AF800,"#0.00%") &amp; " " &amp; "Installation Power moller cable" &amp; " " &amp; IF(Q800="","",TEXT(Q800,"M/D-")) &amp; IF(R800="","",TEXT(R800,"M/D")) &amp; " "</f>
        <v xml:space="preserve">  0.00% Installation Power moller cable  </v>
      </c>
      <c r="CI800" s="94"/>
      <c r="CJ800" s="94"/>
      <c r="CK800" s="94"/>
      <c r="CL800" s="94"/>
      <c r="CM800" s="94"/>
      <c r="CN800" s="94"/>
      <c r="CO800" s="94"/>
      <c r="CP800" s="94"/>
      <c r="CQ800" s="94"/>
      <c r="CR800" s="94"/>
      <c r="CS800" s="94"/>
      <c r="CT800" s="94"/>
      <c r="CU800" s="94"/>
      <c r="CV800" s="94"/>
      <c r="CW800" s="94"/>
      <c r="CX800" s="94"/>
      <c r="CY800" s="94"/>
      <c r="CZ800" s="94"/>
      <c r="DA800" s="94"/>
      <c r="DB800" s="94"/>
      <c r="DC800" s="94"/>
      <c r="DD800" s="94"/>
      <c r="DE800" s="94"/>
      <c r="DF800" s="94"/>
      <c r="DG800" s="94"/>
      <c r="DH800" s="94"/>
      <c r="DI800" s="94"/>
      <c r="DJ800" s="94"/>
      <c r="DK800" s="94"/>
      <c r="DL800" s="94"/>
      <c r="DM800" s="94"/>
      <c r="DN800" s="94"/>
      <c r="DO800" s="94"/>
      <c r="DP800" s="94"/>
      <c r="DQ800" s="94"/>
    </row>
    <row r="801" spans="1:121" ht="15" customHeight="1" outlineLevel="3" x14ac:dyDescent="0.3">
      <c r="A801" s="100"/>
      <c r="B801" s="100"/>
      <c r="C801" s="99">
        <v>4</v>
      </c>
      <c r="D801" s="98" t="s">
        <v>413</v>
      </c>
      <c r="F801" s="94"/>
      <c r="H801" s="77" t="s">
        <v>307</v>
      </c>
      <c r="O801" s="94"/>
      <c r="Q801" s="97"/>
      <c r="R801" s="97"/>
      <c r="AB801" s="72">
        <v>1</v>
      </c>
      <c r="AE801" s="96"/>
      <c r="AF801" s="102"/>
      <c r="AG801" s="102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  <c r="BB801" s="102"/>
      <c r="BC801" s="102"/>
      <c r="BD801" s="102"/>
      <c r="BE801" s="102"/>
      <c r="BF801" s="102"/>
      <c r="BG801" s="102"/>
      <c r="BH801" s="102"/>
      <c r="BI801" s="102"/>
      <c r="BJ801" s="102"/>
      <c r="BK801" s="102"/>
      <c r="BL801" s="102"/>
      <c r="BM801" s="102"/>
      <c r="BN801" s="102"/>
      <c r="BO801" s="102"/>
      <c r="BP801" s="102"/>
      <c r="BQ801" s="102"/>
      <c r="BR801" s="102"/>
      <c r="BS801" s="102"/>
      <c r="BT801" s="102"/>
      <c r="BU801" s="102"/>
      <c r="BV801" s="102"/>
      <c r="BW801" s="102"/>
      <c r="BX801" s="102"/>
      <c r="BY801" s="94"/>
      <c r="BZ801" s="94"/>
      <c r="CA801" s="94"/>
      <c r="CB801" s="94"/>
      <c r="CC801" s="94"/>
      <c r="CD801" s="94"/>
      <c r="CE801" s="94"/>
      <c r="CF801" s="94"/>
      <c r="CG801" s="94"/>
      <c r="CH801" s="94" t="str">
        <f>"  " &amp; TEXT(AF801,"#0.00%") &amp; " " &amp; "Installation Lifter Light Curtain cable" &amp; " " &amp; IF(Q801="","",TEXT(Q801,"M/D-")) &amp; IF(R801="","",TEXT(R801,"M/D")) &amp; " "</f>
        <v xml:space="preserve">  0.00% Installation Lifter Light Curtain cable  </v>
      </c>
      <c r="CI801" s="94"/>
      <c r="CJ801" s="94"/>
      <c r="CK801" s="94"/>
      <c r="CL801" s="94"/>
      <c r="CM801" s="94"/>
      <c r="CN801" s="94"/>
      <c r="CO801" s="94"/>
      <c r="CP801" s="94"/>
      <c r="CQ801" s="94"/>
      <c r="CR801" s="94"/>
      <c r="CS801" s="94"/>
      <c r="CT801" s="94"/>
      <c r="CU801" s="94"/>
      <c r="CV801" s="94"/>
      <c r="CW801" s="94"/>
      <c r="CX801" s="94"/>
      <c r="CY801" s="94"/>
      <c r="CZ801" s="94"/>
      <c r="DA801" s="94"/>
      <c r="DB801" s="94"/>
      <c r="DC801" s="94"/>
      <c r="DD801" s="94"/>
      <c r="DE801" s="94"/>
      <c r="DF801" s="94"/>
      <c r="DG801" s="94"/>
      <c r="DH801" s="94"/>
      <c r="DI801" s="94"/>
      <c r="DJ801" s="94"/>
      <c r="DK801" s="94"/>
      <c r="DL801" s="94"/>
      <c r="DM801" s="94"/>
      <c r="DN801" s="94"/>
      <c r="DO801" s="94"/>
      <c r="DP801" s="94"/>
      <c r="DQ801" s="94"/>
    </row>
    <row r="802" spans="1:121" ht="15" customHeight="1" outlineLevel="3" x14ac:dyDescent="0.3">
      <c r="A802" s="100"/>
      <c r="B802" s="100"/>
      <c r="C802" s="99">
        <v>4</v>
      </c>
      <c r="D802" s="98" t="s">
        <v>412</v>
      </c>
      <c r="F802" s="94"/>
      <c r="H802" s="77" t="s">
        <v>378</v>
      </c>
      <c r="O802" s="94"/>
      <c r="Q802" s="97"/>
      <c r="R802" s="97"/>
      <c r="AB802" s="72">
        <v>1</v>
      </c>
      <c r="AE802" s="96"/>
      <c r="AF802" s="102"/>
      <c r="AG802" s="102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  <c r="BB802" s="102"/>
      <c r="BC802" s="102"/>
      <c r="BD802" s="102"/>
      <c r="BE802" s="102"/>
      <c r="BF802" s="102"/>
      <c r="BG802" s="102"/>
      <c r="BH802" s="102"/>
      <c r="BI802" s="102"/>
      <c r="BJ802" s="102"/>
      <c r="BK802" s="102"/>
      <c r="BL802" s="102"/>
      <c r="BM802" s="102"/>
      <c r="BN802" s="102"/>
      <c r="BO802" s="102"/>
      <c r="BP802" s="102"/>
      <c r="BQ802" s="102"/>
      <c r="BR802" s="102"/>
      <c r="BS802" s="102"/>
      <c r="BT802" s="102"/>
      <c r="BU802" s="102"/>
      <c r="BV802" s="102"/>
      <c r="BW802" s="102"/>
      <c r="BX802" s="102"/>
      <c r="BY802" s="94"/>
      <c r="BZ802" s="94"/>
      <c r="CA802" s="94"/>
      <c r="CB802" s="94"/>
      <c r="CC802" s="94"/>
      <c r="CD802" s="94"/>
      <c r="CE802" s="94"/>
      <c r="CF802" s="94"/>
      <c r="CG802" s="94"/>
      <c r="CH802" s="94" t="str">
        <f>"    " &amp; TEXT(AF802,"#0.00%") &amp; " " &amp; "Door S/W SOP LCP cable Installation" &amp; " " &amp; IF(Q802="","",TEXT(Q802,"M/D-")) &amp; IF(R802="","",TEXT(R802,"M/D")) &amp; " "</f>
        <v xml:space="preserve">    0.00% Door S/W SOP LCP cable Installation  </v>
      </c>
      <c r="CI802" s="94"/>
      <c r="CJ802" s="94"/>
      <c r="CK802" s="94"/>
      <c r="CL802" s="94"/>
      <c r="CM802" s="94"/>
      <c r="CN802" s="94"/>
      <c r="CO802" s="94"/>
      <c r="CP802" s="94"/>
      <c r="CQ802" s="94"/>
      <c r="CR802" s="94"/>
      <c r="CS802" s="94"/>
      <c r="CT802" s="94"/>
      <c r="CU802" s="94"/>
      <c r="CV802" s="94"/>
      <c r="CW802" s="94"/>
      <c r="CX802" s="94"/>
      <c r="CY802" s="94"/>
      <c r="CZ802" s="94"/>
      <c r="DA802" s="94"/>
      <c r="DB802" s="94"/>
      <c r="DC802" s="94"/>
      <c r="DD802" s="94"/>
      <c r="DE802" s="94"/>
      <c r="DF802" s="94"/>
      <c r="DG802" s="94"/>
      <c r="DH802" s="94"/>
      <c r="DI802" s="94"/>
      <c r="DJ802" s="94"/>
      <c r="DK802" s="94"/>
      <c r="DL802" s="94"/>
      <c r="DM802" s="94"/>
      <c r="DN802" s="94"/>
      <c r="DO802" s="94"/>
      <c r="DP802" s="94"/>
      <c r="DQ802" s="94"/>
    </row>
    <row r="803" spans="1:121" ht="15" customHeight="1" outlineLevel="3" x14ac:dyDescent="0.3">
      <c r="A803" s="100"/>
      <c r="B803" s="100"/>
      <c r="C803" s="99">
        <v>4</v>
      </c>
      <c r="D803" s="98" t="s">
        <v>411</v>
      </c>
      <c r="F803" s="94"/>
      <c r="H803" s="77" t="s">
        <v>303</v>
      </c>
      <c r="O803" s="94"/>
      <c r="Q803" s="97"/>
      <c r="R803" s="97"/>
      <c r="AB803" s="72">
        <v>1</v>
      </c>
      <c r="AE803" s="96"/>
      <c r="AF803" s="102"/>
      <c r="AG803" s="102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  <c r="AV803" s="102"/>
      <c r="AW803" s="102"/>
      <c r="AX803" s="102"/>
      <c r="AY803" s="102"/>
      <c r="AZ803" s="102"/>
      <c r="BA803" s="102"/>
      <c r="BB803" s="102"/>
      <c r="BC803" s="102"/>
      <c r="BD803" s="102"/>
      <c r="BE803" s="102"/>
      <c r="BF803" s="102"/>
      <c r="BG803" s="102"/>
      <c r="BH803" s="102"/>
      <c r="BI803" s="102"/>
      <c r="BJ803" s="102"/>
      <c r="BK803" s="102"/>
      <c r="BL803" s="102"/>
      <c r="BM803" s="102"/>
      <c r="BN803" s="102"/>
      <c r="BO803" s="102"/>
      <c r="BP803" s="102"/>
      <c r="BQ803" s="102"/>
      <c r="BR803" s="102"/>
      <c r="BS803" s="102"/>
      <c r="BT803" s="102"/>
      <c r="BU803" s="102"/>
      <c r="BV803" s="102"/>
      <c r="BW803" s="102"/>
      <c r="BX803" s="102"/>
      <c r="BY803" s="94"/>
      <c r="BZ803" s="94"/>
      <c r="CA803" s="94"/>
      <c r="CB803" s="94"/>
      <c r="CC803" s="94"/>
      <c r="CD803" s="94"/>
      <c r="CE803" s="94"/>
      <c r="CF803" s="94"/>
      <c r="CG803" s="94"/>
      <c r="CH803" s="94" t="str">
        <f>"      " &amp; TEXT(AF803,"#0.00%") &amp; " " &amp; "Installation Panel Inside Cable " &amp; " " &amp; IF(Q803="","",TEXT(Q803,"M/D-")) &amp; IF(R803="","",TEXT(R803,"M/D")) &amp; " "</f>
        <v xml:space="preserve">      0.00% Installation Panel Inside Cable   </v>
      </c>
      <c r="CI803" s="94"/>
      <c r="CJ803" s="94"/>
      <c r="CK803" s="94"/>
      <c r="CL803" s="94"/>
      <c r="CM803" s="94"/>
      <c r="CN803" s="94"/>
      <c r="CO803" s="94"/>
      <c r="CP803" s="94"/>
      <c r="CQ803" s="94"/>
      <c r="CR803" s="94"/>
      <c r="CS803" s="94"/>
      <c r="CT803" s="94"/>
      <c r="CU803" s="94"/>
      <c r="CV803" s="94"/>
      <c r="CW803" s="94"/>
      <c r="CX803" s="94"/>
      <c r="CY803" s="94"/>
      <c r="CZ803" s="94"/>
      <c r="DA803" s="94"/>
      <c r="DB803" s="94"/>
      <c r="DC803" s="94"/>
      <c r="DD803" s="94"/>
      <c r="DE803" s="94"/>
      <c r="DF803" s="94"/>
      <c r="DG803" s="94"/>
      <c r="DH803" s="94"/>
      <c r="DI803" s="94"/>
      <c r="DJ803" s="94"/>
      <c r="DK803" s="94"/>
      <c r="DL803" s="94"/>
      <c r="DM803" s="94"/>
      <c r="DN803" s="94"/>
      <c r="DO803" s="94"/>
      <c r="DP803" s="94"/>
      <c r="DQ803" s="94"/>
    </row>
    <row r="804" spans="1:121" ht="15" customHeight="1" outlineLevel="3" x14ac:dyDescent="0.3">
      <c r="A804" s="100"/>
      <c r="B804" s="100"/>
      <c r="C804" s="99">
        <v>4</v>
      </c>
      <c r="D804" s="98" t="s">
        <v>410</v>
      </c>
      <c r="F804" s="94"/>
      <c r="H804" s="77" t="s">
        <v>374</v>
      </c>
      <c r="O804" s="94"/>
      <c r="Q804" s="97"/>
      <c r="R804" s="97"/>
      <c r="AB804" s="72">
        <v>1</v>
      </c>
      <c r="AE804" s="96"/>
      <c r="AF804" s="102"/>
      <c r="AG804" s="102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  <c r="AV804" s="102"/>
      <c r="AW804" s="102"/>
      <c r="AX804" s="102"/>
      <c r="AY804" s="102"/>
      <c r="AZ804" s="102"/>
      <c r="BA804" s="102"/>
      <c r="BB804" s="102"/>
      <c r="BC804" s="102"/>
      <c r="BD804" s="102"/>
      <c r="BE804" s="102"/>
      <c r="BF804" s="102"/>
      <c r="BG804" s="102"/>
      <c r="BH804" s="102"/>
      <c r="BI804" s="102"/>
      <c r="BJ804" s="102"/>
      <c r="BK804" s="102"/>
      <c r="BL804" s="102"/>
      <c r="BM804" s="102"/>
      <c r="BN804" s="102"/>
      <c r="BO804" s="102"/>
      <c r="BP804" s="102"/>
      <c r="BQ804" s="102"/>
      <c r="BR804" s="102"/>
      <c r="BS804" s="102"/>
      <c r="BT804" s="102"/>
      <c r="BU804" s="102"/>
      <c r="BV804" s="102"/>
      <c r="BW804" s="102"/>
      <c r="BX804" s="102"/>
      <c r="BY804" s="94"/>
      <c r="BZ804" s="94"/>
      <c r="CA804" s="94"/>
      <c r="CB804" s="94"/>
      <c r="CC804" s="94"/>
      <c r="CD804" s="94"/>
      <c r="CE804" s="94"/>
      <c r="CF804" s="94"/>
      <c r="CG804" s="94"/>
      <c r="CH804" s="94"/>
      <c r="CI804" s="94"/>
      <c r="CJ804" s="94" t="str">
        <f>"  " &amp; TEXT(AF804,"#0.00%") &amp; " " &amp; "Installation Collector Arm" &amp; " " &amp; IF(Q804="","",TEXT(Q804,"M/D-")) &amp; IF(R804="","",TEXT(R804,"M/D")) &amp; " "</f>
        <v xml:space="preserve">  0.00% Installation Collector Arm  </v>
      </c>
      <c r="CK804" s="94"/>
      <c r="CL804" s="94"/>
      <c r="CM804" s="94"/>
      <c r="CN804" s="94"/>
      <c r="CO804" s="94"/>
      <c r="CP804" s="94"/>
      <c r="CQ804" s="94"/>
      <c r="CR804" s="94"/>
      <c r="CS804" s="94"/>
      <c r="CT804" s="94"/>
      <c r="CU804" s="94"/>
      <c r="CV804" s="94"/>
      <c r="CW804" s="94"/>
      <c r="CX804" s="94"/>
      <c r="CY804" s="94"/>
      <c r="CZ804" s="94"/>
      <c r="DA804" s="94"/>
      <c r="DB804" s="94"/>
      <c r="DC804" s="94"/>
      <c r="DD804" s="94"/>
      <c r="DE804" s="94"/>
      <c r="DF804" s="94"/>
      <c r="DG804" s="94"/>
      <c r="DH804" s="94"/>
      <c r="DI804" s="94"/>
      <c r="DJ804" s="94"/>
      <c r="DK804" s="94"/>
      <c r="DL804" s="94"/>
      <c r="DM804" s="94"/>
      <c r="DN804" s="94"/>
      <c r="DO804" s="94"/>
      <c r="DP804" s="94"/>
      <c r="DQ804" s="94"/>
    </row>
    <row r="805" spans="1:121" ht="15" customHeight="1" outlineLevel="3" x14ac:dyDescent="0.3">
      <c r="A805" s="100"/>
      <c r="B805" s="100"/>
      <c r="C805" s="99">
        <v>4</v>
      </c>
      <c r="D805" s="98" t="s">
        <v>409</v>
      </c>
      <c r="F805" s="94"/>
      <c r="H805" s="77" t="s">
        <v>372</v>
      </c>
      <c r="O805" s="94"/>
      <c r="Q805" s="97"/>
      <c r="R805" s="97"/>
      <c r="AB805" s="72">
        <v>1</v>
      </c>
      <c r="AE805" s="96"/>
      <c r="AF805" s="102"/>
      <c r="AG805" s="102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2"/>
      <c r="BA805" s="102"/>
      <c r="BB805" s="102"/>
      <c r="BC805" s="102"/>
      <c r="BD805" s="102"/>
      <c r="BE805" s="102"/>
      <c r="BF805" s="102"/>
      <c r="BG805" s="102"/>
      <c r="BH805" s="102"/>
      <c r="BI805" s="102"/>
      <c r="BJ805" s="102"/>
      <c r="BK805" s="102"/>
      <c r="BL805" s="102"/>
      <c r="BM805" s="102"/>
      <c r="BN805" s="102"/>
      <c r="BO805" s="102"/>
      <c r="BP805" s="102"/>
      <c r="BQ805" s="102"/>
      <c r="BR805" s="102"/>
      <c r="BS805" s="102"/>
      <c r="BT805" s="102"/>
      <c r="BU805" s="102"/>
      <c r="BV805" s="102"/>
      <c r="BW805" s="102"/>
      <c r="BX805" s="102"/>
      <c r="BY805" s="94"/>
      <c r="BZ805" s="94"/>
      <c r="CA805" s="94"/>
      <c r="CB805" s="94"/>
      <c r="CC805" s="94"/>
      <c r="CD805" s="94"/>
      <c r="CE805" s="94"/>
      <c r="CF805" s="94"/>
      <c r="CG805" s="94"/>
      <c r="CH805" s="94"/>
      <c r="CI805" s="94"/>
      <c r="CJ805" s="94" t="str">
        <f>"  " &amp; TEXT(AF805,"#0.00%") &amp; " " &amp; "Attach Tape(Driving BCR)" &amp; " " &amp; IF(Q805="","",TEXT(Q805,"M/D-")) &amp; IF(R805="","",TEXT(R805,"M/D")) &amp; " "</f>
        <v xml:space="preserve">  0.00% Attach Tape(Driving BCR)  </v>
      </c>
      <c r="CK805" s="94"/>
      <c r="CL805" s="94"/>
      <c r="CM805" s="94"/>
      <c r="CN805" s="94"/>
      <c r="CO805" s="94"/>
      <c r="CP805" s="94"/>
      <c r="CQ805" s="94"/>
      <c r="CR805" s="94"/>
      <c r="CS805" s="94"/>
      <c r="CT805" s="94"/>
      <c r="CU805" s="94"/>
      <c r="CV805" s="94"/>
      <c r="CW805" s="94"/>
      <c r="CX805" s="94"/>
      <c r="CY805" s="94"/>
      <c r="CZ805" s="94"/>
      <c r="DA805" s="94"/>
      <c r="DB805" s="94"/>
      <c r="DC805" s="94"/>
      <c r="DD805" s="94"/>
      <c r="DE805" s="94"/>
      <c r="DF805" s="94"/>
      <c r="DG805" s="94"/>
      <c r="DH805" s="94"/>
      <c r="DI805" s="94"/>
      <c r="DJ805" s="94"/>
      <c r="DK805" s="94"/>
      <c r="DL805" s="94"/>
      <c r="DM805" s="94"/>
      <c r="DN805" s="94"/>
      <c r="DO805" s="94"/>
      <c r="DP805" s="94"/>
      <c r="DQ805" s="94"/>
    </row>
    <row r="806" spans="1:121" ht="15" customHeight="1" outlineLevel="3" x14ac:dyDescent="0.3">
      <c r="A806" s="100"/>
      <c r="B806" s="100"/>
      <c r="C806" s="99">
        <v>4</v>
      </c>
      <c r="D806" s="98" t="s">
        <v>408</v>
      </c>
      <c r="F806" s="94"/>
      <c r="H806" s="77" t="s">
        <v>370</v>
      </c>
      <c r="O806" s="94"/>
      <c r="Q806" s="97"/>
      <c r="R806" s="97"/>
      <c r="AB806" s="72">
        <v>1</v>
      </c>
      <c r="AE806" s="96"/>
      <c r="AF806" s="102"/>
      <c r="AG806" s="102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  <c r="AV806" s="102"/>
      <c r="AW806" s="102"/>
      <c r="AX806" s="102"/>
      <c r="AY806" s="102"/>
      <c r="AZ806" s="102"/>
      <c r="BA806" s="102"/>
      <c r="BB806" s="102"/>
      <c r="BC806" s="102"/>
      <c r="BD806" s="102"/>
      <c r="BE806" s="102"/>
      <c r="BF806" s="102"/>
      <c r="BG806" s="102"/>
      <c r="BH806" s="102"/>
      <c r="BI806" s="102"/>
      <c r="BJ806" s="102"/>
      <c r="BK806" s="102"/>
      <c r="BL806" s="102"/>
      <c r="BM806" s="102"/>
      <c r="BN806" s="102"/>
      <c r="BO806" s="102"/>
      <c r="BP806" s="102"/>
      <c r="BQ806" s="102"/>
      <c r="BR806" s="102"/>
      <c r="BS806" s="102"/>
      <c r="BT806" s="102"/>
      <c r="BU806" s="102"/>
      <c r="BV806" s="102"/>
      <c r="BW806" s="102"/>
      <c r="BX806" s="102"/>
      <c r="BY806" s="94"/>
      <c r="BZ806" s="94"/>
      <c r="CA806" s="94"/>
      <c r="CB806" s="94"/>
      <c r="CC806" s="94"/>
      <c r="CD806" s="94"/>
      <c r="CE806" s="94"/>
      <c r="CF806" s="94"/>
      <c r="CG806" s="94"/>
      <c r="CH806" s="94"/>
      <c r="CI806" s="94"/>
      <c r="CJ806" s="94" t="str">
        <f>"  " &amp; TEXT(AF806,"#0.00%") &amp; " " &amp; "Installation Motor Cable" &amp; " " &amp; IF(Q806="","",TEXT(Q806,"M/D-")) &amp; IF(R806="","",TEXT(R806,"M/D")) &amp; " "</f>
        <v xml:space="preserve">  0.00% Installation Motor Cable  </v>
      </c>
      <c r="CK806" s="94"/>
      <c r="CL806" s="94"/>
      <c r="CM806" s="94"/>
      <c r="CN806" s="94"/>
      <c r="CO806" s="94"/>
      <c r="CP806" s="94"/>
      <c r="CQ806" s="94"/>
      <c r="CR806" s="94"/>
      <c r="CS806" s="94"/>
      <c r="CT806" s="94"/>
      <c r="CU806" s="94"/>
      <c r="CV806" s="94"/>
      <c r="CW806" s="94"/>
      <c r="CX806" s="94"/>
      <c r="CY806" s="94"/>
      <c r="CZ806" s="94"/>
      <c r="DA806" s="94"/>
      <c r="DB806" s="94"/>
      <c r="DC806" s="94"/>
      <c r="DD806" s="94"/>
      <c r="DE806" s="94"/>
      <c r="DF806" s="94"/>
      <c r="DG806" s="94"/>
      <c r="DH806" s="94"/>
      <c r="DI806" s="94"/>
      <c r="DJ806" s="94"/>
      <c r="DK806" s="94"/>
      <c r="DL806" s="94"/>
      <c r="DM806" s="94"/>
      <c r="DN806" s="94"/>
      <c r="DO806" s="94"/>
      <c r="DP806" s="94"/>
      <c r="DQ806" s="94"/>
    </row>
    <row r="807" spans="1:121" ht="15" customHeight="1" outlineLevel="2" x14ac:dyDescent="0.3">
      <c r="A807" s="100"/>
      <c r="B807" s="100" t="s">
        <v>298</v>
      </c>
      <c r="C807" s="99">
        <v>3</v>
      </c>
      <c r="D807" s="98" t="s">
        <v>407</v>
      </c>
      <c r="F807" s="94"/>
      <c r="G807" s="77" t="s">
        <v>406</v>
      </c>
      <c r="O807" s="94" t="s">
        <v>405</v>
      </c>
      <c r="Q807" s="104"/>
      <c r="R807" s="104"/>
      <c r="AE807" s="96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94"/>
      <c r="BZ807" s="94"/>
      <c r="CA807" s="94"/>
      <c r="CB807" s="94"/>
      <c r="CC807" s="94"/>
      <c r="CD807" s="94"/>
      <c r="CE807" s="94"/>
      <c r="CF807" s="94"/>
      <c r="CG807" s="94"/>
      <c r="CH807" s="94"/>
      <c r="CI807" s="94" t="str">
        <f>"     " &amp; TEXT(AF807,"#0.00%") &amp; " " &amp; "HT#1" &amp; " " &amp; IF(Q807="","",TEXT(Q807,"M/D-")) &amp; IF(R807="","",TEXT(R807,"M/D")) &amp; " "</f>
        <v xml:space="preserve">     0.00% HT#1  </v>
      </c>
      <c r="CJ807" s="94"/>
      <c r="CK807" s="94"/>
      <c r="CL807" s="94"/>
      <c r="CM807" s="94"/>
      <c r="CN807" s="94"/>
      <c r="CO807" s="94"/>
      <c r="CP807" s="94"/>
      <c r="CQ807" s="94"/>
      <c r="CR807" s="94"/>
      <c r="CS807" s="94"/>
      <c r="CT807" s="94"/>
      <c r="CU807" s="94"/>
      <c r="CV807" s="94"/>
      <c r="CW807" s="94"/>
      <c r="CX807" s="94"/>
      <c r="CY807" s="94"/>
      <c r="CZ807" s="94"/>
      <c r="DA807" s="94"/>
      <c r="DB807" s="94"/>
      <c r="DC807" s="94"/>
      <c r="DD807" s="94"/>
      <c r="DE807" s="94"/>
      <c r="DF807" s="94"/>
      <c r="DG807" s="94"/>
      <c r="DH807" s="94"/>
      <c r="DI807" s="94"/>
      <c r="DJ807" s="94"/>
      <c r="DK807" s="94"/>
      <c r="DL807" s="94"/>
      <c r="DM807" s="94"/>
      <c r="DN807" s="94"/>
      <c r="DO807" s="94"/>
      <c r="DP807" s="94"/>
      <c r="DQ807" s="94"/>
    </row>
    <row r="808" spans="1:121" ht="15" customHeight="1" outlineLevel="3" x14ac:dyDescent="0.3">
      <c r="A808" s="100"/>
      <c r="B808" s="100"/>
      <c r="C808" s="99">
        <v>4</v>
      </c>
      <c r="D808" s="98" t="s">
        <v>404</v>
      </c>
      <c r="F808" s="94"/>
      <c r="H808" s="77" t="s">
        <v>317</v>
      </c>
      <c r="O808" s="94"/>
      <c r="Q808" s="97"/>
      <c r="R808" s="97"/>
      <c r="AB808" s="72">
        <v>1</v>
      </c>
      <c r="AE808" s="96"/>
      <c r="AF808" s="102"/>
      <c r="AG808" s="102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2"/>
      <c r="BB808" s="102"/>
      <c r="BC808" s="102"/>
      <c r="BD808" s="102"/>
      <c r="BE808" s="102"/>
      <c r="BF808" s="102"/>
      <c r="BG808" s="102"/>
      <c r="BH808" s="102"/>
      <c r="BI808" s="102"/>
      <c r="BJ808" s="102"/>
      <c r="BK808" s="102"/>
      <c r="BL808" s="102"/>
      <c r="BM808" s="102"/>
      <c r="BN808" s="102"/>
      <c r="BO808" s="102"/>
      <c r="BP808" s="102"/>
      <c r="BQ808" s="102"/>
      <c r="BR808" s="102"/>
      <c r="BS808" s="102"/>
      <c r="BT808" s="102"/>
      <c r="BU808" s="102"/>
      <c r="BV808" s="102"/>
      <c r="BW808" s="102"/>
      <c r="BX808" s="102"/>
      <c r="BY808" s="94"/>
      <c r="BZ808" s="94"/>
      <c r="CA808" s="94"/>
      <c r="CB808" s="94"/>
      <c r="CC808" s="94"/>
      <c r="CD808" s="94"/>
      <c r="CE808" s="94"/>
      <c r="CF808" s="94"/>
      <c r="CG808" s="94"/>
      <c r="CH808" s="94"/>
      <c r="CI808" s="94" t="str">
        <f>"     " &amp; TEXT(AF808,"#0.00%") &amp; " " &amp; "Panel Alignment and fixation" &amp; " " &amp; IF(Q808="","",TEXT(Q808,"M/D-")) &amp; IF(R808="","",TEXT(R808,"M/D")) &amp; " "</f>
        <v xml:space="preserve">     0.00% Panel Alignment and fixation  </v>
      </c>
      <c r="CJ808" s="94"/>
      <c r="CK808" s="94"/>
      <c r="CL808" s="94"/>
      <c r="CM808" s="94"/>
      <c r="CN808" s="94"/>
      <c r="CO808" s="94"/>
      <c r="CP808" s="94"/>
      <c r="CQ808" s="94"/>
      <c r="CR808" s="94"/>
      <c r="CS808" s="94"/>
      <c r="CT808" s="94"/>
      <c r="CU808" s="94"/>
      <c r="CV808" s="94"/>
      <c r="CW808" s="94"/>
      <c r="CX808" s="94"/>
      <c r="CY808" s="94"/>
      <c r="CZ808" s="94"/>
      <c r="DA808" s="94"/>
      <c r="DB808" s="94"/>
      <c r="DC808" s="94"/>
      <c r="DD808" s="94"/>
      <c r="DE808" s="94"/>
      <c r="DF808" s="94"/>
      <c r="DG808" s="94"/>
      <c r="DH808" s="94"/>
      <c r="DI808" s="94"/>
      <c r="DJ808" s="94"/>
      <c r="DK808" s="94"/>
      <c r="DL808" s="94"/>
      <c r="DM808" s="94"/>
      <c r="DN808" s="94"/>
      <c r="DO808" s="94"/>
      <c r="DP808" s="94"/>
      <c r="DQ808" s="94"/>
    </row>
    <row r="809" spans="1:121" ht="15" customHeight="1" outlineLevel="3" x14ac:dyDescent="0.3">
      <c r="A809" s="100"/>
      <c r="B809" s="100"/>
      <c r="C809" s="99">
        <v>4</v>
      </c>
      <c r="D809" s="98" t="s">
        <v>403</v>
      </c>
      <c r="F809" s="94"/>
      <c r="H809" s="77" t="s">
        <v>315</v>
      </c>
      <c r="O809" s="94"/>
      <c r="Q809" s="97"/>
      <c r="R809" s="97"/>
      <c r="AB809" s="72">
        <v>1</v>
      </c>
      <c r="AE809" s="96"/>
      <c r="AF809" s="102"/>
      <c r="AG809" s="102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  <c r="BI809" s="102"/>
      <c r="BJ809" s="102"/>
      <c r="BK809" s="102"/>
      <c r="BL809" s="102"/>
      <c r="BM809" s="102"/>
      <c r="BN809" s="102"/>
      <c r="BO809" s="102"/>
      <c r="BP809" s="102"/>
      <c r="BQ809" s="102"/>
      <c r="BR809" s="102"/>
      <c r="BS809" s="102"/>
      <c r="BT809" s="102"/>
      <c r="BU809" s="102"/>
      <c r="BV809" s="102"/>
      <c r="BW809" s="102"/>
      <c r="BX809" s="102"/>
      <c r="BY809" s="94"/>
      <c r="BZ809" s="94"/>
      <c r="CA809" s="94"/>
      <c r="CB809" s="94"/>
      <c r="CC809" s="94"/>
      <c r="CD809" s="94"/>
      <c r="CE809" s="94"/>
      <c r="CF809" s="94"/>
      <c r="CG809" s="94"/>
      <c r="CH809" s="94"/>
      <c r="CI809" s="94" t="str">
        <f>"     " &amp; TEXT(AF809,"#0.00%") &amp; " " &amp; "Door S/W SOP LCP positioning in alignment" &amp; " " &amp; IF(Q809="","",TEXT(Q809,"M/D-")) &amp; IF(R809="","",TEXT(R809,"M/D")) &amp; " "</f>
        <v xml:space="preserve">     0.00% Door S/W SOP LCP positioning in alignment  </v>
      </c>
      <c r="CJ809" s="94"/>
      <c r="CK809" s="94"/>
      <c r="CL809" s="94"/>
      <c r="CM809" s="94"/>
      <c r="CN809" s="94"/>
      <c r="CO809" s="94"/>
      <c r="CP809" s="94"/>
      <c r="CQ809" s="94"/>
      <c r="CR809" s="94"/>
      <c r="CS809" s="94"/>
      <c r="CT809" s="94"/>
      <c r="CU809" s="94"/>
      <c r="CV809" s="94"/>
      <c r="CW809" s="94"/>
      <c r="CX809" s="94"/>
      <c r="CY809" s="94"/>
      <c r="CZ809" s="94"/>
      <c r="DA809" s="94"/>
      <c r="DB809" s="94"/>
      <c r="DC809" s="94"/>
      <c r="DD809" s="94"/>
      <c r="DE809" s="94"/>
      <c r="DF809" s="94"/>
      <c r="DG809" s="94"/>
      <c r="DH809" s="94"/>
      <c r="DI809" s="94"/>
      <c r="DJ809" s="94"/>
      <c r="DK809" s="94"/>
      <c r="DL809" s="94"/>
      <c r="DM809" s="94"/>
      <c r="DN809" s="94"/>
      <c r="DO809" s="94"/>
      <c r="DP809" s="94"/>
      <c r="DQ809" s="94"/>
    </row>
    <row r="810" spans="1:121" ht="15" customHeight="1" outlineLevel="3" x14ac:dyDescent="0.3">
      <c r="A810" s="100"/>
      <c r="B810" s="100"/>
      <c r="C810" s="99">
        <v>4</v>
      </c>
      <c r="D810" s="98" t="s">
        <v>402</v>
      </c>
      <c r="F810" s="94"/>
      <c r="H810" s="77" t="s">
        <v>313</v>
      </c>
      <c r="O810" s="94"/>
      <c r="Q810" s="97"/>
      <c r="R810" s="97"/>
      <c r="AB810" s="72">
        <v>1</v>
      </c>
      <c r="AE810" s="96"/>
      <c r="AF810" s="102"/>
      <c r="AG810" s="102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  <c r="BI810" s="102"/>
      <c r="BJ810" s="102"/>
      <c r="BK810" s="102"/>
      <c r="BL810" s="102"/>
      <c r="BM810" s="102"/>
      <c r="BN810" s="102"/>
      <c r="BO810" s="102"/>
      <c r="BP810" s="102"/>
      <c r="BQ810" s="102"/>
      <c r="BR810" s="102"/>
      <c r="BS810" s="102"/>
      <c r="BT810" s="102"/>
      <c r="BU810" s="102"/>
      <c r="BV810" s="102"/>
      <c r="BW810" s="102"/>
      <c r="BX810" s="102"/>
      <c r="BY810" s="94"/>
      <c r="BZ810" s="94"/>
      <c r="CA810" s="94"/>
      <c r="CB810" s="94"/>
      <c r="CC810" s="94"/>
      <c r="CD810" s="94"/>
      <c r="CE810" s="94"/>
      <c r="CF810" s="94"/>
      <c r="CG810" s="94"/>
      <c r="CH810" s="94"/>
      <c r="CI810" s="94" t="str">
        <f>"      " &amp; TEXT(AF810,"#0.00%") &amp; " " &amp; "Install Duct" &amp; " " &amp; IF(Q810="","",TEXT(Q810,"M/D-")) &amp; IF(R810="","",TEXT(R810,"M/D")) &amp; " "</f>
        <v xml:space="preserve">      0.00% Install Duct  </v>
      </c>
      <c r="CJ810" s="94"/>
      <c r="CK810" s="94"/>
      <c r="CL810" s="94"/>
      <c r="CM810" s="94"/>
      <c r="CN810" s="94"/>
      <c r="CO810" s="94"/>
      <c r="CP810" s="94"/>
      <c r="CQ810" s="94"/>
      <c r="CR810" s="94"/>
      <c r="CS810" s="94"/>
      <c r="CT810" s="94"/>
      <c r="CU810" s="94"/>
      <c r="CV810" s="94"/>
      <c r="CW810" s="94"/>
      <c r="CX810" s="94"/>
      <c r="CY810" s="94"/>
      <c r="CZ810" s="94"/>
      <c r="DA810" s="94"/>
      <c r="DB810" s="94"/>
      <c r="DC810" s="94"/>
      <c r="DD810" s="94"/>
      <c r="DE810" s="94"/>
      <c r="DF810" s="94"/>
      <c r="DG810" s="94"/>
      <c r="DH810" s="94"/>
      <c r="DI810" s="94"/>
      <c r="DJ810" s="94"/>
      <c r="DK810" s="94"/>
      <c r="DL810" s="94"/>
      <c r="DM810" s="94"/>
      <c r="DN810" s="94"/>
      <c r="DO810" s="94"/>
      <c r="DP810" s="94"/>
      <c r="DQ810" s="94"/>
    </row>
    <row r="811" spans="1:121" ht="15" customHeight="1" outlineLevel="3" x14ac:dyDescent="0.3">
      <c r="A811" s="100"/>
      <c r="B811" s="100"/>
      <c r="C811" s="99">
        <v>4</v>
      </c>
      <c r="D811" s="98" t="s">
        <v>401</v>
      </c>
      <c r="F811" s="94"/>
      <c r="H811" s="77" t="s">
        <v>311</v>
      </c>
      <c r="O811" s="94"/>
      <c r="Q811" s="97"/>
      <c r="R811" s="97"/>
      <c r="AB811" s="72">
        <v>1</v>
      </c>
      <c r="AE811" s="96"/>
      <c r="AF811" s="102"/>
      <c r="AG811" s="102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  <c r="BI811" s="102"/>
      <c r="BJ811" s="102"/>
      <c r="BK811" s="102"/>
      <c r="BL811" s="102"/>
      <c r="BM811" s="102"/>
      <c r="BN811" s="102"/>
      <c r="BO811" s="102"/>
      <c r="BP811" s="102"/>
      <c r="BQ811" s="102"/>
      <c r="BR811" s="102"/>
      <c r="BS811" s="102"/>
      <c r="BT811" s="102"/>
      <c r="BU811" s="102"/>
      <c r="BV811" s="102"/>
      <c r="BW811" s="102"/>
      <c r="BX811" s="102"/>
      <c r="BY811" s="94"/>
      <c r="BZ811" s="94"/>
      <c r="CA811" s="94"/>
      <c r="CB811" s="94"/>
      <c r="CC811" s="94"/>
      <c r="CD811" s="94"/>
      <c r="CE811" s="94"/>
      <c r="CF811" s="94"/>
      <c r="CG811" s="94"/>
      <c r="CH811" s="94"/>
      <c r="CI811" s="94"/>
      <c r="CJ811" s="94" t="str">
        <f>"    " &amp; TEXT(AF811,"#0.00%") &amp; " " &amp; "Installation Lifter cable" &amp; " " &amp; IF(Q811="","",TEXT(Q811,"M/D-")) &amp; IF(R811="","",TEXT(R811,"M/D")) &amp; " "</f>
        <v xml:space="preserve">    0.00% Installation Lifter cable  </v>
      </c>
      <c r="CK811" s="94"/>
      <c r="CL811" s="94"/>
      <c r="CM811" s="94"/>
      <c r="CN811" s="94"/>
      <c r="CO811" s="94"/>
      <c r="CP811" s="94"/>
      <c r="CQ811" s="94"/>
      <c r="CR811" s="94"/>
      <c r="CS811" s="94"/>
      <c r="CT811" s="94"/>
      <c r="CU811" s="94"/>
      <c r="CV811" s="94"/>
      <c r="CW811" s="94"/>
      <c r="CX811" s="94"/>
      <c r="CY811" s="94"/>
      <c r="CZ811" s="94"/>
      <c r="DA811" s="94"/>
      <c r="DB811" s="94"/>
      <c r="DC811" s="94"/>
      <c r="DD811" s="94"/>
      <c r="DE811" s="94"/>
      <c r="DF811" s="94"/>
      <c r="DG811" s="94"/>
      <c r="DH811" s="94"/>
      <c r="DI811" s="94"/>
      <c r="DJ811" s="94"/>
      <c r="DK811" s="94"/>
      <c r="DL811" s="94"/>
      <c r="DM811" s="94"/>
      <c r="DN811" s="94"/>
      <c r="DO811" s="94"/>
      <c r="DP811" s="94"/>
      <c r="DQ811" s="94"/>
    </row>
    <row r="812" spans="1:121" ht="15" customHeight="1" outlineLevel="3" x14ac:dyDescent="0.3">
      <c r="A812" s="100"/>
      <c r="B812" s="100"/>
      <c r="C812" s="99">
        <v>4</v>
      </c>
      <c r="D812" s="98" t="s">
        <v>400</v>
      </c>
      <c r="F812" s="94"/>
      <c r="H812" s="77" t="s">
        <v>309</v>
      </c>
      <c r="O812" s="94"/>
      <c r="Q812" s="97"/>
      <c r="R812" s="97"/>
      <c r="AB812" s="72">
        <v>1</v>
      </c>
      <c r="AE812" s="96"/>
      <c r="AF812" s="102"/>
      <c r="AG812" s="102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  <c r="AV812" s="102"/>
      <c r="AW812" s="102"/>
      <c r="AX812" s="102"/>
      <c r="AY812" s="102"/>
      <c r="AZ812" s="102"/>
      <c r="BA812" s="102"/>
      <c r="BB812" s="102"/>
      <c r="BC812" s="102"/>
      <c r="BD812" s="102"/>
      <c r="BE812" s="102"/>
      <c r="BF812" s="102"/>
      <c r="BG812" s="102"/>
      <c r="BH812" s="102"/>
      <c r="BI812" s="102"/>
      <c r="BJ812" s="102"/>
      <c r="BK812" s="102"/>
      <c r="BL812" s="102"/>
      <c r="BM812" s="102"/>
      <c r="BN812" s="102"/>
      <c r="BO812" s="102"/>
      <c r="BP812" s="102"/>
      <c r="BQ812" s="102"/>
      <c r="BR812" s="102"/>
      <c r="BS812" s="102"/>
      <c r="BT812" s="102"/>
      <c r="BU812" s="102"/>
      <c r="BV812" s="102"/>
      <c r="BW812" s="102"/>
      <c r="BX812" s="102"/>
      <c r="BY812" s="94"/>
      <c r="BZ812" s="94"/>
      <c r="CA812" s="94"/>
      <c r="CB812" s="94"/>
      <c r="CC812" s="94"/>
      <c r="CD812" s="94"/>
      <c r="CE812" s="94"/>
      <c r="CF812" s="94"/>
      <c r="CG812" s="94"/>
      <c r="CH812" s="94"/>
      <c r="CI812" s="94"/>
      <c r="CJ812" s="94" t="str">
        <f>"    " &amp; TEXT(AF812,"#0.00%") &amp; " " &amp; "Installation Power moller cable" &amp; " " &amp; IF(Q812="","",TEXT(Q812,"M/D-")) &amp; IF(R812="","",TEXT(R812,"M/D")) &amp; " "</f>
        <v xml:space="preserve">    0.00% Installation Power moller cable  </v>
      </c>
      <c r="CK812" s="94"/>
      <c r="CL812" s="94"/>
      <c r="CM812" s="94"/>
      <c r="CN812" s="94"/>
      <c r="CO812" s="94"/>
      <c r="CP812" s="94"/>
      <c r="CQ812" s="94"/>
      <c r="CR812" s="94"/>
      <c r="CS812" s="94"/>
      <c r="CT812" s="94"/>
      <c r="CU812" s="94"/>
      <c r="CV812" s="94"/>
      <c r="CW812" s="94"/>
      <c r="CX812" s="94"/>
      <c r="CY812" s="94"/>
      <c r="CZ812" s="94"/>
      <c r="DA812" s="94"/>
      <c r="DB812" s="94"/>
      <c r="DC812" s="94"/>
      <c r="DD812" s="94"/>
      <c r="DE812" s="94"/>
      <c r="DF812" s="94"/>
      <c r="DG812" s="94"/>
      <c r="DH812" s="94"/>
      <c r="DI812" s="94"/>
      <c r="DJ812" s="94"/>
      <c r="DK812" s="94"/>
      <c r="DL812" s="94"/>
      <c r="DM812" s="94"/>
      <c r="DN812" s="94"/>
      <c r="DO812" s="94"/>
      <c r="DP812" s="94"/>
      <c r="DQ812" s="94"/>
    </row>
    <row r="813" spans="1:121" ht="15" customHeight="1" outlineLevel="3" x14ac:dyDescent="0.3">
      <c r="A813" s="100"/>
      <c r="B813" s="100"/>
      <c r="C813" s="99">
        <v>4</v>
      </c>
      <c r="D813" s="98" t="s">
        <v>399</v>
      </c>
      <c r="F813" s="94"/>
      <c r="H813" s="77" t="s">
        <v>307</v>
      </c>
      <c r="O813" s="94"/>
      <c r="Q813" s="97"/>
      <c r="R813" s="97"/>
      <c r="AB813" s="72">
        <v>1</v>
      </c>
      <c r="AE813" s="96"/>
      <c r="AF813" s="102"/>
      <c r="AG813" s="102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  <c r="AV813" s="102"/>
      <c r="AW813" s="102"/>
      <c r="AX813" s="102"/>
      <c r="AY813" s="102"/>
      <c r="AZ813" s="102"/>
      <c r="BA813" s="102"/>
      <c r="BB813" s="102"/>
      <c r="BC813" s="102"/>
      <c r="BD813" s="102"/>
      <c r="BE813" s="102"/>
      <c r="BF813" s="102"/>
      <c r="BG813" s="102"/>
      <c r="BH813" s="102"/>
      <c r="BI813" s="102"/>
      <c r="BJ813" s="102"/>
      <c r="BK813" s="102"/>
      <c r="BL813" s="102"/>
      <c r="BM813" s="102"/>
      <c r="BN813" s="102"/>
      <c r="BO813" s="102"/>
      <c r="BP813" s="102"/>
      <c r="BQ813" s="102"/>
      <c r="BR813" s="102"/>
      <c r="BS813" s="102"/>
      <c r="BT813" s="102"/>
      <c r="BU813" s="102"/>
      <c r="BV813" s="102"/>
      <c r="BW813" s="102"/>
      <c r="BX813" s="102"/>
      <c r="BY813" s="94"/>
      <c r="BZ813" s="94"/>
      <c r="CA813" s="94"/>
      <c r="CB813" s="94"/>
      <c r="CC813" s="94"/>
      <c r="CD813" s="94"/>
      <c r="CE813" s="94"/>
      <c r="CF813" s="94"/>
      <c r="CG813" s="94"/>
      <c r="CH813" s="94"/>
      <c r="CI813" s="94"/>
      <c r="CJ813" s="94" t="str">
        <f>"    " &amp; TEXT(AF813,"#0.00%") &amp; " " &amp; "Installation Lifter Light Curtain cable" &amp; " " &amp; IF(Q813="","",TEXT(Q813,"M/D-")) &amp; IF(R813="","",TEXT(R813,"M/D")) &amp; " "</f>
        <v xml:space="preserve">    0.00% Installation Lifter Light Curtain cable  </v>
      </c>
      <c r="CK813" s="94"/>
      <c r="CL813" s="94"/>
      <c r="CM813" s="94"/>
      <c r="CN813" s="94"/>
      <c r="CO813" s="94"/>
      <c r="CP813" s="94"/>
      <c r="CQ813" s="94"/>
      <c r="CR813" s="94"/>
      <c r="CS813" s="94"/>
      <c r="CT813" s="94"/>
      <c r="CU813" s="94"/>
      <c r="CV813" s="94"/>
      <c r="CW813" s="94"/>
      <c r="CX813" s="94"/>
      <c r="CY813" s="94"/>
      <c r="CZ813" s="94"/>
      <c r="DA813" s="94"/>
      <c r="DB813" s="94"/>
      <c r="DC813" s="94"/>
      <c r="DD813" s="94"/>
      <c r="DE813" s="94"/>
      <c r="DF813" s="94"/>
      <c r="DG813" s="94"/>
      <c r="DH813" s="94"/>
      <c r="DI813" s="94"/>
      <c r="DJ813" s="94"/>
      <c r="DK813" s="94"/>
      <c r="DL813" s="94"/>
      <c r="DM813" s="94"/>
      <c r="DN813" s="94"/>
      <c r="DO813" s="94"/>
      <c r="DP813" s="94"/>
      <c r="DQ813" s="94"/>
    </row>
    <row r="814" spans="1:121" ht="15" customHeight="1" outlineLevel="3" x14ac:dyDescent="0.3">
      <c r="A814" s="100"/>
      <c r="B814" s="100"/>
      <c r="C814" s="99">
        <v>4</v>
      </c>
      <c r="D814" s="98" t="s">
        <v>398</v>
      </c>
      <c r="F814" s="94"/>
      <c r="H814" s="77" t="s">
        <v>380</v>
      </c>
      <c r="O814" s="94"/>
      <c r="Q814" s="97"/>
      <c r="R814" s="97"/>
      <c r="AB814" s="72">
        <v>1</v>
      </c>
      <c r="AE814" s="96"/>
      <c r="AF814" s="102"/>
      <c r="AG814" s="102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  <c r="AV814" s="102"/>
      <c r="AW814" s="102"/>
      <c r="AX814" s="102"/>
      <c r="AY814" s="102"/>
      <c r="AZ814" s="102"/>
      <c r="BA814" s="102"/>
      <c r="BB814" s="102"/>
      <c r="BC814" s="102"/>
      <c r="BD814" s="102"/>
      <c r="BE814" s="102"/>
      <c r="BF814" s="102"/>
      <c r="BG814" s="102"/>
      <c r="BH814" s="102"/>
      <c r="BI814" s="102"/>
      <c r="BJ814" s="102"/>
      <c r="BK814" s="102"/>
      <c r="BL814" s="102"/>
      <c r="BM814" s="102"/>
      <c r="BN814" s="102"/>
      <c r="BO814" s="102"/>
      <c r="BP814" s="102"/>
      <c r="BQ814" s="102"/>
      <c r="BR814" s="102"/>
      <c r="BS814" s="102"/>
      <c r="BT814" s="102"/>
      <c r="BU814" s="102"/>
      <c r="BV814" s="102"/>
      <c r="BW814" s="102"/>
      <c r="BX814" s="102"/>
      <c r="BY814" s="94"/>
      <c r="BZ814" s="94"/>
      <c r="CA814" s="94"/>
      <c r="CB814" s="94"/>
      <c r="CC814" s="94"/>
      <c r="CD814" s="94"/>
      <c r="CE814" s="94"/>
      <c r="CF814" s="94"/>
      <c r="CG814" s="94"/>
      <c r="CH814" s="94"/>
      <c r="CI814" s="94"/>
      <c r="CJ814" s="94"/>
      <c r="CK814" s="94" t="str">
        <f>"" &amp; TEXT(AF814,"#0.00%") &amp; " " &amp; "Cable installation work related to fire suppression tank" &amp; " " &amp; IF(Q814="","",TEXT(Q814,"M/D-")) &amp; IF(R814="","",TEXT(R814,"M/D")) &amp; " "</f>
        <v xml:space="preserve">0.00% Cable installation work related to fire suppression tank  </v>
      </c>
      <c r="CL814" s="94"/>
      <c r="CM814" s="94"/>
      <c r="CN814" s="94"/>
      <c r="CO814" s="94"/>
      <c r="CP814" s="94"/>
      <c r="CQ814" s="94"/>
      <c r="CR814" s="94"/>
      <c r="CS814" s="94"/>
      <c r="CT814" s="94"/>
      <c r="CU814" s="94"/>
      <c r="CV814" s="94"/>
      <c r="CW814" s="94"/>
      <c r="CX814" s="94"/>
      <c r="CY814" s="94"/>
      <c r="CZ814" s="94"/>
      <c r="DA814" s="94"/>
      <c r="DB814" s="94"/>
      <c r="DC814" s="94"/>
      <c r="DD814" s="94"/>
      <c r="DE814" s="94"/>
      <c r="DF814" s="94"/>
      <c r="DG814" s="94"/>
      <c r="DH814" s="94"/>
      <c r="DI814" s="94"/>
      <c r="DJ814" s="94"/>
      <c r="DK814" s="94"/>
      <c r="DL814" s="94"/>
      <c r="DM814" s="94"/>
      <c r="DN814" s="94"/>
      <c r="DO814" s="94"/>
      <c r="DP814" s="94"/>
      <c r="DQ814" s="94"/>
    </row>
    <row r="815" spans="1:121" ht="15" customHeight="1" outlineLevel="3" x14ac:dyDescent="0.3">
      <c r="A815" s="100"/>
      <c r="B815" s="100"/>
      <c r="C815" s="99">
        <v>4</v>
      </c>
      <c r="D815" s="98" t="s">
        <v>397</v>
      </c>
      <c r="F815" s="94"/>
      <c r="H815" s="77" t="s">
        <v>378</v>
      </c>
      <c r="O815" s="94"/>
      <c r="Q815" s="97"/>
      <c r="R815" s="97"/>
      <c r="AB815" s="72">
        <v>1</v>
      </c>
      <c r="AE815" s="96"/>
      <c r="AF815" s="102"/>
      <c r="AG815" s="102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  <c r="AV815" s="102"/>
      <c r="AW815" s="102"/>
      <c r="AX815" s="102"/>
      <c r="AY815" s="102"/>
      <c r="AZ815" s="102"/>
      <c r="BA815" s="102"/>
      <c r="BB815" s="102"/>
      <c r="BC815" s="102"/>
      <c r="BD815" s="102"/>
      <c r="BE815" s="102"/>
      <c r="BF815" s="102"/>
      <c r="BG815" s="102"/>
      <c r="BH815" s="102"/>
      <c r="BI815" s="102"/>
      <c r="BJ815" s="102"/>
      <c r="BK815" s="102"/>
      <c r="BL815" s="102"/>
      <c r="BM815" s="102"/>
      <c r="BN815" s="102"/>
      <c r="BO815" s="102"/>
      <c r="BP815" s="102"/>
      <c r="BQ815" s="102"/>
      <c r="BR815" s="102"/>
      <c r="BS815" s="102"/>
      <c r="BT815" s="102"/>
      <c r="BU815" s="102"/>
      <c r="BV815" s="102"/>
      <c r="BW815" s="102"/>
      <c r="BX815" s="102"/>
      <c r="BY815" s="94"/>
      <c r="BZ815" s="94"/>
      <c r="CA815" s="94"/>
      <c r="CB815" s="94"/>
      <c r="CC815" s="94"/>
      <c r="CD815" s="94"/>
      <c r="CE815" s="94"/>
      <c r="CF815" s="94"/>
      <c r="CG815" s="94"/>
      <c r="CH815" s="94"/>
      <c r="CI815" s="94"/>
      <c r="CJ815" s="94"/>
      <c r="CK815" s="94" t="str">
        <f>"" &amp; TEXT(AF815,"#0.00%") &amp; " " &amp; "Door S/W SOP LCP cable Installation" &amp; " " &amp; IF(Q815="","",TEXT(Q815,"M/D-")) &amp; IF(R815="","",TEXT(R815,"M/D")) &amp; " "</f>
        <v xml:space="preserve">0.00% Door S/W SOP LCP cable Installation  </v>
      </c>
      <c r="CL815" s="94"/>
      <c r="CM815" s="94"/>
      <c r="CN815" s="94"/>
      <c r="CO815" s="94"/>
      <c r="CP815" s="94"/>
      <c r="CQ815" s="94"/>
      <c r="CR815" s="94"/>
      <c r="CS815" s="94"/>
      <c r="CT815" s="94"/>
      <c r="CU815" s="94"/>
      <c r="CV815" s="94"/>
      <c r="CW815" s="94"/>
      <c r="CX815" s="94"/>
      <c r="CY815" s="94"/>
      <c r="CZ815" s="94"/>
      <c r="DA815" s="94"/>
      <c r="DB815" s="94"/>
      <c r="DC815" s="94"/>
      <c r="DD815" s="94"/>
      <c r="DE815" s="94"/>
      <c r="DF815" s="94"/>
      <c r="DG815" s="94"/>
      <c r="DH815" s="94"/>
      <c r="DI815" s="94"/>
      <c r="DJ815" s="94"/>
      <c r="DK815" s="94"/>
      <c r="DL815" s="94"/>
      <c r="DM815" s="94"/>
      <c r="DN815" s="94"/>
      <c r="DO815" s="94"/>
      <c r="DP815" s="94"/>
      <c r="DQ815" s="94"/>
    </row>
    <row r="816" spans="1:121" ht="15" customHeight="1" outlineLevel="3" x14ac:dyDescent="0.3">
      <c r="A816" s="100"/>
      <c r="B816" s="100"/>
      <c r="C816" s="99">
        <v>4</v>
      </c>
      <c r="D816" s="98" t="s">
        <v>396</v>
      </c>
      <c r="F816" s="94"/>
      <c r="H816" s="77" t="s">
        <v>303</v>
      </c>
      <c r="O816" s="94"/>
      <c r="Q816" s="97"/>
      <c r="R816" s="97"/>
      <c r="AB816" s="72">
        <v>1</v>
      </c>
      <c r="AE816" s="96"/>
      <c r="AF816" s="102"/>
      <c r="AG816" s="102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  <c r="AV816" s="102"/>
      <c r="AW816" s="102"/>
      <c r="AX816" s="102"/>
      <c r="AY816" s="102"/>
      <c r="AZ816" s="102"/>
      <c r="BA816" s="102"/>
      <c r="BB816" s="102"/>
      <c r="BC816" s="102"/>
      <c r="BD816" s="102"/>
      <c r="BE816" s="102"/>
      <c r="BF816" s="102"/>
      <c r="BG816" s="102"/>
      <c r="BH816" s="102"/>
      <c r="BI816" s="102"/>
      <c r="BJ816" s="102"/>
      <c r="BK816" s="102"/>
      <c r="BL816" s="102"/>
      <c r="BM816" s="102"/>
      <c r="BN816" s="102"/>
      <c r="BO816" s="102"/>
      <c r="BP816" s="102"/>
      <c r="BQ816" s="102"/>
      <c r="BR816" s="102"/>
      <c r="BS816" s="102"/>
      <c r="BT816" s="102"/>
      <c r="BU816" s="102"/>
      <c r="BV816" s="102"/>
      <c r="BW816" s="102"/>
      <c r="BX816" s="102"/>
      <c r="BY816" s="94"/>
      <c r="BZ816" s="94"/>
      <c r="CA816" s="94"/>
      <c r="CB816" s="94"/>
      <c r="CC816" s="94"/>
      <c r="CD816" s="94"/>
      <c r="CE816" s="94"/>
      <c r="CF816" s="94"/>
      <c r="CG816" s="94"/>
      <c r="CH816" s="94"/>
      <c r="CI816" s="94"/>
      <c r="CJ816" s="94"/>
      <c r="CK816" s="94" t="str">
        <f>"   " &amp; TEXT(AF816,"#0.00%") &amp; " " &amp; "Installation Panel Inside Cable " &amp; " " &amp; IF(Q816="","",TEXT(Q816,"M/D-")) &amp; IF(R816="","",TEXT(R816,"M/D")) &amp; " "</f>
        <v xml:space="preserve">   0.00% Installation Panel Inside Cable   </v>
      </c>
      <c r="CL816" s="94"/>
      <c r="CM816" s="94"/>
      <c r="CN816" s="94"/>
      <c r="CO816" s="94"/>
      <c r="CP816" s="94"/>
      <c r="CQ816" s="94"/>
      <c r="CR816" s="94"/>
      <c r="CS816" s="94"/>
      <c r="CT816" s="94"/>
      <c r="CU816" s="94"/>
      <c r="CV816" s="94"/>
      <c r="CW816" s="94"/>
      <c r="CX816" s="94"/>
      <c r="CY816" s="94"/>
      <c r="CZ816" s="94"/>
      <c r="DA816" s="94"/>
      <c r="DB816" s="94"/>
      <c r="DC816" s="94"/>
      <c r="DD816" s="94"/>
      <c r="DE816" s="94"/>
      <c r="DF816" s="94"/>
      <c r="DG816" s="94"/>
      <c r="DH816" s="94"/>
      <c r="DI816" s="94"/>
      <c r="DJ816" s="94"/>
      <c r="DK816" s="94"/>
      <c r="DL816" s="94"/>
      <c r="DM816" s="94"/>
      <c r="DN816" s="94"/>
      <c r="DO816" s="94"/>
      <c r="DP816" s="94"/>
      <c r="DQ816" s="94"/>
    </row>
    <row r="817" spans="1:121" ht="15" customHeight="1" outlineLevel="3" x14ac:dyDescent="0.3">
      <c r="A817" s="100"/>
      <c r="B817" s="100"/>
      <c r="C817" s="99">
        <v>4</v>
      </c>
      <c r="D817" s="98" t="s">
        <v>395</v>
      </c>
      <c r="F817" s="94"/>
      <c r="H817" s="77" t="s">
        <v>301</v>
      </c>
      <c r="O817" s="94"/>
      <c r="Q817" s="97"/>
      <c r="R817" s="97"/>
      <c r="AB817" s="72">
        <v>1</v>
      </c>
      <c r="AE817" s="96"/>
      <c r="AF817" s="102"/>
      <c r="AG817" s="102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2"/>
      <c r="BA817" s="102"/>
      <c r="BB817" s="102"/>
      <c r="BC817" s="102"/>
      <c r="BD817" s="102"/>
      <c r="BE817" s="102"/>
      <c r="BF817" s="102"/>
      <c r="BG817" s="102"/>
      <c r="BH817" s="102"/>
      <c r="BI817" s="102"/>
      <c r="BJ817" s="102"/>
      <c r="BK817" s="102"/>
      <c r="BL817" s="102"/>
      <c r="BM817" s="102"/>
      <c r="BN817" s="102"/>
      <c r="BO817" s="102"/>
      <c r="BP817" s="102"/>
      <c r="BQ817" s="102"/>
      <c r="BR817" s="102"/>
      <c r="BS817" s="102"/>
      <c r="BT817" s="102"/>
      <c r="BU817" s="102"/>
      <c r="BV817" s="102"/>
      <c r="BW817" s="102"/>
      <c r="BX817" s="102"/>
      <c r="BY817" s="94"/>
      <c r="BZ817" s="94"/>
      <c r="CA817" s="94"/>
      <c r="CB817" s="94"/>
      <c r="CC817" s="94"/>
      <c r="CD817" s="94"/>
      <c r="CE817" s="94"/>
      <c r="CF817" s="94"/>
      <c r="CG817" s="94"/>
      <c r="CH817" s="94"/>
      <c r="CI817" s="94"/>
      <c r="CJ817" s="94"/>
      <c r="CK817" s="94"/>
      <c r="CL817" s="94" t="str">
        <f>"  " &amp; TEXT(AF817,"#0.00%") &amp; " " &amp; "Installation LED LAMP" &amp; " " &amp; IF(Q817="","",TEXT(Q817,"M/D-")) &amp; IF(R817="","",TEXT(R817,"M/D")) &amp; " "</f>
        <v xml:space="preserve">  0.00% Installation LED LAMP  </v>
      </c>
      <c r="CM817" s="94"/>
      <c r="CN817" s="94"/>
      <c r="CO817" s="94"/>
      <c r="CP817" s="94"/>
      <c r="CQ817" s="94"/>
      <c r="CR817" s="94"/>
      <c r="CS817" s="94"/>
      <c r="CT817" s="94"/>
      <c r="CU817" s="94"/>
      <c r="CV817" s="94"/>
      <c r="CW817" s="94"/>
      <c r="CX817" s="94"/>
      <c r="CY817" s="94"/>
      <c r="CZ817" s="94"/>
      <c r="DA817" s="94"/>
      <c r="DB817" s="94"/>
      <c r="DC817" s="94"/>
      <c r="DD817" s="94"/>
      <c r="DE817" s="94"/>
      <c r="DF817" s="94"/>
      <c r="DG817" s="94"/>
      <c r="DH817" s="94"/>
      <c r="DI817" s="94"/>
      <c r="DJ817" s="94"/>
      <c r="DK817" s="94"/>
      <c r="DL817" s="94"/>
      <c r="DM817" s="94"/>
      <c r="DN817" s="94"/>
      <c r="DO817" s="94"/>
      <c r="DP817" s="94"/>
      <c r="DQ817" s="94"/>
    </row>
    <row r="818" spans="1:121" ht="15" customHeight="1" outlineLevel="3" x14ac:dyDescent="0.3">
      <c r="A818" s="100"/>
      <c r="B818" s="100"/>
      <c r="C818" s="99">
        <v>4</v>
      </c>
      <c r="D818" s="98" t="s">
        <v>394</v>
      </c>
      <c r="F818" s="94"/>
      <c r="H818" s="77" t="s">
        <v>374</v>
      </c>
      <c r="O818" s="94"/>
      <c r="Q818" s="97"/>
      <c r="R818" s="97"/>
      <c r="AB818" s="72">
        <v>1</v>
      </c>
      <c r="AE818" s="96"/>
      <c r="AF818" s="102"/>
      <c r="AG818" s="102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  <c r="AV818" s="102"/>
      <c r="AW818" s="102"/>
      <c r="AX818" s="102"/>
      <c r="AY818" s="102"/>
      <c r="AZ818" s="102"/>
      <c r="BA818" s="102"/>
      <c r="BB818" s="102"/>
      <c r="BC818" s="102"/>
      <c r="BD818" s="102"/>
      <c r="BE818" s="102"/>
      <c r="BF818" s="102"/>
      <c r="BG818" s="102"/>
      <c r="BH818" s="102"/>
      <c r="BI818" s="102"/>
      <c r="BJ818" s="102"/>
      <c r="BK818" s="102"/>
      <c r="BL818" s="102"/>
      <c r="BM818" s="102"/>
      <c r="BN818" s="102"/>
      <c r="BO818" s="102"/>
      <c r="BP818" s="102"/>
      <c r="BQ818" s="102"/>
      <c r="BR818" s="102"/>
      <c r="BS818" s="102"/>
      <c r="BT818" s="102"/>
      <c r="BU818" s="102"/>
      <c r="BV818" s="102"/>
      <c r="BW818" s="102"/>
      <c r="BX818" s="102"/>
      <c r="BY818" s="94"/>
      <c r="BZ818" s="94"/>
      <c r="CA818" s="94"/>
      <c r="CB818" s="94"/>
      <c r="CC818" s="94"/>
      <c r="CD818" s="94"/>
      <c r="CE818" s="94"/>
      <c r="CF818" s="94"/>
      <c r="CG818" s="94"/>
      <c r="CH818" s="94"/>
      <c r="CI818" s="94"/>
      <c r="CJ818" s="94"/>
      <c r="CK818" s="94"/>
      <c r="CL818" s="94" t="str">
        <f>"    " &amp; TEXT(AF818,"#0.00%") &amp; " " &amp; "Installation Collector Arm" &amp; " " &amp; IF(Q818="","",TEXT(Q818,"M/D-")) &amp; IF(R818="","",TEXT(R818,"M/D")) &amp; " "</f>
        <v xml:space="preserve">    0.00% Installation Collector Arm  </v>
      </c>
      <c r="CM818" s="94"/>
      <c r="CN818" s="94"/>
      <c r="CO818" s="94"/>
      <c r="CP818" s="94"/>
      <c r="CQ818" s="94"/>
      <c r="CR818" s="94"/>
      <c r="CS818" s="94"/>
      <c r="CT818" s="94"/>
      <c r="CU818" s="94"/>
      <c r="CV818" s="94"/>
      <c r="CW818" s="94"/>
      <c r="CX818" s="94"/>
      <c r="CY818" s="94"/>
      <c r="CZ818" s="94"/>
      <c r="DA818" s="94"/>
      <c r="DB818" s="94"/>
      <c r="DC818" s="94"/>
      <c r="DD818" s="94"/>
      <c r="DE818" s="94"/>
      <c r="DF818" s="94"/>
      <c r="DG818" s="94"/>
      <c r="DH818" s="94"/>
      <c r="DI818" s="94"/>
      <c r="DJ818" s="94"/>
      <c r="DK818" s="94"/>
      <c r="DL818" s="94"/>
      <c r="DM818" s="94"/>
      <c r="DN818" s="94"/>
      <c r="DO818" s="94"/>
      <c r="DP818" s="94"/>
      <c r="DQ818" s="94"/>
    </row>
    <row r="819" spans="1:121" ht="15" customHeight="1" outlineLevel="3" x14ac:dyDescent="0.3">
      <c r="A819" s="100"/>
      <c r="B819" s="100"/>
      <c r="C819" s="99">
        <v>4</v>
      </c>
      <c r="D819" s="98" t="s">
        <v>393</v>
      </c>
      <c r="F819" s="94"/>
      <c r="H819" s="77" t="s">
        <v>372</v>
      </c>
      <c r="O819" s="94"/>
      <c r="Q819" s="97"/>
      <c r="R819" s="97"/>
      <c r="AB819" s="72">
        <v>1</v>
      </c>
      <c r="AE819" s="96"/>
      <c r="AF819" s="102"/>
      <c r="AG819" s="102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  <c r="BB819" s="102"/>
      <c r="BC819" s="102"/>
      <c r="BD819" s="102"/>
      <c r="BE819" s="102"/>
      <c r="BF819" s="102"/>
      <c r="BG819" s="102"/>
      <c r="BH819" s="102"/>
      <c r="BI819" s="102"/>
      <c r="BJ819" s="102"/>
      <c r="BK819" s="102"/>
      <c r="BL819" s="102"/>
      <c r="BM819" s="102"/>
      <c r="BN819" s="102"/>
      <c r="BO819" s="102"/>
      <c r="BP819" s="102"/>
      <c r="BQ819" s="102"/>
      <c r="BR819" s="102"/>
      <c r="BS819" s="102"/>
      <c r="BT819" s="102"/>
      <c r="BU819" s="102"/>
      <c r="BV819" s="102"/>
      <c r="BW819" s="102"/>
      <c r="BX819" s="102"/>
      <c r="BY819" s="94"/>
      <c r="BZ819" s="94"/>
      <c r="CA819" s="94"/>
      <c r="CB819" s="94"/>
      <c r="CC819" s="94"/>
      <c r="CD819" s="94"/>
      <c r="CE819" s="94"/>
      <c r="CF819" s="94"/>
      <c r="CG819" s="94"/>
      <c r="CH819" s="94"/>
      <c r="CI819" s="94"/>
      <c r="CJ819" s="94"/>
      <c r="CK819" s="94"/>
      <c r="CL819" s="94" t="str">
        <f>"    " &amp; TEXT(AF819,"#0.00%") &amp; " " &amp; "Attach Tape(Driving BCR)" &amp; " " &amp; IF(Q819="","",TEXT(Q819,"M/D-")) &amp; IF(R819="","",TEXT(R819,"M/D")) &amp; " "</f>
        <v xml:space="preserve">    0.00% Attach Tape(Driving BCR)  </v>
      </c>
      <c r="CM819" s="94"/>
      <c r="CN819" s="94"/>
      <c r="CO819" s="94"/>
      <c r="CP819" s="94"/>
      <c r="CQ819" s="94"/>
      <c r="CR819" s="94"/>
      <c r="CS819" s="94"/>
      <c r="CT819" s="94"/>
      <c r="CU819" s="94"/>
      <c r="CV819" s="94"/>
      <c r="CW819" s="94"/>
      <c r="CX819" s="94"/>
      <c r="CY819" s="94"/>
      <c r="CZ819" s="94"/>
      <c r="DA819" s="94"/>
      <c r="DB819" s="94"/>
      <c r="DC819" s="94"/>
      <c r="DD819" s="94"/>
      <c r="DE819" s="94"/>
      <c r="DF819" s="94"/>
      <c r="DG819" s="94"/>
      <c r="DH819" s="94"/>
      <c r="DI819" s="94"/>
      <c r="DJ819" s="94"/>
      <c r="DK819" s="94"/>
      <c r="DL819" s="94"/>
      <c r="DM819" s="94"/>
      <c r="DN819" s="94"/>
      <c r="DO819" s="94"/>
      <c r="DP819" s="94"/>
      <c r="DQ819" s="94"/>
    </row>
    <row r="820" spans="1:121" ht="15" customHeight="1" outlineLevel="3" x14ac:dyDescent="0.3">
      <c r="A820" s="100"/>
      <c r="B820" s="100"/>
      <c r="C820" s="99">
        <v>4</v>
      </c>
      <c r="D820" s="98" t="s">
        <v>392</v>
      </c>
      <c r="F820" s="94"/>
      <c r="H820" s="77" t="s">
        <v>370</v>
      </c>
      <c r="O820" s="94"/>
      <c r="Q820" s="97"/>
      <c r="R820" s="97"/>
      <c r="AB820" s="72">
        <v>1</v>
      </c>
      <c r="AE820" s="96"/>
      <c r="AF820" s="102"/>
      <c r="AG820" s="102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  <c r="BB820" s="102"/>
      <c r="BC820" s="102"/>
      <c r="BD820" s="102"/>
      <c r="BE820" s="102"/>
      <c r="BF820" s="102"/>
      <c r="BG820" s="102"/>
      <c r="BH820" s="102"/>
      <c r="BI820" s="102"/>
      <c r="BJ820" s="102"/>
      <c r="BK820" s="102"/>
      <c r="BL820" s="102"/>
      <c r="BM820" s="102"/>
      <c r="BN820" s="102"/>
      <c r="BO820" s="102"/>
      <c r="BP820" s="102"/>
      <c r="BQ820" s="102"/>
      <c r="BR820" s="102"/>
      <c r="BS820" s="102"/>
      <c r="BT820" s="102"/>
      <c r="BU820" s="102"/>
      <c r="BV820" s="102"/>
      <c r="BW820" s="102"/>
      <c r="BX820" s="102"/>
      <c r="BY820" s="94"/>
      <c r="BZ820" s="94"/>
      <c r="CA820" s="94"/>
      <c r="CB820" s="94"/>
      <c r="CC820" s="94"/>
      <c r="CD820" s="94"/>
      <c r="CE820" s="94"/>
      <c r="CF820" s="94"/>
      <c r="CG820" s="94"/>
      <c r="CH820" s="94"/>
      <c r="CI820" s="94"/>
      <c r="CJ820" s="94"/>
      <c r="CK820" s="94"/>
      <c r="CL820" s="94" t="str">
        <f>"    " &amp; TEXT(AF820,"#0.00%") &amp; " " &amp; "Installation Motor Cable" &amp; " " &amp; IF(Q820="","",TEXT(Q820,"M/D-")) &amp; IF(R820="","",TEXT(R820,"M/D")) &amp; " "</f>
        <v xml:space="preserve">    0.00% Installation Motor Cable  </v>
      </c>
      <c r="CM820" s="94"/>
      <c r="CN820" s="94"/>
      <c r="CO820" s="94"/>
      <c r="CP820" s="94"/>
      <c r="CQ820" s="94"/>
      <c r="CR820" s="94"/>
      <c r="CS820" s="94"/>
      <c r="CT820" s="94"/>
      <c r="CU820" s="94"/>
      <c r="CV820" s="94"/>
      <c r="CW820" s="94"/>
      <c r="CX820" s="94"/>
      <c r="CY820" s="94"/>
      <c r="CZ820" s="94"/>
      <c r="DA820" s="94"/>
      <c r="DB820" s="94"/>
      <c r="DC820" s="94"/>
      <c r="DD820" s="94"/>
      <c r="DE820" s="94"/>
      <c r="DF820" s="94"/>
      <c r="DG820" s="94"/>
      <c r="DH820" s="94"/>
      <c r="DI820" s="94"/>
      <c r="DJ820" s="94"/>
      <c r="DK820" s="94"/>
      <c r="DL820" s="94"/>
      <c r="DM820" s="94"/>
      <c r="DN820" s="94"/>
      <c r="DO820" s="94"/>
      <c r="DP820" s="94"/>
      <c r="DQ820" s="94"/>
    </row>
    <row r="821" spans="1:121" ht="15" customHeight="1" outlineLevel="2" x14ac:dyDescent="0.3">
      <c r="A821" s="100"/>
      <c r="B821" s="100" t="s">
        <v>298</v>
      </c>
      <c r="C821" s="99">
        <v>3</v>
      </c>
      <c r="D821" s="98" t="s">
        <v>391</v>
      </c>
      <c r="F821" s="94"/>
      <c r="G821" s="77" t="s">
        <v>390</v>
      </c>
      <c r="O821" s="94" t="s">
        <v>389</v>
      </c>
      <c r="Q821" s="104"/>
      <c r="R821" s="104"/>
      <c r="AE821" s="96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94"/>
      <c r="BZ821" s="94"/>
      <c r="CA821" s="94"/>
      <c r="CB821" s="94"/>
      <c r="CC821" s="94"/>
      <c r="CD821" s="94"/>
      <c r="CE821" s="94"/>
      <c r="CF821" s="94"/>
      <c r="CG821" s="94"/>
      <c r="CH821" s="94"/>
      <c r="CI821" s="94" t="str">
        <f>"     " &amp; TEXT(AF821,"#0.00%") &amp; " " &amp; "HT#2" &amp; " " &amp; IF(Q821="","",TEXT(Q821,"M/D-")) &amp; IF(R821="","",TEXT(R821,"M/D")) &amp; " "</f>
        <v xml:space="preserve">     0.00% HT#2  </v>
      </c>
      <c r="CJ821" s="94"/>
      <c r="CK821" s="94"/>
      <c r="CL821" s="94"/>
      <c r="CM821" s="94"/>
      <c r="CN821" s="94"/>
      <c r="CO821" s="94"/>
      <c r="CP821" s="94"/>
      <c r="CQ821" s="94"/>
      <c r="CR821" s="94"/>
      <c r="CS821" s="94"/>
      <c r="CT821" s="94"/>
      <c r="CU821" s="94"/>
      <c r="CV821" s="94"/>
      <c r="CW821" s="94"/>
      <c r="CX821" s="94"/>
      <c r="CY821" s="94"/>
      <c r="CZ821" s="94"/>
      <c r="DA821" s="94"/>
      <c r="DB821" s="94"/>
      <c r="DC821" s="94"/>
      <c r="DD821" s="94"/>
      <c r="DE821" s="94"/>
      <c r="DF821" s="94"/>
      <c r="DG821" s="94"/>
      <c r="DH821" s="94"/>
      <c r="DI821" s="94"/>
      <c r="DJ821" s="94"/>
      <c r="DK821" s="94"/>
      <c r="DL821" s="94"/>
      <c r="DM821" s="94"/>
      <c r="DN821" s="94"/>
      <c r="DO821" s="94"/>
      <c r="DP821" s="94"/>
      <c r="DQ821" s="94"/>
    </row>
    <row r="822" spans="1:121" ht="15" customHeight="1" outlineLevel="3" x14ac:dyDescent="0.3">
      <c r="A822" s="100"/>
      <c r="B822" s="100"/>
      <c r="C822" s="99">
        <v>4</v>
      </c>
      <c r="D822" s="98" t="s">
        <v>388</v>
      </c>
      <c r="F822" s="94"/>
      <c r="H822" s="77" t="s">
        <v>317</v>
      </c>
      <c r="O822" s="94"/>
      <c r="Q822" s="97"/>
      <c r="R822" s="97"/>
      <c r="AB822" s="72">
        <v>1</v>
      </c>
      <c r="AE822" s="96"/>
      <c r="AF822" s="102"/>
      <c r="AG822" s="102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  <c r="BB822" s="102"/>
      <c r="BC822" s="102"/>
      <c r="BD822" s="102"/>
      <c r="BE822" s="102"/>
      <c r="BF822" s="102"/>
      <c r="BG822" s="102"/>
      <c r="BH822" s="102"/>
      <c r="BI822" s="102"/>
      <c r="BJ822" s="102"/>
      <c r="BK822" s="102"/>
      <c r="BL822" s="102"/>
      <c r="BM822" s="102"/>
      <c r="BN822" s="102"/>
      <c r="BO822" s="102"/>
      <c r="BP822" s="102"/>
      <c r="BQ822" s="102"/>
      <c r="BR822" s="102"/>
      <c r="BS822" s="102"/>
      <c r="BT822" s="102"/>
      <c r="BU822" s="102"/>
      <c r="BV822" s="102"/>
      <c r="BW822" s="102"/>
      <c r="BX822" s="102"/>
      <c r="BY822" s="94"/>
      <c r="BZ822" s="94"/>
      <c r="CA822" s="94"/>
      <c r="CB822" s="94"/>
      <c r="CC822" s="94"/>
      <c r="CD822" s="94"/>
      <c r="CE822" s="94"/>
      <c r="CF822" s="94"/>
      <c r="CG822" s="94"/>
      <c r="CH822" s="94"/>
      <c r="CI822" s="94" t="str">
        <f>"     " &amp; TEXT(AF822,"#0.00%") &amp; " " &amp; "Panel Alignment and fixation" &amp; " " &amp; IF(Q822="","",TEXT(Q822,"M/D-")) &amp; IF(R822="","",TEXT(R822,"M/D")) &amp; " "</f>
        <v xml:space="preserve">     0.00% Panel Alignment and fixation  </v>
      </c>
      <c r="CJ822" s="94"/>
      <c r="CK822" s="94"/>
      <c r="CL822" s="94"/>
      <c r="CM822" s="94"/>
      <c r="CN822" s="94"/>
      <c r="CO822" s="94"/>
      <c r="CP822" s="94"/>
      <c r="CQ822" s="94"/>
      <c r="CR822" s="94"/>
      <c r="CS822" s="94"/>
      <c r="CT822" s="94"/>
      <c r="CU822" s="94"/>
      <c r="CV822" s="94"/>
      <c r="CW822" s="94"/>
      <c r="CX822" s="94"/>
      <c r="CY822" s="94"/>
      <c r="CZ822" s="94"/>
      <c r="DA822" s="94"/>
      <c r="DB822" s="94"/>
      <c r="DC822" s="94"/>
      <c r="DD822" s="94"/>
      <c r="DE822" s="94"/>
      <c r="DF822" s="94"/>
      <c r="DG822" s="94"/>
      <c r="DH822" s="94"/>
      <c r="DI822" s="94"/>
      <c r="DJ822" s="94"/>
      <c r="DK822" s="94"/>
      <c r="DL822" s="94"/>
      <c r="DM822" s="94"/>
      <c r="DN822" s="94"/>
      <c r="DO822" s="94"/>
      <c r="DP822" s="94"/>
      <c r="DQ822" s="94"/>
    </row>
    <row r="823" spans="1:121" ht="15" customHeight="1" outlineLevel="3" x14ac:dyDescent="0.3">
      <c r="A823" s="100"/>
      <c r="B823" s="100"/>
      <c r="C823" s="99">
        <v>4</v>
      </c>
      <c r="D823" s="98" t="s">
        <v>387</v>
      </c>
      <c r="F823" s="94"/>
      <c r="H823" s="77" t="s">
        <v>315</v>
      </c>
      <c r="O823" s="94"/>
      <c r="Q823" s="97"/>
      <c r="R823" s="97"/>
      <c r="AB823" s="72">
        <v>1</v>
      </c>
      <c r="AE823" s="96"/>
      <c r="AF823" s="102"/>
      <c r="AG823" s="102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  <c r="BB823" s="102"/>
      <c r="BC823" s="102"/>
      <c r="BD823" s="102"/>
      <c r="BE823" s="102"/>
      <c r="BF823" s="102"/>
      <c r="BG823" s="102"/>
      <c r="BH823" s="102"/>
      <c r="BI823" s="102"/>
      <c r="BJ823" s="102"/>
      <c r="BK823" s="102"/>
      <c r="BL823" s="102"/>
      <c r="BM823" s="102"/>
      <c r="BN823" s="102"/>
      <c r="BO823" s="102"/>
      <c r="BP823" s="102"/>
      <c r="BQ823" s="102"/>
      <c r="BR823" s="102"/>
      <c r="BS823" s="102"/>
      <c r="BT823" s="102"/>
      <c r="BU823" s="102"/>
      <c r="BV823" s="102"/>
      <c r="BW823" s="102"/>
      <c r="BX823" s="102"/>
      <c r="BY823" s="94"/>
      <c r="BZ823" s="94"/>
      <c r="CA823" s="94"/>
      <c r="CB823" s="94"/>
      <c r="CC823" s="94"/>
      <c r="CD823" s="94"/>
      <c r="CE823" s="94"/>
      <c r="CF823" s="94"/>
      <c r="CG823" s="94"/>
      <c r="CH823" s="94"/>
      <c r="CI823" s="94" t="str">
        <f>"     " &amp; TEXT(AF823,"#0.00%") &amp; " " &amp; "Door S/W SOP LCP positioning in alignment" &amp; " " &amp; IF(Q823="","",TEXT(Q823,"M/D-")) &amp; IF(R823="","",TEXT(R823,"M/D")) &amp; " "</f>
        <v xml:space="preserve">     0.00% Door S/W SOP LCP positioning in alignment  </v>
      </c>
      <c r="CJ823" s="94"/>
      <c r="CK823" s="94"/>
      <c r="CL823" s="94"/>
      <c r="CM823" s="94"/>
      <c r="CN823" s="94"/>
      <c r="CO823" s="94"/>
      <c r="CP823" s="94"/>
      <c r="CQ823" s="94"/>
      <c r="CR823" s="94"/>
      <c r="CS823" s="94"/>
      <c r="CT823" s="94"/>
      <c r="CU823" s="94"/>
      <c r="CV823" s="94"/>
      <c r="CW823" s="94"/>
      <c r="CX823" s="94"/>
      <c r="CY823" s="94"/>
      <c r="CZ823" s="94"/>
      <c r="DA823" s="94"/>
      <c r="DB823" s="94"/>
      <c r="DC823" s="94"/>
      <c r="DD823" s="94"/>
      <c r="DE823" s="94"/>
      <c r="DF823" s="94"/>
      <c r="DG823" s="94"/>
      <c r="DH823" s="94"/>
      <c r="DI823" s="94"/>
      <c r="DJ823" s="94"/>
      <c r="DK823" s="94"/>
      <c r="DL823" s="94"/>
      <c r="DM823" s="94"/>
      <c r="DN823" s="94"/>
      <c r="DO823" s="94"/>
      <c r="DP823" s="94"/>
      <c r="DQ823" s="94"/>
    </row>
    <row r="824" spans="1:121" ht="15" customHeight="1" outlineLevel="3" x14ac:dyDescent="0.3">
      <c r="A824" s="100"/>
      <c r="B824" s="100"/>
      <c r="C824" s="99">
        <v>4</v>
      </c>
      <c r="D824" s="98" t="s">
        <v>386</v>
      </c>
      <c r="F824" s="94"/>
      <c r="H824" s="77" t="s">
        <v>313</v>
      </c>
      <c r="O824" s="94"/>
      <c r="Q824" s="97"/>
      <c r="R824" s="97"/>
      <c r="AB824" s="72">
        <v>1</v>
      </c>
      <c r="AE824" s="96"/>
      <c r="AF824" s="102"/>
      <c r="AG824" s="102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  <c r="BB824" s="102"/>
      <c r="BC824" s="102"/>
      <c r="BD824" s="102"/>
      <c r="BE824" s="102"/>
      <c r="BF824" s="102"/>
      <c r="BG824" s="102"/>
      <c r="BH824" s="102"/>
      <c r="BI824" s="102"/>
      <c r="BJ824" s="102"/>
      <c r="BK824" s="102"/>
      <c r="BL824" s="102"/>
      <c r="BM824" s="102"/>
      <c r="BN824" s="102"/>
      <c r="BO824" s="102"/>
      <c r="BP824" s="102"/>
      <c r="BQ824" s="102"/>
      <c r="BR824" s="102"/>
      <c r="BS824" s="102"/>
      <c r="BT824" s="102"/>
      <c r="BU824" s="102"/>
      <c r="BV824" s="102"/>
      <c r="BW824" s="102"/>
      <c r="BX824" s="102"/>
      <c r="BY824" s="94"/>
      <c r="BZ824" s="94"/>
      <c r="CA824" s="94"/>
      <c r="CB824" s="94"/>
      <c r="CC824" s="94"/>
      <c r="CD824" s="94"/>
      <c r="CE824" s="94"/>
      <c r="CF824" s="94"/>
      <c r="CG824" s="94"/>
      <c r="CH824" s="94"/>
      <c r="CI824" s="94" t="str">
        <f>"      " &amp; TEXT(AF824,"#0.00%") &amp; " " &amp; "Install Duct" &amp; " " &amp; IF(Q824="","",TEXT(Q824,"M/D-")) &amp; IF(R824="","",TEXT(R824,"M/D")) &amp; " "</f>
        <v xml:space="preserve">      0.00% Install Duct  </v>
      </c>
      <c r="CJ824" s="94"/>
      <c r="CK824" s="94"/>
      <c r="CL824" s="94"/>
      <c r="CM824" s="94"/>
      <c r="CN824" s="94"/>
      <c r="CO824" s="94"/>
      <c r="CP824" s="94"/>
      <c r="CQ824" s="94"/>
      <c r="CR824" s="94"/>
      <c r="CS824" s="94"/>
      <c r="CT824" s="94"/>
      <c r="CU824" s="94"/>
      <c r="CV824" s="94"/>
      <c r="CW824" s="94"/>
      <c r="CX824" s="94"/>
      <c r="CY824" s="94"/>
      <c r="CZ824" s="94"/>
      <c r="DA824" s="94"/>
      <c r="DB824" s="94"/>
      <c r="DC824" s="94"/>
      <c r="DD824" s="94"/>
      <c r="DE824" s="94"/>
      <c r="DF824" s="94"/>
      <c r="DG824" s="94"/>
      <c r="DH824" s="94"/>
      <c r="DI824" s="94"/>
      <c r="DJ824" s="94"/>
      <c r="DK824" s="94"/>
      <c r="DL824" s="94"/>
      <c r="DM824" s="94"/>
      <c r="DN824" s="94"/>
      <c r="DO824" s="94"/>
      <c r="DP824" s="94"/>
      <c r="DQ824" s="94"/>
    </row>
    <row r="825" spans="1:121" ht="15" customHeight="1" outlineLevel="3" x14ac:dyDescent="0.3">
      <c r="A825" s="100"/>
      <c r="B825" s="100"/>
      <c r="C825" s="99">
        <v>4</v>
      </c>
      <c r="D825" s="98" t="s">
        <v>385</v>
      </c>
      <c r="F825" s="94"/>
      <c r="H825" s="77" t="s">
        <v>311</v>
      </c>
      <c r="O825" s="94"/>
      <c r="Q825" s="97"/>
      <c r="R825" s="97"/>
      <c r="AB825" s="72">
        <v>1</v>
      </c>
      <c r="AE825" s="96"/>
      <c r="AF825" s="102"/>
      <c r="AG825" s="102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  <c r="BB825" s="102"/>
      <c r="BC825" s="102"/>
      <c r="BD825" s="102"/>
      <c r="BE825" s="102"/>
      <c r="BF825" s="102"/>
      <c r="BG825" s="102"/>
      <c r="BH825" s="102"/>
      <c r="BI825" s="102"/>
      <c r="BJ825" s="102"/>
      <c r="BK825" s="102"/>
      <c r="BL825" s="102"/>
      <c r="BM825" s="102"/>
      <c r="BN825" s="102"/>
      <c r="BO825" s="102"/>
      <c r="BP825" s="102"/>
      <c r="BQ825" s="102"/>
      <c r="BR825" s="102"/>
      <c r="BS825" s="102"/>
      <c r="BT825" s="102"/>
      <c r="BU825" s="102"/>
      <c r="BV825" s="102"/>
      <c r="BW825" s="102"/>
      <c r="BX825" s="102"/>
      <c r="BY825" s="94"/>
      <c r="BZ825" s="94"/>
      <c r="CA825" s="94"/>
      <c r="CB825" s="94"/>
      <c r="CC825" s="94"/>
      <c r="CD825" s="94"/>
      <c r="CE825" s="94"/>
      <c r="CF825" s="94"/>
      <c r="CG825" s="94"/>
      <c r="CH825" s="94"/>
      <c r="CI825" s="94"/>
      <c r="CJ825" s="94" t="str">
        <f>"    " &amp; TEXT(AF825,"#0.00%") &amp; " " &amp; "Installation Lifter cable" &amp; " " &amp; IF(Q825="","",TEXT(Q825,"M/D-")) &amp; IF(R825="","",TEXT(R825,"M/D")) &amp; " "</f>
        <v xml:space="preserve">    0.00% Installation Lifter cable  </v>
      </c>
      <c r="CK825" s="94"/>
      <c r="CL825" s="94"/>
      <c r="CM825" s="94"/>
      <c r="CN825" s="94"/>
      <c r="CO825" s="94"/>
      <c r="CP825" s="94"/>
      <c r="CQ825" s="94"/>
      <c r="CR825" s="94"/>
      <c r="CS825" s="94"/>
      <c r="CT825" s="94"/>
      <c r="CU825" s="94"/>
      <c r="CV825" s="94"/>
      <c r="CW825" s="94"/>
      <c r="CX825" s="94"/>
      <c r="CY825" s="94"/>
      <c r="CZ825" s="94"/>
      <c r="DA825" s="94"/>
      <c r="DB825" s="94"/>
      <c r="DC825" s="94"/>
      <c r="DD825" s="94"/>
      <c r="DE825" s="94"/>
      <c r="DF825" s="94"/>
      <c r="DG825" s="94"/>
      <c r="DH825" s="94"/>
      <c r="DI825" s="94"/>
      <c r="DJ825" s="94"/>
      <c r="DK825" s="94"/>
      <c r="DL825" s="94"/>
      <c r="DM825" s="94"/>
      <c r="DN825" s="94"/>
      <c r="DO825" s="94"/>
      <c r="DP825" s="94"/>
      <c r="DQ825" s="94"/>
    </row>
    <row r="826" spans="1:121" ht="15" customHeight="1" outlineLevel="3" x14ac:dyDescent="0.3">
      <c r="A826" s="100"/>
      <c r="B826" s="100"/>
      <c r="C826" s="99">
        <v>4</v>
      </c>
      <c r="D826" s="98" t="s">
        <v>384</v>
      </c>
      <c r="F826" s="94"/>
      <c r="H826" s="77" t="s">
        <v>309</v>
      </c>
      <c r="O826" s="94"/>
      <c r="Q826" s="97"/>
      <c r="R826" s="97"/>
      <c r="AB826" s="72">
        <v>1</v>
      </c>
      <c r="AE826" s="96"/>
      <c r="AF826" s="102"/>
      <c r="AG826" s="102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  <c r="AV826" s="102"/>
      <c r="AW826" s="102"/>
      <c r="AX826" s="102"/>
      <c r="AY826" s="102"/>
      <c r="AZ826" s="102"/>
      <c r="BA826" s="102"/>
      <c r="BB826" s="102"/>
      <c r="BC826" s="102"/>
      <c r="BD826" s="102"/>
      <c r="BE826" s="102"/>
      <c r="BF826" s="102"/>
      <c r="BG826" s="102"/>
      <c r="BH826" s="102"/>
      <c r="BI826" s="102"/>
      <c r="BJ826" s="102"/>
      <c r="BK826" s="102"/>
      <c r="BL826" s="102"/>
      <c r="BM826" s="102"/>
      <c r="BN826" s="102"/>
      <c r="BO826" s="102"/>
      <c r="BP826" s="102"/>
      <c r="BQ826" s="102"/>
      <c r="BR826" s="102"/>
      <c r="BS826" s="102"/>
      <c r="BT826" s="102"/>
      <c r="BU826" s="102"/>
      <c r="BV826" s="102"/>
      <c r="BW826" s="102"/>
      <c r="BX826" s="102"/>
      <c r="BY826" s="94"/>
      <c r="BZ826" s="94"/>
      <c r="CA826" s="94"/>
      <c r="CB826" s="94"/>
      <c r="CC826" s="94"/>
      <c r="CD826" s="94"/>
      <c r="CE826" s="94"/>
      <c r="CF826" s="94"/>
      <c r="CG826" s="94"/>
      <c r="CH826" s="94"/>
      <c r="CI826" s="94"/>
      <c r="CJ826" s="94" t="str">
        <f>"    " &amp; TEXT(AF826,"#0.00%") &amp; " " &amp; "Installation Power moller cable" &amp; " " &amp; IF(Q826="","",TEXT(Q826,"M/D-")) &amp; IF(R826="","",TEXT(R826,"M/D")) &amp; " "</f>
        <v xml:space="preserve">    0.00% Installation Power moller cable  </v>
      </c>
      <c r="CK826" s="94"/>
      <c r="CL826" s="94"/>
      <c r="CM826" s="94"/>
      <c r="CN826" s="94"/>
      <c r="CO826" s="94"/>
      <c r="CP826" s="94"/>
      <c r="CQ826" s="94"/>
      <c r="CR826" s="94"/>
      <c r="CS826" s="94"/>
      <c r="CT826" s="94"/>
      <c r="CU826" s="94"/>
      <c r="CV826" s="94"/>
      <c r="CW826" s="94"/>
      <c r="CX826" s="94"/>
      <c r="CY826" s="94"/>
      <c r="CZ826" s="94"/>
      <c r="DA826" s="94"/>
      <c r="DB826" s="94"/>
      <c r="DC826" s="94"/>
      <c r="DD826" s="94"/>
      <c r="DE826" s="94"/>
      <c r="DF826" s="94"/>
      <c r="DG826" s="94"/>
      <c r="DH826" s="94"/>
      <c r="DI826" s="94"/>
      <c r="DJ826" s="94"/>
      <c r="DK826" s="94"/>
      <c r="DL826" s="94"/>
      <c r="DM826" s="94"/>
      <c r="DN826" s="94"/>
      <c r="DO826" s="94"/>
      <c r="DP826" s="94"/>
      <c r="DQ826" s="94"/>
    </row>
    <row r="827" spans="1:121" ht="15" customHeight="1" outlineLevel="3" x14ac:dyDescent="0.3">
      <c r="A827" s="100"/>
      <c r="B827" s="100"/>
      <c r="C827" s="99">
        <v>4</v>
      </c>
      <c r="D827" s="98" t="s">
        <v>383</v>
      </c>
      <c r="F827" s="94"/>
      <c r="H827" s="77" t="s">
        <v>307</v>
      </c>
      <c r="O827" s="94" t="s">
        <v>382</v>
      </c>
      <c r="Q827" s="97"/>
      <c r="R827" s="97"/>
      <c r="AB827" s="72">
        <v>1</v>
      </c>
      <c r="AE827" s="96"/>
      <c r="AF827" s="102"/>
      <c r="AG827" s="102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  <c r="AV827" s="102"/>
      <c r="AW827" s="102"/>
      <c r="AX827" s="102"/>
      <c r="AY827" s="102"/>
      <c r="AZ827" s="102"/>
      <c r="BA827" s="102"/>
      <c r="BB827" s="102"/>
      <c r="BC827" s="102"/>
      <c r="BD827" s="102"/>
      <c r="BE827" s="102"/>
      <c r="BF827" s="102"/>
      <c r="BG827" s="102"/>
      <c r="BH827" s="102"/>
      <c r="BI827" s="102"/>
      <c r="BJ827" s="102"/>
      <c r="BK827" s="102"/>
      <c r="BL827" s="102"/>
      <c r="BM827" s="102"/>
      <c r="BN827" s="102"/>
      <c r="BO827" s="102"/>
      <c r="BP827" s="102"/>
      <c r="BQ827" s="102"/>
      <c r="BR827" s="102"/>
      <c r="BS827" s="102"/>
      <c r="BT827" s="102"/>
      <c r="BU827" s="102"/>
      <c r="BV827" s="102"/>
      <c r="BW827" s="102"/>
      <c r="BX827" s="102"/>
      <c r="BY827" s="94"/>
      <c r="BZ827" s="94"/>
      <c r="CA827" s="94"/>
      <c r="CB827" s="94"/>
      <c r="CC827" s="94"/>
      <c r="CD827" s="94"/>
      <c r="CE827" s="94"/>
      <c r="CF827" s="94"/>
      <c r="CG827" s="94"/>
      <c r="CH827" s="94"/>
      <c r="CI827" s="94"/>
      <c r="CJ827" s="94" t="str">
        <f>"    " &amp; TEXT(AF827,"#0.00%") &amp; " " &amp; "Installation Lifter Light Curtain cable" &amp; " " &amp; IF(Q827="","",TEXT(Q827,"M/D-")) &amp; IF(R827="","",TEXT(R827,"M/D")) &amp; " "</f>
        <v xml:space="preserve">    0.00% Installation Lifter Light Curtain cable  </v>
      </c>
      <c r="CK827" s="94"/>
      <c r="CL827" s="94"/>
      <c r="CM827" s="94"/>
      <c r="CN827" s="94"/>
      <c r="CO827" s="94"/>
      <c r="CP827" s="94"/>
      <c r="CQ827" s="94"/>
      <c r="CR827" s="94"/>
      <c r="CS827" s="94"/>
      <c r="CT827" s="94"/>
      <c r="CU827" s="94"/>
      <c r="CV827" s="94"/>
      <c r="CW827" s="94"/>
      <c r="CX827" s="94"/>
      <c r="CY827" s="94"/>
      <c r="CZ827" s="94"/>
      <c r="DA827" s="94"/>
      <c r="DB827" s="94"/>
      <c r="DC827" s="94"/>
      <c r="DD827" s="94"/>
      <c r="DE827" s="94"/>
      <c r="DF827" s="94"/>
      <c r="DG827" s="94"/>
      <c r="DH827" s="94"/>
      <c r="DI827" s="94"/>
      <c r="DJ827" s="94"/>
      <c r="DK827" s="94"/>
      <c r="DL827" s="94"/>
      <c r="DM827" s="94"/>
      <c r="DN827" s="94"/>
      <c r="DO827" s="94"/>
      <c r="DP827" s="94"/>
      <c r="DQ827" s="94"/>
    </row>
    <row r="828" spans="1:121" ht="15" customHeight="1" outlineLevel="3" x14ac:dyDescent="0.3">
      <c r="A828" s="100"/>
      <c r="B828" s="100"/>
      <c r="C828" s="99">
        <v>4</v>
      </c>
      <c r="D828" s="98" t="s">
        <v>381</v>
      </c>
      <c r="F828" s="94"/>
      <c r="H828" s="77" t="s">
        <v>380</v>
      </c>
      <c r="O828" s="94"/>
      <c r="Q828" s="97"/>
      <c r="R828" s="97"/>
      <c r="AB828" s="72">
        <v>1</v>
      </c>
      <c r="AE828" s="96"/>
      <c r="AF828" s="102"/>
      <c r="AG828" s="102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  <c r="AS828" s="102"/>
      <c r="AT828" s="102"/>
      <c r="AU828" s="102"/>
      <c r="AV828" s="102"/>
      <c r="AW828" s="102"/>
      <c r="AX828" s="102"/>
      <c r="AY828" s="102"/>
      <c r="AZ828" s="102"/>
      <c r="BA828" s="102"/>
      <c r="BB828" s="102"/>
      <c r="BC828" s="102"/>
      <c r="BD828" s="102"/>
      <c r="BE828" s="102"/>
      <c r="BF828" s="102"/>
      <c r="BG828" s="102"/>
      <c r="BH828" s="102"/>
      <c r="BI828" s="102"/>
      <c r="BJ828" s="102"/>
      <c r="BK828" s="102"/>
      <c r="BL828" s="102"/>
      <c r="BM828" s="102"/>
      <c r="BN828" s="102"/>
      <c r="BO828" s="102"/>
      <c r="BP828" s="102"/>
      <c r="BQ828" s="102"/>
      <c r="BR828" s="102"/>
      <c r="BS828" s="102"/>
      <c r="BT828" s="102"/>
      <c r="BU828" s="102"/>
      <c r="BV828" s="102"/>
      <c r="BW828" s="102"/>
      <c r="BX828" s="102"/>
      <c r="BY828" s="94"/>
      <c r="BZ828" s="94"/>
      <c r="CA828" s="94"/>
      <c r="CB828" s="94"/>
      <c r="CC828" s="94"/>
      <c r="CD828" s="94"/>
      <c r="CE828" s="94"/>
      <c r="CF828" s="94"/>
      <c r="CG828" s="94"/>
      <c r="CH828" s="94"/>
      <c r="CI828" s="94"/>
      <c r="CJ828" s="94"/>
      <c r="CK828" s="94" t="str">
        <f>"" &amp; TEXT(AF828,"#0.00%") &amp; " " &amp; "Cable installation work related to fire suppression tank" &amp; " " &amp; IF(Q828="","",TEXT(Q828,"M/D-")) &amp; IF(R828="","",TEXT(R828,"M/D")) &amp; " "</f>
        <v xml:space="preserve">0.00% Cable installation work related to fire suppression tank  </v>
      </c>
      <c r="CL828" s="94"/>
      <c r="CM828" s="94"/>
      <c r="CN828" s="94"/>
      <c r="CO828" s="94"/>
      <c r="CP828" s="94"/>
      <c r="CQ828" s="94"/>
      <c r="CR828" s="94"/>
      <c r="CS828" s="94"/>
      <c r="CT828" s="94"/>
      <c r="CU828" s="94"/>
      <c r="CV828" s="94"/>
      <c r="CW828" s="94"/>
      <c r="CX828" s="94"/>
      <c r="CY828" s="94"/>
      <c r="CZ828" s="94"/>
      <c r="DA828" s="94"/>
      <c r="DB828" s="94"/>
      <c r="DC828" s="94"/>
      <c r="DD828" s="94"/>
      <c r="DE828" s="94"/>
      <c r="DF828" s="94"/>
      <c r="DG828" s="94"/>
      <c r="DH828" s="94"/>
      <c r="DI828" s="94"/>
      <c r="DJ828" s="94"/>
      <c r="DK828" s="94"/>
      <c r="DL828" s="94"/>
      <c r="DM828" s="94"/>
      <c r="DN828" s="94"/>
      <c r="DO828" s="94"/>
      <c r="DP828" s="94"/>
      <c r="DQ828" s="94"/>
    </row>
    <row r="829" spans="1:121" ht="15" customHeight="1" outlineLevel="3" x14ac:dyDescent="0.3">
      <c r="A829" s="100"/>
      <c r="B829" s="100"/>
      <c r="C829" s="99">
        <v>4</v>
      </c>
      <c r="D829" s="98" t="s">
        <v>379</v>
      </c>
      <c r="F829" s="94"/>
      <c r="H829" s="77" t="s">
        <v>378</v>
      </c>
      <c r="O829" s="94"/>
      <c r="Q829" s="97"/>
      <c r="R829" s="97"/>
      <c r="AB829" s="72">
        <v>1</v>
      </c>
      <c r="AE829" s="96"/>
      <c r="AF829" s="102"/>
      <c r="AG829" s="102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  <c r="AV829" s="102"/>
      <c r="AW829" s="102"/>
      <c r="AX829" s="102"/>
      <c r="AY829" s="102"/>
      <c r="AZ829" s="102"/>
      <c r="BA829" s="102"/>
      <c r="BB829" s="102"/>
      <c r="BC829" s="102"/>
      <c r="BD829" s="102"/>
      <c r="BE829" s="102"/>
      <c r="BF829" s="102"/>
      <c r="BG829" s="102"/>
      <c r="BH829" s="102"/>
      <c r="BI829" s="102"/>
      <c r="BJ829" s="102"/>
      <c r="BK829" s="102"/>
      <c r="BL829" s="102"/>
      <c r="BM829" s="102"/>
      <c r="BN829" s="102"/>
      <c r="BO829" s="102"/>
      <c r="BP829" s="102"/>
      <c r="BQ829" s="102"/>
      <c r="BR829" s="102"/>
      <c r="BS829" s="102"/>
      <c r="BT829" s="102"/>
      <c r="BU829" s="102"/>
      <c r="BV829" s="102"/>
      <c r="BW829" s="102"/>
      <c r="BX829" s="102"/>
      <c r="BY829" s="94"/>
      <c r="BZ829" s="94"/>
      <c r="CA829" s="94"/>
      <c r="CB829" s="94"/>
      <c r="CC829" s="94"/>
      <c r="CD829" s="94"/>
      <c r="CE829" s="94"/>
      <c r="CF829" s="94"/>
      <c r="CG829" s="94"/>
      <c r="CH829" s="94"/>
      <c r="CI829" s="94"/>
      <c r="CJ829" s="94"/>
      <c r="CK829" s="94" t="str">
        <f>"" &amp; TEXT(AF829,"#0.00%") &amp; " " &amp; "Door S/W SOP LCP cable Installation" &amp; " " &amp; IF(Q829="","",TEXT(Q829,"M/D-")) &amp; IF(R829="","",TEXT(R829,"M/D")) &amp; " "</f>
        <v xml:space="preserve">0.00% Door S/W SOP LCP cable Installation  </v>
      </c>
      <c r="CL829" s="94"/>
      <c r="CM829" s="94"/>
      <c r="CN829" s="94"/>
      <c r="CO829" s="94"/>
      <c r="CP829" s="94"/>
      <c r="CQ829" s="94"/>
      <c r="CR829" s="94"/>
      <c r="CS829" s="94"/>
      <c r="CT829" s="94"/>
      <c r="CU829" s="94"/>
      <c r="CV829" s="94"/>
      <c r="CW829" s="94"/>
      <c r="CX829" s="94"/>
      <c r="CY829" s="94"/>
      <c r="CZ829" s="94"/>
      <c r="DA829" s="94"/>
      <c r="DB829" s="94"/>
      <c r="DC829" s="94"/>
      <c r="DD829" s="94"/>
      <c r="DE829" s="94"/>
      <c r="DF829" s="94"/>
      <c r="DG829" s="94"/>
      <c r="DH829" s="94"/>
      <c r="DI829" s="94"/>
      <c r="DJ829" s="94"/>
      <c r="DK829" s="94"/>
      <c r="DL829" s="94"/>
      <c r="DM829" s="94"/>
      <c r="DN829" s="94"/>
      <c r="DO829" s="94"/>
      <c r="DP829" s="94"/>
      <c r="DQ829" s="94"/>
    </row>
    <row r="830" spans="1:121" ht="15" customHeight="1" outlineLevel="3" x14ac:dyDescent="0.3">
      <c r="A830" s="100"/>
      <c r="B830" s="100"/>
      <c r="C830" s="99">
        <v>4</v>
      </c>
      <c r="D830" s="98" t="s">
        <v>377</v>
      </c>
      <c r="F830" s="94"/>
      <c r="H830" s="77" t="s">
        <v>303</v>
      </c>
      <c r="O830" s="94"/>
      <c r="Q830" s="97"/>
      <c r="R830" s="97"/>
      <c r="AB830" s="72">
        <v>1</v>
      </c>
      <c r="AE830" s="96"/>
      <c r="AF830" s="102"/>
      <c r="AG830" s="102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  <c r="AV830" s="102"/>
      <c r="AW830" s="102"/>
      <c r="AX830" s="102"/>
      <c r="AY830" s="102"/>
      <c r="AZ830" s="102"/>
      <c r="BA830" s="102"/>
      <c r="BB830" s="102"/>
      <c r="BC830" s="102"/>
      <c r="BD830" s="102"/>
      <c r="BE830" s="102"/>
      <c r="BF830" s="102"/>
      <c r="BG830" s="102"/>
      <c r="BH830" s="102"/>
      <c r="BI830" s="102"/>
      <c r="BJ830" s="102"/>
      <c r="BK830" s="102"/>
      <c r="BL830" s="102"/>
      <c r="BM830" s="102"/>
      <c r="BN830" s="102"/>
      <c r="BO830" s="102"/>
      <c r="BP830" s="102"/>
      <c r="BQ830" s="102"/>
      <c r="BR830" s="102"/>
      <c r="BS830" s="102"/>
      <c r="BT830" s="102"/>
      <c r="BU830" s="102"/>
      <c r="BV830" s="102"/>
      <c r="BW830" s="102"/>
      <c r="BX830" s="102"/>
      <c r="BY830" s="94"/>
      <c r="BZ830" s="94"/>
      <c r="CA830" s="94"/>
      <c r="CB830" s="94"/>
      <c r="CC830" s="94"/>
      <c r="CD830" s="94"/>
      <c r="CE830" s="94"/>
      <c r="CF830" s="94"/>
      <c r="CG830" s="94"/>
      <c r="CH830" s="94"/>
      <c r="CI830" s="94"/>
      <c r="CJ830" s="94"/>
      <c r="CK830" s="94" t="str">
        <f>"   " &amp; TEXT(AF830,"#0.00%") &amp; " " &amp; "Installation Panel Inside Cable " &amp; " " &amp; IF(Q830="","",TEXT(Q830,"M/D-")) &amp; IF(R830="","",TEXT(R830,"M/D")) &amp; " "</f>
        <v xml:space="preserve">   0.00% Installation Panel Inside Cable   </v>
      </c>
      <c r="CL830" s="94"/>
      <c r="CM830" s="94"/>
      <c r="CN830" s="94"/>
      <c r="CO830" s="94"/>
      <c r="CP830" s="94"/>
      <c r="CQ830" s="94"/>
      <c r="CR830" s="94"/>
      <c r="CS830" s="94"/>
      <c r="CT830" s="94"/>
      <c r="CU830" s="94"/>
      <c r="CV830" s="94"/>
      <c r="CW830" s="94"/>
      <c r="CX830" s="94"/>
      <c r="CY830" s="94"/>
      <c r="CZ830" s="94"/>
      <c r="DA830" s="94"/>
      <c r="DB830" s="94"/>
      <c r="DC830" s="94"/>
      <c r="DD830" s="94"/>
      <c r="DE830" s="94"/>
      <c r="DF830" s="94"/>
      <c r="DG830" s="94"/>
      <c r="DH830" s="94"/>
      <c r="DI830" s="94"/>
      <c r="DJ830" s="94"/>
      <c r="DK830" s="94"/>
      <c r="DL830" s="94"/>
      <c r="DM830" s="94"/>
      <c r="DN830" s="94"/>
      <c r="DO830" s="94"/>
      <c r="DP830" s="94"/>
      <c r="DQ830" s="94"/>
    </row>
    <row r="831" spans="1:121" ht="15" customHeight="1" outlineLevel="3" x14ac:dyDescent="0.3">
      <c r="A831" s="100"/>
      <c r="B831" s="100"/>
      <c r="C831" s="99">
        <v>4</v>
      </c>
      <c r="D831" s="98" t="s">
        <v>376</v>
      </c>
      <c r="F831" s="94"/>
      <c r="H831" s="77" t="s">
        <v>301</v>
      </c>
      <c r="O831" s="94"/>
      <c r="Q831" s="97"/>
      <c r="R831" s="97"/>
      <c r="AB831" s="72">
        <v>1</v>
      </c>
      <c r="AE831" s="96"/>
      <c r="AF831" s="102"/>
      <c r="AG831" s="102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  <c r="AV831" s="102"/>
      <c r="AW831" s="102"/>
      <c r="AX831" s="102"/>
      <c r="AY831" s="102"/>
      <c r="AZ831" s="102"/>
      <c r="BA831" s="102"/>
      <c r="BB831" s="102"/>
      <c r="BC831" s="102"/>
      <c r="BD831" s="102"/>
      <c r="BE831" s="102"/>
      <c r="BF831" s="102"/>
      <c r="BG831" s="102"/>
      <c r="BH831" s="102"/>
      <c r="BI831" s="102"/>
      <c r="BJ831" s="102"/>
      <c r="BK831" s="102"/>
      <c r="BL831" s="102"/>
      <c r="BM831" s="102"/>
      <c r="BN831" s="102"/>
      <c r="BO831" s="102"/>
      <c r="BP831" s="102"/>
      <c r="BQ831" s="102"/>
      <c r="BR831" s="102"/>
      <c r="BS831" s="102"/>
      <c r="BT831" s="102"/>
      <c r="BU831" s="102"/>
      <c r="BV831" s="102"/>
      <c r="BW831" s="102"/>
      <c r="BX831" s="102"/>
      <c r="BY831" s="94"/>
      <c r="BZ831" s="94"/>
      <c r="CA831" s="94"/>
      <c r="CB831" s="94"/>
      <c r="CC831" s="94"/>
      <c r="CD831" s="94"/>
      <c r="CE831" s="94"/>
      <c r="CF831" s="94"/>
      <c r="CG831" s="94"/>
      <c r="CH831" s="94"/>
      <c r="CI831" s="94"/>
      <c r="CJ831" s="94"/>
      <c r="CK831" s="94"/>
      <c r="CL831" s="94" t="str">
        <f>"  " &amp; TEXT(AF831,"#0.00%") &amp; " " &amp; "Installation LED LAMP" &amp; " " &amp; IF(Q831="","",TEXT(Q831,"M/D-")) &amp; IF(R831="","",TEXT(R831,"M/D")) &amp; " "</f>
        <v xml:space="preserve">  0.00% Installation LED LAMP  </v>
      </c>
      <c r="CM831" s="94"/>
      <c r="CN831" s="94"/>
      <c r="CO831" s="94"/>
      <c r="CP831" s="94"/>
      <c r="CQ831" s="94"/>
      <c r="CR831" s="94"/>
      <c r="CS831" s="94"/>
      <c r="CT831" s="94"/>
      <c r="CU831" s="94"/>
      <c r="CV831" s="94"/>
      <c r="CW831" s="94"/>
      <c r="CX831" s="94"/>
      <c r="CY831" s="94"/>
      <c r="CZ831" s="94"/>
      <c r="DA831" s="94"/>
      <c r="DB831" s="94"/>
      <c r="DC831" s="94"/>
      <c r="DD831" s="94"/>
      <c r="DE831" s="94"/>
      <c r="DF831" s="94"/>
      <c r="DG831" s="94"/>
      <c r="DH831" s="94"/>
      <c r="DI831" s="94"/>
      <c r="DJ831" s="94"/>
      <c r="DK831" s="94"/>
      <c r="DL831" s="94"/>
      <c r="DM831" s="94"/>
      <c r="DN831" s="94"/>
      <c r="DO831" s="94"/>
      <c r="DP831" s="94"/>
      <c r="DQ831" s="94"/>
    </row>
    <row r="832" spans="1:121" ht="15" customHeight="1" outlineLevel="3" x14ac:dyDescent="0.3">
      <c r="A832" s="100"/>
      <c r="B832" s="100"/>
      <c r="C832" s="99">
        <v>4</v>
      </c>
      <c r="D832" s="98" t="s">
        <v>375</v>
      </c>
      <c r="F832" s="94"/>
      <c r="H832" s="77" t="s">
        <v>374</v>
      </c>
      <c r="O832" s="94"/>
      <c r="Q832" s="97"/>
      <c r="R832" s="97"/>
      <c r="AB832" s="72">
        <v>1</v>
      </c>
      <c r="AE832" s="96"/>
      <c r="AF832" s="102"/>
      <c r="AG832" s="102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  <c r="AV832" s="102"/>
      <c r="AW832" s="102"/>
      <c r="AX832" s="102"/>
      <c r="AY832" s="102"/>
      <c r="AZ832" s="102"/>
      <c r="BA832" s="102"/>
      <c r="BB832" s="102"/>
      <c r="BC832" s="102"/>
      <c r="BD832" s="102"/>
      <c r="BE832" s="102"/>
      <c r="BF832" s="102"/>
      <c r="BG832" s="102"/>
      <c r="BH832" s="102"/>
      <c r="BI832" s="102"/>
      <c r="BJ832" s="102"/>
      <c r="BK832" s="102"/>
      <c r="BL832" s="102"/>
      <c r="BM832" s="102"/>
      <c r="BN832" s="102"/>
      <c r="BO832" s="102"/>
      <c r="BP832" s="102"/>
      <c r="BQ832" s="102"/>
      <c r="BR832" s="102"/>
      <c r="BS832" s="102"/>
      <c r="BT832" s="102"/>
      <c r="BU832" s="102"/>
      <c r="BV832" s="102"/>
      <c r="BW832" s="102"/>
      <c r="BX832" s="102"/>
      <c r="BY832" s="94"/>
      <c r="BZ832" s="94"/>
      <c r="CA832" s="94"/>
      <c r="CB832" s="94"/>
      <c r="CC832" s="94"/>
      <c r="CD832" s="94"/>
      <c r="CE832" s="94"/>
      <c r="CF832" s="94"/>
      <c r="CG832" s="94"/>
      <c r="CH832" s="94"/>
      <c r="CI832" s="94"/>
      <c r="CJ832" s="94"/>
      <c r="CK832" s="94"/>
      <c r="CL832" s="94" t="str">
        <f>"    " &amp; TEXT(AF832,"#0.00%") &amp; " " &amp; "Installation Collector Arm" &amp; " " &amp; IF(Q832="","",TEXT(Q832,"M/D-")) &amp; IF(R832="","",TEXT(R832,"M/D")) &amp; " "</f>
        <v xml:space="preserve">    0.00% Installation Collector Arm  </v>
      </c>
      <c r="CM832" s="94"/>
      <c r="CN832" s="94"/>
      <c r="CO832" s="94"/>
      <c r="CP832" s="94"/>
      <c r="CQ832" s="94"/>
      <c r="CR832" s="94"/>
      <c r="CS832" s="94"/>
      <c r="CT832" s="94"/>
      <c r="CU832" s="94"/>
      <c r="CV832" s="94"/>
      <c r="CW832" s="94"/>
      <c r="CX832" s="94"/>
      <c r="CY832" s="94"/>
      <c r="CZ832" s="94"/>
      <c r="DA832" s="94"/>
      <c r="DB832" s="94"/>
      <c r="DC832" s="94"/>
      <c r="DD832" s="94"/>
      <c r="DE832" s="94"/>
      <c r="DF832" s="94"/>
      <c r="DG832" s="94"/>
      <c r="DH832" s="94"/>
      <c r="DI832" s="94"/>
      <c r="DJ832" s="94"/>
      <c r="DK832" s="94"/>
      <c r="DL832" s="94"/>
      <c r="DM832" s="94"/>
      <c r="DN832" s="94"/>
      <c r="DO832" s="94"/>
      <c r="DP832" s="94"/>
      <c r="DQ832" s="94"/>
    </row>
    <row r="833" spans="1:121" ht="15" customHeight="1" outlineLevel="3" x14ac:dyDescent="0.3">
      <c r="A833" s="100"/>
      <c r="B833" s="100"/>
      <c r="C833" s="99">
        <v>4</v>
      </c>
      <c r="D833" s="98" t="s">
        <v>373</v>
      </c>
      <c r="F833" s="94"/>
      <c r="H833" s="77" t="s">
        <v>372</v>
      </c>
      <c r="O833" s="94"/>
      <c r="Q833" s="97"/>
      <c r="R833" s="97"/>
      <c r="AB833" s="72">
        <v>1</v>
      </c>
      <c r="AE833" s="96"/>
      <c r="AF833" s="102"/>
      <c r="AG833" s="102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  <c r="AV833" s="102"/>
      <c r="AW833" s="102"/>
      <c r="AX833" s="102"/>
      <c r="AY833" s="102"/>
      <c r="AZ833" s="102"/>
      <c r="BA833" s="102"/>
      <c r="BB833" s="102"/>
      <c r="BC833" s="102"/>
      <c r="BD833" s="102"/>
      <c r="BE833" s="102"/>
      <c r="BF833" s="102"/>
      <c r="BG833" s="102"/>
      <c r="BH833" s="102"/>
      <c r="BI833" s="102"/>
      <c r="BJ833" s="102"/>
      <c r="BK833" s="102"/>
      <c r="BL833" s="102"/>
      <c r="BM833" s="102"/>
      <c r="BN833" s="102"/>
      <c r="BO833" s="102"/>
      <c r="BP833" s="102"/>
      <c r="BQ833" s="102"/>
      <c r="BR833" s="102"/>
      <c r="BS833" s="102"/>
      <c r="BT833" s="102"/>
      <c r="BU833" s="102"/>
      <c r="BV833" s="102"/>
      <c r="BW833" s="102"/>
      <c r="BX833" s="102"/>
      <c r="BY833" s="94"/>
      <c r="BZ833" s="94"/>
      <c r="CA833" s="94"/>
      <c r="CB833" s="94"/>
      <c r="CC833" s="94"/>
      <c r="CD833" s="94"/>
      <c r="CE833" s="94"/>
      <c r="CF833" s="94"/>
      <c r="CG833" s="94"/>
      <c r="CH833" s="94"/>
      <c r="CI833" s="94"/>
      <c r="CJ833" s="94"/>
      <c r="CK833" s="94"/>
      <c r="CL833" s="94" t="str">
        <f>"    " &amp; TEXT(AF833,"#0.00%") &amp; " " &amp; "Attach Tape(Driving BCR)" &amp; " " &amp; IF(Q833="","",TEXT(Q833,"M/D-")) &amp; IF(R833="","",TEXT(R833,"M/D")) &amp; " "</f>
        <v xml:space="preserve">    0.00% Attach Tape(Driving BCR)  </v>
      </c>
      <c r="CM833" s="94"/>
      <c r="CN833" s="94"/>
      <c r="CO833" s="94"/>
      <c r="CP833" s="94"/>
      <c r="CQ833" s="94"/>
      <c r="CR833" s="94"/>
      <c r="CS833" s="94"/>
      <c r="CT833" s="94"/>
      <c r="CU833" s="94"/>
      <c r="CV833" s="94"/>
      <c r="CW833" s="94"/>
      <c r="CX833" s="94"/>
      <c r="CY833" s="94"/>
      <c r="CZ833" s="94"/>
      <c r="DA833" s="94"/>
      <c r="DB833" s="94"/>
      <c r="DC833" s="94"/>
      <c r="DD833" s="94"/>
      <c r="DE833" s="94"/>
      <c r="DF833" s="94"/>
      <c r="DG833" s="94"/>
      <c r="DH833" s="94"/>
      <c r="DI833" s="94"/>
      <c r="DJ833" s="94"/>
      <c r="DK833" s="94"/>
      <c r="DL833" s="94"/>
      <c r="DM833" s="94"/>
      <c r="DN833" s="94"/>
      <c r="DO833" s="94"/>
      <c r="DP833" s="94"/>
      <c r="DQ833" s="94"/>
    </row>
    <row r="834" spans="1:121" ht="15" customHeight="1" outlineLevel="3" x14ac:dyDescent="0.3">
      <c r="A834" s="100"/>
      <c r="B834" s="100"/>
      <c r="C834" s="99">
        <v>4</v>
      </c>
      <c r="D834" s="98" t="s">
        <v>371</v>
      </c>
      <c r="F834" s="94"/>
      <c r="H834" s="77" t="s">
        <v>370</v>
      </c>
      <c r="O834" s="94"/>
      <c r="Q834" s="97"/>
      <c r="R834" s="97"/>
      <c r="AB834" s="72">
        <v>1</v>
      </c>
      <c r="AE834" s="96"/>
      <c r="AF834" s="102"/>
      <c r="AG834" s="102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  <c r="AX834" s="102"/>
      <c r="AY834" s="102"/>
      <c r="AZ834" s="102"/>
      <c r="BA834" s="102"/>
      <c r="BB834" s="102"/>
      <c r="BC834" s="102"/>
      <c r="BD834" s="102"/>
      <c r="BE834" s="102"/>
      <c r="BF834" s="102"/>
      <c r="BG834" s="102"/>
      <c r="BH834" s="102"/>
      <c r="BI834" s="102"/>
      <c r="BJ834" s="102"/>
      <c r="BK834" s="102"/>
      <c r="BL834" s="102"/>
      <c r="BM834" s="102"/>
      <c r="BN834" s="102"/>
      <c r="BO834" s="102"/>
      <c r="BP834" s="102"/>
      <c r="BQ834" s="102"/>
      <c r="BR834" s="102"/>
      <c r="BS834" s="102"/>
      <c r="BT834" s="102"/>
      <c r="BU834" s="102"/>
      <c r="BV834" s="102"/>
      <c r="BW834" s="102"/>
      <c r="BX834" s="102"/>
      <c r="BY834" s="94"/>
      <c r="BZ834" s="94"/>
      <c r="CA834" s="94"/>
      <c r="CB834" s="94"/>
      <c r="CC834" s="94"/>
      <c r="CD834" s="94"/>
      <c r="CE834" s="94"/>
      <c r="CF834" s="94"/>
      <c r="CG834" s="94"/>
      <c r="CH834" s="94"/>
      <c r="CI834" s="94"/>
      <c r="CJ834" s="94"/>
      <c r="CK834" s="94"/>
      <c r="CL834" s="94" t="str">
        <f>"    " &amp; TEXT(AF834,"#0.00%") &amp; " " &amp; "Installation Motor Cable" &amp; " " &amp; IF(Q834="","",TEXT(Q834,"M/D-")) &amp; IF(R834="","",TEXT(R834,"M/D")) &amp; " "</f>
        <v xml:space="preserve">    0.00% Installation Motor Cable  </v>
      </c>
      <c r="CM834" s="94"/>
      <c r="CN834" s="94"/>
      <c r="CO834" s="94"/>
      <c r="CP834" s="94"/>
      <c r="CQ834" s="94"/>
      <c r="CR834" s="94"/>
      <c r="CS834" s="94"/>
      <c r="CT834" s="94"/>
      <c r="CU834" s="94"/>
      <c r="CV834" s="94"/>
      <c r="CW834" s="94"/>
      <c r="CX834" s="94"/>
      <c r="CY834" s="94"/>
      <c r="CZ834" s="94"/>
      <c r="DA834" s="94"/>
      <c r="DB834" s="94"/>
      <c r="DC834" s="94"/>
      <c r="DD834" s="94"/>
      <c r="DE834" s="94"/>
      <c r="DF834" s="94"/>
      <c r="DG834" s="94"/>
      <c r="DH834" s="94"/>
      <c r="DI834" s="94"/>
      <c r="DJ834" s="94"/>
      <c r="DK834" s="94"/>
      <c r="DL834" s="94"/>
      <c r="DM834" s="94"/>
      <c r="DN834" s="94"/>
      <c r="DO834" s="94"/>
      <c r="DP834" s="94"/>
      <c r="DQ834" s="94"/>
    </row>
    <row r="835" spans="1:121" ht="15" customHeight="1" outlineLevel="2" x14ac:dyDescent="0.3">
      <c r="A835" s="100"/>
      <c r="B835" s="100" t="s">
        <v>298</v>
      </c>
      <c r="C835" s="99">
        <v>3</v>
      </c>
      <c r="D835" s="98" t="s">
        <v>369</v>
      </c>
      <c r="G835" s="77" t="s">
        <v>368</v>
      </c>
      <c r="O835" s="94" t="s">
        <v>367</v>
      </c>
      <c r="Q835" s="104"/>
      <c r="R835" s="104"/>
      <c r="AE835" s="96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94" t="str">
        <f>"    " &amp; TEXT(AF835,"#0.00%") &amp; " " &amp; "Assembly" &amp; " " &amp; IF(Q835="","",TEXT(Q835,"M/D-")) &amp; IF(R835="","",TEXT(R835,"M/D")) &amp; " "</f>
        <v xml:space="preserve">    0.00% Assembly  </v>
      </c>
      <c r="BZ835" s="94"/>
      <c r="CA835" s="94"/>
      <c r="CB835" s="94"/>
      <c r="CC835" s="94"/>
      <c r="CD835" s="94"/>
      <c r="CE835" s="94"/>
      <c r="CF835" s="94"/>
      <c r="CG835" s="94"/>
      <c r="CH835" s="94"/>
      <c r="CI835" s="94"/>
      <c r="CJ835" s="94"/>
      <c r="CK835" s="94"/>
      <c r="CL835" s="94"/>
      <c r="CM835" s="94"/>
      <c r="CN835" s="94"/>
      <c r="CO835" s="94"/>
      <c r="CP835" s="94"/>
      <c r="CQ835" s="94"/>
      <c r="CR835" s="94"/>
      <c r="CS835" s="94"/>
      <c r="CT835" s="94"/>
      <c r="CU835" s="94"/>
      <c r="CV835" s="94"/>
      <c r="CW835" s="94"/>
      <c r="CX835" s="94"/>
      <c r="CY835" s="94"/>
      <c r="CZ835" s="94"/>
      <c r="DA835" s="94"/>
      <c r="DB835" s="94"/>
      <c r="DC835" s="94"/>
      <c r="DD835" s="94"/>
      <c r="DE835" s="94"/>
      <c r="DF835" s="94"/>
      <c r="DG835" s="94"/>
      <c r="DH835" s="94"/>
      <c r="DI835" s="94"/>
      <c r="DJ835" s="94"/>
      <c r="DK835" s="94"/>
      <c r="DL835" s="94"/>
      <c r="DM835" s="94"/>
      <c r="DN835" s="94"/>
      <c r="DO835" s="94"/>
      <c r="DP835" s="94"/>
      <c r="DQ835" s="94"/>
    </row>
    <row r="836" spans="1:121" ht="15" customHeight="1" outlineLevel="3" x14ac:dyDescent="0.3">
      <c r="A836" s="100"/>
      <c r="B836" s="100"/>
      <c r="C836" s="99">
        <v>4</v>
      </c>
      <c r="D836" s="98" t="s">
        <v>366</v>
      </c>
      <c r="H836" s="77" t="s">
        <v>317</v>
      </c>
      <c r="O836" s="94"/>
      <c r="Q836" s="97"/>
      <c r="R836" s="97"/>
      <c r="AB836" s="72">
        <v>1</v>
      </c>
      <c r="AE836" s="96"/>
      <c r="AF836" s="102"/>
      <c r="AG836" s="102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  <c r="AV836" s="102"/>
      <c r="AW836" s="102"/>
      <c r="AX836" s="102"/>
      <c r="AY836" s="102"/>
      <c r="AZ836" s="102"/>
      <c r="BA836" s="102"/>
      <c r="BB836" s="102"/>
      <c r="BC836" s="102"/>
      <c r="BD836" s="102"/>
      <c r="BE836" s="102"/>
      <c r="BF836" s="102"/>
      <c r="BG836" s="102"/>
      <c r="BH836" s="102"/>
      <c r="BI836" s="102"/>
      <c r="BJ836" s="102"/>
      <c r="BK836" s="102"/>
      <c r="BL836" s="102"/>
      <c r="BM836" s="102"/>
      <c r="BN836" s="102"/>
      <c r="BO836" s="102"/>
      <c r="BP836" s="102"/>
      <c r="BQ836" s="102"/>
      <c r="BR836" s="102"/>
      <c r="BS836" s="102"/>
      <c r="BT836" s="102"/>
      <c r="BU836" s="102"/>
      <c r="BV836" s="102"/>
      <c r="BW836" s="102"/>
      <c r="BX836" s="102"/>
      <c r="BY836" s="94" t="str">
        <f>"    " &amp; TEXT(AF836,"#0.00%") &amp; " " &amp; "Panel Alignment and fixation" &amp; " " &amp; IF(Q836="","",TEXT(Q836,"M/D-")) &amp; IF(R836="","",TEXT(R836,"M/D")) &amp; " "</f>
        <v xml:space="preserve">    0.00% Panel Alignment and fixation  </v>
      </c>
      <c r="BZ836" s="94"/>
      <c r="CA836" s="94"/>
      <c r="CB836" s="94"/>
      <c r="CC836" s="94"/>
      <c r="CD836" s="94"/>
      <c r="CE836" s="94"/>
      <c r="CF836" s="94"/>
      <c r="CG836" s="94"/>
      <c r="CH836" s="94"/>
      <c r="CI836" s="94"/>
      <c r="CJ836" s="94"/>
      <c r="CK836" s="94"/>
      <c r="CL836" s="94"/>
      <c r="CM836" s="94"/>
      <c r="CN836" s="94"/>
      <c r="CO836" s="94"/>
      <c r="CP836" s="94"/>
      <c r="CQ836" s="94"/>
      <c r="CR836" s="94"/>
      <c r="CS836" s="94"/>
      <c r="CT836" s="94"/>
      <c r="CU836" s="94"/>
      <c r="CV836" s="94"/>
      <c r="CW836" s="94"/>
      <c r="CX836" s="94"/>
      <c r="CY836" s="94"/>
      <c r="CZ836" s="94"/>
      <c r="DA836" s="94"/>
      <c r="DB836" s="94"/>
      <c r="DC836" s="94"/>
      <c r="DD836" s="94"/>
      <c r="DE836" s="94"/>
      <c r="DF836" s="94"/>
      <c r="DG836" s="94"/>
      <c r="DH836" s="94"/>
      <c r="DI836" s="94"/>
      <c r="DJ836" s="94"/>
      <c r="DK836" s="94"/>
      <c r="DL836" s="94"/>
      <c r="DM836" s="94"/>
      <c r="DN836" s="94"/>
      <c r="DO836" s="94"/>
      <c r="DP836" s="94"/>
      <c r="DQ836" s="94"/>
    </row>
    <row r="837" spans="1:121" ht="15" customHeight="1" outlineLevel="3" x14ac:dyDescent="0.3">
      <c r="A837" s="100"/>
      <c r="B837" s="100"/>
      <c r="C837" s="99">
        <v>4</v>
      </c>
      <c r="D837" s="98" t="s">
        <v>365</v>
      </c>
      <c r="H837" s="77" t="s">
        <v>315</v>
      </c>
      <c r="O837" s="94"/>
      <c r="Q837" s="97"/>
      <c r="R837" s="97"/>
      <c r="AB837" s="72">
        <v>1</v>
      </c>
      <c r="AE837" s="96"/>
      <c r="AF837" s="102"/>
      <c r="AG837" s="102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  <c r="AS837" s="102"/>
      <c r="AT837" s="102"/>
      <c r="AU837" s="102"/>
      <c r="AV837" s="102"/>
      <c r="AW837" s="102"/>
      <c r="AX837" s="102"/>
      <c r="AY837" s="102"/>
      <c r="AZ837" s="102"/>
      <c r="BA837" s="102"/>
      <c r="BB837" s="102"/>
      <c r="BC837" s="102"/>
      <c r="BD837" s="102"/>
      <c r="BE837" s="102"/>
      <c r="BF837" s="102"/>
      <c r="BG837" s="102"/>
      <c r="BH837" s="102"/>
      <c r="BI837" s="102"/>
      <c r="BJ837" s="102"/>
      <c r="BK837" s="102"/>
      <c r="BL837" s="102"/>
      <c r="BM837" s="102"/>
      <c r="BN837" s="102"/>
      <c r="BO837" s="102"/>
      <c r="BP837" s="102"/>
      <c r="BQ837" s="102"/>
      <c r="BR837" s="102"/>
      <c r="BS837" s="102"/>
      <c r="BT837" s="102"/>
      <c r="BU837" s="102"/>
      <c r="BV837" s="102"/>
      <c r="BW837" s="102"/>
      <c r="BX837" s="102"/>
      <c r="BY837" s="94" t="str">
        <f>"    " &amp; TEXT(AF837,"#0.00%") &amp; " " &amp; "Door S/W SOP LCP positioning in alignment" &amp; " " &amp; IF(Q837="","",TEXT(Q837,"M/D-")) &amp; IF(R837="","",TEXT(R837,"M/D")) &amp; " "</f>
        <v xml:space="preserve">    0.00% Door S/W SOP LCP positioning in alignment  </v>
      </c>
      <c r="BZ837" s="94"/>
      <c r="CA837" s="94"/>
      <c r="CB837" s="94"/>
      <c r="CC837" s="94"/>
      <c r="CD837" s="94"/>
      <c r="CE837" s="94"/>
      <c r="CF837" s="94"/>
      <c r="CG837" s="94"/>
      <c r="CH837" s="94"/>
      <c r="CI837" s="94"/>
      <c r="CJ837" s="94"/>
      <c r="CK837" s="94"/>
      <c r="CL837" s="94"/>
      <c r="CM837" s="94"/>
      <c r="CN837" s="94"/>
      <c r="CO837" s="94"/>
      <c r="CP837" s="94"/>
      <c r="CQ837" s="94"/>
      <c r="CR837" s="94"/>
      <c r="CS837" s="94"/>
      <c r="CT837" s="94"/>
      <c r="CU837" s="94"/>
      <c r="CV837" s="94"/>
      <c r="CW837" s="94"/>
      <c r="CX837" s="94"/>
      <c r="CY837" s="94"/>
      <c r="CZ837" s="94"/>
      <c r="DA837" s="94"/>
      <c r="DB837" s="94"/>
      <c r="DC837" s="94"/>
      <c r="DD837" s="94"/>
      <c r="DE837" s="94"/>
      <c r="DF837" s="94"/>
      <c r="DG837" s="94"/>
      <c r="DH837" s="94"/>
      <c r="DI837" s="94"/>
      <c r="DJ837" s="94"/>
      <c r="DK837" s="94"/>
      <c r="DL837" s="94"/>
      <c r="DM837" s="94"/>
      <c r="DN837" s="94"/>
      <c r="DO837" s="94"/>
      <c r="DP837" s="94"/>
      <c r="DQ837" s="94"/>
    </row>
    <row r="838" spans="1:121" ht="15" customHeight="1" outlineLevel="3" x14ac:dyDescent="0.3">
      <c r="A838" s="100"/>
      <c r="B838" s="100"/>
      <c r="C838" s="99">
        <v>4</v>
      </c>
      <c r="D838" s="98" t="s">
        <v>364</v>
      </c>
      <c r="H838" s="77" t="s">
        <v>313</v>
      </c>
      <c r="O838" s="94"/>
      <c r="Q838" s="97"/>
      <c r="R838" s="97"/>
      <c r="AB838" s="72">
        <v>1</v>
      </c>
      <c r="AE838" s="96"/>
      <c r="AF838" s="102"/>
      <c r="AG838" s="102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  <c r="BC838" s="102"/>
      <c r="BD838" s="102"/>
      <c r="BE838" s="102"/>
      <c r="BF838" s="102"/>
      <c r="BG838" s="102"/>
      <c r="BH838" s="102"/>
      <c r="BI838" s="102"/>
      <c r="BJ838" s="102"/>
      <c r="BK838" s="102"/>
      <c r="BL838" s="102"/>
      <c r="BM838" s="102"/>
      <c r="BN838" s="102"/>
      <c r="BO838" s="102"/>
      <c r="BP838" s="102"/>
      <c r="BQ838" s="102"/>
      <c r="BR838" s="102"/>
      <c r="BS838" s="102"/>
      <c r="BT838" s="102"/>
      <c r="BU838" s="102"/>
      <c r="BV838" s="102"/>
      <c r="BW838" s="102"/>
      <c r="BX838" s="102"/>
      <c r="BY838" s="94" t="str">
        <f>"     " &amp; TEXT(AF838,"#0.00%") &amp; " " &amp; "Install Duct" &amp; " " &amp; IF(Q838="","",TEXT(Q838,"M/D-")) &amp; IF(R838="","",TEXT(R838,"M/D")) &amp; " "</f>
        <v xml:space="preserve">     0.00% Install Duct  </v>
      </c>
      <c r="BZ838" s="94"/>
      <c r="CA838" s="94"/>
      <c r="CB838" s="94"/>
      <c r="CC838" s="94"/>
      <c r="CD838" s="94"/>
      <c r="CE838" s="94"/>
      <c r="CF838" s="94"/>
      <c r="CG838" s="94"/>
      <c r="CH838" s="94"/>
      <c r="CI838" s="94"/>
      <c r="CJ838" s="94"/>
      <c r="CK838" s="94"/>
      <c r="CL838" s="94"/>
      <c r="CM838" s="94"/>
      <c r="CN838" s="94"/>
      <c r="CO838" s="94"/>
      <c r="CP838" s="94"/>
      <c r="CQ838" s="94"/>
      <c r="CR838" s="94"/>
      <c r="CS838" s="94"/>
      <c r="CT838" s="94"/>
      <c r="CU838" s="94"/>
      <c r="CV838" s="94"/>
      <c r="CW838" s="94"/>
      <c r="CX838" s="94"/>
      <c r="CY838" s="94"/>
      <c r="CZ838" s="94"/>
      <c r="DA838" s="94"/>
      <c r="DB838" s="94"/>
      <c r="DC838" s="94"/>
      <c r="DD838" s="94"/>
      <c r="DE838" s="94"/>
      <c r="DF838" s="94"/>
      <c r="DG838" s="94"/>
      <c r="DH838" s="94"/>
      <c r="DI838" s="94"/>
      <c r="DJ838" s="94"/>
      <c r="DK838" s="94"/>
      <c r="DL838" s="94"/>
      <c r="DM838" s="94"/>
      <c r="DN838" s="94"/>
      <c r="DO838" s="94"/>
      <c r="DP838" s="94"/>
      <c r="DQ838" s="94"/>
    </row>
    <row r="839" spans="1:121" ht="15" customHeight="1" outlineLevel="3" x14ac:dyDescent="0.3">
      <c r="A839" s="100"/>
      <c r="B839" s="100"/>
      <c r="C839" s="99">
        <v>4</v>
      </c>
      <c r="D839" s="98" t="s">
        <v>363</v>
      </c>
      <c r="H839" s="77" t="s">
        <v>311</v>
      </c>
      <c r="O839" s="94"/>
      <c r="Q839" s="97"/>
      <c r="R839" s="97"/>
      <c r="AB839" s="72">
        <v>1</v>
      </c>
      <c r="AE839" s="96"/>
      <c r="AF839" s="102"/>
      <c r="AG839" s="102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  <c r="BI839" s="102"/>
      <c r="BJ839" s="102"/>
      <c r="BK839" s="102"/>
      <c r="BL839" s="102"/>
      <c r="BM839" s="102"/>
      <c r="BN839" s="102"/>
      <c r="BO839" s="102"/>
      <c r="BP839" s="102"/>
      <c r="BQ839" s="102"/>
      <c r="BR839" s="102"/>
      <c r="BS839" s="102"/>
      <c r="BT839" s="102"/>
      <c r="BU839" s="102"/>
      <c r="BV839" s="102"/>
      <c r="BW839" s="102"/>
      <c r="BX839" s="102"/>
      <c r="BY839" s="94"/>
      <c r="BZ839" s="94" t="str">
        <f>"    " &amp; TEXT(AF839,"#0.00%") &amp; " " &amp; "Installation Lifter cable" &amp; " " &amp; IF(Q839="","",TEXT(Q839,"M/D-")) &amp; IF(R839="","",TEXT(R839,"M/D")) &amp; " "</f>
        <v xml:space="preserve">    0.00% Installation Lifter cable  </v>
      </c>
      <c r="CA839" s="94"/>
      <c r="CB839" s="94"/>
      <c r="CC839" s="94"/>
      <c r="CD839" s="94"/>
      <c r="CE839" s="94"/>
      <c r="CF839" s="94"/>
      <c r="CG839" s="94"/>
      <c r="CH839" s="94"/>
      <c r="CI839" s="94"/>
      <c r="CJ839" s="94"/>
      <c r="CK839" s="94"/>
      <c r="CL839" s="94"/>
      <c r="CM839" s="94"/>
      <c r="CN839" s="94"/>
      <c r="CO839" s="94"/>
      <c r="CP839" s="94"/>
      <c r="CQ839" s="94"/>
      <c r="CR839" s="94"/>
      <c r="CS839" s="94"/>
      <c r="CT839" s="94"/>
      <c r="CU839" s="94"/>
      <c r="CV839" s="94"/>
      <c r="CW839" s="94"/>
      <c r="CX839" s="94"/>
      <c r="CY839" s="94"/>
      <c r="CZ839" s="94"/>
      <c r="DA839" s="94"/>
      <c r="DB839" s="94"/>
      <c r="DC839" s="94"/>
      <c r="DD839" s="94"/>
      <c r="DE839" s="94"/>
      <c r="DF839" s="94"/>
      <c r="DG839" s="94"/>
      <c r="DH839" s="94"/>
      <c r="DI839" s="94"/>
      <c r="DJ839" s="94"/>
      <c r="DK839" s="94"/>
      <c r="DL839" s="94"/>
      <c r="DM839" s="94"/>
      <c r="DN839" s="94"/>
      <c r="DO839" s="94"/>
      <c r="DP839" s="94"/>
      <c r="DQ839" s="94"/>
    </row>
    <row r="840" spans="1:121" ht="15" customHeight="1" outlineLevel="3" x14ac:dyDescent="0.3">
      <c r="A840" s="100"/>
      <c r="B840" s="100"/>
      <c r="C840" s="99">
        <v>4</v>
      </c>
      <c r="D840" s="98" t="s">
        <v>362</v>
      </c>
      <c r="H840" s="77" t="s">
        <v>309</v>
      </c>
      <c r="O840" s="94"/>
      <c r="Q840" s="97"/>
      <c r="R840" s="97"/>
      <c r="AB840" s="72">
        <v>1</v>
      </c>
      <c r="AE840" s="96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  <c r="BI840" s="102"/>
      <c r="BJ840" s="102"/>
      <c r="BK840" s="102"/>
      <c r="BL840" s="102"/>
      <c r="BM840" s="102"/>
      <c r="BN840" s="102"/>
      <c r="BO840" s="102"/>
      <c r="BP840" s="102"/>
      <c r="BQ840" s="102"/>
      <c r="BR840" s="102"/>
      <c r="BS840" s="102"/>
      <c r="BT840" s="102"/>
      <c r="BU840" s="102"/>
      <c r="BV840" s="102"/>
      <c r="BW840" s="102"/>
      <c r="BX840" s="102"/>
      <c r="BY840" s="94"/>
      <c r="BZ840" s="94" t="str">
        <f>"    " &amp; TEXT(AF840,"#0.00%") &amp; " " &amp; "Installation Power moller cable" &amp; " " &amp; IF(Q840="","",TEXT(Q840,"M/D-")) &amp; IF(R840="","",TEXT(R840,"M/D")) &amp; " "</f>
        <v xml:space="preserve">    0.00% Installation Power moller cable  </v>
      </c>
      <c r="CA840" s="94"/>
      <c r="CB840" s="94"/>
      <c r="CC840" s="94"/>
      <c r="CD840" s="94"/>
      <c r="CE840" s="94"/>
      <c r="CF840" s="94"/>
      <c r="CG840" s="94"/>
      <c r="CH840" s="94"/>
      <c r="CI840" s="94"/>
      <c r="CJ840" s="94"/>
      <c r="CK840" s="94"/>
      <c r="CL840" s="94"/>
      <c r="CM840" s="94"/>
      <c r="CN840" s="94"/>
      <c r="CO840" s="94"/>
      <c r="CP840" s="94"/>
      <c r="CQ840" s="94"/>
      <c r="CR840" s="94"/>
      <c r="CS840" s="94"/>
      <c r="CT840" s="94"/>
      <c r="CU840" s="94"/>
      <c r="CV840" s="94"/>
      <c r="CW840" s="94"/>
      <c r="CX840" s="94"/>
      <c r="CY840" s="94"/>
      <c r="CZ840" s="94"/>
      <c r="DA840" s="94"/>
      <c r="DB840" s="94"/>
      <c r="DC840" s="94"/>
      <c r="DD840" s="94"/>
      <c r="DE840" s="94"/>
      <c r="DF840" s="94"/>
      <c r="DG840" s="94"/>
      <c r="DH840" s="94"/>
      <c r="DI840" s="94"/>
      <c r="DJ840" s="94"/>
      <c r="DK840" s="94"/>
      <c r="DL840" s="94"/>
      <c r="DM840" s="94"/>
      <c r="DN840" s="94"/>
      <c r="DO840" s="94"/>
      <c r="DP840" s="94"/>
      <c r="DQ840" s="94"/>
    </row>
    <row r="841" spans="1:121" ht="15" customHeight="1" outlineLevel="3" x14ac:dyDescent="0.3">
      <c r="A841" s="100"/>
      <c r="B841" s="100"/>
      <c r="C841" s="99">
        <v>4</v>
      </c>
      <c r="D841" s="98" t="s">
        <v>361</v>
      </c>
      <c r="H841" s="77" t="s">
        <v>307</v>
      </c>
      <c r="O841" s="94"/>
      <c r="Q841" s="97"/>
      <c r="R841" s="97"/>
      <c r="AB841" s="72">
        <v>1</v>
      </c>
      <c r="AE841" s="96"/>
      <c r="AF841" s="102"/>
      <c r="AG841" s="102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  <c r="AV841" s="102"/>
      <c r="AW841" s="102"/>
      <c r="AX841" s="102"/>
      <c r="AY841" s="102"/>
      <c r="AZ841" s="102"/>
      <c r="BA841" s="102"/>
      <c r="BB841" s="102"/>
      <c r="BC841" s="102"/>
      <c r="BD841" s="102"/>
      <c r="BE841" s="102"/>
      <c r="BF841" s="102"/>
      <c r="BG841" s="102"/>
      <c r="BH841" s="102"/>
      <c r="BI841" s="102"/>
      <c r="BJ841" s="102"/>
      <c r="BK841" s="102"/>
      <c r="BL841" s="102"/>
      <c r="BM841" s="102"/>
      <c r="BN841" s="102"/>
      <c r="BO841" s="102"/>
      <c r="BP841" s="102"/>
      <c r="BQ841" s="102"/>
      <c r="BR841" s="102"/>
      <c r="BS841" s="102"/>
      <c r="BT841" s="102"/>
      <c r="BU841" s="102"/>
      <c r="BV841" s="102"/>
      <c r="BW841" s="102"/>
      <c r="BX841" s="102"/>
      <c r="BY841" s="94"/>
      <c r="BZ841" s="94" t="str">
        <f>"    " &amp; TEXT(AF841,"#0.00%") &amp; " " &amp; "Installation Lifter Light Curtain cable" &amp; " " &amp; IF(Q841="","",TEXT(Q841,"M/D-")) &amp; IF(R841="","",TEXT(R841,"M/D")) &amp; " "</f>
        <v xml:space="preserve">    0.00% Installation Lifter Light Curtain cable  </v>
      </c>
      <c r="CA841" s="94"/>
      <c r="CB841" s="94"/>
      <c r="CC841" s="94"/>
      <c r="CD841" s="94"/>
      <c r="CE841" s="94"/>
      <c r="CF841" s="94"/>
      <c r="CG841" s="94"/>
      <c r="CH841" s="94"/>
      <c r="CI841" s="94"/>
      <c r="CJ841" s="94"/>
      <c r="CK841" s="94"/>
      <c r="CL841" s="94"/>
      <c r="CM841" s="94"/>
      <c r="CN841" s="94"/>
      <c r="CO841" s="94"/>
      <c r="CP841" s="94"/>
      <c r="CQ841" s="94"/>
      <c r="CR841" s="94"/>
      <c r="CS841" s="94"/>
      <c r="CT841" s="94"/>
      <c r="CU841" s="94"/>
      <c r="CV841" s="94"/>
      <c r="CW841" s="94"/>
      <c r="CX841" s="94"/>
      <c r="CY841" s="94"/>
      <c r="CZ841" s="94"/>
      <c r="DA841" s="94"/>
      <c r="DB841" s="94"/>
      <c r="DC841" s="94"/>
      <c r="DD841" s="94"/>
      <c r="DE841" s="94"/>
      <c r="DF841" s="94"/>
      <c r="DG841" s="94"/>
      <c r="DH841" s="94"/>
      <c r="DI841" s="94"/>
      <c r="DJ841" s="94"/>
      <c r="DK841" s="94"/>
      <c r="DL841" s="94"/>
      <c r="DM841" s="94"/>
      <c r="DN841" s="94"/>
      <c r="DO841" s="94"/>
      <c r="DP841" s="94"/>
      <c r="DQ841" s="94"/>
    </row>
    <row r="842" spans="1:121" ht="15" customHeight="1" outlineLevel="3" x14ac:dyDescent="0.3">
      <c r="A842" s="100"/>
      <c r="B842" s="100"/>
      <c r="C842" s="99">
        <v>4</v>
      </c>
      <c r="D842" s="98" t="s">
        <v>360</v>
      </c>
      <c r="H842" s="77" t="s">
        <v>359</v>
      </c>
      <c r="O842" s="94"/>
      <c r="Q842" s="97"/>
      <c r="R842" s="97"/>
      <c r="AB842" s="72">
        <v>1</v>
      </c>
      <c r="AE842" s="96"/>
      <c r="AF842" s="102"/>
      <c r="AG842" s="102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  <c r="AV842" s="102"/>
      <c r="AW842" s="102"/>
      <c r="AX842" s="102"/>
      <c r="AY842" s="102"/>
      <c r="AZ842" s="102"/>
      <c r="BA842" s="102"/>
      <c r="BB842" s="102"/>
      <c r="BC842" s="102"/>
      <c r="BD842" s="102"/>
      <c r="BE842" s="102"/>
      <c r="BF842" s="102"/>
      <c r="BG842" s="102"/>
      <c r="BH842" s="102"/>
      <c r="BI842" s="102"/>
      <c r="BJ842" s="102"/>
      <c r="BK842" s="102"/>
      <c r="BL842" s="102"/>
      <c r="BM842" s="102"/>
      <c r="BN842" s="102"/>
      <c r="BO842" s="102"/>
      <c r="BP842" s="102"/>
      <c r="BQ842" s="102"/>
      <c r="BR842" s="102"/>
      <c r="BS842" s="102"/>
      <c r="BT842" s="102"/>
      <c r="BU842" s="102"/>
      <c r="BV842" s="102"/>
      <c r="BW842" s="102"/>
      <c r="BX842" s="102"/>
      <c r="BY842" s="94"/>
      <c r="BZ842" s="94"/>
      <c r="CA842" s="94" t="str">
        <f>"" &amp; TEXT(AF842,"#0.00%") &amp; " " &amp; "Installation DP MG Cable" &amp; " " &amp; IF(Q842="","",TEXT(Q842,"M/D-")) &amp; IF(R842="","",TEXT(R842,"M/D")) &amp; " "</f>
        <v xml:space="preserve">0.00% Installation DP MG Cable  </v>
      </c>
      <c r="CB842" s="94"/>
      <c r="CC842" s="94"/>
      <c r="CD842" s="94"/>
      <c r="CE842" s="94"/>
      <c r="CF842" s="94"/>
      <c r="CG842" s="94"/>
      <c r="CH842" s="94"/>
      <c r="CI842" s="94"/>
      <c r="CJ842" s="94"/>
      <c r="CK842" s="94"/>
      <c r="CL842" s="94"/>
      <c r="CM842" s="94"/>
      <c r="CN842" s="94"/>
      <c r="CO842" s="94"/>
      <c r="CP842" s="94"/>
      <c r="CQ842" s="94"/>
      <c r="CR842" s="94"/>
      <c r="CS842" s="94"/>
      <c r="CT842" s="94"/>
      <c r="CU842" s="94"/>
      <c r="CV842" s="94"/>
      <c r="CW842" s="94"/>
      <c r="CX842" s="94"/>
      <c r="CY842" s="94"/>
      <c r="CZ842" s="94"/>
      <c r="DA842" s="94"/>
      <c r="DB842" s="94"/>
      <c r="DC842" s="94"/>
      <c r="DD842" s="94"/>
      <c r="DE842" s="94"/>
      <c r="DF842" s="94"/>
      <c r="DG842" s="94"/>
      <c r="DH842" s="94"/>
      <c r="DI842" s="94"/>
      <c r="DJ842" s="94"/>
      <c r="DK842" s="94"/>
      <c r="DL842" s="94"/>
      <c r="DM842" s="94"/>
      <c r="DN842" s="94"/>
      <c r="DO842" s="94"/>
      <c r="DP842" s="94"/>
      <c r="DQ842" s="94"/>
    </row>
    <row r="843" spans="1:121" ht="15" customHeight="1" outlineLevel="3" x14ac:dyDescent="0.3">
      <c r="A843" s="100"/>
      <c r="B843" s="100"/>
      <c r="C843" s="99">
        <v>4</v>
      </c>
      <c r="D843" s="98" t="s">
        <v>358</v>
      </c>
      <c r="H843" s="77" t="s">
        <v>303</v>
      </c>
      <c r="O843" s="94"/>
      <c r="Q843" s="97"/>
      <c r="R843" s="97"/>
      <c r="AB843" s="72">
        <v>1</v>
      </c>
      <c r="AE843" s="96"/>
      <c r="AF843" s="102"/>
      <c r="AG843" s="102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  <c r="AV843" s="102"/>
      <c r="AW843" s="102"/>
      <c r="AX843" s="102"/>
      <c r="AY843" s="102"/>
      <c r="AZ843" s="102"/>
      <c r="BA843" s="102"/>
      <c r="BB843" s="102"/>
      <c r="BC843" s="102"/>
      <c r="BD843" s="102"/>
      <c r="BE843" s="102"/>
      <c r="BF843" s="102"/>
      <c r="BG843" s="102"/>
      <c r="BH843" s="102"/>
      <c r="BI843" s="102"/>
      <c r="BJ843" s="102"/>
      <c r="BK843" s="102"/>
      <c r="BL843" s="102"/>
      <c r="BM843" s="102"/>
      <c r="BN843" s="102"/>
      <c r="BO843" s="102"/>
      <c r="BP843" s="102"/>
      <c r="BQ843" s="102"/>
      <c r="BR843" s="102"/>
      <c r="BS843" s="102"/>
      <c r="BT843" s="102"/>
      <c r="BU843" s="102"/>
      <c r="BV843" s="102"/>
      <c r="BW843" s="102"/>
      <c r="BX843" s="102"/>
      <c r="BY843" s="94"/>
      <c r="BZ843" s="94"/>
      <c r="CA843" s="94" t="str">
        <f>"   " &amp; TEXT(AF843,"#0.00%") &amp; " " &amp; "Installation Panel Inside Cable " &amp; " " &amp; IF(Q843="","",TEXT(Q843,"M/D-")) &amp; IF(R843="","",TEXT(R843,"M/D")) &amp; " "</f>
        <v xml:space="preserve">   0.00% Installation Panel Inside Cable   </v>
      </c>
      <c r="CB843" s="94"/>
      <c r="CC843" s="94"/>
      <c r="CD843" s="94"/>
      <c r="CE843" s="94"/>
      <c r="CF843" s="94"/>
      <c r="CG843" s="94"/>
      <c r="CH843" s="94"/>
      <c r="CI843" s="94"/>
      <c r="CJ843" s="94"/>
      <c r="CK843" s="94"/>
      <c r="CL843" s="94"/>
      <c r="CM843" s="94"/>
      <c r="CN843" s="94"/>
      <c r="CO843" s="94"/>
      <c r="CP843" s="94"/>
      <c r="CQ843" s="94"/>
      <c r="CR843" s="94"/>
      <c r="CS843" s="94"/>
      <c r="CT843" s="94"/>
      <c r="CU843" s="94"/>
      <c r="CV843" s="94"/>
      <c r="CW843" s="94"/>
      <c r="CX843" s="94"/>
      <c r="CY843" s="94"/>
      <c r="CZ843" s="94"/>
      <c r="DA843" s="94"/>
      <c r="DB843" s="94"/>
      <c r="DC843" s="94"/>
      <c r="DD843" s="94"/>
      <c r="DE843" s="94"/>
      <c r="DF843" s="94"/>
      <c r="DG843" s="94"/>
      <c r="DH843" s="94"/>
      <c r="DI843" s="94"/>
      <c r="DJ843" s="94"/>
      <c r="DK843" s="94"/>
      <c r="DL843" s="94"/>
      <c r="DM843" s="94"/>
      <c r="DN843" s="94"/>
      <c r="DO843" s="94"/>
      <c r="DP843" s="94"/>
      <c r="DQ843" s="94"/>
    </row>
    <row r="844" spans="1:121" ht="15" customHeight="1" outlineLevel="3" x14ac:dyDescent="0.3">
      <c r="A844" s="100"/>
      <c r="B844" s="100"/>
      <c r="C844" s="99">
        <v>4</v>
      </c>
      <c r="D844" s="98" t="s">
        <v>357</v>
      </c>
      <c r="H844" s="77" t="s">
        <v>301</v>
      </c>
      <c r="O844" s="94"/>
      <c r="Q844" s="97"/>
      <c r="R844" s="97"/>
      <c r="AB844" s="72">
        <v>1</v>
      </c>
      <c r="AE844" s="96"/>
      <c r="AF844" s="102"/>
      <c r="AG844" s="102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  <c r="AV844" s="102"/>
      <c r="AW844" s="102"/>
      <c r="AX844" s="102"/>
      <c r="AY844" s="102"/>
      <c r="AZ844" s="102"/>
      <c r="BA844" s="102"/>
      <c r="BB844" s="102"/>
      <c r="BC844" s="102"/>
      <c r="BD844" s="102"/>
      <c r="BE844" s="102"/>
      <c r="BF844" s="102"/>
      <c r="BG844" s="102"/>
      <c r="BH844" s="102"/>
      <c r="BI844" s="102"/>
      <c r="BJ844" s="102"/>
      <c r="BK844" s="102"/>
      <c r="BL844" s="102"/>
      <c r="BM844" s="102"/>
      <c r="BN844" s="102"/>
      <c r="BO844" s="102"/>
      <c r="BP844" s="102"/>
      <c r="BQ844" s="102"/>
      <c r="BR844" s="102"/>
      <c r="BS844" s="102"/>
      <c r="BT844" s="102"/>
      <c r="BU844" s="102"/>
      <c r="BV844" s="102"/>
      <c r="BW844" s="102"/>
      <c r="BX844" s="102"/>
      <c r="BY844" s="94"/>
      <c r="BZ844" s="94"/>
      <c r="CA844" s="94"/>
      <c r="CB844" s="94" t="str">
        <f>"   " &amp; TEXT(AF844,"#0.00%") &amp; " " &amp; "Installation LED LAMP" &amp; " " &amp; IF(Q844="","",TEXT(Q844,"M/D-")) &amp; IF(R844="","",TEXT(R844,"M/D")) &amp; " "</f>
        <v xml:space="preserve">   0.00% Installation LED LAMP  </v>
      </c>
      <c r="CC844" s="94"/>
      <c r="CD844" s="94"/>
      <c r="CE844" s="94"/>
      <c r="CF844" s="94"/>
      <c r="CG844" s="94"/>
      <c r="CH844" s="94"/>
      <c r="CI844" s="94"/>
      <c r="CJ844" s="94"/>
      <c r="CK844" s="94"/>
      <c r="CL844" s="94"/>
      <c r="CM844" s="94"/>
      <c r="CN844" s="94"/>
      <c r="CO844" s="94"/>
      <c r="CP844" s="94"/>
      <c r="CQ844" s="94"/>
      <c r="CR844" s="94"/>
      <c r="CS844" s="94"/>
      <c r="CT844" s="94"/>
      <c r="CU844" s="94"/>
      <c r="CV844" s="94"/>
      <c r="CW844" s="94"/>
      <c r="CX844" s="94"/>
      <c r="CY844" s="94"/>
      <c r="CZ844" s="94"/>
      <c r="DA844" s="94"/>
      <c r="DB844" s="94"/>
      <c r="DC844" s="94"/>
      <c r="DD844" s="94"/>
      <c r="DE844" s="94"/>
      <c r="DF844" s="94"/>
      <c r="DG844" s="94"/>
      <c r="DH844" s="94"/>
      <c r="DI844" s="94"/>
      <c r="DJ844" s="94"/>
      <c r="DK844" s="94"/>
      <c r="DL844" s="94"/>
      <c r="DM844" s="94"/>
      <c r="DN844" s="94"/>
      <c r="DO844" s="94"/>
      <c r="DP844" s="94"/>
      <c r="DQ844" s="94"/>
    </row>
    <row r="845" spans="1:121" ht="15" customHeight="1" outlineLevel="2" x14ac:dyDescent="0.3">
      <c r="A845" s="100"/>
      <c r="B845" s="100" t="s">
        <v>298</v>
      </c>
      <c r="C845" s="99">
        <v>3</v>
      </c>
      <c r="D845" s="98" t="s">
        <v>356</v>
      </c>
      <c r="G845" s="77" t="s">
        <v>355</v>
      </c>
      <c r="O845" s="94" t="s">
        <v>354</v>
      </c>
      <c r="Q845" s="104"/>
      <c r="R845" s="104"/>
      <c r="AE845" s="96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94"/>
      <c r="BZ845" s="94"/>
      <c r="CA845" s="94"/>
      <c r="CB845" s="94"/>
      <c r="CC845" s="94"/>
      <c r="CD845" s="94"/>
      <c r="CE845" s="94"/>
      <c r="CF845" s="94"/>
      <c r="CG845" s="94"/>
      <c r="CH845" s="94"/>
      <c r="CI845" s="94"/>
      <c r="CJ845" s="94"/>
      <c r="CK845" s="94"/>
      <c r="CL845" s="94"/>
      <c r="CM845" s="94" t="str">
        <f>"     " &amp; TEXT(AF845,"#0.00%") &amp; " " &amp; "Interconnect" &amp; " " &amp; IF(Q845="","",TEXT(Q845,"M/D-")) &amp; IF(R845="","",TEXT(R845,"M/D")) &amp; " "</f>
        <v xml:space="preserve">     0.00% Interconnect  </v>
      </c>
      <c r="CN845" s="94"/>
      <c r="CO845" s="94"/>
      <c r="CP845" s="94"/>
      <c r="CQ845" s="94"/>
      <c r="CR845" s="94"/>
      <c r="CS845" s="94"/>
      <c r="CT845" s="94"/>
      <c r="CU845" s="94"/>
      <c r="CV845" s="94"/>
      <c r="CW845" s="94"/>
      <c r="CX845" s="94"/>
      <c r="CY845" s="94"/>
      <c r="CZ845" s="94"/>
      <c r="DA845" s="94"/>
      <c r="DB845" s="94"/>
      <c r="DC845" s="94"/>
      <c r="DD845" s="94"/>
      <c r="DE845" s="94"/>
      <c r="DF845" s="94"/>
      <c r="DG845" s="94"/>
      <c r="DH845" s="94"/>
      <c r="DI845" s="94"/>
      <c r="DJ845" s="94"/>
      <c r="DK845" s="94"/>
      <c r="DL845" s="94"/>
      <c r="DM845" s="94"/>
      <c r="DN845" s="94"/>
      <c r="DO845" s="94"/>
      <c r="DP845" s="94"/>
      <c r="DQ845" s="94"/>
    </row>
    <row r="846" spans="1:121" ht="15" customHeight="1" outlineLevel="3" x14ac:dyDescent="0.3">
      <c r="A846" s="100"/>
      <c r="B846" s="100"/>
      <c r="C846" s="99">
        <v>4</v>
      </c>
      <c r="D846" s="98" t="s">
        <v>353</v>
      </c>
      <c r="H846" s="77" t="s">
        <v>317</v>
      </c>
      <c r="O846" s="94"/>
      <c r="Q846" s="97"/>
      <c r="R846" s="97"/>
      <c r="AB846" s="72">
        <v>1</v>
      </c>
      <c r="AE846" s="96"/>
      <c r="AF846" s="102"/>
      <c r="AG846" s="102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  <c r="AV846" s="102"/>
      <c r="AW846" s="102"/>
      <c r="AX846" s="102"/>
      <c r="AY846" s="102"/>
      <c r="AZ846" s="102"/>
      <c r="BA846" s="102"/>
      <c r="BB846" s="102"/>
      <c r="BC846" s="102"/>
      <c r="BD846" s="102"/>
      <c r="BE846" s="102"/>
      <c r="BF846" s="102"/>
      <c r="BG846" s="102"/>
      <c r="BH846" s="102"/>
      <c r="BI846" s="102"/>
      <c r="BJ846" s="102"/>
      <c r="BK846" s="102"/>
      <c r="BL846" s="102"/>
      <c r="BM846" s="102"/>
      <c r="BN846" s="102"/>
      <c r="BO846" s="102"/>
      <c r="BP846" s="102"/>
      <c r="BQ846" s="102"/>
      <c r="BR846" s="102"/>
      <c r="BS846" s="102"/>
      <c r="BT846" s="102"/>
      <c r="BU846" s="102"/>
      <c r="BV846" s="102"/>
      <c r="BW846" s="102"/>
      <c r="BX846" s="102"/>
      <c r="BY846" s="94"/>
      <c r="BZ846" s="94"/>
      <c r="CA846" s="94"/>
      <c r="CB846" s="94"/>
      <c r="CC846" s="94"/>
      <c r="CD846" s="94"/>
      <c r="CE846" s="94"/>
      <c r="CF846" s="94"/>
      <c r="CG846" s="94"/>
      <c r="CH846" s="94"/>
      <c r="CI846" s="94"/>
      <c r="CJ846" s="94"/>
      <c r="CK846" s="94"/>
      <c r="CL846" s="94"/>
      <c r="CM846" s="94" t="str">
        <f>"     " &amp; TEXT(AF846,"#0.00%") &amp; " " &amp; "Panel Alignment and fixation" &amp; " " &amp; IF(Q846="","",TEXT(Q846,"M/D-")) &amp; IF(R846="","",TEXT(R846,"M/D")) &amp; " "</f>
        <v xml:space="preserve">     0.00% Panel Alignment and fixation  </v>
      </c>
      <c r="CN846" s="94"/>
      <c r="CO846" s="94"/>
      <c r="CP846" s="94"/>
      <c r="CQ846" s="94"/>
      <c r="CR846" s="94"/>
      <c r="CS846" s="94"/>
      <c r="CT846" s="94"/>
      <c r="CU846" s="94"/>
      <c r="CV846" s="94"/>
      <c r="CW846" s="94"/>
      <c r="CX846" s="94"/>
      <c r="CY846" s="94"/>
      <c r="CZ846" s="94"/>
      <c r="DA846" s="94"/>
      <c r="DB846" s="94"/>
      <c r="DC846" s="94"/>
      <c r="DD846" s="94"/>
      <c r="DE846" s="94"/>
      <c r="DF846" s="94"/>
      <c r="DG846" s="94"/>
      <c r="DH846" s="94"/>
      <c r="DI846" s="94"/>
      <c r="DJ846" s="94"/>
      <c r="DK846" s="94"/>
      <c r="DL846" s="94"/>
      <c r="DM846" s="94"/>
      <c r="DN846" s="94"/>
      <c r="DO846" s="94"/>
      <c r="DP846" s="94"/>
      <c r="DQ846" s="94"/>
    </row>
    <row r="847" spans="1:121" ht="15" customHeight="1" outlineLevel="3" x14ac:dyDescent="0.3">
      <c r="A847" s="100"/>
      <c r="B847" s="100"/>
      <c r="C847" s="99">
        <v>4</v>
      </c>
      <c r="D847" s="98" t="s">
        <v>352</v>
      </c>
      <c r="H847" s="77" t="s">
        <v>315</v>
      </c>
      <c r="O847" s="94"/>
      <c r="Q847" s="97"/>
      <c r="R847" s="97"/>
      <c r="AB847" s="72">
        <v>1</v>
      </c>
      <c r="AE847" s="96"/>
      <c r="AF847" s="102"/>
      <c r="AG847" s="102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  <c r="AV847" s="102"/>
      <c r="AW847" s="102"/>
      <c r="AX847" s="102"/>
      <c r="AY847" s="102"/>
      <c r="AZ847" s="102"/>
      <c r="BA847" s="102"/>
      <c r="BB847" s="102"/>
      <c r="BC847" s="102"/>
      <c r="BD847" s="102"/>
      <c r="BE847" s="102"/>
      <c r="BF847" s="102"/>
      <c r="BG847" s="102"/>
      <c r="BH847" s="102"/>
      <c r="BI847" s="102"/>
      <c r="BJ847" s="102"/>
      <c r="BK847" s="102"/>
      <c r="BL847" s="102"/>
      <c r="BM847" s="102"/>
      <c r="BN847" s="102"/>
      <c r="BO847" s="102"/>
      <c r="BP847" s="102"/>
      <c r="BQ847" s="102"/>
      <c r="BR847" s="102"/>
      <c r="BS847" s="102"/>
      <c r="BT847" s="102"/>
      <c r="BU847" s="102"/>
      <c r="BV847" s="102"/>
      <c r="BW847" s="102"/>
      <c r="BX847" s="102"/>
      <c r="BY847" s="94"/>
      <c r="BZ847" s="94"/>
      <c r="CA847" s="94"/>
      <c r="CB847" s="94"/>
      <c r="CC847" s="94"/>
      <c r="CD847" s="94"/>
      <c r="CE847" s="94"/>
      <c r="CF847" s="94"/>
      <c r="CG847" s="94"/>
      <c r="CH847" s="94"/>
      <c r="CI847" s="94"/>
      <c r="CJ847" s="94"/>
      <c r="CK847" s="94"/>
      <c r="CL847" s="94"/>
      <c r="CM847" s="94" t="str">
        <f>"     " &amp; TEXT(AF847,"#0.00%") &amp; " " &amp; "Door S/W SOP LCP positioning in alignment" &amp; " " &amp; IF(Q847="","",TEXT(Q847,"M/D-")) &amp; IF(R847="","",TEXT(R847,"M/D")) &amp; " "</f>
        <v xml:space="preserve">     0.00% Door S/W SOP LCP positioning in alignment  </v>
      </c>
      <c r="CN847" s="94"/>
      <c r="CO847" s="94"/>
      <c r="CP847" s="94"/>
      <c r="CQ847" s="94"/>
      <c r="CR847" s="94"/>
      <c r="CS847" s="94"/>
      <c r="CT847" s="94"/>
      <c r="CU847" s="94"/>
      <c r="CV847" s="94"/>
      <c r="CW847" s="94"/>
      <c r="CX847" s="94"/>
      <c r="CY847" s="94"/>
      <c r="CZ847" s="94"/>
      <c r="DA847" s="94"/>
      <c r="DB847" s="94"/>
      <c r="DC847" s="94"/>
      <c r="DD847" s="94"/>
      <c r="DE847" s="94"/>
      <c r="DF847" s="94"/>
      <c r="DG847" s="94"/>
      <c r="DH847" s="94"/>
      <c r="DI847" s="94"/>
      <c r="DJ847" s="94"/>
      <c r="DK847" s="94"/>
      <c r="DL847" s="94"/>
      <c r="DM847" s="94"/>
      <c r="DN847" s="94"/>
      <c r="DO847" s="94"/>
      <c r="DP847" s="94"/>
      <c r="DQ847" s="94"/>
    </row>
    <row r="848" spans="1:121" ht="15" customHeight="1" outlineLevel="3" x14ac:dyDescent="0.3">
      <c r="A848" s="100"/>
      <c r="B848" s="100"/>
      <c r="C848" s="99">
        <v>4</v>
      </c>
      <c r="D848" s="98" t="s">
        <v>351</v>
      </c>
      <c r="H848" s="77" t="s">
        <v>313</v>
      </c>
      <c r="O848" s="94"/>
      <c r="Q848" s="97"/>
      <c r="R848" s="97"/>
      <c r="AB848" s="72">
        <v>1</v>
      </c>
      <c r="AE848" s="96"/>
      <c r="AF848" s="102"/>
      <c r="AG848" s="102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  <c r="AS848" s="102"/>
      <c r="AT848" s="102"/>
      <c r="AU848" s="102"/>
      <c r="AV848" s="102"/>
      <c r="AW848" s="102"/>
      <c r="AX848" s="102"/>
      <c r="AY848" s="102"/>
      <c r="AZ848" s="102"/>
      <c r="BA848" s="102"/>
      <c r="BB848" s="102"/>
      <c r="BC848" s="102"/>
      <c r="BD848" s="102"/>
      <c r="BE848" s="102"/>
      <c r="BF848" s="102"/>
      <c r="BG848" s="102"/>
      <c r="BH848" s="102"/>
      <c r="BI848" s="102"/>
      <c r="BJ848" s="102"/>
      <c r="BK848" s="102"/>
      <c r="BL848" s="102"/>
      <c r="BM848" s="102"/>
      <c r="BN848" s="102"/>
      <c r="BO848" s="102"/>
      <c r="BP848" s="102"/>
      <c r="BQ848" s="102"/>
      <c r="BR848" s="102"/>
      <c r="BS848" s="102"/>
      <c r="BT848" s="102"/>
      <c r="BU848" s="102"/>
      <c r="BV848" s="102"/>
      <c r="BW848" s="102"/>
      <c r="BX848" s="102"/>
      <c r="BY848" s="94"/>
      <c r="BZ848" s="94"/>
      <c r="CA848" s="94"/>
      <c r="CB848" s="94"/>
      <c r="CC848" s="94"/>
      <c r="CD848" s="94"/>
      <c r="CE848" s="94"/>
      <c r="CF848" s="94"/>
      <c r="CG848" s="94"/>
      <c r="CH848" s="94"/>
      <c r="CI848" s="94"/>
      <c r="CJ848" s="94"/>
      <c r="CK848" s="94"/>
      <c r="CL848" s="94"/>
      <c r="CM848" s="94" t="str">
        <f>"      " &amp; TEXT(AF848,"#0.00%") &amp; " " &amp; "Install Duct" &amp; " " &amp; IF(Q848="","",TEXT(Q848,"M/D-")) &amp; IF(R848="","",TEXT(R848,"M/D")) &amp; " "</f>
        <v xml:space="preserve">      0.00% Install Duct  </v>
      </c>
      <c r="CN848" s="94"/>
      <c r="CO848" s="94"/>
      <c r="CP848" s="94"/>
      <c r="CQ848" s="94"/>
      <c r="CR848" s="94"/>
      <c r="CS848" s="94"/>
      <c r="CT848" s="94"/>
      <c r="CU848" s="94"/>
      <c r="CV848" s="94"/>
      <c r="CW848" s="94"/>
      <c r="CX848" s="94"/>
      <c r="CY848" s="94"/>
      <c r="CZ848" s="94"/>
      <c r="DA848" s="94"/>
      <c r="DB848" s="94"/>
      <c r="DC848" s="94"/>
      <c r="DD848" s="94"/>
      <c r="DE848" s="94"/>
      <c r="DF848" s="94"/>
      <c r="DG848" s="94"/>
      <c r="DH848" s="94"/>
      <c r="DI848" s="94"/>
      <c r="DJ848" s="94"/>
      <c r="DK848" s="94"/>
      <c r="DL848" s="94"/>
      <c r="DM848" s="94"/>
      <c r="DN848" s="94"/>
      <c r="DO848" s="94"/>
      <c r="DP848" s="94"/>
      <c r="DQ848" s="94"/>
    </row>
    <row r="849" spans="1:121" ht="15" customHeight="1" outlineLevel="3" x14ac:dyDescent="0.3">
      <c r="A849" s="100"/>
      <c r="B849" s="100"/>
      <c r="C849" s="99">
        <v>4</v>
      </c>
      <c r="D849" s="98" t="s">
        <v>350</v>
      </c>
      <c r="H849" s="77" t="s">
        <v>311</v>
      </c>
      <c r="O849" s="94"/>
      <c r="Q849" s="97"/>
      <c r="R849" s="97"/>
      <c r="AB849" s="72">
        <v>1</v>
      </c>
      <c r="AE849" s="96"/>
      <c r="AF849" s="102"/>
      <c r="AG849" s="102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AW849" s="102"/>
      <c r="AX849" s="102"/>
      <c r="AY849" s="102"/>
      <c r="AZ849" s="102"/>
      <c r="BA849" s="102"/>
      <c r="BB849" s="102"/>
      <c r="BC849" s="102"/>
      <c r="BD849" s="102"/>
      <c r="BE849" s="102"/>
      <c r="BF849" s="102"/>
      <c r="BG849" s="102"/>
      <c r="BH849" s="102"/>
      <c r="BI849" s="102"/>
      <c r="BJ849" s="102"/>
      <c r="BK849" s="102"/>
      <c r="BL849" s="102"/>
      <c r="BM849" s="102"/>
      <c r="BN849" s="102"/>
      <c r="BO849" s="102"/>
      <c r="BP849" s="102"/>
      <c r="BQ849" s="102"/>
      <c r="BR849" s="102"/>
      <c r="BS849" s="102"/>
      <c r="BT849" s="102"/>
      <c r="BU849" s="102"/>
      <c r="BV849" s="102"/>
      <c r="BW849" s="102"/>
      <c r="BX849" s="102"/>
      <c r="BY849" s="94"/>
      <c r="BZ849" s="94"/>
      <c r="CA849" s="94"/>
      <c r="CB849" s="94"/>
      <c r="CC849" s="94"/>
      <c r="CD849" s="94"/>
      <c r="CE849" s="94"/>
      <c r="CF849" s="94"/>
      <c r="CG849" s="94"/>
      <c r="CH849" s="94"/>
      <c r="CI849" s="94"/>
      <c r="CJ849" s="94"/>
      <c r="CK849" s="94"/>
      <c r="CL849" s="94"/>
      <c r="CM849" s="94"/>
      <c r="CN849" s="94" t="str">
        <f>"    " &amp; TEXT(AF849,"#0.00%") &amp; " " &amp; "Installation Lifter cable" &amp; " " &amp; IF(Q849="","",TEXT(Q849,"M/D-")) &amp; IF(R849="","",TEXT(R849,"M/D")) &amp; " "</f>
        <v xml:space="preserve">    0.00% Installation Lifter cable  </v>
      </c>
      <c r="CO849" s="94"/>
      <c r="CP849" s="94"/>
      <c r="CQ849" s="94"/>
      <c r="CR849" s="94"/>
      <c r="CS849" s="94"/>
      <c r="CT849" s="94"/>
      <c r="CU849" s="94"/>
      <c r="CV849" s="94"/>
      <c r="CW849" s="94"/>
      <c r="CX849" s="94"/>
      <c r="CY849" s="94"/>
      <c r="CZ849" s="94"/>
      <c r="DA849" s="94"/>
      <c r="DB849" s="94"/>
      <c r="DC849" s="94"/>
      <c r="DD849" s="94"/>
      <c r="DE849" s="94"/>
      <c r="DF849" s="94"/>
      <c r="DG849" s="94"/>
      <c r="DH849" s="94"/>
      <c r="DI849" s="94"/>
      <c r="DJ849" s="94"/>
      <c r="DK849" s="94"/>
      <c r="DL849" s="94"/>
      <c r="DM849" s="94"/>
      <c r="DN849" s="94"/>
      <c r="DO849" s="94"/>
      <c r="DP849" s="94"/>
      <c r="DQ849" s="94"/>
    </row>
    <row r="850" spans="1:121" ht="15" customHeight="1" outlineLevel="3" x14ac:dyDescent="0.3">
      <c r="A850" s="100"/>
      <c r="B850" s="100"/>
      <c r="C850" s="99">
        <v>4</v>
      </c>
      <c r="D850" s="98" t="s">
        <v>349</v>
      </c>
      <c r="H850" s="77" t="s">
        <v>309</v>
      </c>
      <c r="O850" s="94"/>
      <c r="Q850" s="97"/>
      <c r="R850" s="97"/>
      <c r="AB850" s="72">
        <v>1</v>
      </c>
      <c r="AE850" s="96"/>
      <c r="AF850" s="102"/>
      <c r="AG850" s="102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AW850" s="102"/>
      <c r="AX850" s="102"/>
      <c r="AY850" s="102"/>
      <c r="AZ850" s="102"/>
      <c r="BA850" s="102"/>
      <c r="BB850" s="102"/>
      <c r="BC850" s="102"/>
      <c r="BD850" s="102"/>
      <c r="BE850" s="102"/>
      <c r="BF850" s="102"/>
      <c r="BG850" s="102"/>
      <c r="BH850" s="102"/>
      <c r="BI850" s="102"/>
      <c r="BJ850" s="102"/>
      <c r="BK850" s="102"/>
      <c r="BL850" s="102"/>
      <c r="BM850" s="102"/>
      <c r="BN850" s="102"/>
      <c r="BO850" s="102"/>
      <c r="BP850" s="102"/>
      <c r="BQ850" s="102"/>
      <c r="BR850" s="102"/>
      <c r="BS850" s="102"/>
      <c r="BT850" s="102"/>
      <c r="BU850" s="102"/>
      <c r="BV850" s="102"/>
      <c r="BW850" s="102"/>
      <c r="BX850" s="102"/>
      <c r="BY850" s="94"/>
      <c r="BZ850" s="94"/>
      <c r="CA850" s="94"/>
      <c r="CB850" s="94"/>
      <c r="CC850" s="94"/>
      <c r="CD850" s="94"/>
      <c r="CE850" s="94"/>
      <c r="CF850" s="94"/>
      <c r="CG850" s="94"/>
      <c r="CH850" s="94"/>
      <c r="CI850" s="94"/>
      <c r="CJ850" s="94"/>
      <c r="CK850" s="94"/>
      <c r="CL850" s="94"/>
      <c r="CM850" s="94"/>
      <c r="CN850" s="94" t="str">
        <f>"    " &amp; TEXT(AF850,"#0.00%") &amp; " " &amp; "Installation Power moller cable" &amp; " " &amp; IF(Q850="","",TEXT(Q850,"M/D-")) &amp; IF(R850="","",TEXT(R850,"M/D")) &amp; " "</f>
        <v xml:space="preserve">    0.00% Installation Power moller cable  </v>
      </c>
      <c r="CO850" s="94"/>
      <c r="CP850" s="94"/>
      <c r="CQ850" s="94"/>
      <c r="CR850" s="94"/>
      <c r="CS850" s="94"/>
      <c r="CT850" s="94"/>
      <c r="CU850" s="94"/>
      <c r="CV850" s="94"/>
      <c r="CW850" s="94"/>
      <c r="CX850" s="94"/>
      <c r="CY850" s="94"/>
      <c r="CZ850" s="94"/>
      <c r="DA850" s="94"/>
      <c r="DB850" s="94"/>
      <c r="DC850" s="94"/>
      <c r="DD850" s="94"/>
      <c r="DE850" s="94"/>
      <c r="DF850" s="94"/>
      <c r="DG850" s="94"/>
      <c r="DH850" s="94"/>
      <c r="DI850" s="94"/>
      <c r="DJ850" s="94"/>
      <c r="DK850" s="94"/>
      <c r="DL850" s="94"/>
      <c r="DM850" s="94"/>
      <c r="DN850" s="94"/>
      <c r="DO850" s="94"/>
      <c r="DP850" s="94"/>
      <c r="DQ850" s="94"/>
    </row>
    <row r="851" spans="1:121" ht="15" customHeight="1" outlineLevel="3" x14ac:dyDescent="0.3">
      <c r="A851" s="100"/>
      <c r="B851" s="100"/>
      <c r="C851" s="99">
        <v>4</v>
      </c>
      <c r="D851" s="98" t="s">
        <v>348</v>
      </c>
      <c r="H851" s="77" t="s">
        <v>307</v>
      </c>
      <c r="O851" s="94"/>
      <c r="Q851" s="97"/>
      <c r="R851" s="97"/>
      <c r="AB851" s="72">
        <v>1</v>
      </c>
      <c r="AE851" s="96"/>
      <c r="AF851" s="102"/>
      <c r="AG851" s="102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AW851" s="102"/>
      <c r="AX851" s="102"/>
      <c r="AY851" s="102"/>
      <c r="AZ851" s="102"/>
      <c r="BA851" s="102"/>
      <c r="BB851" s="102"/>
      <c r="BC851" s="102"/>
      <c r="BD851" s="102"/>
      <c r="BE851" s="102"/>
      <c r="BF851" s="102"/>
      <c r="BG851" s="102"/>
      <c r="BH851" s="102"/>
      <c r="BI851" s="102"/>
      <c r="BJ851" s="102"/>
      <c r="BK851" s="102"/>
      <c r="BL851" s="102"/>
      <c r="BM851" s="102"/>
      <c r="BN851" s="102"/>
      <c r="BO851" s="102"/>
      <c r="BP851" s="102"/>
      <c r="BQ851" s="102"/>
      <c r="BR851" s="102"/>
      <c r="BS851" s="102"/>
      <c r="BT851" s="102"/>
      <c r="BU851" s="102"/>
      <c r="BV851" s="102"/>
      <c r="BW851" s="102"/>
      <c r="BX851" s="102"/>
      <c r="BY851" s="94"/>
      <c r="BZ851" s="94"/>
      <c r="CA851" s="94"/>
      <c r="CB851" s="94"/>
      <c r="CC851" s="94"/>
      <c r="CD851" s="94"/>
      <c r="CE851" s="94"/>
      <c r="CF851" s="94"/>
      <c r="CG851" s="94"/>
      <c r="CH851" s="94"/>
      <c r="CI851" s="94"/>
      <c r="CJ851" s="94"/>
      <c r="CK851" s="94"/>
      <c r="CL851" s="94"/>
      <c r="CM851" s="94"/>
      <c r="CN851" s="94" t="str">
        <f>"    " &amp; TEXT(AF851,"#0.00%") &amp; " " &amp; "Installation Lifter Light Curtain cable" &amp; " " &amp; IF(Q851="","",TEXT(Q851,"M/D-")) &amp; IF(R851="","",TEXT(R851,"M/D")) &amp; " "</f>
        <v xml:space="preserve">    0.00% Installation Lifter Light Curtain cable  </v>
      </c>
      <c r="CO851" s="94"/>
      <c r="CP851" s="94"/>
      <c r="CQ851" s="94"/>
      <c r="CR851" s="94"/>
      <c r="CS851" s="94"/>
      <c r="CT851" s="94"/>
      <c r="CU851" s="94"/>
      <c r="CV851" s="94"/>
      <c r="CW851" s="94"/>
      <c r="CX851" s="94"/>
      <c r="CY851" s="94"/>
      <c r="CZ851" s="94"/>
      <c r="DA851" s="94"/>
      <c r="DB851" s="94"/>
      <c r="DC851" s="94"/>
      <c r="DD851" s="94"/>
      <c r="DE851" s="94"/>
      <c r="DF851" s="94"/>
      <c r="DG851" s="94"/>
      <c r="DH851" s="94"/>
      <c r="DI851" s="94"/>
      <c r="DJ851" s="94"/>
      <c r="DK851" s="94"/>
      <c r="DL851" s="94"/>
      <c r="DM851" s="94"/>
      <c r="DN851" s="94"/>
      <c r="DO851" s="94"/>
      <c r="DP851" s="94"/>
      <c r="DQ851" s="94"/>
    </row>
    <row r="852" spans="1:121" ht="15" customHeight="1" outlineLevel="3" x14ac:dyDescent="0.3">
      <c r="A852" s="100"/>
      <c r="B852" s="100"/>
      <c r="C852" s="99">
        <v>4</v>
      </c>
      <c r="D852" s="98" t="s">
        <v>347</v>
      </c>
      <c r="H852" s="77" t="s">
        <v>305</v>
      </c>
      <c r="O852" s="94"/>
      <c r="Q852" s="97"/>
      <c r="R852" s="97"/>
      <c r="AB852" s="72">
        <v>1</v>
      </c>
      <c r="AE852" s="96"/>
      <c r="AF852" s="102"/>
      <c r="AG852" s="102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AW852" s="102"/>
      <c r="AX852" s="102"/>
      <c r="AY852" s="102"/>
      <c r="AZ852" s="102"/>
      <c r="BA852" s="102"/>
      <c r="BB852" s="102"/>
      <c r="BC852" s="102"/>
      <c r="BD852" s="102"/>
      <c r="BE852" s="102"/>
      <c r="BF852" s="102"/>
      <c r="BG852" s="102"/>
      <c r="BH852" s="102"/>
      <c r="BI852" s="102"/>
      <c r="BJ852" s="102"/>
      <c r="BK852" s="102"/>
      <c r="BL852" s="102"/>
      <c r="BM852" s="102"/>
      <c r="BN852" s="102"/>
      <c r="BO852" s="102"/>
      <c r="BP852" s="102"/>
      <c r="BQ852" s="102"/>
      <c r="BR852" s="102"/>
      <c r="BS852" s="102"/>
      <c r="BT852" s="102"/>
      <c r="BU852" s="102"/>
      <c r="BV852" s="102"/>
      <c r="BW852" s="102"/>
      <c r="BX852" s="102"/>
      <c r="BY852" s="94"/>
      <c r="BZ852" s="94"/>
      <c r="CA852" s="94"/>
      <c r="CB852" s="94"/>
      <c r="CC852" s="94"/>
      <c r="CD852" s="94"/>
      <c r="CE852" s="94"/>
      <c r="CF852" s="94"/>
      <c r="CG852" s="94"/>
      <c r="CH852" s="94"/>
      <c r="CI852" s="94"/>
      <c r="CJ852" s="94"/>
      <c r="CK852" s="94"/>
      <c r="CL852" s="94"/>
      <c r="CM852" s="94"/>
      <c r="CN852" s="94"/>
      <c r="CO852" s="94" t="str">
        <f>"" &amp; TEXT(AF852,"#0.00%") &amp; " " &amp; "Installation DP MG TT Cable" &amp; " " &amp; IF(Q852="","",TEXT(Q852,"M/D-")) &amp; IF(R852="","",TEXT(R852,"M/D")) &amp; " "</f>
        <v xml:space="preserve">0.00% Installation DP MG TT Cable  </v>
      </c>
      <c r="CP852" s="94"/>
      <c r="CQ852" s="94"/>
      <c r="CR852" s="94"/>
      <c r="CS852" s="94"/>
      <c r="CT852" s="94"/>
      <c r="CU852" s="94"/>
      <c r="CV852" s="94"/>
      <c r="CW852" s="94"/>
      <c r="CX852" s="94"/>
      <c r="CY852" s="94"/>
      <c r="CZ852" s="94"/>
      <c r="DA852" s="94"/>
      <c r="DB852" s="94"/>
      <c r="DC852" s="94"/>
      <c r="DD852" s="94"/>
      <c r="DE852" s="94"/>
      <c r="DF852" s="94"/>
      <c r="DG852" s="94"/>
      <c r="DH852" s="94"/>
      <c r="DI852" s="94"/>
      <c r="DJ852" s="94"/>
      <c r="DK852" s="94"/>
      <c r="DL852" s="94"/>
      <c r="DM852" s="94"/>
      <c r="DN852" s="94"/>
      <c r="DO852" s="94"/>
      <c r="DP852" s="94"/>
      <c r="DQ852" s="94"/>
    </row>
    <row r="853" spans="1:121" ht="15" customHeight="1" outlineLevel="3" x14ac:dyDescent="0.3">
      <c r="A853" s="100"/>
      <c r="B853" s="100"/>
      <c r="C853" s="99">
        <v>4</v>
      </c>
      <c r="D853" s="98" t="s">
        <v>346</v>
      </c>
      <c r="H853" s="77" t="s">
        <v>303</v>
      </c>
      <c r="O853" s="94"/>
      <c r="Q853" s="97"/>
      <c r="R853" s="97"/>
      <c r="AB853" s="72">
        <v>1</v>
      </c>
      <c r="AE853" s="96"/>
      <c r="AF853" s="102"/>
      <c r="AG853" s="102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AW853" s="102"/>
      <c r="AX853" s="102"/>
      <c r="AY853" s="102"/>
      <c r="AZ853" s="102"/>
      <c r="BA853" s="102"/>
      <c r="BB853" s="102"/>
      <c r="BC853" s="102"/>
      <c r="BD853" s="102"/>
      <c r="BE853" s="102"/>
      <c r="BF853" s="102"/>
      <c r="BG853" s="102"/>
      <c r="BH853" s="102"/>
      <c r="BI853" s="102"/>
      <c r="BJ853" s="102"/>
      <c r="BK853" s="102"/>
      <c r="BL853" s="102"/>
      <c r="BM853" s="102"/>
      <c r="BN853" s="102"/>
      <c r="BO853" s="102"/>
      <c r="BP853" s="102"/>
      <c r="BQ853" s="102"/>
      <c r="BR853" s="102"/>
      <c r="BS853" s="102"/>
      <c r="BT853" s="102"/>
      <c r="BU853" s="102"/>
      <c r="BV853" s="102"/>
      <c r="BW853" s="102"/>
      <c r="BX853" s="102"/>
      <c r="BY853" s="94"/>
      <c r="BZ853" s="94"/>
      <c r="CA853" s="94"/>
      <c r="CB853" s="94"/>
      <c r="CC853" s="94"/>
      <c r="CD853" s="94"/>
      <c r="CE853" s="94"/>
      <c r="CF853" s="94"/>
      <c r="CG853" s="94"/>
      <c r="CH853" s="94"/>
      <c r="CI853" s="94"/>
      <c r="CJ853" s="94"/>
      <c r="CK853" s="94"/>
      <c r="CL853" s="94"/>
      <c r="CM853" s="94"/>
      <c r="CN853" s="94"/>
      <c r="CO853" s="94" t="str">
        <f>"   " &amp; TEXT(AF853,"#0.00%") &amp; " " &amp; "Installation Panel Inside Cable " &amp; " " &amp; IF(Q853="","",TEXT(Q853,"M/D-")) &amp; IF(R853="","",TEXT(R853,"M/D")) &amp; " "</f>
        <v xml:space="preserve">   0.00% Installation Panel Inside Cable   </v>
      </c>
      <c r="CP853" s="94"/>
      <c r="CQ853" s="94"/>
      <c r="CR853" s="94"/>
      <c r="CS853" s="94"/>
      <c r="CT853" s="94"/>
      <c r="CU853" s="94"/>
      <c r="CV853" s="94"/>
      <c r="CW853" s="94"/>
      <c r="CX853" s="94"/>
      <c r="CY853" s="94"/>
      <c r="CZ853" s="94"/>
      <c r="DA853" s="94"/>
      <c r="DB853" s="94"/>
      <c r="DC853" s="94"/>
      <c r="DD853" s="94"/>
      <c r="DE853" s="94"/>
      <c r="DF853" s="94"/>
      <c r="DG853" s="94"/>
      <c r="DH853" s="94"/>
      <c r="DI853" s="94"/>
      <c r="DJ853" s="94"/>
      <c r="DK853" s="94"/>
      <c r="DL853" s="94"/>
      <c r="DM853" s="94"/>
      <c r="DN853" s="94"/>
      <c r="DO853" s="94"/>
      <c r="DP853" s="94"/>
      <c r="DQ853" s="94"/>
    </row>
    <row r="854" spans="1:121" ht="15" customHeight="1" outlineLevel="3" x14ac:dyDescent="0.3">
      <c r="A854" s="100"/>
      <c r="B854" s="100"/>
      <c r="C854" s="99">
        <v>4</v>
      </c>
      <c r="D854" s="98" t="s">
        <v>345</v>
      </c>
      <c r="H854" s="77" t="s">
        <v>301</v>
      </c>
      <c r="O854" s="94"/>
      <c r="Q854" s="97"/>
      <c r="R854" s="97"/>
      <c r="AB854" s="72">
        <v>1</v>
      </c>
      <c r="AE854" s="96"/>
      <c r="AF854" s="102"/>
      <c r="AG854" s="102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AW854" s="102"/>
      <c r="AX854" s="102"/>
      <c r="AY854" s="102"/>
      <c r="AZ854" s="102"/>
      <c r="BA854" s="102"/>
      <c r="BB854" s="102"/>
      <c r="BC854" s="102"/>
      <c r="BD854" s="102"/>
      <c r="BE854" s="102"/>
      <c r="BF854" s="102"/>
      <c r="BG854" s="102"/>
      <c r="BH854" s="102"/>
      <c r="BI854" s="102"/>
      <c r="BJ854" s="102"/>
      <c r="BK854" s="102"/>
      <c r="BL854" s="102"/>
      <c r="BM854" s="102"/>
      <c r="BN854" s="102"/>
      <c r="BO854" s="102"/>
      <c r="BP854" s="102"/>
      <c r="BQ854" s="102"/>
      <c r="BR854" s="102"/>
      <c r="BS854" s="102"/>
      <c r="BT854" s="102"/>
      <c r="BU854" s="102"/>
      <c r="BV854" s="102"/>
      <c r="BW854" s="102"/>
      <c r="BX854" s="102"/>
      <c r="BY854" s="94"/>
      <c r="BZ854" s="94"/>
      <c r="CA854" s="94"/>
      <c r="CB854" s="94"/>
      <c r="CC854" s="94"/>
      <c r="CD854" s="94"/>
      <c r="CE854" s="94"/>
      <c r="CF854" s="94"/>
      <c r="CG854" s="94"/>
      <c r="CH854" s="94"/>
      <c r="CI854" s="94"/>
      <c r="CJ854" s="94"/>
      <c r="CK854" s="94"/>
      <c r="CL854" s="94"/>
      <c r="CM854" s="94"/>
      <c r="CN854" s="94"/>
      <c r="CO854" s="94"/>
      <c r="CP854" s="94" t="str">
        <f>"    " &amp; TEXT(AF854,"#0.00%") &amp; " " &amp; "Installation LED LAMP" &amp; " " &amp; IF(Q854="","",TEXT(Q854,"M/D-")) &amp; IF(R854="","",TEXT(R854,"M/D")) &amp; " "</f>
        <v xml:space="preserve">    0.00% Installation LED LAMP  </v>
      </c>
      <c r="CQ854" s="94"/>
      <c r="CR854" s="94"/>
      <c r="CS854" s="94"/>
      <c r="CT854" s="94"/>
      <c r="CU854" s="94"/>
      <c r="CV854" s="94"/>
      <c r="CW854" s="94"/>
      <c r="CX854" s="94"/>
      <c r="CY854" s="94"/>
      <c r="CZ854" s="94"/>
      <c r="DA854" s="94"/>
      <c r="DB854" s="94"/>
      <c r="DC854" s="94"/>
      <c r="DD854" s="94"/>
      <c r="DE854" s="94"/>
      <c r="DF854" s="94"/>
      <c r="DG854" s="94"/>
      <c r="DH854" s="94"/>
      <c r="DI854" s="94"/>
      <c r="DJ854" s="94"/>
      <c r="DK854" s="94"/>
      <c r="DL854" s="94"/>
      <c r="DM854" s="94"/>
      <c r="DN854" s="94"/>
      <c r="DO854" s="94"/>
      <c r="DP854" s="94"/>
      <c r="DQ854" s="94"/>
    </row>
    <row r="855" spans="1:121" ht="15" customHeight="1" outlineLevel="2" x14ac:dyDescent="0.3">
      <c r="A855" s="100"/>
      <c r="B855" s="100" t="s">
        <v>298</v>
      </c>
      <c r="C855" s="99">
        <v>3</v>
      </c>
      <c r="D855" s="98" t="s">
        <v>344</v>
      </c>
      <c r="G855" s="77" t="s">
        <v>343</v>
      </c>
      <c r="O855" s="94" t="s">
        <v>342</v>
      </c>
      <c r="Q855" s="104"/>
      <c r="R855" s="104"/>
      <c r="AE855" s="96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94"/>
      <c r="BZ855" s="94"/>
      <c r="CA855" s="94"/>
      <c r="CB855" s="94" t="str">
        <f>"   " &amp; TEXT(AF855,"#0.00%") &amp; " "</f>
        <v xml:space="preserve">   0.00% </v>
      </c>
      <c r="CC855" s="94"/>
      <c r="CD855" s="94"/>
      <c r="CE855" s="94" t="str">
        <f>"   " &amp; "1F Conveyor" &amp; " " &amp; IF(Q855="","",TEXT(Q855,"M/D-")) &amp; IF(R855="","",TEXT(R855,"M/D")) &amp; " "</f>
        <v xml:space="preserve">   1F Conveyor  </v>
      </c>
      <c r="CF855" s="94"/>
      <c r="CG855" s="94"/>
      <c r="CH855" s="94"/>
      <c r="CI855" s="94"/>
      <c r="CJ855" s="94"/>
      <c r="CK855" s="94"/>
      <c r="CL855" s="94"/>
      <c r="CM855" s="94"/>
      <c r="CN855" s="94"/>
      <c r="CO855" s="94"/>
      <c r="CP855" s="94"/>
      <c r="CQ855" s="94"/>
      <c r="CR855" s="94"/>
      <c r="CS855" s="94"/>
      <c r="CT855" s="94"/>
      <c r="CU855" s="94"/>
      <c r="CV855" s="94"/>
      <c r="CW855" s="94"/>
      <c r="CX855" s="94"/>
      <c r="CY855" s="94"/>
      <c r="CZ855" s="94"/>
      <c r="DA855" s="94"/>
      <c r="DB855" s="94"/>
      <c r="DC855" s="94"/>
      <c r="DD855" s="94"/>
      <c r="DE855" s="94"/>
      <c r="DF855" s="94"/>
      <c r="DG855" s="94"/>
      <c r="DH855" s="94"/>
      <c r="DI855" s="94"/>
      <c r="DJ855" s="94"/>
      <c r="DK855" s="94"/>
      <c r="DL855" s="94"/>
      <c r="DM855" s="94"/>
      <c r="DN855" s="94"/>
      <c r="DO855" s="94"/>
      <c r="DP855" s="94"/>
      <c r="DQ855" s="94"/>
    </row>
    <row r="856" spans="1:121" ht="15" customHeight="1" outlineLevel="3" x14ac:dyDescent="0.3">
      <c r="A856" s="100"/>
      <c r="B856" s="100"/>
      <c r="C856" s="99">
        <v>4</v>
      </c>
      <c r="D856" s="98" t="s">
        <v>341</v>
      </c>
      <c r="H856" s="77" t="s">
        <v>317</v>
      </c>
      <c r="O856" s="94"/>
      <c r="Q856" s="97"/>
      <c r="R856" s="97"/>
      <c r="AB856" s="72">
        <v>1</v>
      </c>
      <c r="AE856" s="96"/>
      <c r="AF856" s="102"/>
      <c r="AG856" s="102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AW856" s="102"/>
      <c r="AX856" s="102"/>
      <c r="AY856" s="102"/>
      <c r="AZ856" s="102"/>
      <c r="BA856" s="102"/>
      <c r="BB856" s="102"/>
      <c r="BC856" s="102"/>
      <c r="BD856" s="102"/>
      <c r="BE856" s="102"/>
      <c r="BF856" s="102"/>
      <c r="BG856" s="102"/>
      <c r="BH856" s="102"/>
      <c r="BI856" s="102"/>
      <c r="BJ856" s="102"/>
      <c r="BK856" s="102"/>
      <c r="BL856" s="102"/>
      <c r="BM856" s="102"/>
      <c r="BN856" s="102"/>
      <c r="BO856" s="102"/>
      <c r="BP856" s="102"/>
      <c r="BQ856" s="102"/>
      <c r="BR856" s="102"/>
      <c r="BS856" s="102"/>
      <c r="BT856" s="102"/>
      <c r="BU856" s="102"/>
      <c r="BV856" s="102"/>
      <c r="BW856" s="102"/>
      <c r="BX856" s="102"/>
      <c r="BY856" s="94"/>
      <c r="BZ856" s="94"/>
      <c r="CA856" s="94"/>
      <c r="CB856" s="94" t="str">
        <f>"   " &amp; TEXT(AF856,"#0.00%") &amp; " " &amp; "Panel Alignment and fixation" &amp; " " &amp; IF(Q856="","",TEXT(Q856,"M/D-")) &amp; IF(R856="","",TEXT(R856,"M/D")) &amp; " "</f>
        <v xml:space="preserve">   0.00% Panel Alignment and fixation  </v>
      </c>
      <c r="CC856" s="94"/>
      <c r="CD856" s="94"/>
      <c r="CE856" s="94"/>
      <c r="CF856" s="94"/>
      <c r="CG856" s="94"/>
      <c r="CH856" s="94"/>
      <c r="CI856" s="94"/>
      <c r="CJ856" s="94"/>
      <c r="CK856" s="94"/>
      <c r="CL856" s="94"/>
      <c r="CM856" s="94"/>
      <c r="CN856" s="94"/>
      <c r="CO856" s="94"/>
      <c r="CP856" s="94"/>
      <c r="CQ856" s="94"/>
      <c r="CR856" s="94"/>
      <c r="CS856" s="94"/>
      <c r="CT856" s="94"/>
      <c r="CU856" s="94"/>
      <c r="CV856" s="94"/>
      <c r="CW856" s="94"/>
      <c r="CX856" s="94"/>
      <c r="CY856" s="94"/>
      <c r="CZ856" s="94"/>
      <c r="DA856" s="94"/>
      <c r="DB856" s="94"/>
      <c r="DC856" s="94"/>
      <c r="DD856" s="94"/>
      <c r="DE856" s="94"/>
      <c r="DF856" s="94"/>
      <c r="DG856" s="94"/>
      <c r="DH856" s="94"/>
      <c r="DI856" s="94"/>
      <c r="DJ856" s="94"/>
      <c r="DK856" s="94"/>
      <c r="DL856" s="94"/>
      <c r="DM856" s="94"/>
      <c r="DN856" s="94"/>
      <c r="DO856" s="94"/>
      <c r="DP856" s="94"/>
      <c r="DQ856" s="94"/>
    </row>
    <row r="857" spans="1:121" ht="15" customHeight="1" outlineLevel="3" x14ac:dyDescent="0.3">
      <c r="A857" s="100"/>
      <c r="B857" s="100"/>
      <c r="C857" s="99">
        <v>4</v>
      </c>
      <c r="D857" s="98" t="s">
        <v>340</v>
      </c>
      <c r="H857" s="77" t="s">
        <v>315</v>
      </c>
      <c r="O857" s="94"/>
      <c r="Q857" s="97"/>
      <c r="R857" s="97"/>
      <c r="AB857" s="72">
        <v>1</v>
      </c>
      <c r="AE857" s="96"/>
      <c r="AF857" s="102"/>
      <c r="AG857" s="102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AW857" s="102"/>
      <c r="AX857" s="102"/>
      <c r="AY857" s="102"/>
      <c r="AZ857" s="102"/>
      <c r="BA857" s="102"/>
      <c r="BB857" s="102"/>
      <c r="BC857" s="102"/>
      <c r="BD857" s="102"/>
      <c r="BE857" s="102"/>
      <c r="BF857" s="102"/>
      <c r="BG857" s="102"/>
      <c r="BH857" s="102"/>
      <c r="BI857" s="102"/>
      <c r="BJ857" s="102"/>
      <c r="BK857" s="102"/>
      <c r="BL857" s="102"/>
      <c r="BM857" s="102"/>
      <c r="BN857" s="102"/>
      <c r="BO857" s="102"/>
      <c r="BP857" s="102"/>
      <c r="BQ857" s="102"/>
      <c r="BR857" s="102"/>
      <c r="BS857" s="102"/>
      <c r="BT857" s="102"/>
      <c r="BU857" s="102"/>
      <c r="BV857" s="102"/>
      <c r="BW857" s="102"/>
      <c r="BX857" s="102"/>
      <c r="BY857" s="94"/>
      <c r="BZ857" s="94"/>
      <c r="CA857" s="94"/>
      <c r="CB857" s="94" t="str">
        <f>"   " &amp; TEXT(AF857,"#0.00%") &amp; " " &amp; "Door S/W SOP LCP positioning in alignment" &amp; " " &amp; IF(Q857="","",TEXT(Q857,"M/D-")) &amp; IF(R857="","",TEXT(R857,"M/D")) &amp; " "</f>
        <v xml:space="preserve">   0.00% Door S/W SOP LCP positioning in alignment  </v>
      </c>
      <c r="CC857" s="94"/>
      <c r="CD857" s="94"/>
      <c r="CE857" s="94"/>
      <c r="CF857" s="94"/>
      <c r="CG857" s="94"/>
      <c r="CH857" s="94"/>
      <c r="CI857" s="94"/>
      <c r="CJ857" s="94"/>
      <c r="CK857" s="94"/>
      <c r="CL857" s="94"/>
      <c r="CM857" s="94"/>
      <c r="CN857" s="94"/>
      <c r="CO857" s="94"/>
      <c r="CP857" s="94"/>
      <c r="CQ857" s="94"/>
      <c r="CR857" s="94"/>
      <c r="CS857" s="94"/>
      <c r="CT857" s="94"/>
      <c r="CU857" s="94"/>
      <c r="CV857" s="94"/>
      <c r="CW857" s="94"/>
      <c r="CX857" s="94"/>
      <c r="CY857" s="94"/>
      <c r="CZ857" s="94"/>
      <c r="DA857" s="94"/>
      <c r="DB857" s="94"/>
      <c r="DC857" s="94"/>
      <c r="DD857" s="94"/>
      <c r="DE857" s="94"/>
      <c r="DF857" s="94"/>
      <c r="DG857" s="94"/>
      <c r="DH857" s="94"/>
      <c r="DI857" s="94"/>
      <c r="DJ857" s="94"/>
      <c r="DK857" s="94"/>
      <c r="DL857" s="94"/>
      <c r="DM857" s="94"/>
      <c r="DN857" s="94"/>
      <c r="DO857" s="94"/>
      <c r="DP857" s="94"/>
      <c r="DQ857" s="94"/>
    </row>
    <row r="858" spans="1:121" ht="15" customHeight="1" outlineLevel="3" x14ac:dyDescent="0.3">
      <c r="A858" s="100"/>
      <c r="B858" s="100"/>
      <c r="C858" s="99">
        <v>4</v>
      </c>
      <c r="D858" s="98" t="s">
        <v>339</v>
      </c>
      <c r="H858" s="77" t="s">
        <v>313</v>
      </c>
      <c r="O858" s="94"/>
      <c r="Q858" s="97"/>
      <c r="R858" s="97"/>
      <c r="AB858" s="72">
        <v>1</v>
      </c>
      <c r="AE858" s="96"/>
      <c r="AF858" s="102"/>
      <c r="AG858" s="102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AW858" s="102"/>
      <c r="AX858" s="102"/>
      <c r="AY858" s="102"/>
      <c r="AZ858" s="102"/>
      <c r="BA858" s="102"/>
      <c r="BB858" s="102"/>
      <c r="BC858" s="102"/>
      <c r="BD858" s="102"/>
      <c r="BE858" s="102"/>
      <c r="BF858" s="102"/>
      <c r="BG858" s="102"/>
      <c r="BH858" s="102"/>
      <c r="BI858" s="102"/>
      <c r="BJ858" s="102"/>
      <c r="BK858" s="102"/>
      <c r="BL858" s="102"/>
      <c r="BM858" s="102"/>
      <c r="BN858" s="102"/>
      <c r="BO858" s="102"/>
      <c r="BP858" s="102"/>
      <c r="BQ858" s="102"/>
      <c r="BR858" s="102"/>
      <c r="BS858" s="102"/>
      <c r="BT858" s="102"/>
      <c r="BU858" s="102"/>
      <c r="BV858" s="102"/>
      <c r="BW858" s="102"/>
      <c r="BX858" s="102"/>
      <c r="BY858" s="94"/>
      <c r="BZ858" s="94"/>
      <c r="CA858" s="94"/>
      <c r="CB858" s="94" t="str">
        <f>"    " &amp; TEXT(AF858,"#0.00%") &amp; " " &amp; "Install Duct" &amp; " " &amp; IF(Q858="","",TEXT(Q858,"M/D-")) &amp; IF(R858="","",TEXT(R858,"M/D")) &amp; " "</f>
        <v xml:space="preserve">    0.00% Install Duct  </v>
      </c>
      <c r="CC858" s="94"/>
      <c r="CD858" s="94"/>
      <c r="CE858" s="94"/>
      <c r="CF858" s="94"/>
      <c r="CG858" s="94"/>
      <c r="CH858" s="94"/>
      <c r="CI858" s="94"/>
      <c r="CJ858" s="94"/>
      <c r="CK858" s="94"/>
      <c r="CL858" s="94"/>
      <c r="CM858" s="94"/>
      <c r="CN858" s="94"/>
      <c r="CO858" s="94"/>
      <c r="CP858" s="94"/>
      <c r="CQ858" s="94"/>
      <c r="CR858" s="94"/>
      <c r="CS858" s="94"/>
      <c r="CT858" s="94"/>
      <c r="CU858" s="94"/>
      <c r="CV858" s="94"/>
      <c r="CW858" s="94"/>
      <c r="CX858" s="94"/>
      <c r="CY858" s="94"/>
      <c r="CZ858" s="94"/>
      <c r="DA858" s="94"/>
      <c r="DB858" s="94"/>
      <c r="DC858" s="94"/>
      <c r="DD858" s="94"/>
      <c r="DE858" s="94"/>
      <c r="DF858" s="94"/>
      <c r="DG858" s="94"/>
      <c r="DH858" s="94"/>
      <c r="DI858" s="94"/>
      <c r="DJ858" s="94"/>
      <c r="DK858" s="94"/>
      <c r="DL858" s="94"/>
      <c r="DM858" s="94"/>
      <c r="DN858" s="94"/>
      <c r="DO858" s="94"/>
      <c r="DP858" s="94"/>
      <c r="DQ858" s="94"/>
    </row>
    <row r="859" spans="1:121" ht="15" customHeight="1" outlineLevel="3" x14ac:dyDescent="0.3">
      <c r="A859" s="100"/>
      <c r="B859" s="100"/>
      <c r="C859" s="99">
        <v>4</v>
      </c>
      <c r="D859" s="98" t="s">
        <v>338</v>
      </c>
      <c r="H859" s="77" t="s">
        <v>311</v>
      </c>
      <c r="O859" s="94"/>
      <c r="Q859" s="97"/>
      <c r="R859" s="97"/>
      <c r="AB859" s="72">
        <v>1</v>
      </c>
      <c r="AE859" s="96"/>
      <c r="AF859" s="102"/>
      <c r="AG859" s="102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AW859" s="102"/>
      <c r="AX859" s="102"/>
      <c r="AY859" s="102"/>
      <c r="AZ859" s="102"/>
      <c r="BA859" s="102"/>
      <c r="BB859" s="102"/>
      <c r="BC859" s="102"/>
      <c r="BD859" s="102"/>
      <c r="BE859" s="102"/>
      <c r="BF859" s="102"/>
      <c r="BG859" s="102"/>
      <c r="BH859" s="102"/>
      <c r="BI859" s="102"/>
      <c r="BJ859" s="102"/>
      <c r="BK859" s="102"/>
      <c r="BL859" s="102"/>
      <c r="BM859" s="102"/>
      <c r="BN859" s="102"/>
      <c r="BO859" s="102"/>
      <c r="BP859" s="102"/>
      <c r="BQ859" s="102"/>
      <c r="BR859" s="102"/>
      <c r="BS859" s="102"/>
      <c r="BT859" s="102"/>
      <c r="BU859" s="102"/>
      <c r="BV859" s="102"/>
      <c r="BW859" s="102"/>
      <c r="BX859" s="102"/>
      <c r="BY859" s="94"/>
      <c r="BZ859" s="94"/>
      <c r="CA859" s="94"/>
      <c r="CB859" s="94"/>
      <c r="CC859" s="94" t="str">
        <f>"    " &amp; TEXT(AF859,"#0.00%") &amp; " " &amp; "Installation Lifter cable" &amp; " " &amp; IF(Q859="","",TEXT(Q859,"M/D-")) &amp; IF(R859="","",TEXT(R859,"M/D")) &amp; " "</f>
        <v xml:space="preserve">    0.00% Installation Lifter cable  </v>
      </c>
      <c r="CD859" s="94"/>
      <c r="CE859" s="94"/>
      <c r="CF859" s="94"/>
      <c r="CG859" s="94"/>
      <c r="CH859" s="94"/>
      <c r="CI859" s="94"/>
      <c r="CJ859" s="94"/>
      <c r="CK859" s="94"/>
      <c r="CL859" s="94"/>
      <c r="CM859" s="94"/>
      <c r="CN859" s="94"/>
      <c r="CO859" s="94"/>
      <c r="CP859" s="94"/>
      <c r="CQ859" s="94"/>
      <c r="CR859" s="94"/>
      <c r="CS859" s="94"/>
      <c r="CT859" s="94"/>
      <c r="CU859" s="94"/>
      <c r="CV859" s="94"/>
      <c r="CW859" s="94"/>
      <c r="CX859" s="94"/>
      <c r="CY859" s="94"/>
      <c r="CZ859" s="94"/>
      <c r="DA859" s="94"/>
      <c r="DB859" s="94"/>
      <c r="DC859" s="94"/>
      <c r="DD859" s="94"/>
      <c r="DE859" s="94"/>
      <c r="DF859" s="94"/>
      <c r="DG859" s="94"/>
      <c r="DH859" s="94"/>
      <c r="DI859" s="94"/>
      <c r="DJ859" s="94"/>
      <c r="DK859" s="94"/>
      <c r="DL859" s="94"/>
      <c r="DM859" s="94"/>
      <c r="DN859" s="94"/>
      <c r="DO859" s="94"/>
      <c r="DP859" s="94"/>
      <c r="DQ859" s="94"/>
    </row>
    <row r="860" spans="1:121" ht="15" customHeight="1" outlineLevel="3" x14ac:dyDescent="0.3">
      <c r="A860" s="100"/>
      <c r="B860" s="100"/>
      <c r="C860" s="99">
        <v>4</v>
      </c>
      <c r="D860" s="98" t="s">
        <v>337</v>
      </c>
      <c r="H860" s="77" t="s">
        <v>309</v>
      </c>
      <c r="O860" s="94"/>
      <c r="Q860" s="97"/>
      <c r="R860" s="97"/>
      <c r="AB860" s="72">
        <v>1</v>
      </c>
      <c r="AE860" s="96"/>
      <c r="AF860" s="102"/>
      <c r="AG860" s="102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AW860" s="102"/>
      <c r="AX860" s="102"/>
      <c r="AY860" s="102"/>
      <c r="AZ860" s="102"/>
      <c r="BA860" s="102"/>
      <c r="BB860" s="102"/>
      <c r="BC860" s="102"/>
      <c r="BD860" s="102"/>
      <c r="BE860" s="102"/>
      <c r="BF860" s="102"/>
      <c r="BG860" s="102"/>
      <c r="BH860" s="102"/>
      <c r="BI860" s="102"/>
      <c r="BJ860" s="102"/>
      <c r="BK860" s="102"/>
      <c r="BL860" s="102"/>
      <c r="BM860" s="102"/>
      <c r="BN860" s="102"/>
      <c r="BO860" s="102"/>
      <c r="BP860" s="102"/>
      <c r="BQ860" s="102"/>
      <c r="BR860" s="102"/>
      <c r="BS860" s="102"/>
      <c r="BT860" s="102"/>
      <c r="BU860" s="102"/>
      <c r="BV860" s="102"/>
      <c r="BW860" s="102"/>
      <c r="BX860" s="102"/>
      <c r="BY860" s="94"/>
      <c r="BZ860" s="94"/>
      <c r="CA860" s="94"/>
      <c r="CB860" s="94"/>
      <c r="CC860" s="94" t="str">
        <f>"    " &amp; TEXT(AF860,"#0.00%") &amp; " " &amp; "Installation Power moller cable" &amp; " " &amp; IF(Q860="","",TEXT(Q860,"M/D-")) &amp; IF(R860="","",TEXT(R860,"M/D")) &amp; " "</f>
        <v xml:space="preserve">    0.00% Installation Power moller cable  </v>
      </c>
      <c r="CD860" s="94"/>
      <c r="CE860" s="94"/>
      <c r="CF860" s="94"/>
      <c r="CG860" s="94"/>
      <c r="CH860" s="94"/>
      <c r="CI860" s="94"/>
      <c r="CJ860" s="94"/>
      <c r="CK860" s="94"/>
      <c r="CL860" s="94"/>
      <c r="CM860" s="94"/>
      <c r="CN860" s="94"/>
      <c r="CO860" s="94"/>
      <c r="CP860" s="94"/>
      <c r="CQ860" s="94"/>
      <c r="CR860" s="94"/>
      <c r="CS860" s="94"/>
      <c r="CT860" s="94"/>
      <c r="CU860" s="94"/>
      <c r="CV860" s="94"/>
      <c r="CW860" s="94"/>
      <c r="CX860" s="94"/>
      <c r="CY860" s="94"/>
      <c r="CZ860" s="94"/>
      <c r="DA860" s="94"/>
      <c r="DB860" s="94"/>
      <c r="DC860" s="94"/>
      <c r="DD860" s="94"/>
      <c r="DE860" s="94"/>
      <c r="DF860" s="94"/>
      <c r="DG860" s="94"/>
      <c r="DH860" s="94"/>
      <c r="DI860" s="94"/>
      <c r="DJ860" s="94"/>
      <c r="DK860" s="94"/>
      <c r="DL860" s="94"/>
      <c r="DM860" s="94"/>
      <c r="DN860" s="94"/>
      <c r="DO860" s="94"/>
      <c r="DP860" s="94"/>
      <c r="DQ860" s="94"/>
    </row>
    <row r="861" spans="1:121" ht="15" customHeight="1" outlineLevel="3" x14ac:dyDescent="0.3">
      <c r="A861" s="100"/>
      <c r="B861" s="100"/>
      <c r="C861" s="99">
        <v>4</v>
      </c>
      <c r="D861" s="98" t="s">
        <v>336</v>
      </c>
      <c r="H861" s="77" t="s">
        <v>307</v>
      </c>
      <c r="O861" s="94"/>
      <c r="Q861" s="97"/>
      <c r="R861" s="97"/>
      <c r="AB861" s="72">
        <v>1</v>
      </c>
      <c r="AE861" s="96"/>
      <c r="AF861" s="102"/>
      <c r="AG861" s="102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AW861" s="102"/>
      <c r="AX861" s="102"/>
      <c r="AY861" s="102"/>
      <c r="AZ861" s="102"/>
      <c r="BA861" s="102"/>
      <c r="BB861" s="102"/>
      <c r="BC861" s="102"/>
      <c r="BD861" s="102"/>
      <c r="BE861" s="102"/>
      <c r="BF861" s="102"/>
      <c r="BG861" s="102"/>
      <c r="BH861" s="102"/>
      <c r="BI861" s="102"/>
      <c r="BJ861" s="102"/>
      <c r="BK861" s="102"/>
      <c r="BL861" s="102"/>
      <c r="BM861" s="102"/>
      <c r="BN861" s="102"/>
      <c r="BO861" s="102"/>
      <c r="BP861" s="102"/>
      <c r="BQ861" s="102"/>
      <c r="BR861" s="102"/>
      <c r="BS861" s="102"/>
      <c r="BT861" s="102"/>
      <c r="BU861" s="102"/>
      <c r="BV861" s="102"/>
      <c r="BW861" s="102"/>
      <c r="BX861" s="102"/>
      <c r="BY861" s="94"/>
      <c r="BZ861" s="94"/>
      <c r="CA861" s="94"/>
      <c r="CB861" s="94"/>
      <c r="CC861" s="94" t="str">
        <f>"    " &amp; TEXT(AF861,"#0.00%") &amp; " " &amp; "Installation Lifter Light Curtain cable" &amp; " " &amp; IF(Q861="","",TEXT(Q861,"M/D-")) &amp; IF(R861="","",TEXT(R861,"M/D")) &amp; " "</f>
        <v xml:space="preserve">    0.00% Installation Lifter Light Curtain cable  </v>
      </c>
      <c r="CD861" s="94"/>
      <c r="CE861" s="94"/>
      <c r="CF861" s="94"/>
      <c r="CG861" s="94"/>
      <c r="CH861" s="94"/>
      <c r="CI861" s="94"/>
      <c r="CJ861" s="94"/>
      <c r="CK861" s="94"/>
      <c r="CL861" s="94"/>
      <c r="CM861" s="94"/>
      <c r="CN861" s="94"/>
      <c r="CO861" s="94"/>
      <c r="CP861" s="94"/>
      <c r="CQ861" s="94"/>
      <c r="CR861" s="94"/>
      <c r="CS861" s="94"/>
      <c r="CT861" s="94"/>
      <c r="CU861" s="94"/>
      <c r="CV861" s="94"/>
      <c r="CW861" s="94"/>
      <c r="CX861" s="94"/>
      <c r="CY861" s="94"/>
      <c r="CZ861" s="94"/>
      <c r="DA861" s="94"/>
      <c r="DB861" s="94"/>
      <c r="DC861" s="94"/>
      <c r="DD861" s="94"/>
      <c r="DE861" s="94"/>
      <c r="DF861" s="94"/>
      <c r="DG861" s="94"/>
      <c r="DH861" s="94"/>
      <c r="DI861" s="94"/>
      <c r="DJ861" s="94"/>
      <c r="DK861" s="94"/>
      <c r="DL861" s="94"/>
      <c r="DM861" s="94"/>
      <c r="DN861" s="94"/>
      <c r="DO861" s="94"/>
      <c r="DP861" s="94"/>
      <c r="DQ861" s="94"/>
    </row>
    <row r="862" spans="1:121" ht="15" customHeight="1" outlineLevel="3" x14ac:dyDescent="0.3">
      <c r="A862" s="100"/>
      <c r="B862" s="100"/>
      <c r="C862" s="99">
        <v>4</v>
      </c>
      <c r="D862" s="98" t="s">
        <v>335</v>
      </c>
      <c r="H862" s="77" t="s">
        <v>305</v>
      </c>
      <c r="O862" s="94"/>
      <c r="Q862" s="97"/>
      <c r="R862" s="97"/>
      <c r="AB862" s="72">
        <v>1</v>
      </c>
      <c r="AE862" s="96"/>
      <c r="AF862" s="102"/>
      <c r="AG862" s="102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AW862" s="102"/>
      <c r="AX862" s="102"/>
      <c r="AY862" s="102"/>
      <c r="AZ862" s="102"/>
      <c r="BA862" s="102"/>
      <c r="BB862" s="102"/>
      <c r="BC862" s="102"/>
      <c r="BD862" s="102"/>
      <c r="BE862" s="102"/>
      <c r="BF862" s="102"/>
      <c r="BG862" s="102"/>
      <c r="BH862" s="102"/>
      <c r="BI862" s="102"/>
      <c r="BJ862" s="102"/>
      <c r="BK862" s="102"/>
      <c r="BL862" s="102"/>
      <c r="BM862" s="102"/>
      <c r="BN862" s="102"/>
      <c r="BO862" s="102"/>
      <c r="BP862" s="102"/>
      <c r="BQ862" s="102"/>
      <c r="BR862" s="102"/>
      <c r="BS862" s="102"/>
      <c r="BT862" s="102"/>
      <c r="BU862" s="102"/>
      <c r="BV862" s="102"/>
      <c r="BW862" s="102"/>
      <c r="BX862" s="102"/>
      <c r="BY862" s="94"/>
      <c r="BZ862" s="94"/>
      <c r="CA862" s="94"/>
      <c r="CB862" s="94"/>
      <c r="CC862" s="94" t="str">
        <f>"      " &amp; TEXT(AF862,"#0.00%") &amp; " " &amp; "Installation DP MG TT Cable" &amp; " " &amp; IF(Q862="","",TEXT(Q862,"M/D-")) &amp; IF(R862="","",TEXT(R862,"M/D")) &amp; " "</f>
        <v xml:space="preserve">      0.00% Installation DP MG TT Cable  </v>
      </c>
      <c r="CD862" s="94"/>
      <c r="CE862" s="94"/>
      <c r="CF862" s="94"/>
      <c r="CG862" s="94"/>
      <c r="CH862" s="94"/>
      <c r="CI862" s="94"/>
      <c r="CJ862" s="94"/>
      <c r="CK862" s="94"/>
      <c r="CL862" s="94"/>
      <c r="CM862" s="94"/>
      <c r="CN862" s="94"/>
      <c r="CO862" s="94"/>
      <c r="CP862" s="94"/>
      <c r="CQ862" s="94"/>
      <c r="CR862" s="94"/>
      <c r="CS862" s="94"/>
      <c r="CT862" s="94"/>
      <c r="CU862" s="94"/>
      <c r="CV862" s="94"/>
      <c r="CW862" s="94"/>
      <c r="CX862" s="94"/>
      <c r="CY862" s="94"/>
      <c r="CZ862" s="94"/>
      <c r="DA862" s="94"/>
      <c r="DB862" s="94"/>
      <c r="DC862" s="94"/>
      <c r="DD862" s="94"/>
      <c r="DE862" s="94"/>
      <c r="DF862" s="94"/>
      <c r="DG862" s="94"/>
      <c r="DH862" s="94"/>
      <c r="DI862" s="94"/>
      <c r="DJ862" s="94"/>
      <c r="DK862" s="94"/>
      <c r="DL862" s="94"/>
      <c r="DM862" s="94"/>
      <c r="DN862" s="94"/>
      <c r="DO862" s="94"/>
      <c r="DP862" s="94"/>
      <c r="DQ862" s="94"/>
    </row>
    <row r="863" spans="1:121" ht="15" customHeight="1" outlineLevel="3" x14ac:dyDescent="0.3">
      <c r="A863" s="100"/>
      <c r="B863" s="100"/>
      <c r="C863" s="99">
        <v>4</v>
      </c>
      <c r="D863" s="98" t="s">
        <v>334</v>
      </c>
      <c r="H863" s="77" t="s">
        <v>303</v>
      </c>
      <c r="O863" s="94"/>
      <c r="Q863" s="97"/>
      <c r="R863" s="97"/>
      <c r="AB863" s="72">
        <v>1</v>
      </c>
      <c r="AE863" s="96"/>
      <c r="AF863" s="102"/>
      <c r="AG863" s="102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AW863" s="102"/>
      <c r="AX863" s="102"/>
      <c r="AY863" s="102"/>
      <c r="AZ863" s="102"/>
      <c r="BA863" s="102"/>
      <c r="BB863" s="102"/>
      <c r="BC863" s="102"/>
      <c r="BD863" s="102"/>
      <c r="BE863" s="102"/>
      <c r="BF863" s="102"/>
      <c r="BG863" s="102"/>
      <c r="BH863" s="102"/>
      <c r="BI863" s="102"/>
      <c r="BJ863" s="102"/>
      <c r="BK863" s="102"/>
      <c r="BL863" s="102"/>
      <c r="BM863" s="102"/>
      <c r="BN863" s="102"/>
      <c r="BO863" s="102"/>
      <c r="BP863" s="102"/>
      <c r="BQ863" s="102"/>
      <c r="BR863" s="102"/>
      <c r="BS863" s="102"/>
      <c r="BT863" s="102"/>
      <c r="BU863" s="102"/>
      <c r="BV863" s="102"/>
      <c r="BW863" s="102"/>
      <c r="BX863" s="102"/>
      <c r="BY863" s="94"/>
      <c r="BZ863" s="94"/>
      <c r="CA863" s="94"/>
      <c r="CB863" s="94"/>
      <c r="CC863" s="94"/>
      <c r="CD863" s="94" t="str">
        <f>"  " &amp; TEXT(AF863,"#0.00%") &amp; " " &amp; "Installation Panel Inside Cable " &amp; " " &amp; IF(Q863="","",TEXT(Q863,"M/D-")) &amp; IF(R863="","",TEXT(R863,"M/D")) &amp; " "</f>
        <v xml:space="preserve">  0.00% Installation Panel Inside Cable   </v>
      </c>
      <c r="CE863" s="94"/>
      <c r="CF863" s="94"/>
      <c r="CG863" s="94"/>
      <c r="CH863" s="94"/>
      <c r="CI863" s="94"/>
      <c r="CJ863" s="94"/>
      <c r="CK863" s="94"/>
      <c r="CL863" s="94"/>
      <c r="CM863" s="94"/>
      <c r="CN863" s="94"/>
      <c r="CO863" s="94"/>
      <c r="CP863" s="94"/>
      <c r="CQ863" s="94"/>
      <c r="CR863" s="94"/>
      <c r="CS863" s="94"/>
      <c r="CT863" s="94"/>
      <c r="CU863" s="94"/>
      <c r="CV863" s="94"/>
      <c r="CW863" s="94"/>
      <c r="CX863" s="94"/>
      <c r="CY863" s="94"/>
      <c r="CZ863" s="94"/>
      <c r="DA863" s="94"/>
      <c r="DB863" s="94"/>
      <c r="DC863" s="94"/>
      <c r="DD863" s="94"/>
      <c r="DE863" s="94"/>
      <c r="DF863" s="94"/>
      <c r="DG863" s="94"/>
      <c r="DH863" s="94"/>
      <c r="DI863" s="94"/>
      <c r="DJ863" s="94"/>
      <c r="DK863" s="94"/>
      <c r="DL863" s="94"/>
      <c r="DM863" s="94"/>
      <c r="DN863" s="94"/>
      <c r="DO863" s="94"/>
      <c r="DP863" s="94"/>
      <c r="DQ863" s="94"/>
    </row>
    <row r="864" spans="1:121" ht="15" customHeight="1" outlineLevel="2" x14ac:dyDescent="0.3">
      <c r="A864" s="100"/>
      <c r="B864" s="100" t="s">
        <v>298</v>
      </c>
      <c r="C864" s="99">
        <v>3</v>
      </c>
      <c r="D864" s="98" t="s">
        <v>333</v>
      </c>
      <c r="G864" s="77" t="s">
        <v>332</v>
      </c>
      <c r="O864" s="94" t="s">
        <v>331</v>
      </c>
      <c r="Q864" s="104"/>
      <c r="R864" s="104"/>
      <c r="AE864" s="96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94" t="str">
        <f>"    " &amp; TEXT(AF864,"#0.00%") &amp; " " &amp; "2F Conveyor DGS front ※Front" &amp; " " &amp; IF(Q864="","",TEXT(Q864,"M/D-")) &amp; IF(R864="","",TEXT(R864,"M/D")) &amp; " "</f>
        <v xml:space="preserve">    0.00% 2F Conveyor DGS front ※Front  </v>
      </c>
      <c r="BZ864" s="94"/>
      <c r="CA864" s="94"/>
      <c r="CB864" s="94"/>
      <c r="CC864" s="94"/>
      <c r="CD864" s="94"/>
      <c r="CE864" s="94"/>
      <c r="CF864" s="94"/>
      <c r="CG864" s="94"/>
      <c r="CH864" s="94"/>
      <c r="CI864" s="94"/>
      <c r="CJ864" s="94"/>
      <c r="CK864" s="94"/>
      <c r="CL864" s="94"/>
      <c r="CM864" s="94"/>
      <c r="CN864" s="94"/>
      <c r="CO864" s="94"/>
      <c r="CP864" s="94"/>
      <c r="CQ864" s="94"/>
      <c r="CR864" s="94"/>
      <c r="CS864" s="94"/>
      <c r="CT864" s="94"/>
      <c r="CU864" s="94"/>
      <c r="CV864" s="94"/>
      <c r="CW864" s="94"/>
      <c r="CX864" s="94"/>
      <c r="CY864" s="94"/>
      <c r="CZ864" s="94"/>
      <c r="DA864" s="94"/>
      <c r="DB864" s="94"/>
      <c r="DC864" s="94"/>
      <c r="DD864" s="94"/>
      <c r="DE864" s="94"/>
      <c r="DF864" s="94"/>
      <c r="DG864" s="94"/>
      <c r="DH864" s="94"/>
      <c r="DI864" s="94"/>
      <c r="DJ864" s="94"/>
      <c r="DK864" s="94"/>
      <c r="DL864" s="94"/>
      <c r="DM864" s="94"/>
      <c r="DN864" s="94"/>
      <c r="DO864" s="94"/>
      <c r="DP864" s="94"/>
      <c r="DQ864" s="94"/>
    </row>
    <row r="865" spans="1:121" ht="15" customHeight="1" outlineLevel="3" x14ac:dyDescent="0.3">
      <c r="A865" s="100"/>
      <c r="B865" s="100"/>
      <c r="C865" s="99">
        <v>4</v>
      </c>
      <c r="D865" s="98" t="s">
        <v>330</v>
      </c>
      <c r="H865" s="77" t="s">
        <v>317</v>
      </c>
      <c r="O865" s="94"/>
      <c r="Q865" s="97"/>
      <c r="R865" s="97"/>
      <c r="AB865" s="72">
        <v>1</v>
      </c>
      <c r="AE865" s="96"/>
      <c r="AF865" s="102"/>
      <c r="AG865" s="102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AW865" s="102"/>
      <c r="AX865" s="102"/>
      <c r="AY865" s="102"/>
      <c r="AZ865" s="102"/>
      <c r="BA865" s="102"/>
      <c r="BB865" s="102"/>
      <c r="BC865" s="102"/>
      <c r="BD865" s="102"/>
      <c r="BE865" s="102"/>
      <c r="BF865" s="102"/>
      <c r="BG865" s="102"/>
      <c r="BH865" s="102"/>
      <c r="BI865" s="102"/>
      <c r="BJ865" s="102"/>
      <c r="BK865" s="102"/>
      <c r="BL865" s="102"/>
      <c r="BM865" s="102"/>
      <c r="BN865" s="102"/>
      <c r="BO865" s="102"/>
      <c r="BP865" s="102"/>
      <c r="BQ865" s="102"/>
      <c r="BR865" s="102"/>
      <c r="BS865" s="102"/>
      <c r="BT865" s="102"/>
      <c r="BU865" s="102"/>
      <c r="BV865" s="102"/>
      <c r="BW865" s="102"/>
      <c r="BX865" s="102"/>
      <c r="BY865" s="94" t="str">
        <f>"    " &amp; TEXT(AF865,"#0.00%") &amp; " " &amp; "Panel Alignment and fixation" &amp; " " &amp; IF(Q865="","",TEXT(Q865,"M/D-")) &amp; IF(R865="","",TEXT(R865,"M/D")) &amp; " "</f>
        <v xml:space="preserve">    0.00% Panel Alignment and fixation  </v>
      </c>
      <c r="BZ865" s="94"/>
      <c r="CA865" s="94"/>
      <c r="CB865" s="94"/>
      <c r="CC865" s="94"/>
      <c r="CD865" s="94"/>
      <c r="CE865" s="94"/>
      <c r="CF865" s="94"/>
      <c r="CG865" s="94"/>
      <c r="CH865" s="94"/>
      <c r="CI865" s="94"/>
      <c r="CJ865" s="94"/>
      <c r="CK865" s="94"/>
      <c r="CL865" s="94"/>
      <c r="CM865" s="94"/>
      <c r="CN865" s="94"/>
      <c r="CO865" s="94"/>
      <c r="CP865" s="94"/>
      <c r="CQ865" s="94"/>
      <c r="CR865" s="94"/>
      <c r="CS865" s="94"/>
      <c r="CT865" s="94"/>
      <c r="CU865" s="94"/>
      <c r="CV865" s="94"/>
      <c r="CW865" s="94"/>
      <c r="CX865" s="94"/>
      <c r="CY865" s="94"/>
      <c r="CZ865" s="94"/>
      <c r="DA865" s="94"/>
      <c r="DB865" s="94"/>
      <c r="DC865" s="94"/>
      <c r="DD865" s="94"/>
      <c r="DE865" s="94"/>
      <c r="DF865" s="94"/>
      <c r="DG865" s="94"/>
      <c r="DH865" s="94"/>
      <c r="DI865" s="94"/>
      <c r="DJ865" s="94"/>
      <c r="DK865" s="94"/>
      <c r="DL865" s="94"/>
      <c r="DM865" s="94"/>
      <c r="DN865" s="94"/>
      <c r="DO865" s="94"/>
      <c r="DP865" s="94"/>
      <c r="DQ865" s="94"/>
    </row>
    <row r="866" spans="1:121" ht="15" customHeight="1" outlineLevel="3" x14ac:dyDescent="0.3">
      <c r="A866" s="100"/>
      <c r="B866" s="100"/>
      <c r="C866" s="99">
        <v>4</v>
      </c>
      <c r="D866" s="98" t="s">
        <v>329</v>
      </c>
      <c r="H866" s="77" t="s">
        <v>315</v>
      </c>
      <c r="O866" s="94"/>
      <c r="Q866" s="97"/>
      <c r="R866" s="97"/>
      <c r="AB866" s="72">
        <v>1</v>
      </c>
      <c r="AE866" s="96"/>
      <c r="AF866" s="102"/>
      <c r="AG866" s="102"/>
      <c r="AH866" s="102"/>
      <c r="AI866" s="102"/>
      <c r="AJ866" s="102"/>
      <c r="AK866" s="102"/>
      <c r="AL866" s="102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AW866" s="102"/>
      <c r="AX866" s="102"/>
      <c r="AY866" s="102"/>
      <c r="AZ866" s="102"/>
      <c r="BA866" s="102"/>
      <c r="BB866" s="102"/>
      <c r="BC866" s="102"/>
      <c r="BD866" s="102"/>
      <c r="BE866" s="102"/>
      <c r="BF866" s="102"/>
      <c r="BG866" s="102"/>
      <c r="BH866" s="102"/>
      <c r="BI866" s="102"/>
      <c r="BJ866" s="102"/>
      <c r="BK866" s="102"/>
      <c r="BL866" s="102"/>
      <c r="BM866" s="102"/>
      <c r="BN866" s="102"/>
      <c r="BO866" s="102"/>
      <c r="BP866" s="102"/>
      <c r="BQ866" s="102"/>
      <c r="BR866" s="102"/>
      <c r="BS866" s="102"/>
      <c r="BT866" s="102"/>
      <c r="BU866" s="102"/>
      <c r="BV866" s="102"/>
      <c r="BW866" s="102"/>
      <c r="BX866" s="102"/>
      <c r="BY866" s="94" t="str">
        <f>"    " &amp; TEXT(AF866,"#0.00%") &amp; " " &amp; "Door S/W SOP LCP positioning in alignment" &amp; " " &amp; IF(Q866="","",TEXT(Q866,"M/D-")) &amp; IF(R866="","",TEXT(R866,"M/D")) &amp; " "</f>
        <v xml:space="preserve">    0.00% Door S/W SOP LCP positioning in alignment  </v>
      </c>
      <c r="BZ866" s="94"/>
      <c r="CA866" s="94"/>
      <c r="CB866" s="94"/>
      <c r="CC866" s="94"/>
      <c r="CD866" s="94"/>
      <c r="CE866" s="94"/>
      <c r="CF866" s="94"/>
      <c r="CG866" s="94"/>
      <c r="CH866" s="94"/>
      <c r="CI866" s="94"/>
      <c r="CJ866" s="94"/>
      <c r="CK866" s="94"/>
      <c r="CL866" s="94"/>
      <c r="CM866" s="94"/>
      <c r="CN866" s="94"/>
      <c r="CO866" s="94"/>
      <c r="CP866" s="94"/>
      <c r="CQ866" s="94"/>
      <c r="CR866" s="94"/>
      <c r="CS866" s="94"/>
      <c r="CT866" s="94"/>
      <c r="CU866" s="94"/>
      <c r="CV866" s="94"/>
      <c r="CW866" s="94"/>
      <c r="CX866" s="94"/>
      <c r="CY866" s="94"/>
      <c r="CZ866" s="94"/>
      <c r="DA866" s="94"/>
      <c r="DB866" s="94"/>
      <c r="DC866" s="94"/>
      <c r="DD866" s="94"/>
      <c r="DE866" s="94"/>
      <c r="DF866" s="94"/>
      <c r="DG866" s="94"/>
      <c r="DH866" s="94"/>
      <c r="DI866" s="94"/>
      <c r="DJ866" s="94"/>
      <c r="DK866" s="94"/>
      <c r="DL866" s="94"/>
      <c r="DM866" s="94"/>
      <c r="DN866" s="94"/>
      <c r="DO866" s="94"/>
      <c r="DP866" s="94"/>
      <c r="DQ866" s="94"/>
    </row>
    <row r="867" spans="1:121" ht="15" customHeight="1" outlineLevel="3" x14ac:dyDescent="0.3">
      <c r="A867" s="100"/>
      <c r="B867" s="100"/>
      <c r="C867" s="99">
        <v>4</v>
      </c>
      <c r="D867" s="98" t="s">
        <v>328</v>
      </c>
      <c r="H867" s="77" t="s">
        <v>313</v>
      </c>
      <c r="O867" s="94"/>
      <c r="Q867" s="97"/>
      <c r="R867" s="97"/>
      <c r="AB867" s="72">
        <v>1</v>
      </c>
      <c r="AE867" s="96"/>
      <c r="AF867" s="102"/>
      <c r="AG867" s="102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AW867" s="102"/>
      <c r="AX867" s="102"/>
      <c r="AY867" s="102"/>
      <c r="AZ867" s="102"/>
      <c r="BA867" s="102"/>
      <c r="BB867" s="102"/>
      <c r="BC867" s="102"/>
      <c r="BD867" s="102"/>
      <c r="BE867" s="102"/>
      <c r="BF867" s="102"/>
      <c r="BG867" s="102"/>
      <c r="BH867" s="102"/>
      <c r="BI867" s="102"/>
      <c r="BJ867" s="102"/>
      <c r="BK867" s="102"/>
      <c r="BL867" s="102"/>
      <c r="BM867" s="102"/>
      <c r="BN867" s="102"/>
      <c r="BO867" s="102"/>
      <c r="BP867" s="102"/>
      <c r="BQ867" s="102"/>
      <c r="BR867" s="102"/>
      <c r="BS867" s="102"/>
      <c r="BT867" s="102"/>
      <c r="BU867" s="102"/>
      <c r="BV867" s="102"/>
      <c r="BW867" s="102"/>
      <c r="BX867" s="102"/>
      <c r="BY867" s="94" t="str">
        <f>"     " &amp; TEXT(AF867,"#0.00%") &amp; " " &amp; "Install Duct" &amp; " " &amp; IF(Q867="","",TEXT(Q867,"M/D-")) &amp; IF(R867="","",TEXT(R867,"M/D")) &amp; " "</f>
        <v xml:space="preserve">     0.00% Install Duct  </v>
      </c>
      <c r="BZ867" s="94"/>
      <c r="CA867" s="94"/>
      <c r="CB867" s="94"/>
      <c r="CC867" s="94"/>
      <c r="CD867" s="94"/>
      <c r="CE867" s="94"/>
      <c r="CF867" s="94"/>
      <c r="CG867" s="94"/>
      <c r="CH867" s="94"/>
      <c r="CI867" s="94"/>
      <c r="CJ867" s="94"/>
      <c r="CK867" s="94"/>
      <c r="CL867" s="94"/>
      <c r="CM867" s="94"/>
      <c r="CN867" s="94"/>
      <c r="CO867" s="94"/>
      <c r="CP867" s="94"/>
      <c r="CQ867" s="94"/>
      <c r="CR867" s="94"/>
      <c r="CS867" s="94"/>
      <c r="CT867" s="94"/>
      <c r="CU867" s="94"/>
      <c r="CV867" s="94"/>
      <c r="CW867" s="94"/>
      <c r="CX867" s="94"/>
      <c r="CY867" s="94"/>
      <c r="CZ867" s="94"/>
      <c r="DA867" s="94"/>
      <c r="DB867" s="94"/>
      <c r="DC867" s="94"/>
      <c r="DD867" s="94"/>
      <c r="DE867" s="94"/>
      <c r="DF867" s="94"/>
      <c r="DG867" s="94"/>
      <c r="DH867" s="94"/>
      <c r="DI867" s="94"/>
      <c r="DJ867" s="94"/>
      <c r="DK867" s="94"/>
      <c r="DL867" s="94"/>
      <c r="DM867" s="94"/>
      <c r="DN867" s="94"/>
      <c r="DO867" s="94"/>
      <c r="DP867" s="94"/>
      <c r="DQ867" s="94"/>
    </row>
    <row r="868" spans="1:121" ht="15" customHeight="1" outlineLevel="3" x14ac:dyDescent="0.3">
      <c r="A868" s="100"/>
      <c r="B868" s="100"/>
      <c r="C868" s="99">
        <v>4</v>
      </c>
      <c r="D868" s="98" t="s">
        <v>327</v>
      </c>
      <c r="H868" s="77" t="s">
        <v>311</v>
      </c>
      <c r="O868" s="94"/>
      <c r="Q868" s="97"/>
      <c r="R868" s="97"/>
      <c r="AB868" s="72">
        <v>1</v>
      </c>
      <c r="AE868" s="96"/>
      <c r="AF868" s="102"/>
      <c r="AG868" s="102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AW868" s="102"/>
      <c r="AX868" s="102"/>
      <c r="AY868" s="102"/>
      <c r="AZ868" s="102"/>
      <c r="BA868" s="102"/>
      <c r="BB868" s="102"/>
      <c r="BC868" s="102"/>
      <c r="BD868" s="102"/>
      <c r="BE868" s="102"/>
      <c r="BF868" s="102"/>
      <c r="BG868" s="102"/>
      <c r="BH868" s="102"/>
      <c r="BI868" s="102"/>
      <c r="BJ868" s="102"/>
      <c r="BK868" s="102"/>
      <c r="BL868" s="102"/>
      <c r="BM868" s="102"/>
      <c r="BN868" s="102"/>
      <c r="BO868" s="102"/>
      <c r="BP868" s="102"/>
      <c r="BQ868" s="102"/>
      <c r="BR868" s="102"/>
      <c r="BS868" s="102"/>
      <c r="BT868" s="102"/>
      <c r="BU868" s="102"/>
      <c r="BV868" s="102"/>
      <c r="BW868" s="102"/>
      <c r="BX868" s="102"/>
      <c r="BY868" s="94"/>
      <c r="BZ868" s="94" t="str">
        <f>"     " &amp; TEXT(AF868,"#0.00%") &amp; " " &amp; "Installation Lifter cable" &amp; " " &amp; IF(Q868="","",TEXT(Q868,"M/D-")) &amp; IF(R868="","",TEXT(R868,"M/D")) &amp; " "</f>
        <v xml:space="preserve">     0.00% Installation Lifter cable  </v>
      </c>
      <c r="CA868" s="94"/>
      <c r="CB868" s="94"/>
      <c r="CC868" s="94"/>
      <c r="CD868" s="94"/>
      <c r="CE868" s="94"/>
      <c r="CF868" s="94"/>
      <c r="CG868" s="94"/>
      <c r="CH868" s="94"/>
      <c r="CI868" s="94"/>
      <c r="CJ868" s="94"/>
      <c r="CK868" s="94"/>
      <c r="CL868" s="94"/>
      <c r="CM868" s="94"/>
      <c r="CN868" s="94"/>
      <c r="CO868" s="94"/>
      <c r="CP868" s="94"/>
      <c r="CQ868" s="94"/>
      <c r="CR868" s="94"/>
      <c r="CS868" s="94"/>
      <c r="CT868" s="94"/>
      <c r="CU868" s="94"/>
      <c r="CV868" s="94"/>
      <c r="CW868" s="94"/>
      <c r="CX868" s="94"/>
      <c r="CY868" s="94"/>
      <c r="CZ868" s="94"/>
      <c r="DA868" s="94"/>
      <c r="DB868" s="94"/>
      <c r="DC868" s="94"/>
      <c r="DD868" s="94"/>
      <c r="DE868" s="94"/>
      <c r="DF868" s="94"/>
      <c r="DG868" s="94"/>
      <c r="DH868" s="94"/>
      <c r="DI868" s="94"/>
      <c r="DJ868" s="94"/>
      <c r="DK868" s="94"/>
      <c r="DL868" s="94"/>
      <c r="DM868" s="94"/>
      <c r="DN868" s="94"/>
      <c r="DO868" s="94"/>
      <c r="DP868" s="94"/>
      <c r="DQ868" s="94"/>
    </row>
    <row r="869" spans="1:121" ht="15" customHeight="1" outlineLevel="3" x14ac:dyDescent="0.3">
      <c r="A869" s="100"/>
      <c r="B869" s="100"/>
      <c r="C869" s="99">
        <v>4</v>
      </c>
      <c r="D869" s="98" t="s">
        <v>326</v>
      </c>
      <c r="H869" s="77" t="s">
        <v>309</v>
      </c>
      <c r="O869" s="94"/>
      <c r="Q869" s="97"/>
      <c r="R869" s="97"/>
      <c r="AB869" s="72">
        <v>1</v>
      </c>
      <c r="AE869" s="96"/>
      <c r="AF869" s="102"/>
      <c r="AG869" s="102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AW869" s="102"/>
      <c r="AX869" s="102"/>
      <c r="AY869" s="102"/>
      <c r="AZ869" s="102"/>
      <c r="BA869" s="102"/>
      <c r="BB869" s="102"/>
      <c r="BC869" s="102"/>
      <c r="BD869" s="102"/>
      <c r="BE869" s="102"/>
      <c r="BF869" s="102"/>
      <c r="BG869" s="102"/>
      <c r="BH869" s="102"/>
      <c r="BI869" s="102"/>
      <c r="BJ869" s="102"/>
      <c r="BK869" s="102"/>
      <c r="BL869" s="102"/>
      <c r="BM869" s="102"/>
      <c r="BN869" s="102"/>
      <c r="BO869" s="102"/>
      <c r="BP869" s="102"/>
      <c r="BQ869" s="102"/>
      <c r="BR869" s="102"/>
      <c r="BS869" s="102"/>
      <c r="BT869" s="102"/>
      <c r="BU869" s="102"/>
      <c r="BV869" s="102"/>
      <c r="BW869" s="102"/>
      <c r="BX869" s="102"/>
      <c r="BY869" s="94"/>
      <c r="BZ869" s="94" t="str">
        <f>"     " &amp; TEXT(AF869,"#0.00%") &amp; " " &amp; "Installation Power moller cable" &amp; " " &amp; IF(Q869="","",TEXT(Q869,"M/D-")) &amp; IF(R869="","",TEXT(R869,"M/D")) &amp; " "</f>
        <v xml:space="preserve">     0.00% Installation Power moller cable  </v>
      </c>
      <c r="CA869" s="94"/>
      <c r="CB869" s="94"/>
      <c r="CC869" s="94"/>
      <c r="CD869" s="94"/>
      <c r="CE869" s="94"/>
      <c r="CF869" s="94"/>
      <c r="CG869" s="94"/>
      <c r="CH869" s="94"/>
      <c r="CI869" s="94"/>
      <c r="CJ869" s="94"/>
      <c r="CK869" s="94"/>
      <c r="CL869" s="94"/>
      <c r="CM869" s="94"/>
      <c r="CN869" s="94"/>
      <c r="CO869" s="94"/>
      <c r="CP869" s="94"/>
      <c r="CQ869" s="94"/>
      <c r="CR869" s="94"/>
      <c r="CS869" s="94"/>
      <c r="CT869" s="94"/>
      <c r="CU869" s="94"/>
      <c r="CV869" s="94"/>
      <c r="CW869" s="94"/>
      <c r="CX869" s="94"/>
      <c r="CY869" s="94"/>
      <c r="CZ869" s="94"/>
      <c r="DA869" s="94"/>
      <c r="DB869" s="94"/>
      <c r="DC869" s="94"/>
      <c r="DD869" s="94"/>
      <c r="DE869" s="94"/>
      <c r="DF869" s="94"/>
      <c r="DG869" s="94"/>
      <c r="DH869" s="94"/>
      <c r="DI869" s="94"/>
      <c r="DJ869" s="94"/>
      <c r="DK869" s="94"/>
      <c r="DL869" s="94"/>
      <c r="DM869" s="94"/>
      <c r="DN869" s="94"/>
      <c r="DO869" s="94"/>
      <c r="DP869" s="94"/>
      <c r="DQ869" s="94"/>
    </row>
    <row r="870" spans="1:121" ht="15" customHeight="1" outlineLevel="3" x14ac:dyDescent="0.3">
      <c r="A870" s="100"/>
      <c r="B870" s="100"/>
      <c r="C870" s="99">
        <v>4</v>
      </c>
      <c r="D870" s="98" t="s">
        <v>325</v>
      </c>
      <c r="H870" s="77" t="s">
        <v>307</v>
      </c>
      <c r="O870" s="94"/>
      <c r="Q870" s="97"/>
      <c r="R870" s="97"/>
      <c r="AB870" s="72">
        <v>1</v>
      </c>
      <c r="AE870" s="96"/>
      <c r="AF870" s="102"/>
      <c r="AG870" s="102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AW870" s="102"/>
      <c r="AX870" s="102"/>
      <c r="AY870" s="102"/>
      <c r="AZ870" s="102"/>
      <c r="BA870" s="102"/>
      <c r="BB870" s="102"/>
      <c r="BC870" s="102"/>
      <c r="BD870" s="102"/>
      <c r="BE870" s="102"/>
      <c r="BF870" s="102"/>
      <c r="BG870" s="102"/>
      <c r="BH870" s="102"/>
      <c r="BI870" s="102"/>
      <c r="BJ870" s="102"/>
      <c r="BK870" s="102"/>
      <c r="BL870" s="102"/>
      <c r="BM870" s="102"/>
      <c r="BN870" s="102"/>
      <c r="BO870" s="102"/>
      <c r="BP870" s="102"/>
      <c r="BQ870" s="102"/>
      <c r="BR870" s="102"/>
      <c r="BS870" s="102"/>
      <c r="BT870" s="102"/>
      <c r="BU870" s="102"/>
      <c r="BV870" s="102"/>
      <c r="BW870" s="102"/>
      <c r="BX870" s="102"/>
      <c r="BY870" s="94"/>
      <c r="BZ870" s="94" t="str">
        <f>"     " &amp; TEXT(AF870,"#0.00%") &amp; " " &amp; "Installation Lifter Light Curtain cable" &amp; " " &amp; IF(Q870="","",TEXT(Q870,"M/D-")) &amp; IF(R870="","",TEXT(R870,"M/D")) &amp; " "</f>
        <v xml:space="preserve">     0.00% Installation Lifter Light Curtain cable  </v>
      </c>
      <c r="CA870" s="94"/>
      <c r="CB870" s="94"/>
      <c r="CC870" s="94"/>
      <c r="CD870" s="94"/>
      <c r="CE870" s="94"/>
      <c r="CF870" s="94"/>
      <c r="CG870" s="94"/>
      <c r="CH870" s="94"/>
      <c r="CI870" s="94"/>
      <c r="CJ870" s="94"/>
      <c r="CK870" s="94"/>
      <c r="CL870" s="94"/>
      <c r="CM870" s="94"/>
      <c r="CN870" s="94"/>
      <c r="CO870" s="94"/>
      <c r="CP870" s="94"/>
      <c r="CQ870" s="94"/>
      <c r="CR870" s="94"/>
      <c r="CS870" s="94"/>
      <c r="CT870" s="94"/>
      <c r="CU870" s="94"/>
      <c r="CV870" s="94"/>
      <c r="CW870" s="94"/>
      <c r="CX870" s="94"/>
      <c r="CY870" s="94"/>
      <c r="CZ870" s="94"/>
      <c r="DA870" s="94"/>
      <c r="DB870" s="94"/>
      <c r="DC870" s="94"/>
      <c r="DD870" s="94"/>
      <c r="DE870" s="94"/>
      <c r="DF870" s="94"/>
      <c r="DG870" s="94"/>
      <c r="DH870" s="94"/>
      <c r="DI870" s="94"/>
      <c r="DJ870" s="94"/>
      <c r="DK870" s="94"/>
      <c r="DL870" s="94"/>
      <c r="DM870" s="94"/>
      <c r="DN870" s="94"/>
      <c r="DO870" s="94"/>
      <c r="DP870" s="94"/>
      <c r="DQ870" s="94"/>
    </row>
    <row r="871" spans="1:121" ht="15" customHeight="1" outlineLevel="3" x14ac:dyDescent="0.3">
      <c r="A871" s="100"/>
      <c r="B871" s="100"/>
      <c r="C871" s="99">
        <v>4</v>
      </c>
      <c r="D871" s="98" t="s">
        <v>324</v>
      </c>
      <c r="H871" s="77" t="s">
        <v>305</v>
      </c>
      <c r="O871" s="94"/>
      <c r="Q871" s="97"/>
      <c r="R871" s="97"/>
      <c r="AB871" s="72">
        <v>1</v>
      </c>
      <c r="AE871" s="96"/>
      <c r="AF871" s="102"/>
      <c r="AG871" s="102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AW871" s="102"/>
      <c r="AX871" s="102"/>
      <c r="AY871" s="102"/>
      <c r="AZ871" s="102"/>
      <c r="BA871" s="102"/>
      <c r="BB871" s="102"/>
      <c r="BC871" s="102"/>
      <c r="BD871" s="102"/>
      <c r="BE871" s="102"/>
      <c r="BF871" s="102"/>
      <c r="BG871" s="102"/>
      <c r="BH871" s="102"/>
      <c r="BI871" s="102"/>
      <c r="BJ871" s="102"/>
      <c r="BK871" s="102"/>
      <c r="BL871" s="102"/>
      <c r="BM871" s="102"/>
      <c r="BN871" s="102"/>
      <c r="BO871" s="102"/>
      <c r="BP871" s="102"/>
      <c r="BQ871" s="102"/>
      <c r="BR871" s="102"/>
      <c r="BS871" s="102"/>
      <c r="BT871" s="102"/>
      <c r="BU871" s="102"/>
      <c r="BV871" s="102"/>
      <c r="BW871" s="102"/>
      <c r="BX871" s="102"/>
      <c r="BY871" s="94"/>
      <c r="BZ871" s="94"/>
      <c r="CA871" s="94" t="str">
        <f>" " &amp; TEXT(AF871,"#0.00%") &amp; " " &amp; "Installation DP MG TT Cable" &amp; " " &amp; IF(Q871="","",TEXT(Q871,"M/D-")) &amp; IF(R871="","",TEXT(R871,"M/D")) &amp; " "</f>
        <v xml:space="preserve"> 0.00% Installation DP MG TT Cable  </v>
      </c>
      <c r="CB871" s="94"/>
      <c r="CC871" s="94"/>
      <c r="CD871" s="94"/>
      <c r="CE871" s="94"/>
      <c r="CF871" s="94"/>
      <c r="CG871" s="94"/>
      <c r="CH871" s="94"/>
      <c r="CI871" s="94"/>
      <c r="CJ871" s="94"/>
      <c r="CK871" s="94"/>
      <c r="CL871" s="94"/>
      <c r="CM871" s="94"/>
      <c r="CN871" s="94"/>
      <c r="CO871" s="94"/>
      <c r="CP871" s="94"/>
      <c r="CQ871" s="94"/>
      <c r="CR871" s="94"/>
      <c r="CS871" s="94"/>
      <c r="CT871" s="94"/>
      <c r="CU871" s="94"/>
      <c r="CV871" s="94"/>
      <c r="CW871" s="94"/>
      <c r="CX871" s="94"/>
      <c r="CY871" s="94"/>
      <c r="CZ871" s="94"/>
      <c r="DA871" s="94"/>
      <c r="DB871" s="94"/>
      <c r="DC871" s="94"/>
      <c r="DD871" s="94"/>
      <c r="DE871" s="94"/>
      <c r="DF871" s="94"/>
      <c r="DG871" s="94"/>
      <c r="DH871" s="94"/>
      <c r="DI871" s="94"/>
      <c r="DJ871" s="94"/>
      <c r="DK871" s="94"/>
      <c r="DL871" s="94"/>
      <c r="DM871" s="94"/>
      <c r="DN871" s="94"/>
      <c r="DO871" s="94"/>
      <c r="DP871" s="94"/>
      <c r="DQ871" s="94"/>
    </row>
    <row r="872" spans="1:121" ht="15" customHeight="1" outlineLevel="3" x14ac:dyDescent="0.3">
      <c r="A872" s="100"/>
      <c r="B872" s="100"/>
      <c r="C872" s="99">
        <v>4</v>
      </c>
      <c r="D872" s="98" t="s">
        <v>323</v>
      </c>
      <c r="H872" s="77" t="s">
        <v>303</v>
      </c>
      <c r="O872" s="94"/>
      <c r="Q872" s="97"/>
      <c r="R872" s="97"/>
      <c r="AB872" s="72">
        <v>1</v>
      </c>
      <c r="AE872" s="96"/>
      <c r="AF872" s="102"/>
      <c r="AG872" s="102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AW872" s="102"/>
      <c r="AX872" s="102"/>
      <c r="AY872" s="102"/>
      <c r="AZ872" s="102"/>
      <c r="BA872" s="102"/>
      <c r="BB872" s="102"/>
      <c r="BC872" s="102"/>
      <c r="BD872" s="102"/>
      <c r="BE872" s="102"/>
      <c r="BF872" s="102"/>
      <c r="BG872" s="102"/>
      <c r="BH872" s="102"/>
      <c r="BI872" s="102"/>
      <c r="BJ872" s="102"/>
      <c r="BK872" s="102"/>
      <c r="BL872" s="102"/>
      <c r="BM872" s="102"/>
      <c r="BN872" s="102"/>
      <c r="BO872" s="102"/>
      <c r="BP872" s="102"/>
      <c r="BQ872" s="102"/>
      <c r="BR872" s="102"/>
      <c r="BS872" s="102"/>
      <c r="BT872" s="102"/>
      <c r="BU872" s="102"/>
      <c r="BV872" s="102"/>
      <c r="BW872" s="102"/>
      <c r="BX872" s="102"/>
      <c r="BY872" s="94"/>
      <c r="BZ872" s="94"/>
      <c r="CA872" s="94" t="str">
        <f>"   " &amp; TEXT(AF872,"#0.00%") &amp; " " &amp; "Installation Panel Inside Cable " &amp; " " &amp; IF(Q872="","",TEXT(Q872,"M/D-")) &amp; IF(R872="","",TEXT(R872,"M/D")) &amp; " "</f>
        <v xml:space="preserve">   0.00% Installation Panel Inside Cable   </v>
      </c>
      <c r="CB872" s="94"/>
      <c r="CC872" s="94"/>
      <c r="CD872" s="94"/>
      <c r="CE872" s="94"/>
      <c r="CF872" s="94"/>
      <c r="CG872" s="94"/>
      <c r="CH872" s="94"/>
      <c r="CI872" s="94"/>
      <c r="CJ872" s="94"/>
      <c r="CK872" s="94"/>
      <c r="CL872" s="94"/>
      <c r="CM872" s="94"/>
      <c r="CN872" s="94"/>
      <c r="CO872" s="94"/>
      <c r="CP872" s="94"/>
      <c r="CQ872" s="94"/>
      <c r="CR872" s="94"/>
      <c r="CS872" s="94"/>
      <c r="CT872" s="94"/>
      <c r="CU872" s="94"/>
      <c r="CV872" s="94"/>
      <c r="CW872" s="94"/>
      <c r="CX872" s="94"/>
      <c r="CY872" s="94"/>
      <c r="CZ872" s="94"/>
      <c r="DA872" s="94"/>
      <c r="DB872" s="94"/>
      <c r="DC872" s="94"/>
      <c r="DD872" s="94"/>
      <c r="DE872" s="94"/>
      <c r="DF872" s="94"/>
      <c r="DG872" s="94"/>
      <c r="DH872" s="94"/>
      <c r="DI872" s="94"/>
      <c r="DJ872" s="94"/>
      <c r="DK872" s="94"/>
      <c r="DL872" s="94"/>
      <c r="DM872" s="94"/>
      <c r="DN872" s="94"/>
      <c r="DO872" s="94"/>
      <c r="DP872" s="94"/>
      <c r="DQ872" s="94"/>
    </row>
    <row r="873" spans="1:121" ht="15" customHeight="1" outlineLevel="3" x14ac:dyDescent="0.3">
      <c r="A873" s="100"/>
      <c r="B873" s="100"/>
      <c r="C873" s="99">
        <v>4</v>
      </c>
      <c r="D873" s="98" t="s">
        <v>322</v>
      </c>
      <c r="H873" s="77" t="s">
        <v>301</v>
      </c>
      <c r="O873" s="94"/>
      <c r="Q873" s="97"/>
      <c r="R873" s="97"/>
      <c r="AB873" s="72">
        <v>1</v>
      </c>
      <c r="AE873" s="96"/>
      <c r="AF873" s="102"/>
      <c r="AG873" s="102"/>
      <c r="AH873" s="102"/>
      <c r="AI873" s="102"/>
      <c r="AJ873" s="102"/>
      <c r="AK873" s="102"/>
      <c r="AL873" s="102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AW873" s="102"/>
      <c r="AX873" s="102"/>
      <c r="AY873" s="102"/>
      <c r="AZ873" s="102"/>
      <c r="BA873" s="102"/>
      <c r="BB873" s="102"/>
      <c r="BC873" s="102"/>
      <c r="BD873" s="102"/>
      <c r="BE873" s="102"/>
      <c r="BF873" s="102"/>
      <c r="BG873" s="102"/>
      <c r="BH873" s="102"/>
      <c r="BI873" s="102"/>
      <c r="BJ873" s="102"/>
      <c r="BK873" s="102"/>
      <c r="BL873" s="102"/>
      <c r="BM873" s="102"/>
      <c r="BN873" s="102"/>
      <c r="BO873" s="102"/>
      <c r="BP873" s="102"/>
      <c r="BQ873" s="102"/>
      <c r="BR873" s="102"/>
      <c r="BS873" s="102"/>
      <c r="BT873" s="102"/>
      <c r="BU873" s="102"/>
      <c r="BV873" s="102"/>
      <c r="BW873" s="102"/>
      <c r="BX873" s="102"/>
      <c r="BY873" s="94"/>
      <c r="BZ873" s="94"/>
      <c r="CA873" s="94"/>
      <c r="CB873" s="94" t="str">
        <f>"   " &amp; TEXT(AF873,"#0.00%") &amp; " " &amp; "Installation LED LAMP" &amp; " " &amp; IF(Q873="","",TEXT(Q873,"M/D-")) &amp; IF(R873="","",TEXT(R873,"M/D")) &amp; " "</f>
        <v xml:space="preserve">   0.00% Installation LED LAMP  </v>
      </c>
      <c r="CC873" s="94"/>
      <c r="CD873" s="94"/>
      <c r="CE873" s="94"/>
      <c r="CF873" s="94"/>
      <c r="CG873" s="94"/>
      <c r="CH873" s="94"/>
      <c r="CI873" s="94"/>
      <c r="CJ873" s="94"/>
      <c r="CK873" s="94"/>
      <c r="CL873" s="94"/>
      <c r="CM873" s="94"/>
      <c r="CN873" s="94"/>
      <c r="CO873" s="94"/>
      <c r="CP873" s="94"/>
      <c r="CQ873" s="94"/>
      <c r="CR873" s="94"/>
      <c r="CS873" s="94"/>
      <c r="CT873" s="94"/>
      <c r="CU873" s="94"/>
      <c r="CV873" s="94"/>
      <c r="CW873" s="94"/>
      <c r="CX873" s="94"/>
      <c r="CY873" s="94"/>
      <c r="CZ873" s="94"/>
      <c r="DA873" s="94"/>
      <c r="DB873" s="94"/>
      <c r="DC873" s="94"/>
      <c r="DD873" s="94"/>
      <c r="DE873" s="94"/>
      <c r="DF873" s="94"/>
      <c r="DG873" s="94"/>
      <c r="DH873" s="94"/>
      <c r="DI873" s="94"/>
      <c r="DJ873" s="94"/>
      <c r="DK873" s="94"/>
      <c r="DL873" s="94"/>
      <c r="DM873" s="94"/>
      <c r="DN873" s="94"/>
      <c r="DO873" s="94"/>
      <c r="DP873" s="94"/>
      <c r="DQ873" s="94"/>
    </row>
    <row r="874" spans="1:121" ht="15" customHeight="1" outlineLevel="2" x14ac:dyDescent="0.3">
      <c r="A874" s="100"/>
      <c r="B874" s="100" t="s">
        <v>298</v>
      </c>
      <c r="C874" s="99">
        <v>3</v>
      </c>
      <c r="D874" s="98" t="s">
        <v>321</v>
      </c>
      <c r="G874" s="77" t="s">
        <v>320</v>
      </c>
      <c r="O874" s="94" t="s">
        <v>319</v>
      </c>
      <c r="Q874" s="104"/>
      <c r="R874" s="104"/>
      <c r="AE874" s="96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94"/>
      <c r="BZ874" s="94"/>
      <c r="CA874" s="94"/>
      <c r="CB874" s="94"/>
      <c r="CC874" s="94"/>
      <c r="CD874" s="94"/>
      <c r="CE874" s="94"/>
      <c r="CF874" s="94"/>
      <c r="CG874" s="94"/>
      <c r="CH874" s="94"/>
      <c r="CI874" s="94" t="str">
        <f>"  " &amp; TEXT(AF874,"#0.00%") &amp; " "</f>
        <v xml:space="preserve">  0.00% </v>
      </c>
      <c r="CJ874" s="94"/>
      <c r="CK874" s="94"/>
      <c r="CL874" s="94" t="str">
        <f>"   " &amp; "2F Conveyor DGS back ※Back" &amp; " " &amp; IF(Q874="","",TEXT(Q874,"M/D-")) &amp; IF(R874="","",TEXT(R874,"M/D")) &amp; " "</f>
        <v xml:space="preserve">   2F Conveyor DGS back ※Back  </v>
      </c>
      <c r="CM874" s="94"/>
      <c r="CN874" s="94"/>
      <c r="CO874" s="94"/>
      <c r="CP874" s="94"/>
      <c r="CQ874" s="94"/>
      <c r="CR874" s="94"/>
      <c r="CS874" s="94"/>
      <c r="CT874" s="94"/>
      <c r="CU874" s="94"/>
      <c r="CV874" s="94"/>
      <c r="CW874" s="94"/>
      <c r="CX874" s="94"/>
      <c r="CY874" s="94"/>
      <c r="CZ874" s="94"/>
      <c r="DA874" s="94"/>
      <c r="DB874" s="94"/>
      <c r="DC874" s="94"/>
      <c r="DD874" s="94"/>
      <c r="DE874" s="94"/>
      <c r="DF874" s="94"/>
      <c r="DG874" s="94"/>
      <c r="DH874" s="94"/>
      <c r="DI874" s="94"/>
      <c r="DJ874" s="94"/>
      <c r="DK874" s="94"/>
      <c r="DL874" s="94"/>
      <c r="DM874" s="94"/>
      <c r="DN874" s="94"/>
      <c r="DO874" s="94"/>
      <c r="DP874" s="94"/>
      <c r="DQ874" s="94"/>
    </row>
    <row r="875" spans="1:121" ht="15" customHeight="1" outlineLevel="3" x14ac:dyDescent="0.3">
      <c r="A875" s="100"/>
      <c r="B875" s="100"/>
      <c r="C875" s="99">
        <v>4</v>
      </c>
      <c r="D875" s="98" t="s">
        <v>318</v>
      </c>
      <c r="H875" s="77" t="s">
        <v>317</v>
      </c>
      <c r="O875" s="94"/>
      <c r="Q875" s="97"/>
      <c r="R875" s="97"/>
      <c r="AB875" s="72">
        <v>1</v>
      </c>
      <c r="AE875" s="96"/>
      <c r="AF875" s="102"/>
      <c r="AG875" s="102"/>
      <c r="AH875" s="102"/>
      <c r="AI875" s="102"/>
      <c r="AJ875" s="102"/>
      <c r="AK875" s="102"/>
      <c r="AL875" s="102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AW875" s="102"/>
      <c r="AX875" s="102"/>
      <c r="AY875" s="102"/>
      <c r="AZ875" s="102"/>
      <c r="BA875" s="102"/>
      <c r="BB875" s="102"/>
      <c r="BC875" s="102"/>
      <c r="BD875" s="102"/>
      <c r="BE875" s="102"/>
      <c r="BF875" s="102"/>
      <c r="BG875" s="102"/>
      <c r="BH875" s="102"/>
      <c r="BI875" s="102"/>
      <c r="BJ875" s="102"/>
      <c r="BK875" s="102"/>
      <c r="BL875" s="102"/>
      <c r="BM875" s="102"/>
      <c r="BN875" s="102"/>
      <c r="BO875" s="102"/>
      <c r="BP875" s="102"/>
      <c r="BQ875" s="102"/>
      <c r="BR875" s="102"/>
      <c r="BS875" s="102"/>
      <c r="BT875" s="102"/>
      <c r="BU875" s="102"/>
      <c r="BV875" s="102"/>
      <c r="BW875" s="102"/>
      <c r="BX875" s="102"/>
      <c r="BY875" s="94"/>
      <c r="BZ875" s="94"/>
      <c r="CA875" s="94"/>
      <c r="CB875" s="94"/>
      <c r="CC875" s="94"/>
      <c r="CD875" s="94"/>
      <c r="CE875" s="94"/>
      <c r="CF875" s="94"/>
      <c r="CG875" s="94"/>
      <c r="CH875" s="94"/>
      <c r="CI875" s="94" t="str">
        <f>"  " &amp; TEXT(AF875,"#0.00%") &amp; " " &amp; "Panel Alignment and fixation" &amp; " " &amp; IF(Q875="","",TEXT(Q875,"M/D-")) &amp; IF(R875="","",TEXT(R875,"M/D")) &amp; " "</f>
        <v xml:space="preserve">  0.00% Panel Alignment and fixation  </v>
      </c>
      <c r="CJ875" s="94"/>
      <c r="CK875" s="94"/>
      <c r="CL875" s="94"/>
      <c r="CM875" s="94"/>
      <c r="CN875" s="94"/>
      <c r="CO875" s="94"/>
      <c r="CP875" s="94"/>
      <c r="CQ875" s="94"/>
      <c r="CR875" s="94"/>
      <c r="CS875" s="94"/>
      <c r="CT875" s="94"/>
      <c r="CU875" s="94"/>
      <c r="CV875" s="94"/>
      <c r="CW875" s="94"/>
      <c r="CX875" s="94"/>
      <c r="CY875" s="94"/>
      <c r="CZ875" s="94"/>
      <c r="DA875" s="94"/>
      <c r="DB875" s="94"/>
      <c r="DC875" s="94"/>
      <c r="DD875" s="94"/>
      <c r="DE875" s="94"/>
      <c r="DF875" s="94"/>
      <c r="DG875" s="94"/>
      <c r="DH875" s="94"/>
      <c r="DI875" s="94"/>
      <c r="DJ875" s="94"/>
      <c r="DK875" s="94"/>
      <c r="DL875" s="94"/>
      <c r="DM875" s="94"/>
      <c r="DN875" s="94"/>
      <c r="DO875" s="94"/>
      <c r="DP875" s="94"/>
      <c r="DQ875" s="94"/>
    </row>
    <row r="876" spans="1:121" ht="15" customHeight="1" outlineLevel="3" x14ac:dyDescent="0.3">
      <c r="A876" s="100"/>
      <c r="B876" s="100"/>
      <c r="C876" s="99">
        <v>4</v>
      </c>
      <c r="D876" s="98" t="s">
        <v>316</v>
      </c>
      <c r="H876" s="77" t="s">
        <v>315</v>
      </c>
      <c r="O876" s="94"/>
      <c r="Q876" s="97"/>
      <c r="R876" s="97"/>
      <c r="AB876" s="72">
        <v>1</v>
      </c>
      <c r="AE876" s="96"/>
      <c r="AF876" s="102"/>
      <c r="AG876" s="102"/>
      <c r="AH876" s="102"/>
      <c r="AI876" s="102"/>
      <c r="AJ876" s="102"/>
      <c r="AK876" s="102"/>
      <c r="AL876" s="102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AW876" s="102"/>
      <c r="AX876" s="102"/>
      <c r="AY876" s="102"/>
      <c r="AZ876" s="102"/>
      <c r="BA876" s="102"/>
      <c r="BB876" s="102"/>
      <c r="BC876" s="102"/>
      <c r="BD876" s="102"/>
      <c r="BE876" s="102"/>
      <c r="BF876" s="102"/>
      <c r="BG876" s="102"/>
      <c r="BH876" s="102"/>
      <c r="BI876" s="102"/>
      <c r="BJ876" s="102"/>
      <c r="BK876" s="102"/>
      <c r="BL876" s="102"/>
      <c r="BM876" s="102"/>
      <c r="BN876" s="102"/>
      <c r="BO876" s="102"/>
      <c r="BP876" s="102"/>
      <c r="BQ876" s="102"/>
      <c r="BR876" s="102"/>
      <c r="BS876" s="102"/>
      <c r="BT876" s="102"/>
      <c r="BU876" s="102"/>
      <c r="BV876" s="102"/>
      <c r="BW876" s="102"/>
      <c r="BX876" s="102"/>
      <c r="BY876" s="94"/>
      <c r="BZ876" s="94"/>
      <c r="CA876" s="94"/>
      <c r="CB876" s="94"/>
      <c r="CC876" s="94"/>
      <c r="CD876" s="94"/>
      <c r="CE876" s="94"/>
      <c r="CF876" s="94"/>
      <c r="CG876" s="94"/>
      <c r="CH876" s="94"/>
      <c r="CI876" s="94" t="str">
        <f>"  " &amp; TEXT(AF876,"#0.00%") &amp; " " &amp; "Door S/W SOP LCP positioning in alignment" &amp; " " &amp; IF(Q876="","",TEXT(Q876,"M/D-")) &amp; IF(R876="","",TEXT(R876,"M/D")) &amp; " "</f>
        <v xml:space="preserve">  0.00% Door S/W SOP LCP positioning in alignment  </v>
      </c>
      <c r="CJ876" s="94"/>
      <c r="CK876" s="94"/>
      <c r="CL876" s="94"/>
      <c r="CM876" s="94"/>
      <c r="CN876" s="94"/>
      <c r="CO876" s="94"/>
      <c r="CP876" s="94"/>
      <c r="CQ876" s="94"/>
      <c r="CR876" s="94"/>
      <c r="CS876" s="94"/>
      <c r="CT876" s="94"/>
      <c r="CU876" s="94"/>
      <c r="CV876" s="94"/>
      <c r="CW876" s="94"/>
      <c r="CX876" s="94"/>
      <c r="CY876" s="94"/>
      <c r="CZ876" s="94"/>
      <c r="DA876" s="94"/>
      <c r="DB876" s="94"/>
      <c r="DC876" s="94"/>
      <c r="DD876" s="94"/>
      <c r="DE876" s="94"/>
      <c r="DF876" s="94"/>
      <c r="DG876" s="94"/>
      <c r="DH876" s="94"/>
      <c r="DI876" s="94"/>
      <c r="DJ876" s="94"/>
      <c r="DK876" s="94"/>
      <c r="DL876" s="94"/>
      <c r="DM876" s="94"/>
      <c r="DN876" s="94"/>
      <c r="DO876" s="94"/>
      <c r="DP876" s="94"/>
      <c r="DQ876" s="94"/>
    </row>
    <row r="877" spans="1:121" ht="15" customHeight="1" outlineLevel="3" x14ac:dyDescent="0.3">
      <c r="A877" s="100"/>
      <c r="B877" s="100"/>
      <c r="C877" s="99">
        <v>4</v>
      </c>
      <c r="D877" s="98" t="s">
        <v>314</v>
      </c>
      <c r="H877" s="77" t="s">
        <v>313</v>
      </c>
      <c r="O877" s="94"/>
      <c r="Q877" s="97"/>
      <c r="R877" s="97"/>
      <c r="AB877" s="72">
        <v>1</v>
      </c>
      <c r="AE877" s="96"/>
      <c r="AF877" s="102"/>
      <c r="AG877" s="102"/>
      <c r="AH877" s="102"/>
      <c r="AI877" s="102"/>
      <c r="AJ877" s="102"/>
      <c r="AK877" s="102"/>
      <c r="AL877" s="102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AW877" s="102"/>
      <c r="AX877" s="102"/>
      <c r="AY877" s="102"/>
      <c r="AZ877" s="102"/>
      <c r="BA877" s="102"/>
      <c r="BB877" s="102"/>
      <c r="BC877" s="102"/>
      <c r="BD877" s="102"/>
      <c r="BE877" s="102"/>
      <c r="BF877" s="102"/>
      <c r="BG877" s="102"/>
      <c r="BH877" s="102"/>
      <c r="BI877" s="102"/>
      <c r="BJ877" s="102"/>
      <c r="BK877" s="102"/>
      <c r="BL877" s="102"/>
      <c r="BM877" s="102"/>
      <c r="BN877" s="102"/>
      <c r="BO877" s="102"/>
      <c r="BP877" s="102"/>
      <c r="BQ877" s="102"/>
      <c r="BR877" s="102"/>
      <c r="BS877" s="102"/>
      <c r="BT877" s="102"/>
      <c r="BU877" s="102"/>
      <c r="BV877" s="102"/>
      <c r="BW877" s="102"/>
      <c r="BX877" s="102"/>
      <c r="BY877" s="94"/>
      <c r="BZ877" s="94"/>
      <c r="CA877" s="94"/>
      <c r="CB877" s="94"/>
      <c r="CC877" s="94"/>
      <c r="CD877" s="94"/>
      <c r="CE877" s="94"/>
      <c r="CF877" s="94"/>
      <c r="CG877" s="94"/>
      <c r="CH877" s="94"/>
      <c r="CI877" s="94" t="str">
        <f>"   " &amp; TEXT(AF877,"#0.00%") &amp; " " &amp; "Install Duct" &amp; " " &amp; IF(Q877="","",TEXT(Q877,"M/D-")) &amp; IF(R877="","",TEXT(R877,"M/D")) &amp; " "</f>
        <v xml:space="preserve">   0.00% Install Duct  </v>
      </c>
      <c r="CJ877" s="94"/>
      <c r="CK877" s="94"/>
      <c r="CL877" s="94"/>
      <c r="CM877" s="94"/>
      <c r="CN877" s="94"/>
      <c r="CO877" s="94"/>
      <c r="CP877" s="94"/>
      <c r="CQ877" s="94"/>
      <c r="CR877" s="94"/>
      <c r="CS877" s="94"/>
      <c r="CT877" s="94"/>
      <c r="CU877" s="94"/>
      <c r="CV877" s="94"/>
      <c r="CW877" s="94"/>
      <c r="CX877" s="94"/>
      <c r="CY877" s="94"/>
      <c r="CZ877" s="94"/>
      <c r="DA877" s="94"/>
      <c r="DB877" s="94"/>
      <c r="DC877" s="94"/>
      <c r="DD877" s="94"/>
      <c r="DE877" s="94"/>
      <c r="DF877" s="94"/>
      <c r="DG877" s="94"/>
      <c r="DH877" s="94"/>
      <c r="DI877" s="94"/>
      <c r="DJ877" s="94"/>
      <c r="DK877" s="94"/>
      <c r="DL877" s="94"/>
      <c r="DM877" s="94"/>
      <c r="DN877" s="94"/>
      <c r="DO877" s="94"/>
      <c r="DP877" s="94"/>
      <c r="DQ877" s="94"/>
    </row>
    <row r="878" spans="1:121" ht="15" customHeight="1" outlineLevel="3" x14ac:dyDescent="0.3">
      <c r="A878" s="100"/>
      <c r="B878" s="100"/>
      <c r="C878" s="99">
        <v>4</v>
      </c>
      <c r="D878" s="98" t="s">
        <v>312</v>
      </c>
      <c r="H878" s="77" t="s">
        <v>311</v>
      </c>
      <c r="O878" s="94"/>
      <c r="Q878" s="97"/>
      <c r="R878" s="97"/>
      <c r="AB878" s="72">
        <v>1</v>
      </c>
      <c r="AE878" s="96"/>
      <c r="AF878" s="102"/>
      <c r="AG878" s="102"/>
      <c r="AH878" s="102"/>
      <c r="AI878" s="102"/>
      <c r="AJ878" s="102"/>
      <c r="AK878" s="102"/>
      <c r="AL878" s="102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AW878" s="102"/>
      <c r="AX878" s="102"/>
      <c r="AY878" s="102"/>
      <c r="AZ878" s="102"/>
      <c r="BA878" s="102"/>
      <c r="BB878" s="102"/>
      <c r="BC878" s="102"/>
      <c r="BD878" s="102"/>
      <c r="BE878" s="102"/>
      <c r="BF878" s="102"/>
      <c r="BG878" s="102"/>
      <c r="BH878" s="102"/>
      <c r="BI878" s="102"/>
      <c r="BJ878" s="102"/>
      <c r="BK878" s="102"/>
      <c r="BL878" s="102"/>
      <c r="BM878" s="102"/>
      <c r="BN878" s="102"/>
      <c r="BO878" s="102"/>
      <c r="BP878" s="102"/>
      <c r="BQ878" s="102"/>
      <c r="BR878" s="102"/>
      <c r="BS878" s="102"/>
      <c r="BT878" s="102"/>
      <c r="BU878" s="102"/>
      <c r="BV878" s="102"/>
      <c r="BW878" s="102"/>
      <c r="BX878" s="102"/>
      <c r="BY878" s="94"/>
      <c r="BZ878" s="94"/>
      <c r="CA878" s="94"/>
      <c r="CB878" s="94"/>
      <c r="CC878" s="94"/>
      <c r="CD878" s="94"/>
      <c r="CE878" s="94"/>
      <c r="CF878" s="94"/>
      <c r="CG878" s="94"/>
      <c r="CH878" s="94"/>
      <c r="CI878" s="94"/>
      <c r="CJ878" s="94" t="str">
        <f>"   " &amp; TEXT(AF878,"#0.00%") &amp; " " &amp; "Installation Lifter cable" &amp; " " &amp; IF(Q878="","",TEXT(Q878,"M/D-")) &amp; IF(R878="","",TEXT(R878,"M/D")) &amp; " "</f>
        <v xml:space="preserve">   0.00% Installation Lifter cable  </v>
      </c>
      <c r="CK878" s="94"/>
      <c r="CL878" s="94"/>
      <c r="CM878" s="94"/>
      <c r="CN878" s="94"/>
      <c r="CO878" s="94"/>
      <c r="CP878" s="94"/>
      <c r="CQ878" s="94"/>
      <c r="CR878" s="94"/>
      <c r="CS878" s="94"/>
      <c r="CT878" s="94"/>
      <c r="CU878" s="94"/>
      <c r="CV878" s="94"/>
      <c r="CW878" s="94"/>
      <c r="CX878" s="94"/>
      <c r="CY878" s="94"/>
      <c r="CZ878" s="94"/>
      <c r="DA878" s="94"/>
      <c r="DB878" s="94"/>
      <c r="DC878" s="94"/>
      <c r="DD878" s="94"/>
      <c r="DE878" s="94"/>
      <c r="DF878" s="94"/>
      <c r="DG878" s="94"/>
      <c r="DH878" s="94"/>
      <c r="DI878" s="94"/>
      <c r="DJ878" s="94"/>
      <c r="DK878" s="94"/>
      <c r="DL878" s="94"/>
      <c r="DM878" s="94"/>
      <c r="DN878" s="94"/>
      <c r="DO878" s="94"/>
      <c r="DP878" s="94"/>
      <c r="DQ878" s="94"/>
    </row>
    <row r="879" spans="1:121" ht="15" customHeight="1" outlineLevel="3" x14ac:dyDescent="0.3">
      <c r="A879" s="100"/>
      <c r="B879" s="100"/>
      <c r="C879" s="99">
        <v>4</v>
      </c>
      <c r="D879" s="98" t="s">
        <v>310</v>
      </c>
      <c r="H879" s="77" t="s">
        <v>309</v>
      </c>
      <c r="J879" s="94"/>
      <c r="O879" s="94"/>
      <c r="Q879" s="97"/>
      <c r="R879" s="97"/>
      <c r="AB879" s="72">
        <v>1</v>
      </c>
      <c r="AE879" s="96"/>
      <c r="AF879" s="102"/>
      <c r="AG879" s="102"/>
      <c r="AH879" s="102"/>
      <c r="AI879" s="102"/>
      <c r="AJ879" s="102"/>
      <c r="AK879" s="102"/>
      <c r="AL879" s="102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AW879" s="102"/>
      <c r="AX879" s="102"/>
      <c r="AY879" s="102"/>
      <c r="AZ879" s="102"/>
      <c r="BA879" s="102"/>
      <c r="BB879" s="102"/>
      <c r="BC879" s="102"/>
      <c r="BD879" s="102"/>
      <c r="BE879" s="102"/>
      <c r="BF879" s="102"/>
      <c r="BG879" s="102"/>
      <c r="BH879" s="102"/>
      <c r="BI879" s="102"/>
      <c r="BJ879" s="102"/>
      <c r="BK879" s="102"/>
      <c r="BL879" s="102"/>
      <c r="BM879" s="102"/>
      <c r="BN879" s="102"/>
      <c r="BO879" s="102"/>
      <c r="BP879" s="102"/>
      <c r="BQ879" s="102"/>
      <c r="BR879" s="102"/>
      <c r="BS879" s="102"/>
      <c r="BT879" s="102"/>
      <c r="BU879" s="102"/>
      <c r="BV879" s="102"/>
      <c r="BW879" s="102"/>
      <c r="BX879" s="102"/>
      <c r="BY879" s="94"/>
      <c r="BZ879" s="94"/>
      <c r="CA879" s="94"/>
      <c r="CB879" s="94"/>
      <c r="CC879" s="94"/>
      <c r="CD879" s="94"/>
      <c r="CE879" s="94"/>
      <c r="CF879" s="94"/>
      <c r="CG879" s="94"/>
      <c r="CH879" s="94"/>
      <c r="CI879" s="94"/>
      <c r="CJ879" s="94" t="str">
        <f>"   " &amp; TEXT(AF879,"#0.00%") &amp; " " &amp; "Installation Power moller cable" &amp; " " &amp; IF(Q879="","",TEXT(Q879,"M/D-")) &amp; IF(R879="","",TEXT(R879,"M/D")) &amp; " "</f>
        <v xml:space="preserve">   0.00% Installation Power moller cable  </v>
      </c>
      <c r="CK879" s="94"/>
      <c r="CL879" s="94"/>
      <c r="CM879" s="94"/>
      <c r="CN879" s="94"/>
      <c r="CO879" s="94"/>
      <c r="CP879" s="94"/>
      <c r="CQ879" s="94"/>
      <c r="CR879" s="94"/>
      <c r="CS879" s="94"/>
      <c r="CT879" s="94"/>
      <c r="CU879" s="94"/>
      <c r="CV879" s="94"/>
      <c r="CW879" s="94"/>
      <c r="CX879" s="94"/>
      <c r="CY879" s="94"/>
      <c r="CZ879" s="94"/>
      <c r="DA879" s="94"/>
      <c r="DB879" s="94"/>
      <c r="DC879" s="94"/>
      <c r="DD879" s="94"/>
      <c r="DE879" s="94"/>
      <c r="DF879" s="94"/>
      <c r="DG879" s="94"/>
      <c r="DH879" s="94"/>
      <c r="DI879" s="94"/>
      <c r="DJ879" s="94"/>
      <c r="DK879" s="94"/>
      <c r="DL879" s="94"/>
      <c r="DM879" s="94"/>
      <c r="DN879" s="94"/>
      <c r="DO879" s="94"/>
      <c r="DP879" s="94"/>
      <c r="DQ879" s="94"/>
    </row>
    <row r="880" spans="1:121" ht="15" customHeight="1" outlineLevel="3" x14ac:dyDescent="0.3">
      <c r="A880" s="100"/>
      <c r="B880" s="100"/>
      <c r="C880" s="99">
        <v>4</v>
      </c>
      <c r="D880" s="98" t="s">
        <v>308</v>
      </c>
      <c r="H880" s="77" t="s">
        <v>307</v>
      </c>
      <c r="O880" s="94"/>
      <c r="Q880" s="97"/>
      <c r="R880" s="97"/>
      <c r="AB880" s="72">
        <v>1</v>
      </c>
      <c r="AE880" s="96"/>
      <c r="AF880" s="102"/>
      <c r="AG880" s="102"/>
      <c r="AH880" s="102"/>
      <c r="AI880" s="102"/>
      <c r="AJ880" s="102"/>
      <c r="AK880" s="102"/>
      <c r="AL880" s="102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AW880" s="102"/>
      <c r="AX880" s="102"/>
      <c r="AY880" s="102"/>
      <c r="AZ880" s="102"/>
      <c r="BA880" s="102"/>
      <c r="BB880" s="102"/>
      <c r="BC880" s="102"/>
      <c r="BD880" s="102"/>
      <c r="BE880" s="102"/>
      <c r="BF880" s="102"/>
      <c r="BG880" s="102"/>
      <c r="BH880" s="102"/>
      <c r="BI880" s="102"/>
      <c r="BJ880" s="102"/>
      <c r="BK880" s="102"/>
      <c r="BL880" s="102"/>
      <c r="BM880" s="102"/>
      <c r="BN880" s="102"/>
      <c r="BO880" s="102"/>
      <c r="BP880" s="102"/>
      <c r="BQ880" s="102"/>
      <c r="BR880" s="102"/>
      <c r="BS880" s="102"/>
      <c r="BT880" s="102"/>
      <c r="BU880" s="102"/>
      <c r="BV880" s="102"/>
      <c r="BW880" s="102"/>
      <c r="BX880" s="102"/>
      <c r="BY880" s="94"/>
      <c r="BZ880" s="94"/>
      <c r="CA880" s="94"/>
      <c r="CB880" s="94"/>
      <c r="CC880" s="94"/>
      <c r="CD880" s="94"/>
      <c r="CE880" s="94"/>
      <c r="CF880" s="94"/>
      <c r="CG880" s="94"/>
      <c r="CH880" s="94"/>
      <c r="CI880" s="94"/>
      <c r="CJ880" s="94" t="str">
        <f>"   " &amp; TEXT(AF880,"#0.00%") &amp; " " &amp; "Installation Lifter Light Curtain cable" &amp; " " &amp; IF(Q880="","",TEXT(Q880,"M/D-")) &amp; IF(R880="","",TEXT(R880,"M/D")) &amp; " "</f>
        <v xml:space="preserve">   0.00% Installation Lifter Light Curtain cable  </v>
      </c>
      <c r="CK880" s="94"/>
      <c r="CL880" s="94"/>
      <c r="CM880" s="94"/>
      <c r="CN880" s="94"/>
      <c r="CO880" s="94"/>
      <c r="CP880" s="94"/>
      <c r="CQ880" s="94"/>
      <c r="CR880" s="94"/>
      <c r="CS880" s="94"/>
      <c r="CT880" s="94"/>
      <c r="CU880" s="94"/>
      <c r="CV880" s="94"/>
      <c r="CW880" s="94"/>
      <c r="CX880" s="94"/>
      <c r="CY880" s="94"/>
      <c r="CZ880" s="94"/>
      <c r="DA880" s="94"/>
      <c r="DB880" s="94"/>
      <c r="DC880" s="94"/>
      <c r="DD880" s="94"/>
      <c r="DE880" s="94"/>
      <c r="DF880" s="94"/>
      <c r="DG880" s="94"/>
      <c r="DH880" s="94"/>
      <c r="DI880" s="94"/>
      <c r="DJ880" s="94"/>
      <c r="DK880" s="94"/>
      <c r="DL880" s="94"/>
      <c r="DM880" s="94"/>
      <c r="DN880" s="94"/>
      <c r="DO880" s="94"/>
      <c r="DP880" s="94"/>
      <c r="DQ880" s="94"/>
    </row>
    <row r="881" spans="1:121" ht="15" customHeight="1" outlineLevel="3" x14ac:dyDescent="0.3">
      <c r="A881" s="100"/>
      <c r="B881" s="100"/>
      <c r="C881" s="99">
        <v>4</v>
      </c>
      <c r="D881" s="98" t="s">
        <v>306</v>
      </c>
      <c r="H881" s="77" t="s">
        <v>305</v>
      </c>
      <c r="O881" s="94"/>
      <c r="Q881" s="97"/>
      <c r="R881" s="97"/>
      <c r="AB881" s="72">
        <v>1</v>
      </c>
      <c r="AE881" s="96"/>
      <c r="AF881" s="102"/>
      <c r="AG881" s="102"/>
      <c r="AH881" s="102"/>
      <c r="AI881" s="102"/>
      <c r="AJ881" s="102"/>
      <c r="AK881" s="102"/>
      <c r="AL881" s="102"/>
      <c r="AM881" s="102"/>
      <c r="AN881" s="102"/>
      <c r="AO881" s="102"/>
      <c r="AP881" s="102"/>
      <c r="AQ881" s="102"/>
      <c r="AR881" s="102"/>
      <c r="AS881" s="102"/>
      <c r="AT881" s="102"/>
      <c r="AU881" s="102"/>
      <c r="AV881" s="102"/>
      <c r="AW881" s="102"/>
      <c r="AX881" s="102"/>
      <c r="AY881" s="102"/>
      <c r="AZ881" s="102"/>
      <c r="BA881" s="102"/>
      <c r="BB881" s="102"/>
      <c r="BC881" s="102"/>
      <c r="BD881" s="102"/>
      <c r="BE881" s="102"/>
      <c r="BF881" s="102"/>
      <c r="BG881" s="102"/>
      <c r="BH881" s="102"/>
      <c r="BI881" s="102"/>
      <c r="BJ881" s="102"/>
      <c r="BK881" s="102"/>
      <c r="BL881" s="102"/>
      <c r="BM881" s="102"/>
      <c r="BN881" s="102"/>
      <c r="BO881" s="102"/>
      <c r="BP881" s="102"/>
      <c r="BQ881" s="102"/>
      <c r="BR881" s="102"/>
      <c r="BS881" s="102"/>
      <c r="BT881" s="102"/>
      <c r="BU881" s="102"/>
      <c r="BV881" s="102"/>
      <c r="BW881" s="102"/>
      <c r="BX881" s="102"/>
      <c r="BY881" s="94"/>
      <c r="BZ881" s="94"/>
      <c r="CA881" s="94"/>
      <c r="CB881" s="94"/>
      <c r="CC881" s="94"/>
      <c r="CD881" s="94"/>
      <c r="CE881" s="94"/>
      <c r="CF881" s="94"/>
      <c r="CG881" s="94"/>
      <c r="CH881" s="94"/>
      <c r="CI881" s="94"/>
      <c r="CJ881" s="94" t="str">
        <f>"      " &amp; TEXT(AF881,"#0.00%") &amp; " " &amp; "Installation DP MG TT Cable" &amp; " " &amp; IF(Q881="","",TEXT(Q881,"M/D-")) &amp; IF(R881="","",TEXT(R881,"M/D")) &amp; " "</f>
        <v xml:space="preserve">      0.00% Installation DP MG TT Cable  </v>
      </c>
      <c r="CK881" s="94"/>
      <c r="CL881" s="94"/>
      <c r="CM881" s="94"/>
      <c r="CN881" s="94"/>
      <c r="CO881" s="94"/>
      <c r="CP881" s="94"/>
      <c r="CQ881" s="94"/>
      <c r="CR881" s="94"/>
      <c r="CS881" s="94"/>
      <c r="CT881" s="94"/>
      <c r="CU881" s="94"/>
      <c r="CV881" s="94"/>
      <c r="CW881" s="94"/>
      <c r="CX881" s="94"/>
      <c r="CY881" s="94"/>
      <c r="CZ881" s="94"/>
      <c r="DA881" s="94"/>
      <c r="DB881" s="94"/>
      <c r="DC881" s="94"/>
      <c r="DD881" s="94"/>
      <c r="DE881" s="94"/>
      <c r="DF881" s="94"/>
      <c r="DG881" s="94"/>
      <c r="DH881" s="94"/>
      <c r="DI881" s="94"/>
      <c r="DJ881" s="94"/>
      <c r="DK881" s="94"/>
      <c r="DL881" s="94"/>
      <c r="DM881" s="94"/>
      <c r="DN881" s="94"/>
      <c r="DO881" s="94"/>
      <c r="DP881" s="94"/>
      <c r="DQ881" s="94"/>
    </row>
    <row r="882" spans="1:121" ht="15" customHeight="1" outlineLevel="3" x14ac:dyDescent="0.3">
      <c r="A882" s="100"/>
      <c r="B882" s="100"/>
      <c r="C882" s="99">
        <v>4</v>
      </c>
      <c r="D882" s="98" t="s">
        <v>304</v>
      </c>
      <c r="H882" s="77" t="s">
        <v>303</v>
      </c>
      <c r="O882" s="94"/>
      <c r="Q882" s="97"/>
      <c r="R882" s="97"/>
      <c r="AB882" s="72">
        <v>1</v>
      </c>
      <c r="AE882" s="96"/>
      <c r="AF882" s="102"/>
      <c r="AG882" s="102"/>
      <c r="AH882" s="102"/>
      <c r="AI882" s="102"/>
      <c r="AJ882" s="102"/>
      <c r="AK882" s="102"/>
      <c r="AL882" s="102"/>
      <c r="AM882" s="102"/>
      <c r="AN882" s="102"/>
      <c r="AO882" s="102"/>
      <c r="AP882" s="102"/>
      <c r="AQ882" s="102"/>
      <c r="AR882" s="102"/>
      <c r="AS882" s="102"/>
      <c r="AT882" s="102"/>
      <c r="AU882" s="102"/>
      <c r="AV882" s="102"/>
      <c r="AW882" s="102"/>
      <c r="AX882" s="102"/>
      <c r="AY882" s="102"/>
      <c r="AZ882" s="102"/>
      <c r="BA882" s="102"/>
      <c r="BB882" s="102"/>
      <c r="BC882" s="102"/>
      <c r="BD882" s="102"/>
      <c r="BE882" s="102"/>
      <c r="BF882" s="102"/>
      <c r="BG882" s="102"/>
      <c r="BH882" s="102"/>
      <c r="BI882" s="102"/>
      <c r="BJ882" s="102"/>
      <c r="BK882" s="102"/>
      <c r="BL882" s="102"/>
      <c r="BM882" s="102"/>
      <c r="BN882" s="102"/>
      <c r="BO882" s="102"/>
      <c r="BP882" s="102"/>
      <c r="BQ882" s="102"/>
      <c r="BR882" s="102"/>
      <c r="BS882" s="102"/>
      <c r="BT882" s="102"/>
      <c r="BU882" s="102"/>
      <c r="BV882" s="102"/>
      <c r="BW882" s="102"/>
      <c r="BX882" s="102"/>
      <c r="BY882" s="94"/>
      <c r="BZ882" s="94"/>
      <c r="CA882" s="94"/>
      <c r="CB882" s="94"/>
      <c r="CC882" s="94"/>
      <c r="CD882" s="94"/>
      <c r="CE882" s="94"/>
      <c r="CF882" s="94"/>
      <c r="CG882" s="94"/>
      <c r="CH882" s="94"/>
      <c r="CI882" s="94"/>
      <c r="CJ882" s="94"/>
      <c r="CK882" s="94" t="str">
        <f>" " &amp; TEXT(AF882,"#0.00%") &amp; " " &amp; "Installation Panel Inside Cable " &amp; " " &amp; IF(Q882="","",TEXT(Q882,"M/D-")) &amp; IF(R882="","",TEXT(R882,"M/D")) &amp; " "</f>
        <v xml:space="preserve"> 0.00% Installation Panel Inside Cable   </v>
      </c>
      <c r="CL882" s="94"/>
      <c r="CM882" s="94"/>
      <c r="CN882" s="94"/>
      <c r="CO882" s="94"/>
      <c r="CP882" s="94"/>
      <c r="CQ882" s="94"/>
      <c r="CR882" s="94"/>
      <c r="CS882" s="94"/>
      <c r="CT882" s="94"/>
      <c r="CU882" s="94"/>
      <c r="CV882" s="94"/>
      <c r="CW882" s="94"/>
      <c r="CX882" s="94"/>
      <c r="CY882" s="94"/>
      <c r="CZ882" s="94"/>
      <c r="DA882" s="94"/>
      <c r="DB882" s="94"/>
      <c r="DC882" s="94"/>
      <c r="DD882" s="94"/>
      <c r="DE882" s="94"/>
      <c r="DF882" s="94"/>
      <c r="DG882" s="94"/>
      <c r="DH882" s="94"/>
      <c r="DI882" s="94"/>
      <c r="DJ882" s="94"/>
      <c r="DK882" s="94"/>
      <c r="DL882" s="94"/>
      <c r="DM882" s="94"/>
      <c r="DN882" s="94"/>
      <c r="DO882" s="94"/>
      <c r="DP882" s="94"/>
      <c r="DQ882" s="94"/>
    </row>
    <row r="883" spans="1:121" ht="15" customHeight="1" outlineLevel="3" x14ac:dyDescent="0.3">
      <c r="A883" s="100"/>
      <c r="B883" s="100"/>
      <c r="C883" s="99">
        <v>4</v>
      </c>
      <c r="D883" s="98" t="s">
        <v>302</v>
      </c>
      <c r="H883" s="77" t="s">
        <v>301</v>
      </c>
      <c r="O883" s="94"/>
      <c r="Q883" s="97"/>
      <c r="R883" s="97"/>
      <c r="AB883" s="72">
        <v>1</v>
      </c>
      <c r="AE883" s="96"/>
      <c r="AF883" s="102"/>
      <c r="AG883" s="102"/>
      <c r="AH883" s="102"/>
      <c r="AI883" s="102"/>
      <c r="AJ883" s="102"/>
      <c r="AK883" s="102"/>
      <c r="AL883" s="102"/>
      <c r="AM883" s="102"/>
      <c r="AN883" s="102"/>
      <c r="AO883" s="102"/>
      <c r="AP883" s="102"/>
      <c r="AQ883" s="102"/>
      <c r="AR883" s="102"/>
      <c r="AS883" s="102"/>
      <c r="AT883" s="102"/>
      <c r="AU883" s="102"/>
      <c r="AV883" s="102"/>
      <c r="AW883" s="102"/>
      <c r="AX883" s="102"/>
      <c r="AY883" s="102"/>
      <c r="AZ883" s="102"/>
      <c r="BA883" s="102"/>
      <c r="BB883" s="102"/>
      <c r="BC883" s="102"/>
      <c r="BD883" s="102"/>
      <c r="BE883" s="102"/>
      <c r="BF883" s="102"/>
      <c r="BG883" s="102"/>
      <c r="BH883" s="102"/>
      <c r="BI883" s="102"/>
      <c r="BJ883" s="102"/>
      <c r="BK883" s="102"/>
      <c r="BL883" s="102"/>
      <c r="BM883" s="102"/>
      <c r="BN883" s="102"/>
      <c r="BO883" s="102"/>
      <c r="BP883" s="102"/>
      <c r="BQ883" s="102"/>
      <c r="BR883" s="102"/>
      <c r="BS883" s="102"/>
      <c r="BT883" s="102"/>
      <c r="BU883" s="102"/>
      <c r="BV883" s="102"/>
      <c r="BW883" s="102"/>
      <c r="BX883" s="102"/>
      <c r="BY883" s="94"/>
      <c r="BZ883" s="94"/>
      <c r="CA883" s="94"/>
      <c r="CB883" s="94"/>
      <c r="CC883" s="94"/>
      <c r="CD883" s="94"/>
      <c r="CE883" s="94"/>
      <c r="CF883" s="94"/>
      <c r="CG883" s="94"/>
      <c r="CH883" s="94"/>
      <c r="CI883" s="94"/>
      <c r="CJ883" s="94"/>
      <c r="CK883" s="94"/>
      <c r="CL883" s="94" t="str">
        <f>"  " &amp; TEXT(AF883,"#0.00%") &amp; " " &amp; "Installation LED LAMP" &amp; " " &amp; IF(Q883="","",TEXT(Q883,"M/D-")) &amp; IF(R883="","",TEXT(R883,"M/D")) &amp; " "</f>
        <v xml:space="preserve">  0.00% Installation LED LAMP  </v>
      </c>
      <c r="CM883" s="94"/>
      <c r="CN883" s="94"/>
      <c r="CO883" s="94"/>
      <c r="CP883" s="94"/>
      <c r="CQ883" s="94"/>
      <c r="CR883" s="94"/>
      <c r="CS883" s="94"/>
      <c r="CT883" s="94"/>
      <c r="CU883" s="94"/>
      <c r="CV883" s="94"/>
      <c r="CW883" s="94"/>
      <c r="CX883" s="94"/>
      <c r="CY883" s="94"/>
      <c r="CZ883" s="94"/>
      <c r="DA883" s="94"/>
      <c r="DB883" s="94"/>
      <c r="DC883" s="94"/>
      <c r="DD883" s="94"/>
      <c r="DE883" s="94"/>
      <c r="DF883" s="94"/>
      <c r="DG883" s="94"/>
      <c r="DH883" s="94"/>
      <c r="DI883" s="94"/>
      <c r="DJ883" s="94"/>
      <c r="DK883" s="94"/>
      <c r="DL883" s="94"/>
      <c r="DM883" s="94"/>
      <c r="DN883" s="94"/>
      <c r="DO883" s="94"/>
      <c r="DP883" s="94"/>
      <c r="DQ883" s="94"/>
    </row>
    <row r="884" spans="1:121" ht="15" customHeight="1" x14ac:dyDescent="0.3">
      <c r="A884" s="100"/>
      <c r="B884" s="100" t="s">
        <v>298</v>
      </c>
      <c r="C884" s="99">
        <v>1</v>
      </c>
      <c r="D884" s="98" t="s">
        <v>300</v>
      </c>
      <c r="E884" s="77" t="s">
        <v>299</v>
      </c>
      <c r="Q884" s="97">
        <v>45383</v>
      </c>
      <c r="R884" s="97">
        <v>45565</v>
      </c>
      <c r="T884" s="72">
        <v>170</v>
      </c>
      <c r="U884" s="72">
        <v>0</v>
      </c>
      <c r="V884" s="72">
        <v>183</v>
      </c>
      <c r="W884" s="72">
        <v>0</v>
      </c>
      <c r="Z884" s="74">
        <v>0</v>
      </c>
      <c r="AA884" s="73">
        <v>0</v>
      </c>
      <c r="AE884" s="96">
        <v>0</v>
      </c>
      <c r="AF884" s="101">
        <v>0</v>
      </c>
      <c r="AG884" s="94"/>
      <c r="AH884" s="94"/>
      <c r="AI884" s="94"/>
      <c r="AJ884" s="94"/>
      <c r="AK884" s="94"/>
      <c r="AL884" s="94"/>
      <c r="AM884" s="94"/>
      <c r="AN884" s="94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  <c r="BY884" s="94"/>
      <c r="BZ884" s="94"/>
      <c r="CA884" s="94"/>
      <c r="CB884" s="94"/>
      <c r="CC884" s="94"/>
      <c r="CD884" s="94"/>
      <c r="CE884" s="94"/>
      <c r="CF884" s="94"/>
      <c r="CG884" s="94"/>
      <c r="CH884" s="94"/>
      <c r="CI884" s="94"/>
      <c r="CJ884" s="94"/>
      <c r="CK884" s="94"/>
      <c r="CL884" s="94"/>
      <c r="CM884" s="94"/>
      <c r="CN884" s="94"/>
      <c r="CO884" s="94"/>
      <c r="CP884" s="94" t="str">
        <f>" " &amp; TEXT(AF884,"#0.00%") &amp; " "</f>
        <v xml:space="preserve"> 0.00% </v>
      </c>
      <c r="CQ884" s="94"/>
      <c r="CR884" s="94"/>
      <c r="CS884" s="94"/>
      <c r="CT884" s="94"/>
      <c r="CU884" s="94"/>
      <c r="CV884" s="94"/>
      <c r="CW884" s="94"/>
      <c r="CX884" s="94"/>
      <c r="CY884" s="94"/>
      <c r="CZ884" s="94"/>
      <c r="DA884" s="94"/>
      <c r="DB884" s="94"/>
      <c r="DC884" s="94"/>
      <c r="DD884" s="94"/>
      <c r="DE884" s="94"/>
      <c r="DF884" s="94"/>
      <c r="DG884" s="94"/>
      <c r="DH884" s="94"/>
      <c r="DI884" s="94"/>
      <c r="DJ884" s="94"/>
      <c r="DK884" s="94"/>
      <c r="DL884" s="94"/>
      <c r="DM884" s="94"/>
      <c r="DN884" s="94"/>
      <c r="DO884" s="94"/>
      <c r="DP884" s="94" t="str">
        <f>"  " &amp; "연동Test" &amp; " " &amp; IF(Q884="","",TEXT(Q884,"M/D-")) &amp; IF(R884="","",TEXT(R884,"M/D")) &amp; " "</f>
        <v xml:space="preserve">  연동Test 4/1-9/30 </v>
      </c>
      <c r="DQ884" s="94"/>
    </row>
    <row r="885" spans="1:121" ht="15" customHeight="1" outlineLevel="1" x14ac:dyDescent="0.3">
      <c r="A885" s="100"/>
      <c r="B885" s="100" t="s">
        <v>298</v>
      </c>
      <c r="C885" s="99">
        <v>2</v>
      </c>
      <c r="D885" s="98" t="s">
        <v>297</v>
      </c>
      <c r="F885" s="77" t="s">
        <v>242</v>
      </c>
      <c r="Q885" s="97">
        <v>45383</v>
      </c>
      <c r="R885" s="97">
        <v>45565</v>
      </c>
      <c r="T885" s="72">
        <v>170</v>
      </c>
      <c r="U885" s="72">
        <v>0</v>
      </c>
      <c r="V885" s="72">
        <v>183</v>
      </c>
      <c r="W885" s="72">
        <v>0</v>
      </c>
      <c r="Z885" s="74">
        <v>0</v>
      </c>
      <c r="AA885" s="73">
        <v>0</v>
      </c>
      <c r="AE885" s="96">
        <v>0</v>
      </c>
      <c r="AF885" s="101">
        <v>0</v>
      </c>
      <c r="AG885" s="94"/>
      <c r="AH885" s="94"/>
      <c r="AI885" s="94"/>
      <c r="AJ885" s="94"/>
      <c r="AK885" s="94"/>
      <c r="AL885" s="94"/>
      <c r="AM885" s="94"/>
      <c r="AN885" s="94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  <c r="BY885" s="94"/>
      <c r="BZ885" s="94"/>
      <c r="CA885" s="94"/>
      <c r="CB885" s="94"/>
      <c r="CC885" s="94"/>
      <c r="CD885" s="94"/>
      <c r="CE885" s="94"/>
      <c r="CF885" s="94"/>
      <c r="CG885" s="94"/>
      <c r="CH885" s="94"/>
      <c r="CI885" s="94"/>
      <c r="CJ885" s="94"/>
      <c r="CK885" s="94"/>
      <c r="CL885" s="94"/>
      <c r="CM885" s="94"/>
      <c r="CN885" s="94"/>
      <c r="CO885" s="94"/>
      <c r="CP885" s="94" t="str">
        <f>" " &amp; TEXT(AF885,"#0.00%") &amp; " "</f>
        <v xml:space="preserve"> 0.00% </v>
      </c>
      <c r="CQ885" s="94"/>
      <c r="CR885" s="94"/>
      <c r="CS885" s="94"/>
      <c r="CT885" s="94"/>
      <c r="CU885" s="94"/>
      <c r="CV885" s="94"/>
      <c r="CW885" s="94"/>
      <c r="CX885" s="94"/>
      <c r="CY885" s="94"/>
      <c r="CZ885" s="94"/>
      <c r="DA885" s="94"/>
      <c r="DB885" s="94"/>
      <c r="DC885" s="94"/>
      <c r="DD885" s="94"/>
      <c r="DE885" s="94"/>
      <c r="DF885" s="94"/>
      <c r="DG885" s="94"/>
      <c r="DH885" s="94"/>
      <c r="DI885" s="94"/>
      <c r="DJ885" s="94"/>
      <c r="DK885" s="94"/>
      <c r="DL885" s="94"/>
      <c r="DM885" s="94"/>
      <c r="DN885" s="94"/>
      <c r="DO885" s="94"/>
      <c r="DP885" s="94" t="str">
        <f>"  " &amp; "BOSK TN" &amp; " " &amp; IF(Q885="","",TEXT(Q885,"M/D-")) &amp; IF(R885="","",TEXT(R885,"M/D")) &amp; " "</f>
        <v xml:space="preserve">  BOSK TN 4/1-9/30 </v>
      </c>
      <c r="DQ885" s="94"/>
    </row>
    <row r="886" spans="1:121" ht="15" customHeight="1" outlineLevel="2" x14ac:dyDescent="0.3">
      <c r="A886" s="100"/>
      <c r="B886" s="100"/>
      <c r="C886" s="99">
        <v>3</v>
      </c>
      <c r="D886" s="98" t="s">
        <v>296</v>
      </c>
      <c r="G886" s="77" t="s">
        <v>295</v>
      </c>
      <c r="Q886" s="97">
        <v>45383</v>
      </c>
      <c r="R886" s="97">
        <v>45443</v>
      </c>
      <c r="S886" s="71">
        <f>R886-Q886</f>
        <v>60</v>
      </c>
      <c r="T886" s="72">
        <v>61</v>
      </c>
      <c r="U886" s="72">
        <v>0</v>
      </c>
      <c r="V886" s="72">
        <v>61</v>
      </c>
      <c r="W886" s="72">
        <v>0</v>
      </c>
      <c r="AA886" s="73">
        <v>0</v>
      </c>
      <c r="AB886" s="72">
        <v>1</v>
      </c>
      <c r="AE886" s="96">
        <v>0</v>
      </c>
      <c r="AF886" s="95">
        <v>0</v>
      </c>
      <c r="AG886" s="94"/>
      <c r="AH886" s="94"/>
      <c r="AI886" s="94"/>
      <c r="AJ886" s="94"/>
      <c r="AK886" s="94"/>
      <c r="AL886" s="94"/>
      <c r="AM886" s="94"/>
      <c r="AN886" s="94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  <c r="BY886" s="94"/>
      <c r="BZ886" s="94"/>
      <c r="CA886" s="94"/>
      <c r="CB886" s="94"/>
      <c r="CC886" s="94"/>
      <c r="CD886" s="94"/>
      <c r="CE886" s="94"/>
      <c r="CF886" s="94"/>
      <c r="CG886" s="94"/>
      <c r="CH886" s="94"/>
      <c r="CI886" s="94"/>
      <c r="CJ886" s="94"/>
      <c r="CK886" s="94"/>
      <c r="CL886" s="94"/>
      <c r="CM886" s="94"/>
      <c r="CN886" s="94"/>
      <c r="CO886" s="94"/>
      <c r="CP886" s="94" t="str">
        <f>" " &amp; TEXT(AF886,"#0.00%") &amp; " "</f>
        <v xml:space="preserve"> 0.00% </v>
      </c>
      <c r="CQ886" s="94"/>
      <c r="CR886" s="94"/>
      <c r="CS886" s="94"/>
      <c r="CT886" s="94"/>
      <c r="CU886" s="94"/>
      <c r="CV886" s="94"/>
      <c r="CW886" s="94"/>
      <c r="CX886" s="94" t="str">
        <f>"      " &amp; "SW 현장설치" &amp; " " &amp; IF(Q886="","",TEXT(Q886,"M/D-")) &amp; IF(R886="","",TEXT(R886,"M/D")) &amp; " "</f>
        <v xml:space="preserve">      SW 현장설치 4/1-5/31 </v>
      </c>
      <c r="CY886" s="94"/>
      <c r="CZ886" s="94"/>
      <c r="DA886" s="94"/>
      <c r="DB886" s="94"/>
      <c r="DC886" s="94"/>
      <c r="DD886" s="94"/>
      <c r="DE886" s="94"/>
      <c r="DF886" s="94"/>
      <c r="DG886" s="94"/>
      <c r="DH886" s="94"/>
      <c r="DI886" s="94"/>
      <c r="DJ886" s="94"/>
      <c r="DK886" s="94"/>
      <c r="DL886" s="94"/>
      <c r="DM886" s="94"/>
      <c r="DN886" s="94"/>
      <c r="DO886" s="94"/>
      <c r="DP886" s="94"/>
      <c r="DQ886" s="94"/>
    </row>
    <row r="887" spans="1:121" ht="15" customHeight="1" outlineLevel="2" x14ac:dyDescent="0.3">
      <c r="A887" s="100"/>
      <c r="B887" s="100"/>
      <c r="C887" s="99">
        <v>3</v>
      </c>
      <c r="D887" s="98" t="s">
        <v>294</v>
      </c>
      <c r="G887" s="77" t="s">
        <v>293</v>
      </c>
      <c r="Q887" s="97">
        <v>45458</v>
      </c>
      <c r="R887" s="97">
        <v>45488</v>
      </c>
      <c r="S887" s="71">
        <f>R887-Q887</f>
        <v>30</v>
      </c>
      <c r="T887" s="72">
        <v>31</v>
      </c>
      <c r="U887" s="72">
        <v>0</v>
      </c>
      <c r="V887" s="72">
        <v>31</v>
      </c>
      <c r="W887" s="72">
        <v>0</v>
      </c>
      <c r="AA887" s="73">
        <v>0</v>
      </c>
      <c r="AB887" s="72">
        <v>1</v>
      </c>
      <c r="AE887" s="96">
        <v>0</v>
      </c>
      <c r="AF887" s="95">
        <v>0</v>
      </c>
      <c r="AG887" s="94"/>
      <c r="AH887" s="94"/>
      <c r="AI887" s="94"/>
      <c r="AJ887" s="94"/>
      <c r="AK887" s="94"/>
      <c r="AL887" s="94"/>
      <c r="AM887" s="94"/>
      <c r="AN887" s="94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  <c r="BY887" s="94"/>
      <c r="BZ887" s="94"/>
      <c r="CA887" s="94"/>
      <c r="CB887" s="94"/>
      <c r="CC887" s="94"/>
      <c r="CD887" s="94"/>
      <c r="CE887" s="94"/>
      <c r="CF887" s="94"/>
      <c r="CG887" s="94"/>
      <c r="CH887" s="94"/>
      <c r="CI887" s="94"/>
      <c r="CJ887" s="94"/>
      <c r="CK887" s="94"/>
      <c r="CL887" s="94"/>
      <c r="CM887" s="94"/>
      <c r="CN887" s="94"/>
      <c r="CO887" s="94"/>
      <c r="CP887" s="94"/>
      <c r="CQ887" s="94"/>
      <c r="CR887" s="94"/>
      <c r="CS887" s="94"/>
      <c r="CT887" s="94"/>
      <c r="CU887" s="94"/>
      <c r="CV887" s="94"/>
      <c r="CW887" s="94"/>
      <c r="CX887" s="94"/>
      <c r="CY887" s="94"/>
      <c r="CZ887" s="94" t="str">
        <f>"      " &amp; TEXT(AF887,"#0.00%") &amp; " "</f>
        <v xml:space="preserve">      0.00% </v>
      </c>
      <c r="DA887" s="94"/>
      <c r="DB887" s="94"/>
      <c r="DC887" s="94"/>
      <c r="DD887" s="94"/>
      <c r="DE887" s="94" t="str">
        <f>"  " &amp; "Interface Test" &amp; " " &amp; IF(Q887="","",TEXT(Q887,"M/D-")) &amp; IF(R887="","",TEXT(R887,"M/D")) &amp; " "</f>
        <v xml:space="preserve">  Interface Test 6/15-7/15 </v>
      </c>
      <c r="DF887" s="94"/>
      <c r="DG887" s="94"/>
      <c r="DH887" s="94"/>
      <c r="DI887" s="94"/>
      <c r="DJ887" s="94"/>
      <c r="DK887" s="94"/>
      <c r="DL887" s="94"/>
      <c r="DM887" s="94"/>
      <c r="DN887" s="94"/>
      <c r="DO887" s="94"/>
      <c r="DP887" s="94"/>
      <c r="DQ887" s="94"/>
    </row>
    <row r="888" spans="1:121" ht="15" customHeight="1" outlineLevel="2" x14ac:dyDescent="0.3">
      <c r="A888" s="100"/>
      <c r="B888" s="100"/>
      <c r="C888" s="99">
        <v>3</v>
      </c>
      <c r="D888" s="98" t="s">
        <v>292</v>
      </c>
      <c r="G888" s="77" t="s">
        <v>291</v>
      </c>
      <c r="Q888" s="97">
        <v>45488</v>
      </c>
      <c r="R888" s="97">
        <v>45565</v>
      </c>
      <c r="S888" s="71">
        <f>R888-Q888</f>
        <v>77</v>
      </c>
      <c r="T888" s="72">
        <v>78</v>
      </c>
      <c r="U888" s="72">
        <v>0</v>
      </c>
      <c r="V888" s="72">
        <v>78</v>
      </c>
      <c r="W888" s="72">
        <v>0</v>
      </c>
      <c r="AA888" s="73">
        <v>0</v>
      </c>
      <c r="AB888" s="72">
        <v>1</v>
      </c>
      <c r="AE888" s="96">
        <v>0</v>
      </c>
      <c r="AF888" s="95">
        <v>0</v>
      </c>
      <c r="AG888" s="94"/>
      <c r="AH888" s="94"/>
      <c r="AI888" s="94"/>
      <c r="AJ888" s="94"/>
      <c r="AK888" s="94"/>
      <c r="AL888" s="94"/>
      <c r="AM888" s="94"/>
      <c r="AN888" s="94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  <c r="BY888" s="94"/>
      <c r="BZ888" s="94"/>
      <c r="CA888" s="94"/>
      <c r="CB888" s="94"/>
      <c r="CC888" s="94"/>
      <c r="CD888" s="94"/>
      <c r="CE888" s="94"/>
      <c r="CF888" s="94"/>
      <c r="CG888" s="94"/>
      <c r="CH888" s="94"/>
      <c r="CI888" s="94"/>
      <c r="CJ888" s="94"/>
      <c r="CK888" s="94"/>
      <c r="CL888" s="94"/>
      <c r="CM888" s="94"/>
      <c r="CN888" s="94"/>
      <c r="CO888" s="94"/>
      <c r="CP888" s="94"/>
      <c r="CQ888" s="94"/>
      <c r="CR888" s="94"/>
      <c r="CS888" s="94"/>
      <c r="CT888" s="94"/>
      <c r="CU888" s="94"/>
      <c r="CV888" s="94"/>
      <c r="CW888" s="94"/>
      <c r="CX888" s="94"/>
      <c r="CY888" s="94"/>
      <c r="CZ888" s="94"/>
      <c r="DA888" s="94"/>
      <c r="DB888" s="94"/>
      <c r="DC888" s="94"/>
      <c r="DD888" s="94"/>
      <c r="DE888" s="94" t="str">
        <f>" " &amp; TEXT(AF888,"#0.00%") &amp; " "</f>
        <v xml:space="preserve"> 0.00% </v>
      </c>
      <c r="DF888" s="94"/>
      <c r="DG888" s="94"/>
      <c r="DH888" s="94"/>
      <c r="DI888" s="94"/>
      <c r="DJ888" s="94"/>
      <c r="DK888" s="94"/>
      <c r="DL888" s="94"/>
      <c r="DM888" s="94"/>
      <c r="DN888" s="94"/>
      <c r="DO888" s="94"/>
      <c r="DP888" s="94" t="str">
        <f>"  " &amp; "연동 Test 및 사용자운영교육" &amp; " " &amp; IF(Q888="","",TEXT(Q888,"M/D-")) &amp; IF(R888="","",TEXT(R888,"M/D")) &amp; " "</f>
        <v xml:space="preserve">  연동 Test 및 사용자운영교육 7/15-9/30 </v>
      </c>
      <c r="DQ888" s="94"/>
    </row>
    <row r="889" spans="1:121" ht="15" customHeight="1" x14ac:dyDescent="0.3">
      <c r="A889" s="93"/>
      <c r="B889" s="93"/>
      <c r="C889" s="93"/>
      <c r="D889" s="92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0"/>
      <c r="P889" s="90"/>
      <c r="Q889" s="89"/>
      <c r="R889" s="89"/>
      <c r="S889" s="85"/>
      <c r="T889" s="86"/>
      <c r="U889" s="86"/>
      <c r="V889" s="86"/>
      <c r="W889" s="86"/>
      <c r="X889" s="89"/>
      <c r="Y889" s="89"/>
      <c r="Z889" s="88"/>
      <c r="AA889" s="87"/>
      <c r="AB889" s="86"/>
      <c r="AC889" s="85"/>
      <c r="AD889" s="84"/>
      <c r="AE889" s="83"/>
      <c r="AF889" s="82"/>
      <c r="AG889" s="81"/>
      <c r="AH889" s="81"/>
      <c r="AI889" s="81"/>
      <c r="AJ889" s="81"/>
      <c r="AK889" s="81"/>
      <c r="AL889" s="81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1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1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1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1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1"/>
      <c r="DH889" s="81"/>
      <c r="DI889" s="81"/>
      <c r="DJ889" s="81"/>
      <c r="DK889" s="81"/>
      <c r="DL889" s="81"/>
      <c r="DM889" s="81"/>
      <c r="DN889" s="81"/>
      <c r="DO889" s="81"/>
      <c r="DP889" s="81"/>
      <c r="DQ889" s="81"/>
    </row>
    <row r="891" spans="1:121" ht="15" customHeight="1" x14ac:dyDescent="0.3"/>
    <row r="892" spans="1:121" ht="15" customHeight="1" x14ac:dyDescent="0.3">
      <c r="S892" s="80"/>
    </row>
    <row r="893" spans="1:121" ht="15" customHeight="1" x14ac:dyDescent="0.3">
      <c r="S893" s="80"/>
    </row>
    <row r="894" spans="1:121" ht="15" customHeight="1" x14ac:dyDescent="0.3">
      <c r="S894" s="80"/>
    </row>
  </sheetData>
  <mergeCells count="76">
    <mergeCell ref="BY303:CB303"/>
    <mergeCell ref="CC303:CF303"/>
    <mergeCell ref="CG303:CJ303"/>
    <mergeCell ref="CK303:CN303"/>
    <mergeCell ref="U3:U4"/>
    <mergeCell ref="T3:T4"/>
    <mergeCell ref="S3:S4"/>
    <mergeCell ref="R3:R4"/>
    <mergeCell ref="Q3:Q4"/>
    <mergeCell ref="CO303:CR303"/>
    <mergeCell ref="CS303:CV303"/>
    <mergeCell ref="CW303:CZ303"/>
    <mergeCell ref="DA303:DD303"/>
    <mergeCell ref="DE3:DH3"/>
    <mergeCell ref="DE303:DH303"/>
    <mergeCell ref="BU3:BX3"/>
    <mergeCell ref="BY3:CB3"/>
    <mergeCell ref="CC3:CF3"/>
    <mergeCell ref="DM3:DP3"/>
    <mergeCell ref="CG3:CJ3"/>
    <mergeCell ref="CK3:CN3"/>
    <mergeCell ref="CO3:CR3"/>
    <mergeCell ref="CS3:CV3"/>
    <mergeCell ref="CW3:CZ3"/>
    <mergeCell ref="DA3:DD3"/>
    <mergeCell ref="DI3:DL3"/>
    <mergeCell ref="BA3:BD3"/>
    <mergeCell ref="BE3:BH3"/>
    <mergeCell ref="BI3:BL3"/>
    <mergeCell ref="BM3:BP3"/>
    <mergeCell ref="BQ3:BT3"/>
    <mergeCell ref="AG3:AJ3"/>
    <mergeCell ref="AK3:AN3"/>
    <mergeCell ref="AO3:AR3"/>
    <mergeCell ref="AS3:AV3"/>
    <mergeCell ref="AW3:AZ3"/>
    <mergeCell ref="CW2:CZ2"/>
    <mergeCell ref="DA2:DD2"/>
    <mergeCell ref="DE2:DH2"/>
    <mergeCell ref="DI2:DL2"/>
    <mergeCell ref="DM2:DP2"/>
    <mergeCell ref="D2:F2"/>
    <mergeCell ref="AG2:AJ2"/>
    <mergeCell ref="AK2:AN2"/>
    <mergeCell ref="AO2:AR2"/>
    <mergeCell ref="O3:O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3:A4"/>
    <mergeCell ref="B3:B4"/>
    <mergeCell ref="C3:C4"/>
    <mergeCell ref="D3:D4"/>
    <mergeCell ref="E3:N4"/>
    <mergeCell ref="AS2:AV2"/>
    <mergeCell ref="AW2:AZ2"/>
    <mergeCell ref="CS2:CV2"/>
    <mergeCell ref="BA2:BD2"/>
    <mergeCell ref="BE2:BH2"/>
    <mergeCell ref="BI2:BL2"/>
    <mergeCell ref="BM2:BP2"/>
    <mergeCell ref="BQ2:BT2"/>
    <mergeCell ref="BU2:BX2"/>
    <mergeCell ref="BY2:CB2"/>
    <mergeCell ref="CC2:CF2"/>
    <mergeCell ref="CG2:CJ2"/>
    <mergeCell ref="CK2:CN2"/>
    <mergeCell ref="CO2:CR2"/>
  </mergeCells>
  <phoneticPr fontId="1" type="noConversion"/>
  <conditionalFormatting sqref="D884:AE888 D5:AE303">
    <cfRule type="expression" dxfId="4" priority="4">
      <formula>($AF5=1)</formula>
    </cfRule>
    <cfRule type="expression" dxfId="3" priority="5">
      <formula>($B5="G")</formula>
    </cfRule>
  </conditionalFormatting>
  <conditionalFormatting sqref="X304:Y883">
    <cfRule type="expression" dxfId="2" priority="1">
      <formula>($Q304&amp;$R304&lt;&gt;$X304&amp;$Y304)</formula>
    </cfRule>
  </conditionalFormatting>
  <conditionalFormatting sqref="D304:AE883">
    <cfRule type="expression" dxfId="1" priority="2">
      <formula>($AF304=1)</formula>
    </cfRule>
    <cfRule type="expression" dxfId="0" priority="3">
      <formula>($B304="G")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view="pageBreakPreview" zoomScale="85" zoomScaleNormal="70" zoomScaleSheetLayoutView="85" workbookViewId="0">
      <selection activeCell="V7" sqref="V7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315" t="s">
        <v>1485</v>
      </c>
      <c r="B1" s="316"/>
      <c r="C1" s="317"/>
      <c r="D1" s="318" t="s">
        <v>188</v>
      </c>
      <c r="E1" s="319"/>
      <c r="F1" s="319"/>
      <c r="G1" s="319"/>
      <c r="H1" s="319"/>
      <c r="I1" s="319"/>
      <c r="J1" s="319"/>
      <c r="K1" s="319"/>
      <c r="L1" s="319"/>
      <c r="M1" s="320"/>
      <c r="N1" s="290" t="s">
        <v>12</v>
      </c>
      <c r="O1" s="290"/>
      <c r="P1" s="290"/>
      <c r="Q1" s="51" t="s">
        <v>185</v>
      </c>
      <c r="R1" s="51" t="s">
        <v>123</v>
      </c>
      <c r="S1" s="51" t="s">
        <v>124</v>
      </c>
    </row>
    <row r="2" spans="1:21" ht="33" customHeight="1" x14ac:dyDescent="0.3">
      <c r="A2" s="315" t="s">
        <v>11</v>
      </c>
      <c r="B2" s="316"/>
      <c r="C2" s="317"/>
      <c r="D2" s="321"/>
      <c r="E2" s="322"/>
      <c r="F2" s="322"/>
      <c r="G2" s="322"/>
      <c r="H2" s="322"/>
      <c r="I2" s="322"/>
      <c r="J2" s="322"/>
      <c r="K2" s="322"/>
      <c r="L2" s="322"/>
      <c r="M2" s="323"/>
      <c r="N2" s="290" t="s">
        <v>1483</v>
      </c>
      <c r="O2" s="290"/>
      <c r="P2" s="290"/>
      <c r="Q2" s="50" t="s">
        <v>262</v>
      </c>
      <c r="R2" s="50" t="s">
        <v>263</v>
      </c>
      <c r="S2" s="50" t="s">
        <v>263</v>
      </c>
    </row>
    <row r="3" spans="1:21" ht="33" customHeight="1" x14ac:dyDescent="0.3">
      <c r="A3" s="324" t="s">
        <v>4</v>
      </c>
      <c r="B3" s="324" t="s">
        <v>16</v>
      </c>
      <c r="C3" s="290" t="s">
        <v>0</v>
      </c>
      <c r="D3" s="295" t="s">
        <v>173</v>
      </c>
      <c r="E3" s="295" t="s">
        <v>174</v>
      </c>
      <c r="F3" s="293" t="s">
        <v>190</v>
      </c>
      <c r="G3" s="294"/>
      <c r="H3" s="294"/>
      <c r="I3" s="295" t="s">
        <v>14</v>
      </c>
      <c r="J3" s="297" t="s">
        <v>8</v>
      </c>
      <c r="K3" s="297"/>
      <c r="L3" s="297"/>
      <c r="M3" s="298" t="s">
        <v>191</v>
      </c>
      <c r="N3" s="293" t="s">
        <v>10</v>
      </c>
      <c r="O3" s="294"/>
      <c r="P3" s="300"/>
      <c r="Q3" s="291" t="s">
        <v>2</v>
      </c>
      <c r="R3" s="290" t="s">
        <v>1</v>
      </c>
      <c r="S3" s="291" t="s">
        <v>13</v>
      </c>
    </row>
    <row r="4" spans="1:21" ht="33" customHeight="1" x14ac:dyDescent="0.3">
      <c r="A4" s="325"/>
      <c r="B4" s="325"/>
      <c r="C4" s="290"/>
      <c r="D4" s="326"/>
      <c r="E4" s="326"/>
      <c r="F4" s="53" t="s">
        <v>15</v>
      </c>
      <c r="G4" s="55" t="s">
        <v>7</v>
      </c>
      <c r="H4" s="52" t="s">
        <v>3</v>
      </c>
      <c r="I4" s="296"/>
      <c r="J4" s="54" t="s">
        <v>5</v>
      </c>
      <c r="K4" s="54" t="s">
        <v>6</v>
      </c>
      <c r="L4" s="54" t="s">
        <v>9</v>
      </c>
      <c r="M4" s="299"/>
      <c r="N4" s="53" t="s">
        <v>5</v>
      </c>
      <c r="O4" s="53" t="s">
        <v>6</v>
      </c>
      <c r="P4" s="53" t="s">
        <v>9</v>
      </c>
      <c r="Q4" s="292"/>
      <c r="R4" s="290"/>
      <c r="S4" s="292"/>
    </row>
    <row r="5" spans="1:21" ht="52.9" customHeight="1" x14ac:dyDescent="0.3">
      <c r="A5" s="41">
        <v>1</v>
      </c>
      <c r="B5" s="47" t="s">
        <v>17</v>
      </c>
      <c r="C5" s="45" t="s">
        <v>231</v>
      </c>
      <c r="D5" s="36" t="s">
        <v>238</v>
      </c>
      <c r="E5" s="36" t="s">
        <v>199</v>
      </c>
      <c r="F5" s="36">
        <v>1.1000000000000001</v>
      </c>
      <c r="G5" s="45" t="s">
        <v>200</v>
      </c>
      <c r="H5" s="46" t="s">
        <v>201</v>
      </c>
      <c r="I5" s="40" t="s">
        <v>202</v>
      </c>
      <c r="J5" s="36">
        <v>2</v>
      </c>
      <c r="K5" s="36">
        <v>2</v>
      </c>
      <c r="L5" s="36">
        <f t="shared" ref="L5:L14" si="0">J5*K5</f>
        <v>4</v>
      </c>
      <c r="M5" s="46" t="s">
        <v>203</v>
      </c>
      <c r="N5" s="36">
        <v>1</v>
      </c>
      <c r="O5" s="36">
        <v>1</v>
      </c>
      <c r="P5" s="36">
        <f t="shared" ref="P5:P14" si="1">N5*O5</f>
        <v>1</v>
      </c>
      <c r="Q5" s="49" t="s">
        <v>1482</v>
      </c>
      <c r="R5" s="44" t="s">
        <v>262</v>
      </c>
      <c r="S5" s="36"/>
      <c r="T5" s="56"/>
      <c r="U5" s="56"/>
    </row>
    <row r="6" spans="1:21" ht="52.9" customHeight="1" x14ac:dyDescent="0.3">
      <c r="A6" s="41">
        <v>2</v>
      </c>
      <c r="B6" s="57" t="s">
        <v>182</v>
      </c>
      <c r="C6" s="65" t="s">
        <v>232</v>
      </c>
      <c r="D6" s="36" t="s">
        <v>238</v>
      </c>
      <c r="E6" s="36" t="s">
        <v>199</v>
      </c>
      <c r="F6" s="36">
        <v>1.1000000000000001</v>
      </c>
      <c r="G6" s="46" t="s">
        <v>200</v>
      </c>
      <c r="H6" s="46" t="s">
        <v>1481</v>
      </c>
      <c r="I6" s="40" t="s">
        <v>202</v>
      </c>
      <c r="J6" s="36">
        <v>1</v>
      </c>
      <c r="K6" s="36">
        <v>2</v>
      </c>
      <c r="L6" s="36">
        <f t="shared" si="0"/>
        <v>2</v>
      </c>
      <c r="M6" s="46" t="s">
        <v>204</v>
      </c>
      <c r="N6" s="36">
        <v>1</v>
      </c>
      <c r="O6" s="36">
        <v>2</v>
      </c>
      <c r="P6" s="36">
        <f t="shared" si="1"/>
        <v>2</v>
      </c>
      <c r="Q6" s="49" t="s">
        <v>1482</v>
      </c>
      <c r="R6" s="44" t="s">
        <v>262</v>
      </c>
      <c r="S6" s="36"/>
      <c r="T6" s="56"/>
      <c r="U6" s="56"/>
    </row>
    <row r="7" spans="1:21" ht="52.9" customHeight="1" x14ac:dyDescent="0.3">
      <c r="A7" s="41">
        <v>5</v>
      </c>
      <c r="B7" s="57" t="s">
        <v>182</v>
      </c>
      <c r="C7" s="45" t="s">
        <v>1477</v>
      </c>
      <c r="D7" s="36" t="s">
        <v>1478</v>
      </c>
      <c r="E7" s="36" t="s">
        <v>1479</v>
      </c>
      <c r="F7" s="36">
        <v>1.3</v>
      </c>
      <c r="G7" s="46" t="s">
        <v>1480</v>
      </c>
      <c r="H7" s="46" t="s">
        <v>1484</v>
      </c>
      <c r="I7" s="40" t="s">
        <v>214</v>
      </c>
      <c r="J7" s="36">
        <v>1</v>
      </c>
      <c r="K7" s="36">
        <v>3</v>
      </c>
      <c r="L7" s="36">
        <v>3</v>
      </c>
      <c r="M7" s="46" t="s">
        <v>206</v>
      </c>
      <c r="N7" s="36">
        <v>1</v>
      </c>
      <c r="O7" s="36">
        <v>3</v>
      </c>
      <c r="P7" s="36">
        <v>3</v>
      </c>
      <c r="Q7" s="49" t="s">
        <v>1482</v>
      </c>
      <c r="R7" s="44" t="s">
        <v>262</v>
      </c>
      <c r="S7" s="36"/>
      <c r="T7" s="56"/>
      <c r="U7" s="56"/>
    </row>
    <row r="8" spans="1:21" ht="52.9" customHeight="1" x14ac:dyDescent="0.3">
      <c r="A8" s="41">
        <v>3</v>
      </c>
      <c r="B8" s="57" t="s">
        <v>182</v>
      </c>
      <c r="C8" s="45" t="s">
        <v>1472</v>
      </c>
      <c r="D8" s="36" t="s">
        <v>237</v>
      </c>
      <c r="E8" s="36" t="s">
        <v>199</v>
      </c>
      <c r="F8" s="36">
        <v>1.1000000000000001</v>
      </c>
      <c r="G8" s="46" t="s">
        <v>200</v>
      </c>
      <c r="H8" s="46" t="s">
        <v>1476</v>
      </c>
      <c r="I8" s="40" t="s">
        <v>205</v>
      </c>
      <c r="J8" s="36">
        <v>2</v>
      </c>
      <c r="K8" s="36">
        <v>2</v>
      </c>
      <c r="L8" s="36">
        <f t="shared" si="0"/>
        <v>4</v>
      </c>
      <c r="M8" s="46" t="s">
        <v>206</v>
      </c>
      <c r="N8" s="36">
        <v>2</v>
      </c>
      <c r="O8" s="36">
        <v>2</v>
      </c>
      <c r="P8" s="36">
        <f t="shared" si="1"/>
        <v>4</v>
      </c>
      <c r="Q8" s="49" t="s">
        <v>1482</v>
      </c>
      <c r="R8" s="44" t="s">
        <v>262</v>
      </c>
      <c r="S8" s="36"/>
      <c r="T8" s="56"/>
      <c r="U8" s="56"/>
    </row>
    <row r="9" spans="1:21" ht="52.5" customHeight="1" x14ac:dyDescent="0.3">
      <c r="A9" s="41">
        <v>4</v>
      </c>
      <c r="B9" s="57" t="s">
        <v>182</v>
      </c>
      <c r="C9" s="45" t="s">
        <v>1473</v>
      </c>
      <c r="D9" s="36" t="s">
        <v>236</v>
      </c>
      <c r="E9" s="36" t="s">
        <v>199</v>
      </c>
      <c r="F9" s="36">
        <v>1.1000000000000001</v>
      </c>
      <c r="G9" s="46" t="s">
        <v>200</v>
      </c>
      <c r="H9" s="46" t="s">
        <v>1476</v>
      </c>
      <c r="I9" s="40" t="s">
        <v>205</v>
      </c>
      <c r="J9" s="36">
        <v>2</v>
      </c>
      <c r="K9" s="36">
        <v>2</v>
      </c>
      <c r="L9" s="36">
        <f t="shared" si="0"/>
        <v>4</v>
      </c>
      <c r="M9" s="46" t="s">
        <v>207</v>
      </c>
      <c r="N9" s="36">
        <v>1</v>
      </c>
      <c r="O9" s="36">
        <v>2</v>
      </c>
      <c r="P9" s="36">
        <f t="shared" si="1"/>
        <v>2</v>
      </c>
      <c r="Q9" s="49" t="s">
        <v>1482</v>
      </c>
      <c r="R9" s="44" t="s">
        <v>262</v>
      </c>
      <c r="S9" s="36"/>
      <c r="T9" s="56"/>
      <c r="U9" s="56"/>
    </row>
    <row r="10" spans="1:21" ht="52.9" customHeight="1" x14ac:dyDescent="0.3">
      <c r="A10" s="41">
        <v>6</v>
      </c>
      <c r="B10" s="57" t="s">
        <v>183</v>
      </c>
      <c r="C10" s="45" t="s">
        <v>1474</v>
      </c>
      <c r="D10" s="36" t="s">
        <v>234</v>
      </c>
      <c r="E10" s="36" t="s">
        <v>199</v>
      </c>
      <c r="F10" s="36">
        <v>1.1000000000000001</v>
      </c>
      <c r="G10" s="45" t="s">
        <v>200</v>
      </c>
      <c r="H10" s="46" t="s">
        <v>208</v>
      </c>
      <c r="I10" s="40" t="s">
        <v>205</v>
      </c>
      <c r="J10" s="36">
        <v>2</v>
      </c>
      <c r="K10" s="36">
        <v>2</v>
      </c>
      <c r="L10" s="36">
        <f t="shared" si="0"/>
        <v>4</v>
      </c>
      <c r="M10" s="45" t="s">
        <v>209</v>
      </c>
      <c r="N10" s="36">
        <v>1</v>
      </c>
      <c r="O10" s="36">
        <v>1</v>
      </c>
      <c r="P10" s="36">
        <f t="shared" si="1"/>
        <v>1</v>
      </c>
      <c r="Q10" s="49" t="s">
        <v>1482</v>
      </c>
      <c r="R10" s="44" t="s">
        <v>262</v>
      </c>
      <c r="S10" s="36"/>
      <c r="T10" s="56"/>
      <c r="U10" s="56"/>
    </row>
    <row r="11" spans="1:21" ht="52.9" customHeight="1" x14ac:dyDescent="0.3">
      <c r="A11" s="41">
        <v>7</v>
      </c>
      <c r="B11" s="57" t="s">
        <v>183</v>
      </c>
      <c r="C11" s="45" t="s">
        <v>1475</v>
      </c>
      <c r="D11" s="36" t="s">
        <v>234</v>
      </c>
      <c r="E11" s="36" t="s">
        <v>199</v>
      </c>
      <c r="F11" s="41">
        <v>2.1</v>
      </c>
      <c r="G11" s="58" t="s">
        <v>210</v>
      </c>
      <c r="H11" s="59" t="s">
        <v>211</v>
      </c>
      <c r="I11" s="48" t="s">
        <v>202</v>
      </c>
      <c r="J11" s="41">
        <v>1</v>
      </c>
      <c r="K11" s="36">
        <v>2</v>
      </c>
      <c r="L11" s="36">
        <f t="shared" si="0"/>
        <v>2</v>
      </c>
      <c r="M11" s="45" t="s">
        <v>212</v>
      </c>
      <c r="N11" s="36">
        <v>1</v>
      </c>
      <c r="O11" s="36">
        <v>2</v>
      </c>
      <c r="P11" s="36">
        <f t="shared" si="1"/>
        <v>2</v>
      </c>
      <c r="Q11" s="49" t="s">
        <v>1482</v>
      </c>
      <c r="R11" s="44" t="s">
        <v>262</v>
      </c>
      <c r="S11" s="36"/>
      <c r="T11" s="56"/>
      <c r="U11" s="56"/>
    </row>
    <row r="12" spans="1:21" ht="52.9" customHeight="1" x14ac:dyDescent="0.3">
      <c r="A12" s="41">
        <v>8</v>
      </c>
      <c r="B12" s="57" t="s">
        <v>183</v>
      </c>
      <c r="C12" s="45" t="s">
        <v>213</v>
      </c>
      <c r="D12" s="36" t="s">
        <v>235</v>
      </c>
      <c r="E12" s="36" t="s">
        <v>199</v>
      </c>
      <c r="F12" s="36">
        <v>2.1</v>
      </c>
      <c r="G12" s="45" t="s">
        <v>210</v>
      </c>
      <c r="H12" s="46" t="s">
        <v>211</v>
      </c>
      <c r="I12" s="40" t="s">
        <v>214</v>
      </c>
      <c r="J12" s="36">
        <v>2</v>
      </c>
      <c r="K12" s="36">
        <v>2</v>
      </c>
      <c r="L12" s="36">
        <f t="shared" si="0"/>
        <v>4</v>
      </c>
      <c r="M12" s="45" t="s">
        <v>215</v>
      </c>
      <c r="N12" s="36">
        <v>1</v>
      </c>
      <c r="O12" s="36">
        <v>2</v>
      </c>
      <c r="P12" s="36">
        <f t="shared" si="1"/>
        <v>2</v>
      </c>
      <c r="Q12" s="49" t="s">
        <v>1482</v>
      </c>
      <c r="R12" s="44" t="s">
        <v>262</v>
      </c>
      <c r="S12" s="36"/>
      <c r="T12" s="56"/>
      <c r="U12" s="56"/>
    </row>
    <row r="13" spans="1:21" ht="52.9" customHeight="1" x14ac:dyDescent="0.3">
      <c r="A13" s="41">
        <v>9</v>
      </c>
      <c r="B13" s="57" t="s">
        <v>181</v>
      </c>
      <c r="C13" s="45" t="s">
        <v>216</v>
      </c>
      <c r="D13" s="36" t="s">
        <v>233</v>
      </c>
      <c r="E13" s="36" t="s">
        <v>199</v>
      </c>
      <c r="F13" s="36">
        <v>1.1000000000000001</v>
      </c>
      <c r="G13" s="46" t="s">
        <v>200</v>
      </c>
      <c r="H13" s="46" t="s">
        <v>217</v>
      </c>
      <c r="I13" s="40" t="s">
        <v>214</v>
      </c>
      <c r="J13" s="36">
        <v>2</v>
      </c>
      <c r="K13" s="36">
        <v>3</v>
      </c>
      <c r="L13" s="36">
        <f t="shared" si="0"/>
        <v>6</v>
      </c>
      <c r="M13" s="46" t="s">
        <v>218</v>
      </c>
      <c r="N13" s="36">
        <v>1</v>
      </c>
      <c r="O13" s="36">
        <v>2</v>
      </c>
      <c r="P13" s="36">
        <f t="shared" si="1"/>
        <v>2</v>
      </c>
      <c r="Q13" s="49" t="s">
        <v>1482</v>
      </c>
      <c r="R13" s="44" t="s">
        <v>262</v>
      </c>
      <c r="S13" s="36"/>
      <c r="T13" s="56"/>
      <c r="U13" s="56"/>
    </row>
    <row r="14" spans="1:21" ht="52.9" customHeight="1" x14ac:dyDescent="0.3">
      <c r="A14" s="41">
        <v>10</v>
      </c>
      <c r="B14" s="57" t="s">
        <v>181</v>
      </c>
      <c r="C14" s="45" t="s">
        <v>219</v>
      </c>
      <c r="D14" s="36" t="s">
        <v>234</v>
      </c>
      <c r="E14" s="36" t="s">
        <v>199</v>
      </c>
      <c r="F14" s="36">
        <v>1.4</v>
      </c>
      <c r="G14" s="45" t="s">
        <v>220</v>
      </c>
      <c r="H14" s="46" t="s">
        <v>221</v>
      </c>
      <c r="I14" s="40" t="s">
        <v>214</v>
      </c>
      <c r="J14" s="36">
        <v>2</v>
      </c>
      <c r="K14" s="36">
        <v>3</v>
      </c>
      <c r="L14" s="36">
        <f t="shared" si="0"/>
        <v>6</v>
      </c>
      <c r="M14" s="45" t="s">
        <v>222</v>
      </c>
      <c r="N14" s="36">
        <v>1</v>
      </c>
      <c r="O14" s="36">
        <v>2</v>
      </c>
      <c r="P14" s="36">
        <f t="shared" si="1"/>
        <v>2</v>
      </c>
      <c r="Q14" s="49" t="s">
        <v>1482</v>
      </c>
      <c r="R14" s="44" t="s">
        <v>262</v>
      </c>
      <c r="S14" s="36"/>
      <c r="T14" s="56"/>
      <c r="U14" s="56"/>
    </row>
    <row r="15" spans="1:21" ht="25.15" customHeight="1" x14ac:dyDescent="0.3">
      <c r="A15" s="301" t="s">
        <v>175</v>
      </c>
      <c r="B15" s="302"/>
      <c r="C15" s="303"/>
      <c r="D15" s="310" t="s">
        <v>176</v>
      </c>
      <c r="E15" s="311"/>
      <c r="F15" s="312"/>
      <c r="G15" s="313"/>
      <c r="H15" s="313"/>
      <c r="I15" s="313"/>
      <c r="J15" s="313"/>
      <c r="K15" s="313"/>
      <c r="L15" s="313"/>
      <c r="M15" s="314"/>
      <c r="N15" s="37" t="s">
        <v>177</v>
      </c>
      <c r="O15" s="38"/>
      <c r="P15" s="38"/>
      <c r="Q15" s="38"/>
      <c r="R15" s="38"/>
      <c r="S15" s="39"/>
    </row>
    <row r="16" spans="1:21" ht="25.15" customHeight="1" x14ac:dyDescent="0.3">
      <c r="A16" s="304"/>
      <c r="B16" s="305"/>
      <c r="C16" s="306"/>
      <c r="D16" s="310" t="s">
        <v>178</v>
      </c>
      <c r="E16" s="311"/>
      <c r="F16" s="312"/>
      <c r="G16" s="313"/>
      <c r="H16" s="313"/>
      <c r="I16" s="313"/>
      <c r="J16" s="313"/>
      <c r="K16" s="313"/>
      <c r="L16" s="313"/>
      <c r="M16" s="314"/>
      <c r="N16" s="37" t="s">
        <v>177</v>
      </c>
      <c r="O16" s="38"/>
      <c r="P16" s="38"/>
      <c r="Q16" s="38"/>
      <c r="R16" s="38"/>
      <c r="S16" s="39"/>
    </row>
    <row r="17" spans="1:19" ht="25.15" customHeight="1" x14ac:dyDescent="0.3">
      <c r="A17" s="304"/>
      <c r="B17" s="305"/>
      <c r="C17" s="306"/>
      <c r="D17" s="310" t="s">
        <v>128</v>
      </c>
      <c r="E17" s="311"/>
      <c r="F17" s="312"/>
      <c r="G17" s="313"/>
      <c r="H17" s="313"/>
      <c r="I17" s="313"/>
      <c r="J17" s="313"/>
      <c r="K17" s="313"/>
      <c r="L17" s="313"/>
      <c r="M17" s="314"/>
      <c r="N17" s="37" t="s">
        <v>177</v>
      </c>
      <c r="O17" s="38"/>
      <c r="P17" s="38"/>
      <c r="Q17" s="38"/>
      <c r="R17" s="38"/>
      <c r="S17" s="39"/>
    </row>
    <row r="18" spans="1:19" ht="25.15" customHeight="1" x14ac:dyDescent="0.3">
      <c r="A18" s="304"/>
      <c r="B18" s="305"/>
      <c r="C18" s="306"/>
      <c r="D18" s="310" t="s">
        <v>179</v>
      </c>
      <c r="E18" s="311"/>
      <c r="F18" s="312"/>
      <c r="G18" s="313"/>
      <c r="H18" s="313"/>
      <c r="I18" s="313"/>
      <c r="J18" s="313"/>
      <c r="K18" s="313"/>
      <c r="L18" s="313"/>
      <c r="M18" s="314"/>
      <c r="N18" s="37" t="s">
        <v>177</v>
      </c>
      <c r="O18" s="38"/>
      <c r="P18" s="38"/>
      <c r="Q18" s="38"/>
      <c r="R18" s="38"/>
      <c r="S18" s="39"/>
    </row>
    <row r="19" spans="1:19" ht="25.15" customHeight="1" x14ac:dyDescent="0.3">
      <c r="A19" s="307"/>
      <c r="B19" s="308"/>
      <c r="C19" s="309"/>
      <c r="D19" s="310" t="s">
        <v>180</v>
      </c>
      <c r="E19" s="311"/>
      <c r="F19" s="312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4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D19:E19"/>
    <mergeCell ref="F19:S19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1">
    <dataValidation type="list" allowBlank="1" showInputMessage="1" showErrorMessage="1" sqref="B5:B1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25" zoomScale="80" zoomScaleNormal="80" workbookViewId="0">
      <selection activeCell="D6" sqref="D6:H6"/>
    </sheetView>
  </sheetViews>
  <sheetFormatPr defaultRowHeight="16.5" x14ac:dyDescent="0.3"/>
  <cols>
    <col min="1" max="1" width="3.25" customWidth="1"/>
  </cols>
  <sheetData>
    <row r="1" spans="2:18" ht="26.25" x14ac:dyDescent="0.3">
      <c r="B1" s="327" t="s">
        <v>43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2:18" ht="21" thickBot="1" x14ac:dyDescent="0.35">
      <c r="B2" s="328" t="s">
        <v>68</v>
      </c>
      <c r="C2" s="328"/>
      <c r="D2" s="328"/>
      <c r="E2" s="328"/>
      <c r="F2" s="328"/>
      <c r="G2" s="328"/>
      <c r="H2" s="328"/>
      <c r="J2" s="328" t="s">
        <v>69</v>
      </c>
      <c r="K2" s="328"/>
      <c r="L2" s="328"/>
      <c r="M2" s="328"/>
      <c r="N2" s="328"/>
      <c r="O2" s="328"/>
      <c r="P2" s="328"/>
      <c r="Q2" s="328"/>
      <c r="R2" s="328"/>
    </row>
    <row r="3" spans="2:18" ht="27" customHeight="1" thickBot="1" x14ac:dyDescent="0.35">
      <c r="B3" s="11" t="s">
        <v>44</v>
      </c>
      <c r="C3" s="12" t="s">
        <v>46</v>
      </c>
      <c r="D3" s="348" t="s">
        <v>47</v>
      </c>
      <c r="E3" s="348"/>
      <c r="F3" s="348"/>
      <c r="G3" s="348"/>
      <c r="H3" s="349"/>
      <c r="J3" s="11" t="s">
        <v>44</v>
      </c>
      <c r="K3" s="12" t="s">
        <v>46</v>
      </c>
      <c r="L3" s="348" t="s">
        <v>47</v>
      </c>
      <c r="M3" s="348"/>
      <c r="N3" s="348"/>
      <c r="O3" s="12" t="s">
        <v>46</v>
      </c>
      <c r="P3" s="348" t="s">
        <v>47</v>
      </c>
      <c r="Q3" s="348"/>
      <c r="R3" s="349"/>
    </row>
    <row r="4" spans="2:18" ht="17.25" thickTop="1" x14ac:dyDescent="0.3">
      <c r="B4" s="373" t="s">
        <v>45</v>
      </c>
      <c r="C4" s="13">
        <v>1.1000000000000001</v>
      </c>
      <c r="D4" s="342" t="s">
        <v>51</v>
      </c>
      <c r="E4" s="342"/>
      <c r="F4" s="342"/>
      <c r="G4" s="342"/>
      <c r="H4" s="343"/>
      <c r="J4" s="372" t="s">
        <v>70</v>
      </c>
      <c r="K4" s="13">
        <v>5.0999999999999996</v>
      </c>
      <c r="L4" s="342" t="s">
        <v>74</v>
      </c>
      <c r="M4" s="342"/>
      <c r="N4" s="342"/>
      <c r="O4" s="13">
        <v>5.7</v>
      </c>
      <c r="P4" s="342" t="s">
        <v>90</v>
      </c>
      <c r="Q4" s="342"/>
      <c r="R4" s="343"/>
    </row>
    <row r="5" spans="2:18" x14ac:dyDescent="0.3">
      <c r="B5" s="368"/>
      <c r="C5" s="8">
        <v>1.2</v>
      </c>
      <c r="D5" s="197" t="s">
        <v>52</v>
      </c>
      <c r="E5" s="197"/>
      <c r="F5" s="197"/>
      <c r="G5" s="197"/>
      <c r="H5" s="344"/>
      <c r="J5" s="368"/>
      <c r="K5" s="8">
        <v>5.2</v>
      </c>
      <c r="L5" s="197" t="s">
        <v>75</v>
      </c>
      <c r="M5" s="197"/>
      <c r="N5" s="197"/>
      <c r="O5" s="8">
        <v>5.8</v>
      </c>
      <c r="P5" s="197" t="s">
        <v>91</v>
      </c>
      <c r="Q5" s="197"/>
      <c r="R5" s="344"/>
    </row>
    <row r="6" spans="2:18" x14ac:dyDescent="0.3">
      <c r="B6" s="368"/>
      <c r="C6" s="8">
        <v>1.3</v>
      </c>
      <c r="D6" s="332" t="s">
        <v>53</v>
      </c>
      <c r="E6" s="332"/>
      <c r="F6" s="332"/>
      <c r="G6" s="332"/>
      <c r="H6" s="333"/>
      <c r="J6" s="368"/>
      <c r="K6" s="8">
        <v>5.3</v>
      </c>
      <c r="L6" s="332" t="s">
        <v>76</v>
      </c>
      <c r="M6" s="332"/>
      <c r="N6" s="332"/>
      <c r="O6" s="8">
        <v>5.9</v>
      </c>
      <c r="P6" s="332" t="s">
        <v>92</v>
      </c>
      <c r="Q6" s="332"/>
      <c r="R6" s="333"/>
    </row>
    <row r="7" spans="2:18" x14ac:dyDescent="0.3">
      <c r="B7" s="368"/>
      <c r="C7" s="8">
        <v>1.4</v>
      </c>
      <c r="D7" s="332" t="s">
        <v>54</v>
      </c>
      <c r="E7" s="332"/>
      <c r="F7" s="332"/>
      <c r="G7" s="332"/>
      <c r="H7" s="333"/>
      <c r="J7" s="368"/>
      <c r="K7" s="8">
        <v>5.4</v>
      </c>
      <c r="L7" s="332" t="s">
        <v>77</v>
      </c>
      <c r="M7" s="332"/>
      <c r="N7" s="332"/>
      <c r="O7" s="8"/>
      <c r="P7" s="332"/>
      <c r="Q7" s="332"/>
      <c r="R7" s="333"/>
    </row>
    <row r="8" spans="2:18" x14ac:dyDescent="0.3">
      <c r="B8" s="368"/>
      <c r="C8" s="8">
        <v>1.5</v>
      </c>
      <c r="D8" s="332" t="s">
        <v>55</v>
      </c>
      <c r="E8" s="332"/>
      <c r="F8" s="332"/>
      <c r="G8" s="332"/>
      <c r="H8" s="333"/>
      <c r="J8" s="368"/>
      <c r="K8" s="8">
        <v>5.5</v>
      </c>
      <c r="L8" s="332" t="s">
        <v>78</v>
      </c>
      <c r="M8" s="332"/>
      <c r="N8" s="332"/>
      <c r="O8" s="8"/>
      <c r="P8" s="332"/>
      <c r="Q8" s="332"/>
      <c r="R8" s="333"/>
    </row>
    <row r="9" spans="2:18" ht="17.25" thickBot="1" x14ac:dyDescent="0.35">
      <c r="B9" s="369"/>
      <c r="C9" s="9">
        <v>1.6</v>
      </c>
      <c r="D9" s="334" t="s">
        <v>56</v>
      </c>
      <c r="E9" s="334"/>
      <c r="F9" s="334"/>
      <c r="G9" s="334"/>
      <c r="H9" s="335"/>
      <c r="J9" s="369"/>
      <c r="K9" s="9">
        <v>5.6</v>
      </c>
      <c r="L9" s="334" t="s">
        <v>79</v>
      </c>
      <c r="M9" s="334"/>
      <c r="N9" s="334"/>
      <c r="O9" s="9"/>
      <c r="P9" s="334"/>
      <c r="Q9" s="334"/>
      <c r="R9" s="335"/>
    </row>
    <row r="10" spans="2:18" x14ac:dyDescent="0.3">
      <c r="B10" s="367" t="s">
        <v>48</v>
      </c>
      <c r="C10" s="10">
        <v>2.1</v>
      </c>
      <c r="D10" s="340" t="s">
        <v>57</v>
      </c>
      <c r="E10" s="340"/>
      <c r="F10" s="340"/>
      <c r="G10" s="340"/>
      <c r="H10" s="341"/>
      <c r="J10" s="371" t="s">
        <v>71</v>
      </c>
      <c r="K10" s="14">
        <v>6.1</v>
      </c>
      <c r="L10" s="336" t="s">
        <v>80</v>
      </c>
      <c r="M10" s="336"/>
      <c r="N10" s="336"/>
      <c r="O10" s="14">
        <v>6.5</v>
      </c>
      <c r="P10" s="336" t="s">
        <v>93</v>
      </c>
      <c r="Q10" s="336"/>
      <c r="R10" s="337"/>
    </row>
    <row r="11" spans="2:18" x14ac:dyDescent="0.3">
      <c r="B11" s="368"/>
      <c r="C11" s="8">
        <v>2.2000000000000002</v>
      </c>
      <c r="D11" s="332" t="s">
        <v>58</v>
      </c>
      <c r="E11" s="332"/>
      <c r="F11" s="332"/>
      <c r="G11" s="332"/>
      <c r="H11" s="333"/>
      <c r="J11" s="368"/>
      <c r="K11" s="8">
        <v>6.2</v>
      </c>
      <c r="L11" s="332" t="s">
        <v>81</v>
      </c>
      <c r="M11" s="332"/>
      <c r="N11" s="332"/>
      <c r="O11" s="8">
        <v>6.6</v>
      </c>
      <c r="P11" s="332" t="s">
        <v>90</v>
      </c>
      <c r="Q11" s="332"/>
      <c r="R11" s="333"/>
    </row>
    <row r="12" spans="2:18" ht="17.25" thickBot="1" x14ac:dyDescent="0.35">
      <c r="B12" s="369"/>
      <c r="C12" s="9">
        <v>2.2999999999999998</v>
      </c>
      <c r="D12" s="334" t="s">
        <v>59</v>
      </c>
      <c r="E12" s="334"/>
      <c r="F12" s="334"/>
      <c r="G12" s="334"/>
      <c r="H12" s="335"/>
      <c r="J12" s="368"/>
      <c r="K12" s="8">
        <v>6.3</v>
      </c>
      <c r="L12" s="332" t="s">
        <v>82</v>
      </c>
      <c r="M12" s="332"/>
      <c r="N12" s="332"/>
      <c r="O12" s="8">
        <v>6.7</v>
      </c>
      <c r="P12" s="332" t="s">
        <v>94</v>
      </c>
      <c r="Q12" s="332"/>
      <c r="R12" s="333"/>
    </row>
    <row r="13" spans="2:18" ht="17.45" customHeight="1" thickBot="1" x14ac:dyDescent="0.35">
      <c r="B13" s="371" t="s">
        <v>49</v>
      </c>
      <c r="C13" s="14">
        <v>3.1</v>
      </c>
      <c r="D13" s="336" t="s">
        <v>60</v>
      </c>
      <c r="E13" s="336"/>
      <c r="F13" s="336"/>
      <c r="G13" s="336"/>
      <c r="H13" s="337"/>
      <c r="J13" s="369"/>
      <c r="K13" s="9">
        <v>6.4</v>
      </c>
      <c r="L13" s="334" t="s">
        <v>83</v>
      </c>
      <c r="M13" s="334"/>
      <c r="N13" s="334"/>
      <c r="O13" s="9"/>
      <c r="P13" s="334"/>
      <c r="Q13" s="334"/>
      <c r="R13" s="335"/>
    </row>
    <row r="14" spans="2:18" x14ac:dyDescent="0.3">
      <c r="B14" s="368"/>
      <c r="C14" s="8">
        <v>3.2</v>
      </c>
      <c r="D14" s="332" t="s">
        <v>61</v>
      </c>
      <c r="E14" s="332"/>
      <c r="F14" s="332"/>
      <c r="G14" s="332"/>
      <c r="H14" s="333"/>
      <c r="J14" s="370" t="s">
        <v>72</v>
      </c>
      <c r="K14" s="14">
        <v>7.1</v>
      </c>
      <c r="L14" s="336" t="s">
        <v>84</v>
      </c>
      <c r="M14" s="336"/>
      <c r="N14" s="336"/>
      <c r="O14" s="14">
        <v>7.4</v>
      </c>
      <c r="P14" s="336" t="s">
        <v>95</v>
      </c>
      <c r="Q14" s="336"/>
      <c r="R14" s="337"/>
    </row>
    <row r="15" spans="2:18" x14ac:dyDescent="0.3">
      <c r="B15" s="368"/>
      <c r="C15" s="8">
        <v>3.3</v>
      </c>
      <c r="D15" s="332" t="s">
        <v>62</v>
      </c>
      <c r="E15" s="332"/>
      <c r="F15" s="332"/>
      <c r="G15" s="332"/>
      <c r="H15" s="333"/>
      <c r="J15" s="368"/>
      <c r="K15" s="8">
        <v>7.2</v>
      </c>
      <c r="L15" s="332" t="s">
        <v>85</v>
      </c>
      <c r="M15" s="332"/>
      <c r="N15" s="332"/>
      <c r="O15" s="8">
        <v>7.5</v>
      </c>
      <c r="P15" s="332" t="s">
        <v>96</v>
      </c>
      <c r="Q15" s="332"/>
      <c r="R15" s="333"/>
    </row>
    <row r="16" spans="2:18" ht="17.25" thickBot="1" x14ac:dyDescent="0.35">
      <c r="B16" s="369"/>
      <c r="C16" s="9">
        <v>3.4</v>
      </c>
      <c r="D16" s="334" t="s">
        <v>63</v>
      </c>
      <c r="E16" s="334"/>
      <c r="F16" s="334"/>
      <c r="G16" s="334"/>
      <c r="H16" s="335"/>
      <c r="J16" s="369"/>
      <c r="K16" s="9">
        <v>7.3</v>
      </c>
      <c r="L16" s="334" t="s">
        <v>86</v>
      </c>
      <c r="M16" s="334"/>
      <c r="N16" s="334"/>
      <c r="O16" s="9"/>
      <c r="P16" s="334"/>
      <c r="Q16" s="334"/>
      <c r="R16" s="335"/>
    </row>
    <row r="17" spans="2:26" x14ac:dyDescent="0.3">
      <c r="B17" s="367" t="s">
        <v>50</v>
      </c>
      <c r="C17" s="10">
        <v>4.0999999999999996</v>
      </c>
      <c r="D17" s="340" t="s">
        <v>64</v>
      </c>
      <c r="E17" s="340"/>
      <c r="F17" s="340"/>
      <c r="G17" s="340"/>
      <c r="H17" s="341"/>
      <c r="J17" s="367" t="s">
        <v>73</v>
      </c>
      <c r="K17" s="338">
        <v>8.1</v>
      </c>
      <c r="L17" s="339" t="s">
        <v>87</v>
      </c>
      <c r="M17" s="340"/>
      <c r="N17" s="340"/>
      <c r="O17" s="338">
        <v>8.4</v>
      </c>
      <c r="P17" s="339" t="s">
        <v>97</v>
      </c>
      <c r="Q17" s="340"/>
      <c r="R17" s="341"/>
    </row>
    <row r="18" spans="2:26" x14ac:dyDescent="0.3">
      <c r="B18" s="368"/>
      <c r="C18" s="8">
        <v>4.2</v>
      </c>
      <c r="D18" s="332" t="s">
        <v>65</v>
      </c>
      <c r="E18" s="332"/>
      <c r="F18" s="332"/>
      <c r="G18" s="332"/>
      <c r="H18" s="333"/>
      <c r="J18" s="368"/>
      <c r="K18" s="197"/>
      <c r="L18" s="332"/>
      <c r="M18" s="332"/>
      <c r="N18" s="332"/>
      <c r="O18" s="197"/>
      <c r="P18" s="332"/>
      <c r="Q18" s="332"/>
      <c r="R18" s="333"/>
    </row>
    <row r="19" spans="2:26" x14ac:dyDescent="0.3">
      <c r="B19" s="368"/>
      <c r="C19" s="8">
        <v>4.3</v>
      </c>
      <c r="D19" s="332" t="s">
        <v>66</v>
      </c>
      <c r="E19" s="332"/>
      <c r="F19" s="332"/>
      <c r="G19" s="332"/>
      <c r="H19" s="333"/>
      <c r="J19" s="368"/>
      <c r="K19" s="8">
        <v>8.1999999999999993</v>
      </c>
      <c r="L19" s="332" t="s">
        <v>88</v>
      </c>
      <c r="M19" s="332"/>
      <c r="N19" s="332"/>
      <c r="O19" s="8">
        <v>8.5</v>
      </c>
      <c r="P19" s="332" t="s">
        <v>98</v>
      </c>
      <c r="Q19" s="332"/>
      <c r="R19" s="333"/>
    </row>
    <row r="20" spans="2:26" ht="17.25" thickBot="1" x14ac:dyDescent="0.35">
      <c r="B20" s="369"/>
      <c r="C20" s="9">
        <v>4.4000000000000004</v>
      </c>
      <c r="D20" s="334" t="s">
        <v>67</v>
      </c>
      <c r="E20" s="334"/>
      <c r="F20" s="334"/>
      <c r="G20" s="334"/>
      <c r="H20" s="335"/>
      <c r="J20" s="369"/>
      <c r="K20" s="9">
        <v>8.3000000000000007</v>
      </c>
      <c r="L20" s="334" t="s">
        <v>89</v>
      </c>
      <c r="M20" s="334"/>
      <c r="N20" s="334"/>
      <c r="O20" s="9"/>
      <c r="P20" s="334"/>
      <c r="Q20" s="334"/>
      <c r="R20" s="335"/>
    </row>
    <row r="23" spans="2:26" ht="27" thickBot="1" x14ac:dyDescent="0.35">
      <c r="B23" s="329" t="s">
        <v>99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O23" s="329" t="s">
        <v>112</v>
      </c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</row>
    <row r="24" spans="2:26" ht="27.6" customHeight="1" thickBot="1" x14ac:dyDescent="0.35">
      <c r="B24" s="350" t="s">
        <v>100</v>
      </c>
      <c r="C24" s="348"/>
      <c r="D24" s="348" t="s">
        <v>101</v>
      </c>
      <c r="E24" s="348"/>
      <c r="F24" s="348"/>
      <c r="G24" s="348"/>
      <c r="H24" s="348"/>
      <c r="I24" s="348"/>
      <c r="J24" s="348"/>
      <c r="K24" s="348"/>
      <c r="L24" s="348"/>
      <c r="M24" s="349"/>
      <c r="O24" s="353" t="s">
        <v>113</v>
      </c>
      <c r="P24" s="354"/>
      <c r="Q24" s="355"/>
      <c r="R24" s="356" t="s">
        <v>101</v>
      </c>
      <c r="S24" s="354"/>
      <c r="T24" s="354"/>
      <c r="U24" s="354"/>
      <c r="V24" s="354"/>
      <c r="W24" s="354"/>
      <c r="X24" s="354"/>
      <c r="Y24" s="354"/>
      <c r="Z24" s="357"/>
    </row>
    <row r="25" spans="2:26" ht="49.9" customHeight="1" thickTop="1" x14ac:dyDescent="0.3">
      <c r="B25" s="24">
        <v>5</v>
      </c>
      <c r="C25" s="25" t="s">
        <v>102</v>
      </c>
      <c r="D25" s="351" t="s">
        <v>107</v>
      </c>
      <c r="E25" s="351"/>
      <c r="F25" s="351"/>
      <c r="G25" s="351"/>
      <c r="H25" s="351"/>
      <c r="I25" s="351"/>
      <c r="J25" s="351"/>
      <c r="K25" s="351"/>
      <c r="L25" s="351"/>
      <c r="M25" s="352"/>
      <c r="N25" s="15"/>
      <c r="O25" s="26">
        <v>4</v>
      </c>
      <c r="P25" s="365" t="s">
        <v>114</v>
      </c>
      <c r="Q25" s="366"/>
      <c r="R25" s="362" t="s">
        <v>121</v>
      </c>
      <c r="S25" s="363"/>
      <c r="T25" s="363"/>
      <c r="U25" s="363"/>
      <c r="V25" s="363"/>
      <c r="W25" s="363"/>
      <c r="X25" s="363"/>
      <c r="Y25" s="363"/>
      <c r="Z25" s="364"/>
    </row>
    <row r="26" spans="2:26" ht="49.9" customHeight="1" x14ac:dyDescent="0.3">
      <c r="B26" s="18">
        <v>4</v>
      </c>
      <c r="C26" s="19" t="s">
        <v>103</v>
      </c>
      <c r="D26" s="330" t="s">
        <v>108</v>
      </c>
      <c r="E26" s="330"/>
      <c r="F26" s="330"/>
      <c r="G26" s="330"/>
      <c r="H26" s="330"/>
      <c r="I26" s="330"/>
      <c r="J26" s="330"/>
      <c r="K26" s="330"/>
      <c r="L26" s="330"/>
      <c r="M26" s="331"/>
      <c r="N26" s="15"/>
      <c r="O26" s="27">
        <v>3</v>
      </c>
      <c r="P26" s="358" t="s">
        <v>115</v>
      </c>
      <c r="Q26" s="359"/>
      <c r="R26" s="362" t="s">
        <v>120</v>
      </c>
      <c r="S26" s="363"/>
      <c r="T26" s="363"/>
      <c r="U26" s="363"/>
      <c r="V26" s="363"/>
      <c r="W26" s="363"/>
      <c r="X26" s="363"/>
      <c r="Y26" s="363"/>
      <c r="Z26" s="364"/>
    </row>
    <row r="27" spans="2:26" ht="49.9" customHeight="1" x14ac:dyDescent="0.3">
      <c r="B27" s="16">
        <v>3</v>
      </c>
      <c r="C27" s="17" t="s">
        <v>104</v>
      </c>
      <c r="D27" s="330" t="s">
        <v>109</v>
      </c>
      <c r="E27" s="330"/>
      <c r="F27" s="330"/>
      <c r="G27" s="330"/>
      <c r="H27" s="330"/>
      <c r="I27" s="330"/>
      <c r="J27" s="330"/>
      <c r="K27" s="330"/>
      <c r="L27" s="330"/>
      <c r="M27" s="331"/>
      <c r="N27" s="15"/>
      <c r="O27" s="27">
        <v>2</v>
      </c>
      <c r="P27" s="358" t="s">
        <v>116</v>
      </c>
      <c r="Q27" s="359"/>
      <c r="R27" s="362" t="s">
        <v>119</v>
      </c>
      <c r="S27" s="363"/>
      <c r="T27" s="363"/>
      <c r="U27" s="363"/>
      <c r="V27" s="363"/>
      <c r="W27" s="363"/>
      <c r="X27" s="363"/>
      <c r="Y27" s="363"/>
      <c r="Z27" s="364"/>
    </row>
    <row r="28" spans="2:26" ht="49.9" customHeight="1" thickBot="1" x14ac:dyDescent="0.35">
      <c r="B28" s="20">
        <v>2</v>
      </c>
      <c r="C28" s="21" t="s">
        <v>105</v>
      </c>
      <c r="D28" s="330" t="s">
        <v>110</v>
      </c>
      <c r="E28" s="330"/>
      <c r="F28" s="330"/>
      <c r="G28" s="330"/>
      <c r="H28" s="330"/>
      <c r="I28" s="330"/>
      <c r="J28" s="330"/>
      <c r="K28" s="330"/>
      <c r="L28" s="330"/>
      <c r="M28" s="331"/>
      <c r="N28" s="15"/>
      <c r="O28" s="28">
        <v>1</v>
      </c>
      <c r="P28" s="360" t="s">
        <v>117</v>
      </c>
      <c r="Q28" s="361"/>
      <c r="R28" s="345" t="s">
        <v>118</v>
      </c>
      <c r="S28" s="346"/>
      <c r="T28" s="346"/>
      <c r="U28" s="346"/>
      <c r="V28" s="346"/>
      <c r="W28" s="346"/>
      <c r="X28" s="346"/>
      <c r="Y28" s="346"/>
      <c r="Z28" s="347"/>
    </row>
    <row r="29" spans="2:26" ht="49.9" customHeight="1" thickBot="1" x14ac:dyDescent="0.35">
      <c r="B29" s="22">
        <v>1</v>
      </c>
      <c r="C29" s="23" t="s">
        <v>106</v>
      </c>
      <c r="D29" s="345" t="s">
        <v>111</v>
      </c>
      <c r="E29" s="346"/>
      <c r="F29" s="346"/>
      <c r="G29" s="346"/>
      <c r="H29" s="346"/>
      <c r="I29" s="346"/>
      <c r="J29" s="346"/>
      <c r="K29" s="346"/>
      <c r="L29" s="346"/>
      <c r="M29" s="347"/>
      <c r="N29" s="15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171</v>
      </c>
      <c r="G56" t="s">
        <v>71</v>
      </c>
      <c r="H56" t="s">
        <v>170</v>
      </c>
      <c r="I56" t="s">
        <v>73</v>
      </c>
    </row>
    <row r="57" spans="2:9" ht="13.9" hidden="1" customHeight="1" x14ac:dyDescent="0.3">
      <c r="B57" t="s">
        <v>169</v>
      </c>
      <c r="C57" t="s">
        <v>134</v>
      </c>
      <c r="D57" t="s">
        <v>137</v>
      </c>
      <c r="E57" t="s">
        <v>141</v>
      </c>
      <c r="F57" t="s">
        <v>145</v>
      </c>
      <c r="G57" t="s">
        <v>151</v>
      </c>
      <c r="H57" t="s">
        <v>155</v>
      </c>
      <c r="I57" s="35" t="s">
        <v>160</v>
      </c>
    </row>
    <row r="58" spans="2:9" hidden="1" x14ac:dyDescent="0.3">
      <c r="B58" t="s">
        <v>129</v>
      </c>
      <c r="C58" t="s">
        <v>135</v>
      </c>
      <c r="D58" t="s">
        <v>138</v>
      </c>
      <c r="E58" t="s">
        <v>142</v>
      </c>
      <c r="F58" t="s">
        <v>146</v>
      </c>
      <c r="G58" t="s">
        <v>152</v>
      </c>
      <c r="H58" t="s">
        <v>156</v>
      </c>
      <c r="I58" t="s">
        <v>158</v>
      </c>
    </row>
    <row r="59" spans="2:9" hidden="1" x14ac:dyDescent="0.3">
      <c r="B59" t="s">
        <v>130</v>
      </c>
      <c r="C59" t="s">
        <v>136</v>
      </c>
      <c r="D59" t="s">
        <v>139</v>
      </c>
      <c r="E59" t="s">
        <v>143</v>
      </c>
      <c r="F59" t="s">
        <v>147</v>
      </c>
      <c r="G59" t="s">
        <v>153</v>
      </c>
      <c r="H59" t="s">
        <v>157</v>
      </c>
      <c r="I59" t="s">
        <v>159</v>
      </c>
    </row>
    <row r="60" spans="2:9" hidden="1" x14ac:dyDescent="0.3">
      <c r="B60" t="s">
        <v>131</v>
      </c>
      <c r="D60" t="s">
        <v>140</v>
      </c>
      <c r="E60" t="s">
        <v>144</v>
      </c>
      <c r="F60" t="s">
        <v>148</v>
      </c>
      <c r="G60" t="s">
        <v>154</v>
      </c>
      <c r="H60" t="s">
        <v>167</v>
      </c>
    </row>
    <row r="61" spans="2:9" hidden="1" x14ac:dyDescent="0.3">
      <c r="B61" t="s">
        <v>132</v>
      </c>
      <c r="F61" t="s">
        <v>149</v>
      </c>
      <c r="G61" t="s">
        <v>164</v>
      </c>
      <c r="H61" t="s">
        <v>168</v>
      </c>
    </row>
    <row r="62" spans="2:9" hidden="1" x14ac:dyDescent="0.3">
      <c r="B62" t="s">
        <v>133</v>
      </c>
      <c r="F62" t="s">
        <v>150</v>
      </c>
      <c r="G62" t="s">
        <v>165</v>
      </c>
    </row>
    <row r="63" spans="2:9" hidden="1" x14ac:dyDescent="0.3">
      <c r="F63" t="s">
        <v>161</v>
      </c>
      <c r="G63" t="s">
        <v>166</v>
      </c>
    </row>
    <row r="64" spans="2:9" hidden="1" x14ac:dyDescent="0.3">
      <c r="F64" t="s">
        <v>162</v>
      </c>
    </row>
    <row r="65" spans="6:6" hidden="1" x14ac:dyDescent="0.3">
      <c r="F65" t="s">
        <v>163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A8309996E6F886449E0C46152C546D50" ma:contentTypeVersion="16" ma:contentTypeDescription="새 문서를 만듭니다." ma:contentTypeScope="" ma:versionID="9378fadc13290b9931ae398c29f29497">
  <xsd:schema xmlns:xsd="http://www.w3.org/2001/XMLSchema" xmlns:xs="http://www.w3.org/2001/XMLSchema" xmlns:p="http://schemas.microsoft.com/office/2006/metadata/properties" xmlns:ns3="dee1b656-0c46-4dc8-b94d-60bfceae80ec" xmlns:ns4="6c7023df-d4b2-4e74-9d58-c557aadf6416" targetNamespace="http://schemas.microsoft.com/office/2006/metadata/properties" ma:root="true" ma:fieldsID="8039fc25cb58cddbd88eddf235e7768d" ns3:_="" ns4:_="">
    <xsd:import namespace="dee1b656-0c46-4dc8-b94d-60bfceae80ec"/>
    <xsd:import namespace="6c7023df-d4b2-4e74-9d58-c557aadf6416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1b656-0c46-4dc8-b94d-60bfceae80e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023df-d4b2-4e74-9d58-c557aadf64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e1b656-0c46-4dc8-b94d-60bfceae80ec" xsi:nil="true"/>
  </documentManagement>
</p:properties>
</file>

<file path=customXml/itemProps1.xml><?xml version="1.0" encoding="utf-8"?>
<ds:datastoreItem xmlns:ds="http://schemas.openxmlformats.org/officeDocument/2006/customXml" ds:itemID="{3BA89EC4-EB0C-4DB6-9B66-854143179B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B19C27-6BD7-4857-8266-3E1B6E525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1b656-0c46-4dc8-b94d-60bfceae80ec"/>
    <ds:schemaRef ds:uri="6c7023df-d4b2-4e74-9d58-c557aadf6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3F74F-79AC-4D7B-A71E-FEE3E425365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6c7023df-d4b2-4e74-9d58-c557aadf6416"/>
    <ds:schemaRef ds:uri="dee1b656-0c46-4dc8-b94d-60bfceae80ec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표지(최초, 정기)</vt:lpstr>
      <vt:lpstr>2. 위험성평가실시계획(공사개요)(최초, 정기)</vt:lpstr>
      <vt:lpstr>3. 위험성평가 조직도(최초, 정기)</vt:lpstr>
      <vt:lpstr>4. 전체공사일정</vt:lpstr>
      <vt:lpstr>5. 위험성평가표(최초, 정기, 수시)</vt:lpstr>
      <vt:lpstr>6. 참조자료(유해위험요인, 위험성추정)</vt:lpstr>
      <vt:lpstr>'3. 위험성평가 조직도(최초, 정기)'!Print_Area</vt:lpstr>
      <vt:lpstr>'4. 전체공사일정'!Print_Area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신현필</cp:lastModifiedBy>
  <cp:lastPrinted>2021-11-30T00:32:52Z</cp:lastPrinted>
  <dcterms:created xsi:type="dcterms:W3CDTF">2016-01-18T02:47:57Z</dcterms:created>
  <dcterms:modified xsi:type="dcterms:W3CDTF">2024-08-22T07:19:53Z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  <property fmtid="{D5CDD505-2E9C-101B-9397-08002B2CF9AE}" pid="4" name="ContentTypeId">
    <vt:lpwstr>0x010100A8309996E6F886449E0C46152C546D50</vt:lpwstr>
  </property>
</Properties>
</file>